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codeName="ThisWorkbook" defaultThemeVersion="124226"/>
  <mc:AlternateContent xmlns:mc="http://schemas.openxmlformats.org/markup-compatibility/2006">
    <mc:Choice Requires="x15">
      <x15ac:absPath xmlns:x15ac="http://schemas.microsoft.com/office/spreadsheetml/2010/11/ac" url="https://pennstateoffice365-my.sharepoint.com/personal/fkb5105_psu_edu/Documents/Documents/Penn State/MIS-415/"/>
    </mc:Choice>
  </mc:AlternateContent>
  <xr:revisionPtr revIDLastSave="7" documentId="8_{92EACF96-988D-4807-A92F-D973DF2197C4}" xr6:coauthVersionLast="47" xr6:coauthVersionMax="47" xr10:uidLastSave="{091ADA4F-4ADB-4D51-B489-421115D27A66}"/>
  <bookViews>
    <workbookView xWindow="-98" yWindow="-98" windowWidth="19396" windowHeight="11596"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Data Description" sheetId="8" r:id="rId7"/>
    <sheet name="Misc" sheetId="2" state="hidden"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1302" i="3" l="1"/>
  <c r="AY1310" i="3"/>
  <c r="AY87" i="3"/>
  <c r="AY1029" i="3"/>
  <c r="AY320" i="3"/>
  <c r="AY755" i="3"/>
  <c r="AY312" i="3"/>
  <c r="AY613" i="3"/>
  <c r="AY809" i="3"/>
  <c r="AY292" i="3"/>
  <c r="AY53" i="3"/>
  <c r="AY181" i="3"/>
  <c r="AY1051" i="3"/>
  <c r="AY1311" i="3"/>
  <c r="AY263" i="3"/>
  <c r="AY1071" i="3"/>
  <c r="AY123" i="3"/>
  <c r="AY36" i="3"/>
  <c r="AY150" i="3"/>
  <c r="AY784" i="3"/>
  <c r="AY233" i="3"/>
  <c r="AY737" i="3"/>
  <c r="AY343" i="3"/>
  <c r="AY71" i="3"/>
  <c r="AY360" i="3"/>
  <c r="AY464" i="3"/>
  <c r="AY623" i="3"/>
  <c r="AY752" i="3"/>
  <c r="AY1088" i="3"/>
  <c r="AY355" i="3"/>
  <c r="AY548" i="3"/>
  <c r="AY450" i="3"/>
  <c r="AY569" i="3"/>
  <c r="AY1122" i="3"/>
  <c r="AY466" i="3"/>
  <c r="AY495" i="3"/>
  <c r="AY323" i="3"/>
  <c r="AY290" i="3"/>
  <c r="AY303" i="3"/>
  <c r="AY248" i="3"/>
  <c r="AY348" i="3"/>
  <c r="AY255" i="3"/>
  <c r="AY335" i="3"/>
  <c r="AY282" i="3"/>
  <c r="AY372" i="3"/>
  <c r="AY359" i="3"/>
  <c r="AY422" i="3"/>
  <c r="AY955" i="3"/>
  <c r="AY315" i="3"/>
  <c r="AY1240" i="3"/>
  <c r="AY1199" i="3"/>
  <c r="AY1118" i="3"/>
  <c r="AY902" i="3"/>
  <c r="AY1028" i="3"/>
  <c r="AY241" i="3"/>
  <c r="AY395" i="3"/>
  <c r="AY225" i="3"/>
  <c r="AY365" i="3"/>
  <c r="AY587" i="3"/>
  <c r="AY444" i="3"/>
  <c r="AY279" i="3"/>
  <c r="AY288" i="3"/>
  <c r="AY434" i="3"/>
  <c r="AY526" i="3"/>
  <c r="AY387" i="3"/>
  <c r="AY16" i="3"/>
  <c r="AY883" i="3"/>
  <c r="AY77" i="3"/>
  <c r="AY645" i="3"/>
  <c r="AY1312" i="3"/>
  <c r="AY58" i="3"/>
  <c r="AY1055" i="3"/>
  <c r="AY293" i="3"/>
  <c r="AY273" i="3"/>
  <c r="AY476" i="3"/>
  <c r="AY1326" i="3"/>
  <c r="AY857" i="3"/>
  <c r="AY1268" i="3"/>
  <c r="AY655" i="3"/>
  <c r="AY950" i="3"/>
  <c r="AY1303" i="3"/>
  <c r="AY878" i="3"/>
  <c r="AY41" i="3"/>
  <c r="AY538" i="3"/>
  <c r="AY1250" i="3"/>
  <c r="AY1304" i="3"/>
  <c r="AY824" i="3"/>
  <c r="AY102" i="3"/>
  <c r="AY1327" i="3"/>
  <c r="AY517" i="3"/>
  <c r="AY137" i="3"/>
  <c r="AY648" i="3"/>
  <c r="AY507" i="3"/>
  <c r="AY981" i="3"/>
  <c r="AY291" i="3"/>
  <c r="AY1305" i="3"/>
  <c r="AY479" i="3"/>
  <c r="AY504" i="3"/>
  <c r="AY361" i="3"/>
  <c r="AY796" i="3"/>
  <c r="AY880" i="3"/>
  <c r="AY962" i="3"/>
  <c r="AY1009" i="3"/>
  <c r="AY73" i="3"/>
  <c r="AY1295" i="3"/>
  <c r="AY497" i="3"/>
  <c r="AY675" i="3"/>
  <c r="AY151" i="3"/>
  <c r="AY914" i="3"/>
  <c r="AY1063" i="3"/>
  <c r="AY1328" i="3"/>
  <c r="AY1154" i="3"/>
  <c r="AY579" i="3"/>
  <c r="AY234" i="3"/>
  <c r="AY716" i="3"/>
  <c r="AY822" i="3"/>
  <c r="AY85" i="3"/>
  <c r="AY56" i="3"/>
  <c r="AY144" i="3"/>
  <c r="AY960" i="3"/>
  <c r="AY352" i="3"/>
  <c r="AY1121" i="3"/>
  <c r="AY825" i="3"/>
  <c r="AY238" i="3"/>
  <c r="AY760" i="3"/>
  <c r="AY220" i="3"/>
  <c r="AY1269" i="3"/>
  <c r="AY937" i="3"/>
  <c r="AY390" i="3"/>
  <c r="AY1183" i="3"/>
  <c r="AY416" i="3"/>
  <c r="AY932" i="3"/>
  <c r="AY278" i="3"/>
  <c r="AY1329" i="3"/>
  <c r="AY1259" i="3"/>
  <c r="AY1260" i="3"/>
  <c r="AY1127" i="3"/>
  <c r="AY976" i="3"/>
  <c r="AY195" i="3"/>
  <c r="AY830" i="3"/>
  <c r="AY751" i="3"/>
  <c r="AY42" i="3"/>
  <c r="AY559" i="3"/>
  <c r="AY835" i="3"/>
  <c r="AY75" i="3"/>
  <c r="AY1242" i="3"/>
  <c r="AY330" i="3"/>
  <c r="AY198" i="3"/>
  <c r="AY408" i="3"/>
  <c r="AY734" i="3"/>
  <c r="AY611" i="3"/>
  <c r="AY114" i="3"/>
  <c r="AY1207" i="3"/>
  <c r="AY35" i="3"/>
  <c r="AY1056" i="3"/>
  <c r="AY475" i="3"/>
  <c r="AY750" i="3"/>
  <c r="AY333" i="3"/>
  <c r="AY325" i="3"/>
  <c r="AY582" i="3"/>
  <c r="AY311" i="3"/>
  <c r="AY67" i="3"/>
  <c r="AY171" i="3"/>
  <c r="AY521" i="3"/>
  <c r="AY706" i="3"/>
  <c r="AY1025" i="3"/>
  <c r="AY456" i="3"/>
  <c r="AY895" i="3"/>
  <c r="AY208" i="3"/>
  <c r="AY534" i="3"/>
  <c r="AY827" i="3"/>
  <c r="AY658" i="3"/>
  <c r="AY662" i="3"/>
  <c r="AY1189" i="3"/>
  <c r="AY1264" i="3"/>
  <c r="AY119" i="3"/>
  <c r="AY403" i="3"/>
  <c r="AY401" i="3"/>
  <c r="AY129" i="3"/>
  <c r="AY346" i="3"/>
  <c r="AY472" i="3"/>
  <c r="AY189" i="3"/>
  <c r="AY169" i="3"/>
  <c r="AY508" i="3"/>
  <c r="AY232" i="3"/>
  <c r="AY474" i="3"/>
  <c r="AY664" i="3"/>
  <c r="AY339" i="3"/>
  <c r="AY342" i="3"/>
  <c r="AY374" i="3"/>
  <c r="AY294" i="3"/>
  <c r="AY1092" i="3"/>
  <c r="AY1178" i="3"/>
  <c r="AY371" i="3"/>
  <c r="AY1330" i="3"/>
  <c r="AY224" i="3"/>
  <c r="AY221" i="3"/>
  <c r="AY349" i="3"/>
  <c r="AY413" i="3"/>
  <c r="AY190" i="3"/>
  <c r="AY1149" i="3"/>
  <c r="AY1120" i="3"/>
  <c r="AY353" i="3"/>
  <c r="AY1049" i="3"/>
  <c r="AY1208" i="3"/>
  <c r="AY1148" i="3"/>
  <c r="AY1012" i="3"/>
  <c r="AY696" i="3"/>
  <c r="AY1331" i="3"/>
  <c r="AY1261" i="3"/>
  <c r="AY1277" i="3"/>
  <c r="AY1313" i="3"/>
  <c r="AY1218" i="3"/>
  <c r="AY684" i="3"/>
  <c r="AY704" i="3"/>
  <c r="AY367" i="3"/>
  <c r="AY397" i="3"/>
  <c r="AY388" i="3"/>
  <c r="AY470" i="3"/>
  <c r="AY531" i="3"/>
  <c r="AY1128" i="3"/>
  <c r="AY767" i="3"/>
  <c r="AY1209" i="3"/>
  <c r="AY237" i="3"/>
  <c r="AY1047" i="3"/>
  <c r="AY200" i="3"/>
  <c r="AY1198" i="3"/>
  <c r="AY1239" i="3"/>
  <c r="AY61" i="3"/>
  <c r="AY197" i="3"/>
  <c r="AY513" i="3"/>
  <c r="AY33" i="3"/>
  <c r="AY28" i="3"/>
  <c r="AY1228" i="3"/>
  <c r="AY451" i="3"/>
  <c r="AY94" i="3"/>
  <c r="AY153" i="3"/>
  <c r="AY166" i="3"/>
  <c r="AY1129" i="3"/>
  <c r="AY966" i="3"/>
  <c r="AY735" i="3"/>
  <c r="AY1314" i="3"/>
  <c r="AY1000" i="3"/>
  <c r="AY1107" i="3"/>
  <c r="AY199" i="3"/>
  <c r="AY164" i="3"/>
  <c r="AY946" i="3"/>
  <c r="AY1144" i="3"/>
  <c r="AY1027" i="3"/>
  <c r="AY418" i="3"/>
  <c r="AY319" i="3"/>
  <c r="AY673" i="3"/>
  <c r="AY1251" i="3"/>
  <c r="AY469" i="3"/>
  <c r="AY964" i="3"/>
  <c r="AY1083" i="3"/>
  <c r="AY770" i="3"/>
  <c r="AY959" i="3"/>
  <c r="AY929" i="3"/>
  <c r="AY956" i="3"/>
  <c r="AY1332" i="3"/>
  <c r="AY834" i="3"/>
  <c r="AY1180" i="3"/>
  <c r="AY717" i="3"/>
  <c r="AY703" i="3"/>
  <c r="AY1157" i="3"/>
  <c r="AY621" i="3"/>
  <c r="AY1087" i="3"/>
  <c r="AY787" i="3"/>
  <c r="AY1288" i="3"/>
  <c r="AY8" i="3"/>
  <c r="AY802" i="3"/>
  <c r="AY1204" i="3"/>
  <c r="AY430" i="3"/>
  <c r="AY1036" i="3"/>
  <c r="AY873" i="3"/>
  <c r="AY821" i="3"/>
  <c r="AY1031" i="3"/>
  <c r="AY603" i="3"/>
  <c r="AY1278" i="3"/>
  <c r="AY1117" i="3"/>
  <c r="AY539" i="3"/>
  <c r="AY911" i="3"/>
  <c r="AY555" i="3"/>
  <c r="AY599" i="3"/>
  <c r="AY595" i="3"/>
  <c r="AY175" i="3"/>
  <c r="AY654" i="3"/>
  <c r="AY1093" i="3"/>
  <c r="AY520" i="3"/>
  <c r="AY729" i="3"/>
  <c r="AY148" i="3"/>
  <c r="AY173" i="3"/>
  <c r="AY908" i="3"/>
  <c r="AY527" i="3"/>
  <c r="AY1075" i="3"/>
  <c r="AY709" i="3"/>
  <c r="AY1279" i="3"/>
  <c r="AY766" i="3"/>
  <c r="AY1219" i="3"/>
  <c r="AY1213" i="3"/>
  <c r="AY3" i="3"/>
  <c r="AY6" i="3"/>
  <c r="AY572" i="3"/>
  <c r="AY764" i="3"/>
  <c r="AY720" i="3"/>
  <c r="AY1057" i="3"/>
  <c r="AY1229" i="3"/>
  <c r="AY741" i="3"/>
  <c r="AY1125" i="3"/>
  <c r="AY757" i="3"/>
  <c r="AY12" i="3"/>
  <c r="AY461" i="3"/>
  <c r="AY1043" i="3"/>
  <c r="AY1167" i="3"/>
  <c r="AY239" i="3"/>
  <c r="AY231" i="3"/>
  <c r="AY247" i="3"/>
  <c r="AY909" i="3"/>
  <c r="AY844" i="3"/>
  <c r="AY839" i="3"/>
  <c r="AY845" i="3"/>
  <c r="AY498" i="3"/>
  <c r="AY1106" i="3"/>
  <c r="AY573" i="3"/>
  <c r="AY820" i="3"/>
  <c r="AY859" i="3"/>
  <c r="AY679" i="3"/>
  <c r="AY436" i="3"/>
  <c r="AY726" i="3"/>
  <c r="AY807" i="3"/>
  <c r="AY971" i="3"/>
  <c r="AY1163" i="3"/>
  <c r="AY1315" i="3"/>
  <c r="AY1316" i="3"/>
  <c r="AY1042" i="3"/>
  <c r="AY1333" i="3"/>
  <c r="AY1136" i="3"/>
  <c r="AY975" i="3"/>
  <c r="AY1221" i="3"/>
  <c r="AY785" i="3"/>
  <c r="AY392" i="3"/>
  <c r="AY905" i="3"/>
  <c r="AY1177" i="3"/>
  <c r="AY409" i="3"/>
  <c r="AY1103" i="3"/>
  <c r="AY596" i="3"/>
  <c r="AY336" i="3"/>
  <c r="AY318" i="3"/>
  <c r="AY912" i="3"/>
  <c r="AY903" i="3"/>
  <c r="AY838" i="3"/>
  <c r="AY667" i="3"/>
  <c r="AY854" i="3"/>
  <c r="AY715" i="3"/>
  <c r="AY1032" i="3"/>
  <c r="AY529" i="3"/>
  <c r="AY557" i="3"/>
  <c r="AY581" i="3"/>
  <c r="AY819" i="3"/>
  <c r="AY423" i="3"/>
  <c r="AY674" i="3"/>
  <c r="AY473" i="3"/>
  <c r="AY551" i="3"/>
  <c r="AY503" i="3"/>
  <c r="AY939" i="3"/>
  <c r="AY660" i="3"/>
  <c r="AY1058" i="3"/>
  <c r="AY358" i="3"/>
  <c r="AY1041" i="3"/>
  <c r="AY628" i="3"/>
  <c r="AY1139" i="3"/>
  <c r="AY398" i="3"/>
  <c r="AY1162" i="3"/>
  <c r="AY917" i="3"/>
  <c r="AY1084" i="3"/>
  <c r="AY686" i="3"/>
  <c r="AY1140" i="3"/>
  <c r="AY698" i="3"/>
  <c r="AY786" i="3"/>
  <c r="AY420" i="3"/>
  <c r="AY904" i="3"/>
  <c r="AY900" i="3"/>
  <c r="AY1234" i="3"/>
  <c r="AY404" i="3"/>
  <c r="AY1170" i="3"/>
  <c r="AY1034" i="3"/>
  <c r="AY803" i="3"/>
  <c r="AY588" i="3"/>
  <c r="AY1156" i="3"/>
  <c r="AY972" i="3"/>
  <c r="AY860" i="3"/>
  <c r="AY1080" i="3"/>
  <c r="AY1115" i="3"/>
  <c r="AY40" i="3"/>
  <c r="AY109" i="3"/>
  <c r="AY250" i="3"/>
  <c r="AY240" i="3"/>
  <c r="AY906" i="3"/>
  <c r="AY833" i="3"/>
  <c r="AY815" i="3"/>
  <c r="AY411" i="3"/>
  <c r="AY1186" i="3"/>
  <c r="AY958" i="3"/>
  <c r="AY81" i="3"/>
  <c r="AY982" i="3"/>
  <c r="AY1235" i="3"/>
  <c r="AY163" i="3"/>
  <c r="AY261" i="3"/>
  <c r="AY111" i="3"/>
  <c r="AY121" i="3"/>
  <c r="AY160" i="3"/>
  <c r="AY1334" i="3"/>
  <c r="AY1085" i="3"/>
  <c r="AY445" i="3"/>
  <c r="AY1335" i="3"/>
  <c r="AY266" i="3"/>
  <c r="AY691" i="3"/>
  <c r="AY702" i="3"/>
  <c r="AY356" i="3"/>
  <c r="AY528" i="3"/>
  <c r="AY771" i="3"/>
  <c r="AY615" i="3"/>
  <c r="AY1252" i="3"/>
  <c r="AY1069" i="3"/>
  <c r="AY1102" i="3"/>
  <c r="AY810" i="3"/>
  <c r="AY480" i="3"/>
  <c r="AY669" i="3"/>
  <c r="AY922" i="3"/>
  <c r="AY260" i="3"/>
  <c r="AY515" i="3"/>
  <c r="AY1048" i="3"/>
  <c r="AY980" i="3"/>
  <c r="AY627" i="3"/>
  <c r="AY681" i="3"/>
  <c r="AY936" i="3"/>
  <c r="AY369" i="3"/>
  <c r="AY699" i="3"/>
  <c r="AY1211" i="3"/>
  <c r="AY340" i="3"/>
  <c r="AY1030" i="3"/>
  <c r="AY872" i="3"/>
  <c r="AY1141" i="3"/>
  <c r="AY1094" i="3"/>
  <c r="AY779" i="3"/>
  <c r="AY375" i="3"/>
  <c r="AY853" i="3"/>
  <c r="AY782" i="3"/>
  <c r="AY1112" i="3"/>
  <c r="AY671" i="3"/>
  <c r="AY577" i="3"/>
  <c r="AY875" i="3"/>
  <c r="AY383" i="3"/>
  <c r="AY1289" i="3"/>
  <c r="AY514" i="3"/>
  <c r="AY889" i="3"/>
  <c r="AY940" i="3"/>
  <c r="AY1104" i="3"/>
  <c r="AY792" i="3"/>
  <c r="AY794" i="3"/>
  <c r="AY1317" i="3"/>
  <c r="AY738" i="3"/>
  <c r="AY1230" i="3"/>
  <c r="AY270" i="3"/>
  <c r="AY700" i="3"/>
  <c r="AY721" i="3"/>
  <c r="AY683" i="3"/>
  <c r="AY259" i="3"/>
  <c r="AY583" i="3"/>
  <c r="AY1306" i="3"/>
  <c r="AY1001" i="3"/>
  <c r="AY670" i="3"/>
  <c r="AY1155" i="3"/>
  <c r="AY869" i="3"/>
  <c r="AY1224" i="3"/>
  <c r="AY103" i="3"/>
  <c r="AY1253" i="3"/>
  <c r="AY634" i="3"/>
  <c r="AY97" i="3"/>
  <c r="AY426" i="3"/>
  <c r="AY661" i="3"/>
  <c r="AY344" i="3"/>
  <c r="AY82" i="3"/>
  <c r="AY443" i="3"/>
  <c r="AY99" i="3"/>
  <c r="AY191" i="3"/>
  <c r="AY229" i="3"/>
  <c r="AY327" i="3"/>
  <c r="AY1079" i="3"/>
  <c r="AY829" i="3"/>
  <c r="AY858" i="3"/>
  <c r="AY918" i="3"/>
  <c r="AY1173" i="3"/>
  <c r="AY165" i="3"/>
  <c r="AY14" i="3"/>
  <c r="AY257" i="3"/>
  <c r="AY659" i="3"/>
  <c r="AY214" i="3"/>
  <c r="AY1205" i="3"/>
  <c r="AY101" i="3"/>
  <c r="AY564" i="3"/>
  <c r="AY584" i="3"/>
  <c r="AY37" i="3"/>
  <c r="AY575" i="3"/>
  <c r="AY453" i="3"/>
  <c r="AY944" i="3"/>
  <c r="AY947" i="3"/>
  <c r="AY847" i="3"/>
  <c r="AY1135" i="3"/>
  <c r="AY322" i="3"/>
  <c r="AY604" i="3"/>
  <c r="AY1181" i="3"/>
  <c r="AY687" i="3"/>
  <c r="AY460" i="3"/>
  <c r="AY1158" i="3"/>
  <c r="AY1215" i="3"/>
  <c r="AY88" i="3"/>
  <c r="AY1073" i="3"/>
  <c r="AY26" i="3"/>
  <c r="AY898" i="3"/>
  <c r="AY597" i="3"/>
  <c r="AY987" i="3"/>
  <c r="AY644" i="3"/>
  <c r="AY1105" i="3"/>
  <c r="AY1280" i="3"/>
  <c r="AY1336" i="3"/>
  <c r="AY1010" i="3"/>
  <c r="AY522" i="3"/>
  <c r="AY485" i="3"/>
  <c r="AY724" i="3"/>
  <c r="AY1016" i="3"/>
  <c r="AY600" i="3"/>
  <c r="AY1006" i="3"/>
  <c r="AY1020" i="3"/>
  <c r="AY1318" i="3"/>
  <c r="AY1175" i="3"/>
  <c r="AY677" i="3"/>
  <c r="AY69" i="3"/>
  <c r="AY46" i="3"/>
  <c r="AY91" i="3"/>
  <c r="AY76" i="3"/>
  <c r="AY852" i="3"/>
  <c r="AY610" i="3"/>
  <c r="AY462" i="3"/>
  <c r="AY386" i="3"/>
  <c r="AY532" i="3"/>
  <c r="AY1015" i="3"/>
  <c r="AY761" i="3"/>
  <c r="AY630" i="3"/>
  <c r="AY381" i="3"/>
  <c r="AY402" i="3"/>
  <c r="AY143" i="3"/>
  <c r="AY182" i="3"/>
  <c r="AY218" i="3"/>
  <c r="AY227" i="3"/>
  <c r="AY223" i="3"/>
  <c r="AY253" i="3"/>
  <c r="AY230" i="3"/>
  <c r="AY196" i="3"/>
  <c r="AY168" i="3"/>
  <c r="AY306" i="3"/>
  <c r="AY206" i="3"/>
  <c r="AY152" i="3"/>
  <c r="AY219" i="3"/>
  <c r="AY258" i="3"/>
  <c r="AY127" i="3"/>
  <c r="AY204" i="3"/>
  <c r="AY216" i="3"/>
  <c r="AY236" i="3"/>
  <c r="AY277" i="3"/>
  <c r="AY205" i="3"/>
  <c r="AY213" i="3"/>
  <c r="AY209" i="3"/>
  <c r="AY112" i="3"/>
  <c r="AY242" i="3"/>
  <c r="AY362" i="3"/>
  <c r="AY210" i="3"/>
  <c r="AY550" i="3"/>
  <c r="AY226" i="3"/>
  <c r="AY301" i="3"/>
  <c r="AY185" i="3"/>
  <c r="AY268" i="3"/>
  <c r="AY138" i="3"/>
  <c r="AY187" i="3"/>
  <c r="AY271" i="3"/>
  <c r="AY295" i="3"/>
  <c r="AY412" i="3"/>
  <c r="AY457" i="3"/>
  <c r="AY194" i="3"/>
  <c r="AY118" i="3"/>
  <c r="AY188" i="3"/>
  <c r="AY202" i="3"/>
  <c r="AY159" i="3"/>
  <c r="AY269" i="3"/>
  <c r="AY494" i="3"/>
  <c r="AY183" i="3"/>
  <c r="AY1064" i="3"/>
  <c r="AY919" i="3"/>
  <c r="AY556" i="3"/>
  <c r="AY689" i="3"/>
  <c r="AY954" i="3"/>
  <c r="AY590" i="3"/>
  <c r="AY574" i="3"/>
  <c r="AY203" i="3"/>
  <c r="AY90" i="3"/>
  <c r="AY778" i="3"/>
  <c r="AY576" i="3"/>
  <c r="AY1231" i="3"/>
  <c r="AY758" i="3"/>
  <c r="AY1337" i="3"/>
  <c r="AY742" i="3"/>
  <c r="AY537" i="3"/>
  <c r="AY640" i="3"/>
  <c r="AY1338" i="3"/>
  <c r="AY1206" i="3"/>
  <c r="AY1190" i="3"/>
  <c r="AY509" i="3"/>
  <c r="AY478" i="3"/>
  <c r="AY235" i="3"/>
  <c r="AY867" i="3"/>
  <c r="AY54" i="3"/>
  <c r="AY410" i="3"/>
  <c r="AY116" i="3"/>
  <c r="AY83" i="3"/>
  <c r="AY5" i="3"/>
  <c r="AY1059" i="3"/>
  <c r="AY501" i="3"/>
  <c r="AY1099" i="3"/>
  <c r="AY1236" i="3"/>
  <c r="AY1123" i="3"/>
  <c r="AY419" i="3"/>
  <c r="AY93" i="3"/>
  <c r="AY1045" i="3"/>
  <c r="AY933" i="3"/>
  <c r="AY465" i="3"/>
  <c r="AY180" i="3"/>
  <c r="AY953" i="3"/>
  <c r="AY547" i="3"/>
  <c r="AY1119" i="3"/>
  <c r="AY652" i="3"/>
  <c r="AY732" i="3"/>
  <c r="AY1339" i="3"/>
  <c r="AY11" i="3"/>
  <c r="AY977" i="3"/>
  <c r="AY930" i="3"/>
  <c r="AY1281" i="3"/>
  <c r="AY1113" i="3"/>
  <c r="AY1226" i="3"/>
  <c r="AY1340" i="3"/>
  <c r="AY1021" i="3"/>
  <c r="AY1046" i="3"/>
  <c r="AY636" i="3"/>
  <c r="AY373" i="3"/>
  <c r="AY518" i="3"/>
  <c r="AY100" i="3"/>
  <c r="AY886" i="3"/>
  <c r="AY1017" i="3"/>
  <c r="AY685" i="3"/>
  <c r="AY1296" i="3"/>
  <c r="AY549" i="3"/>
  <c r="AY1258" i="3"/>
  <c r="AY920" i="3"/>
  <c r="AY254" i="3"/>
  <c r="AY331" i="3"/>
  <c r="AY1133" i="3"/>
  <c r="AY705" i="3"/>
  <c r="AY707" i="3"/>
  <c r="AY364" i="3"/>
  <c r="AY624" i="3"/>
  <c r="AY393" i="3"/>
  <c r="AY122" i="3"/>
  <c r="AY217" i="3"/>
  <c r="AY139" i="3"/>
  <c r="AY376" i="3"/>
  <c r="AY272" i="3"/>
  <c r="AY172" i="3"/>
  <c r="AY389" i="3"/>
  <c r="AY1297" i="3"/>
  <c r="AY1143" i="3"/>
  <c r="AY607" i="3"/>
  <c r="AY1270" i="3"/>
  <c r="AY899" i="3"/>
  <c r="AY1254" i="3"/>
  <c r="AY448" i="3"/>
  <c r="AY1265" i="3"/>
  <c r="AY432" i="3"/>
  <c r="AY1271" i="3"/>
  <c r="AY427" i="3"/>
  <c r="AY1298" i="3"/>
  <c r="AY496" i="3"/>
  <c r="AY617" i="3"/>
  <c r="AY471" i="3"/>
  <c r="AY1065" i="3"/>
  <c r="AY488" i="3"/>
  <c r="AY748" i="3"/>
  <c r="AY1095" i="3"/>
  <c r="AY695" i="3"/>
  <c r="AY1195" i="3"/>
  <c r="AY776" i="3"/>
  <c r="AY490" i="3"/>
  <c r="AY245" i="3"/>
  <c r="AY145" i="3"/>
  <c r="AY568" i="3"/>
  <c r="AY1243" i="3"/>
  <c r="AY1019" i="3"/>
  <c r="AY589" i="3"/>
  <c r="AY1146" i="3"/>
  <c r="AY1282" i="3"/>
  <c r="AY1216" i="3"/>
  <c r="AY439" i="3"/>
  <c r="AY329" i="3"/>
  <c r="AY459" i="3"/>
  <c r="AY1137" i="3"/>
  <c r="AY1225" i="3"/>
  <c r="AY458" i="3"/>
  <c r="AY147" i="3"/>
  <c r="AY1341" i="3"/>
  <c r="AY1244" i="3"/>
  <c r="AY377" i="3"/>
  <c r="AY882" i="3"/>
  <c r="AY4" i="3"/>
  <c r="AY43" i="3"/>
  <c r="AY725" i="3"/>
  <c r="AY609" i="3"/>
  <c r="AY1022" i="3"/>
  <c r="AY586" i="3"/>
  <c r="AY578" i="3"/>
  <c r="AY638" i="3"/>
  <c r="AY1237" i="3"/>
  <c r="AY1039" i="3"/>
  <c r="AY1089" i="3"/>
  <c r="AY378" i="3"/>
  <c r="AY132" i="3"/>
  <c r="AY818" i="3"/>
  <c r="AY405" i="3"/>
  <c r="AY727" i="3"/>
  <c r="AY1272" i="3"/>
  <c r="AY777" i="3"/>
  <c r="AY1098" i="3"/>
  <c r="AY161" i="3"/>
  <c r="AY535" i="3"/>
  <c r="AY816" i="3"/>
  <c r="AY1319" i="3"/>
  <c r="AY957" i="3"/>
  <c r="AY772" i="3"/>
  <c r="AY1023" i="3"/>
  <c r="AY999" i="3"/>
  <c r="AY789" i="3"/>
  <c r="AY212" i="3"/>
  <c r="AY275" i="3"/>
  <c r="AY1299" i="3"/>
  <c r="AY1187" i="3"/>
  <c r="AY754" i="3"/>
  <c r="AY126" i="3"/>
  <c r="AY117" i="3"/>
  <c r="AY104" i="3"/>
  <c r="AY637" i="3"/>
  <c r="AY334" i="3"/>
  <c r="AY884" i="3"/>
  <c r="AY1066" i="3"/>
  <c r="AY1142" i="3"/>
  <c r="AY142" i="3"/>
  <c r="AY1266" i="3"/>
  <c r="AY990" i="3"/>
  <c r="AY124" i="3"/>
  <c r="AY1263" i="3"/>
  <c r="AY916" i="3"/>
  <c r="AY800" i="3"/>
  <c r="AY991" i="3"/>
  <c r="AY1200" i="3"/>
  <c r="AY730" i="3"/>
  <c r="AY945" i="3"/>
  <c r="AY620" i="3"/>
  <c r="AY773" i="3"/>
  <c r="AY1053" i="3"/>
  <c r="AY1283" i="3"/>
  <c r="AY926" i="3"/>
  <c r="AY98" i="3"/>
  <c r="AY969" i="3"/>
  <c r="AY1290" i="3"/>
  <c r="AY516" i="3"/>
  <c r="AY693" i="3"/>
  <c r="AY625" i="3"/>
  <c r="AY510" i="3"/>
  <c r="AY812" i="3"/>
  <c r="AY1196" i="3"/>
  <c r="AY1342" i="3"/>
  <c r="AY1273" i="3"/>
  <c r="AY106" i="3"/>
  <c r="AY861" i="3"/>
  <c r="AY78" i="3"/>
  <c r="AY1124" i="3"/>
  <c r="AY992" i="3"/>
  <c r="AY1011" i="3"/>
  <c r="AY1171" i="3"/>
  <c r="AY894" i="3"/>
  <c r="AY1191" i="3"/>
  <c r="AY841" i="3"/>
  <c r="AY1174" i="3"/>
  <c r="AY1116" i="3"/>
  <c r="AY1153" i="3"/>
  <c r="AY1100" i="3"/>
  <c r="AY1291" i="3"/>
  <c r="AY840" i="3"/>
  <c r="AY608" i="3"/>
  <c r="AY856" i="3"/>
  <c r="AY851" i="3"/>
  <c r="AY765" i="3"/>
  <c r="AY51" i="3"/>
  <c r="AY337" i="3"/>
  <c r="AY743" i="3"/>
  <c r="AY296" i="3"/>
  <c r="AY285" i="3"/>
  <c r="AY639" i="3"/>
  <c r="AY1255" i="3"/>
  <c r="AY74" i="3"/>
  <c r="AY1007" i="3"/>
  <c r="AY1108" i="3"/>
  <c r="AY1343" i="3"/>
  <c r="AY1344" i="3"/>
  <c r="AY697" i="3"/>
  <c r="AY174" i="3"/>
  <c r="AY1033" i="3"/>
  <c r="AY179" i="3"/>
  <c r="AY783" i="3"/>
  <c r="AY487" i="3"/>
  <c r="AY489" i="3"/>
  <c r="AY1076" i="3"/>
  <c r="AY1126" i="3"/>
  <c r="AY1152" i="3"/>
  <c r="AY31" i="3"/>
  <c r="AY793" i="3"/>
  <c r="AY1267" i="3"/>
  <c r="AY1131" i="3"/>
  <c r="AY881" i="3"/>
  <c r="AY1145" i="3"/>
  <c r="AY723" i="3"/>
  <c r="AY736" i="3"/>
  <c r="AY1150" i="3"/>
  <c r="AY813" i="3"/>
  <c r="AY805" i="3"/>
  <c r="AY848" i="3"/>
  <c r="AY310" i="3"/>
  <c r="AY1345" i="3"/>
  <c r="AY125" i="3"/>
  <c r="AY874" i="3"/>
  <c r="AY666" i="3"/>
  <c r="AY1096" i="3"/>
  <c r="AY554" i="3"/>
  <c r="AY1002" i="3"/>
  <c r="AY1024" i="3"/>
  <c r="AY915" i="3"/>
  <c r="AY850" i="3"/>
  <c r="AY1003" i="3"/>
  <c r="AY832" i="3"/>
  <c r="AY753" i="3"/>
  <c r="AY768" i="3"/>
  <c r="AY505" i="3"/>
  <c r="AY690" i="3"/>
  <c r="AY1082" i="3"/>
  <c r="AY1241" i="3"/>
  <c r="AY823" i="3"/>
  <c r="AY1159" i="3"/>
  <c r="AY157" i="3"/>
  <c r="AY985" i="3"/>
  <c r="AY1222" i="3"/>
  <c r="AY363" i="3"/>
  <c r="AY79" i="3"/>
  <c r="AY251" i="3"/>
  <c r="AY96" i="3"/>
  <c r="AY449" i="3"/>
  <c r="AY711" i="3"/>
  <c r="AY49" i="3"/>
  <c r="AY1151" i="3"/>
  <c r="AY400" i="3"/>
  <c r="AY1068" i="3"/>
  <c r="AY491" i="3"/>
  <c r="AY477" i="3"/>
  <c r="AY649" i="3"/>
  <c r="AY1101" i="3"/>
  <c r="AY1078" i="3"/>
  <c r="AY996" i="3"/>
  <c r="AY855" i="3"/>
  <c r="AY437" i="3"/>
  <c r="AY1201" i="3"/>
  <c r="AY1134" i="3"/>
  <c r="AY351" i="3"/>
  <c r="AY631" i="3"/>
  <c r="AY428" i="3"/>
  <c r="AY486" i="3"/>
  <c r="AY973" i="3"/>
  <c r="AY680" i="3"/>
  <c r="AY1256" i="3"/>
  <c r="AY682" i="3"/>
  <c r="AY440" i="3"/>
  <c r="AY1179" i="3"/>
  <c r="AY808" i="3"/>
  <c r="AY536" i="3"/>
  <c r="AY984" i="3"/>
  <c r="AY1004" i="3"/>
  <c r="AY656" i="3"/>
  <c r="AY781" i="3"/>
  <c r="AY591" i="3"/>
  <c r="AY540" i="3"/>
  <c r="AY701" i="3"/>
  <c r="AY618" i="3"/>
  <c r="AY18" i="3"/>
  <c r="AY155" i="3"/>
  <c r="AY149" i="3"/>
  <c r="AY1166" i="3"/>
  <c r="AY928" i="3"/>
  <c r="AY158" i="3"/>
  <c r="AY64" i="3"/>
  <c r="AY170" i="3"/>
  <c r="AY128" i="3"/>
  <c r="AY115" i="3"/>
  <c r="AY338" i="3"/>
  <c r="AY1182" i="3"/>
  <c r="AY837" i="3"/>
  <c r="AY983" i="3"/>
  <c r="AY1320" i="3"/>
  <c r="AY989" i="3"/>
  <c r="AY790" i="3"/>
  <c r="AY1081" i="3"/>
  <c r="AY657" i="3"/>
  <c r="AY407" i="3"/>
  <c r="AY877" i="3"/>
  <c r="AY740" i="3"/>
  <c r="AY1014" i="3"/>
  <c r="AY722" i="3"/>
  <c r="AY629" i="3"/>
  <c r="AY602" i="3"/>
  <c r="AY756" i="3"/>
  <c r="AY744" i="3"/>
  <c r="AY1060" i="3"/>
  <c r="AY307" i="3"/>
  <c r="AY598" i="3"/>
  <c r="AY970" i="3"/>
  <c r="AY433" i="3"/>
  <c r="AY543" i="3"/>
  <c r="AY871" i="3"/>
  <c r="AY1013" i="3"/>
  <c r="AY286" i="3"/>
  <c r="AY1274" i="3"/>
  <c r="AY201" i="3"/>
  <c r="AY1147" i="3"/>
  <c r="AY728" i="3"/>
  <c r="AY943" i="3"/>
  <c r="AY1008" i="3"/>
  <c r="AY780" i="3"/>
  <c r="AY710" i="3"/>
  <c r="AY1061" i="3"/>
  <c r="AY965" i="3"/>
  <c r="AY544" i="3"/>
  <c r="AY435" i="3"/>
  <c r="AY968" i="3"/>
  <c r="AY468" i="3"/>
  <c r="AY567" i="3"/>
  <c r="AY95" i="3"/>
  <c r="AY1212" i="3"/>
  <c r="AY162" i="3"/>
  <c r="AY429" i="3"/>
  <c r="AY354" i="3"/>
  <c r="AY524" i="3"/>
  <c r="AY304" i="3"/>
  <c r="AY632" i="3"/>
  <c r="AY941" i="3"/>
  <c r="AY585" i="3"/>
  <c r="AY1184" i="3"/>
  <c r="AY890" i="3"/>
  <c r="AY892" i="3"/>
  <c r="AY887" i="3"/>
  <c r="AY1275" i="3"/>
  <c r="AY283" i="3"/>
  <c r="AY775" i="3"/>
  <c r="AY924" i="3"/>
  <c r="AY733" i="3"/>
  <c r="AY745" i="3"/>
  <c r="AY797" i="3"/>
  <c r="AY314" i="3"/>
  <c r="AY1054" i="3"/>
  <c r="AY502" i="3"/>
  <c r="AY1232" i="3"/>
  <c r="AY763" i="3"/>
  <c r="AY948" i="3"/>
  <c r="AY399" i="3"/>
  <c r="AY431" i="3"/>
  <c r="AY243" i="3"/>
  <c r="AY370" i="3"/>
  <c r="AY913" i="3"/>
  <c r="AY866" i="3"/>
  <c r="AY141" i="3"/>
  <c r="AY1284" i="3"/>
  <c r="AY481" i="3"/>
  <c r="AY545" i="3"/>
  <c r="AY616" i="3"/>
  <c r="AY1346" i="3"/>
  <c r="AY34" i="3"/>
  <c r="AY614" i="3"/>
  <c r="AY888" i="3"/>
  <c r="AY1077" i="3"/>
  <c r="AY804" i="3"/>
  <c r="AY560" i="3"/>
  <c r="AY1168" i="3"/>
  <c r="AY692" i="3"/>
  <c r="AY1097" i="3"/>
  <c r="AY39" i="3"/>
  <c r="AY108" i="3"/>
  <c r="AY646" i="3"/>
  <c r="AY606" i="3"/>
  <c r="AY140" i="3"/>
  <c r="AY289" i="3"/>
  <c r="AY308" i="3"/>
  <c r="AY580" i="3"/>
  <c r="AY641" i="3"/>
  <c r="AY309" i="3"/>
  <c r="AY506" i="3"/>
  <c r="AY731" i="3"/>
  <c r="AY1091" i="3"/>
  <c r="AY499" i="3"/>
  <c r="AY1050" i="3"/>
  <c r="AY769" i="3"/>
  <c r="AY414" i="3"/>
  <c r="AY512" i="3"/>
  <c r="AY1067" i="3"/>
  <c r="AY1307" i="3"/>
  <c r="AY842" i="3"/>
  <c r="AY1321" i="3"/>
  <c r="AY619" i="3"/>
  <c r="AY1111" i="3"/>
  <c r="AY463" i="3"/>
  <c r="AY865" i="3"/>
  <c r="AY879" i="3"/>
  <c r="AY561" i="3"/>
  <c r="AY876" i="3"/>
  <c r="AY380" i="3"/>
  <c r="AY52" i="3"/>
  <c r="AY57" i="3"/>
  <c r="AY265" i="3"/>
  <c r="AY177" i="3"/>
  <c r="AY23" i="3"/>
  <c r="AY86" i="3"/>
  <c r="AY1347" i="3"/>
  <c r="AY347" i="3"/>
  <c r="AY65" i="3"/>
  <c r="AY298" i="3"/>
  <c r="AY1214" i="3"/>
  <c r="AY739" i="3"/>
  <c r="AY1185" i="3"/>
  <c r="AY357" i="3"/>
  <c r="AY454" i="3"/>
  <c r="AY1348" i="3"/>
  <c r="AY1197" i="3"/>
  <c r="AY846" i="3"/>
  <c r="AY647" i="3"/>
  <c r="AY1233" i="3"/>
  <c r="AY896" i="3"/>
  <c r="AY931" i="3"/>
  <c r="AY843" i="3"/>
  <c r="AY1287" i="3"/>
  <c r="AY207" i="3"/>
  <c r="AY601" i="3"/>
  <c r="AY923" i="3"/>
  <c r="AY1202" i="3"/>
  <c r="AY1037" i="3"/>
  <c r="AY500" i="3"/>
  <c r="AY299" i="3"/>
  <c r="AY424" i="3"/>
  <c r="AY836" i="3"/>
  <c r="AY1160" i="3"/>
  <c r="AY284" i="3"/>
  <c r="AY806" i="3"/>
  <c r="AY542" i="3"/>
  <c r="AY252" i="3"/>
  <c r="AY1192" i="3"/>
  <c r="AY863" i="3"/>
  <c r="AY795" i="3"/>
  <c r="AY107" i="3"/>
  <c r="AY817" i="3"/>
  <c r="AY938" i="3"/>
  <c r="AY1165" i="3"/>
  <c r="AY934" i="3"/>
  <c r="AY1203" i="3"/>
  <c r="AY66" i="3"/>
  <c r="AY72" i="3"/>
  <c r="AY80" i="3"/>
  <c r="AY651" i="3"/>
  <c r="AY256" i="3"/>
  <c r="AY324" i="3"/>
  <c r="AY1070" i="3"/>
  <c r="AY1114" i="3"/>
  <c r="AY1322" i="3"/>
  <c r="AY421" i="3"/>
  <c r="AY907" i="3"/>
  <c r="AY50" i="3"/>
  <c r="AY222" i="3"/>
  <c r="AY105" i="3"/>
  <c r="AY300" i="3"/>
  <c r="AY146" i="3"/>
  <c r="AY131" i="3"/>
  <c r="AY1285" i="3"/>
  <c r="AY178" i="3"/>
  <c r="AY425" i="3"/>
  <c r="AY134" i="3"/>
  <c r="AY811" i="3"/>
  <c r="AY246" i="3"/>
  <c r="AY1074" i="3"/>
  <c r="AY1223" i="3"/>
  <c r="AY688" i="3"/>
  <c r="AY297" i="3"/>
  <c r="AY562" i="3"/>
  <c r="AY391" i="3"/>
  <c r="AY994" i="3"/>
  <c r="AY594" i="3"/>
  <c r="AY1349" i="3"/>
  <c r="AY24" i="3"/>
  <c r="AY345" i="3"/>
  <c r="AY211" i="3"/>
  <c r="AY113" i="3"/>
  <c r="AY92" i="3"/>
  <c r="AY826" i="3"/>
  <c r="AY530" i="3"/>
  <c r="AY563" i="3"/>
  <c r="AY281" i="3"/>
  <c r="AY264" i="3"/>
  <c r="AY70" i="3"/>
  <c r="AY442" i="3"/>
  <c r="AY788" i="3"/>
  <c r="AY868" i="3"/>
  <c r="AY1110" i="3"/>
  <c r="AY1109" i="3"/>
  <c r="AY249" i="3"/>
  <c r="AY326" i="3"/>
  <c r="AY1161" i="3"/>
  <c r="AY1245" i="3"/>
  <c r="AY1040" i="3"/>
  <c r="AY1308" i="3"/>
  <c r="AY1086" i="3"/>
  <c r="AY885" i="3"/>
  <c r="AY1323" i="3"/>
  <c r="AY441" i="3"/>
  <c r="AY244" i="3"/>
  <c r="AY406" i="3"/>
  <c r="AY747" i="3"/>
  <c r="AY762" i="3"/>
  <c r="AY963" i="3"/>
  <c r="AY814" i="3"/>
  <c r="AY1193" i="3"/>
  <c r="AY650" i="3"/>
  <c r="AY694" i="3"/>
  <c r="AY1194" i="3"/>
  <c r="AY774" i="3"/>
  <c r="AY799" i="3"/>
  <c r="AY897" i="3"/>
  <c r="AY921" i="3"/>
  <c r="AY864" i="3"/>
  <c r="AY523" i="3"/>
  <c r="AY995" i="3"/>
  <c r="AY89" i="3"/>
  <c r="AY17" i="3"/>
  <c r="AY396" i="3"/>
  <c r="AY45" i="3"/>
  <c r="AY48" i="3"/>
  <c r="AY32" i="3"/>
  <c r="AY215" i="3"/>
  <c r="AY62" i="3"/>
  <c r="AY38" i="3"/>
  <c r="AY1227" i="3"/>
  <c r="AY130" i="3"/>
  <c r="AY642" i="3"/>
  <c r="AY1005" i="3"/>
  <c r="AY791" i="3"/>
  <c r="AY713" i="3"/>
  <c r="AY1257" i="3"/>
  <c r="AY110" i="3"/>
  <c r="AY967" i="3"/>
  <c r="AY1350" i="3"/>
  <c r="AY974" i="3"/>
  <c r="AY719" i="3"/>
  <c r="AY1018" i="3"/>
  <c r="AY746" i="3"/>
  <c r="AY979" i="3"/>
  <c r="AY714" i="3"/>
  <c r="AY9" i="3"/>
  <c r="AY120" i="3"/>
  <c r="AY280" i="3"/>
  <c r="AY321" i="3"/>
  <c r="AY274" i="3"/>
  <c r="AY541" i="3"/>
  <c r="AY901" i="3"/>
  <c r="AY328" i="3"/>
  <c r="AY84" i="3"/>
  <c r="AY394" i="3"/>
  <c r="AY986" i="3"/>
  <c r="AY1351" i="3"/>
  <c r="AY467" i="3"/>
  <c r="AY910" i="3"/>
  <c r="AY1130" i="3"/>
  <c r="AY341" i="3"/>
  <c r="AY1210" i="3"/>
  <c r="AY305" i="3"/>
  <c r="AY68" i="3"/>
  <c r="AY493" i="3"/>
  <c r="AY1188" i="3"/>
  <c r="AY1238" i="3"/>
  <c r="AY332" i="3"/>
  <c r="AY997" i="3"/>
  <c r="AY511" i="3"/>
  <c r="AY961" i="3"/>
  <c r="AY366" i="3"/>
  <c r="AY484" i="3"/>
  <c r="AY20" i="3"/>
  <c r="AY798" i="3"/>
  <c r="AY612" i="3"/>
  <c r="AY22" i="3"/>
  <c r="AY1300" i="3"/>
  <c r="AY13" i="3"/>
  <c r="AY382" i="3"/>
  <c r="AY718" i="3"/>
  <c r="AY384" i="3"/>
  <c r="AY7" i="3"/>
  <c r="AY1217" i="3"/>
  <c r="AY1169" i="3"/>
  <c r="AY446" i="3"/>
  <c r="AY21" i="3"/>
  <c r="AY313" i="3"/>
  <c r="AY15" i="3"/>
  <c r="AY19" i="3"/>
  <c r="AY379" i="3"/>
  <c r="AY622" i="3"/>
  <c r="AY1220" i="3"/>
  <c r="AY1035" i="3"/>
  <c r="AY1324" i="3"/>
  <c r="AY1292" i="3"/>
  <c r="AY1352" i="3"/>
  <c r="AY1301" i="3"/>
  <c r="AY1246" i="3"/>
  <c r="AY1090" i="3"/>
  <c r="AY30" i="3"/>
  <c r="AY749" i="3"/>
  <c r="AY287" i="3"/>
  <c r="AY1293" i="3"/>
  <c r="AY228" i="3"/>
  <c r="AY978" i="3"/>
  <c r="AY1294" i="3"/>
  <c r="AY1038" i="3"/>
  <c r="AY828" i="3"/>
  <c r="AY27" i="3"/>
  <c r="AY44" i="3"/>
  <c r="AY60" i="3"/>
  <c r="AY47" i="3"/>
  <c r="AY55" i="3"/>
  <c r="AY186" i="3"/>
  <c r="AY262" i="3"/>
  <c r="AY801" i="3"/>
  <c r="AY849" i="3"/>
  <c r="AY565" i="3"/>
  <c r="AY385" i="3"/>
  <c r="AY350" i="3"/>
  <c r="AY193" i="3"/>
  <c r="AY482" i="3"/>
  <c r="AY988" i="3"/>
  <c r="AY302" i="3"/>
  <c r="AY167" i="3"/>
  <c r="AY633" i="3"/>
  <c r="AY276" i="3"/>
  <c r="AY415" i="3"/>
  <c r="AY925" i="3"/>
  <c r="AY1247" i="3"/>
  <c r="AY267" i="3"/>
  <c r="AY176" i="3"/>
  <c r="AY1062" i="3"/>
  <c r="AY455" i="3"/>
  <c r="AY154" i="3"/>
  <c r="AY156" i="3"/>
  <c r="AY368" i="3"/>
  <c r="AY1176" i="3"/>
  <c r="AY63" i="3"/>
  <c r="AY643" i="3"/>
  <c r="AY712" i="3"/>
  <c r="AY935" i="3"/>
  <c r="AY993" i="3"/>
  <c r="AY951" i="3"/>
  <c r="AY525" i="3"/>
  <c r="AY672" i="3"/>
  <c r="AY566" i="3"/>
  <c r="AY10" i="3"/>
  <c r="AY192" i="3"/>
  <c r="AY29" i="3"/>
  <c r="AY952" i="3"/>
  <c r="AY533" i="3"/>
  <c r="AY571" i="3"/>
  <c r="AY317" i="3"/>
  <c r="AY417" i="3"/>
  <c r="AY136" i="3"/>
  <c r="AY59" i="3"/>
  <c r="AY635" i="3"/>
  <c r="AY1052" i="3"/>
  <c r="AY558" i="3"/>
  <c r="AY862" i="3"/>
  <c r="AY546" i="3"/>
  <c r="AY438" i="3"/>
  <c r="AY663" i="3"/>
  <c r="AY316" i="3"/>
  <c r="AY678" i="3"/>
  <c r="AY1262" i="3"/>
  <c r="AY1276" i="3"/>
  <c r="AY653" i="3"/>
  <c r="AY759" i="3"/>
  <c r="AY605" i="3"/>
  <c r="AY570" i="3"/>
  <c r="AY870" i="3"/>
  <c r="AY942" i="3"/>
  <c r="AY483" i="3"/>
  <c r="AY891" i="3"/>
  <c r="AY592" i="3"/>
  <c r="AY927" i="3"/>
  <c r="AY25" i="3"/>
  <c r="AY135" i="3"/>
  <c r="AY1286" i="3"/>
  <c r="AY1309" i="3"/>
  <c r="AY1044" i="3"/>
  <c r="AY447" i="3"/>
  <c r="AY593" i="3"/>
  <c r="AY1164" i="3"/>
  <c r="AY552" i="3"/>
  <c r="AY553" i="3"/>
  <c r="AY133" i="3"/>
  <c r="AY665" i="3"/>
  <c r="AY1138" i="3"/>
  <c r="AY1248" i="3"/>
  <c r="AY519" i="3"/>
  <c r="AY708" i="3"/>
  <c r="AY492" i="3"/>
  <c r="AY676" i="3"/>
  <c r="AY452" i="3"/>
  <c r="AY1172" i="3"/>
  <c r="AY1249" i="3"/>
  <c r="AY668" i="3"/>
  <c r="AY893" i="3"/>
  <c r="AY1026" i="3"/>
  <c r="AY626" i="3"/>
  <c r="AY1072" i="3"/>
  <c r="AY998" i="3"/>
  <c r="AY831" i="3"/>
  <c r="AY949" i="3"/>
  <c r="AY184" i="3"/>
  <c r="AY1325" i="3"/>
  <c r="AY1132" i="3"/>
  <c r="F1302" i="3"/>
  <c r="F1310" i="3"/>
  <c r="F87" i="3"/>
  <c r="F1029" i="3"/>
  <c r="F320" i="3"/>
  <c r="F755" i="3"/>
  <c r="F312" i="3"/>
  <c r="F613" i="3"/>
  <c r="F809" i="3"/>
  <c r="F292" i="3"/>
  <c r="F53" i="3"/>
  <c r="F181" i="3"/>
  <c r="F1051" i="3"/>
  <c r="F1311" i="3"/>
  <c r="F263" i="3"/>
  <c r="F1071" i="3"/>
  <c r="F123" i="3"/>
  <c r="F36" i="3"/>
  <c r="F150" i="3"/>
  <c r="F784" i="3"/>
  <c r="F233" i="3"/>
  <c r="F737" i="3"/>
  <c r="F343" i="3"/>
  <c r="F71" i="3"/>
  <c r="F360" i="3"/>
  <c r="F464" i="3"/>
  <c r="F623" i="3"/>
  <c r="F752" i="3"/>
  <c r="F1088" i="3"/>
  <c r="F355" i="3"/>
  <c r="F548" i="3"/>
  <c r="F450" i="3"/>
  <c r="F569" i="3"/>
  <c r="F1122" i="3"/>
  <c r="F466" i="3"/>
  <c r="F495" i="3"/>
  <c r="F323" i="3"/>
  <c r="F290" i="3"/>
  <c r="F303" i="3"/>
  <c r="F248" i="3"/>
  <c r="F348" i="3"/>
  <c r="F255" i="3"/>
  <c r="F335" i="3"/>
  <c r="F282" i="3"/>
  <c r="F372" i="3"/>
  <c r="F359" i="3"/>
  <c r="F422" i="3"/>
  <c r="F955" i="3"/>
  <c r="F315" i="3"/>
  <c r="F1240" i="3"/>
  <c r="F1199" i="3"/>
  <c r="F1118" i="3"/>
  <c r="F902" i="3"/>
  <c r="F1028" i="3"/>
  <c r="F241" i="3"/>
  <c r="F395" i="3"/>
  <c r="F225" i="3"/>
  <c r="F365" i="3"/>
  <c r="F587" i="3"/>
  <c r="F444" i="3"/>
  <c r="F279" i="3"/>
  <c r="F288" i="3"/>
  <c r="F434" i="3"/>
  <c r="F526" i="3"/>
  <c r="F387" i="3"/>
  <c r="F16" i="3"/>
  <c r="F883" i="3"/>
  <c r="F77" i="3"/>
  <c r="F645" i="3"/>
  <c r="F1312" i="3"/>
  <c r="F58" i="3"/>
  <c r="F1055" i="3"/>
  <c r="F293" i="3"/>
  <c r="F273" i="3"/>
  <c r="F476" i="3"/>
  <c r="F1326" i="3"/>
  <c r="F857" i="3"/>
  <c r="F1268" i="3"/>
  <c r="F655" i="3"/>
  <c r="F950" i="3"/>
  <c r="F1303" i="3"/>
  <c r="F878" i="3"/>
  <c r="F41" i="3"/>
  <c r="F538" i="3"/>
  <c r="F1250" i="3"/>
  <c r="F1304" i="3"/>
  <c r="F824" i="3"/>
  <c r="F102" i="3"/>
  <c r="F1327" i="3"/>
  <c r="F517" i="3"/>
  <c r="F137" i="3"/>
  <c r="F648" i="3"/>
  <c r="F507" i="3"/>
  <c r="F981" i="3"/>
  <c r="F291" i="3"/>
  <c r="F1305" i="3"/>
  <c r="F479" i="3"/>
  <c r="F504" i="3"/>
  <c r="F361" i="3"/>
  <c r="F796" i="3"/>
  <c r="F880" i="3"/>
  <c r="F962" i="3"/>
  <c r="F1009" i="3"/>
  <c r="F73" i="3"/>
  <c r="F1295" i="3"/>
  <c r="F497" i="3"/>
  <c r="F675" i="3"/>
  <c r="F151" i="3"/>
  <c r="F914" i="3"/>
  <c r="F1063" i="3"/>
  <c r="F1328" i="3"/>
  <c r="F1154" i="3"/>
  <c r="F579" i="3"/>
  <c r="F234" i="3"/>
  <c r="F716" i="3"/>
  <c r="F822" i="3"/>
  <c r="F85" i="3"/>
  <c r="F56" i="3"/>
  <c r="F144" i="3"/>
  <c r="F960" i="3"/>
  <c r="F352" i="3"/>
  <c r="F1121" i="3"/>
  <c r="F825" i="3"/>
  <c r="F238" i="3"/>
  <c r="F760" i="3"/>
  <c r="F220" i="3"/>
  <c r="F1269" i="3"/>
  <c r="F937" i="3"/>
  <c r="F390" i="3"/>
  <c r="F1183" i="3"/>
  <c r="F416" i="3"/>
  <c r="F932" i="3"/>
  <c r="F278" i="3"/>
  <c r="F1329" i="3"/>
  <c r="F1259" i="3"/>
  <c r="F1260" i="3"/>
  <c r="F1127" i="3"/>
  <c r="F976" i="3"/>
  <c r="F195" i="3"/>
  <c r="F830" i="3"/>
  <c r="F751" i="3"/>
  <c r="F42" i="3"/>
  <c r="F559" i="3"/>
  <c r="F835" i="3"/>
  <c r="F75" i="3"/>
  <c r="F1242" i="3"/>
  <c r="F330" i="3"/>
  <c r="F198" i="3"/>
  <c r="F408" i="3"/>
  <c r="F734" i="3"/>
  <c r="F611" i="3"/>
  <c r="F114" i="3"/>
  <c r="F1207" i="3"/>
  <c r="F35" i="3"/>
  <c r="F1056" i="3"/>
  <c r="F475" i="3"/>
  <c r="F750" i="3"/>
  <c r="F333" i="3"/>
  <c r="F325" i="3"/>
  <c r="F582" i="3"/>
  <c r="F311" i="3"/>
  <c r="F67" i="3"/>
  <c r="F171" i="3"/>
  <c r="F521" i="3"/>
  <c r="F706" i="3"/>
  <c r="F1025" i="3"/>
  <c r="F456" i="3"/>
  <c r="F895" i="3"/>
  <c r="F208" i="3"/>
  <c r="F534" i="3"/>
  <c r="F827" i="3"/>
  <c r="F658" i="3"/>
  <c r="F662" i="3"/>
  <c r="F1189" i="3"/>
  <c r="F1264" i="3"/>
  <c r="F119" i="3"/>
  <c r="F403" i="3"/>
  <c r="F401" i="3"/>
  <c r="F129" i="3"/>
  <c r="F346" i="3"/>
  <c r="F472" i="3"/>
  <c r="F189" i="3"/>
  <c r="F169" i="3"/>
  <c r="F508" i="3"/>
  <c r="F232" i="3"/>
  <c r="F474" i="3"/>
  <c r="F664" i="3"/>
  <c r="F339" i="3"/>
  <c r="F342" i="3"/>
  <c r="F374" i="3"/>
  <c r="F294" i="3"/>
  <c r="F1092" i="3"/>
  <c r="F1178" i="3"/>
  <c r="F371" i="3"/>
  <c r="F1330" i="3"/>
  <c r="F224" i="3"/>
  <c r="F221" i="3"/>
  <c r="F349" i="3"/>
  <c r="F413" i="3"/>
  <c r="F190" i="3"/>
  <c r="F1149" i="3"/>
  <c r="F1120" i="3"/>
  <c r="F353" i="3"/>
  <c r="F1049" i="3"/>
  <c r="F1208" i="3"/>
  <c r="F1148" i="3"/>
  <c r="F1012" i="3"/>
  <c r="F696" i="3"/>
  <c r="F1331" i="3"/>
  <c r="F1261" i="3"/>
  <c r="F1277" i="3"/>
  <c r="F1313" i="3"/>
  <c r="F1218" i="3"/>
  <c r="F684" i="3"/>
  <c r="F704" i="3"/>
  <c r="F367" i="3"/>
  <c r="F397" i="3"/>
  <c r="F388" i="3"/>
  <c r="F470" i="3"/>
  <c r="F531" i="3"/>
  <c r="F1128" i="3"/>
  <c r="F767" i="3"/>
  <c r="F1209" i="3"/>
  <c r="F237" i="3"/>
  <c r="F1047" i="3"/>
  <c r="F200" i="3"/>
  <c r="F1198" i="3"/>
  <c r="F1239" i="3"/>
  <c r="F61" i="3"/>
  <c r="F197" i="3"/>
  <c r="F513" i="3"/>
  <c r="F33" i="3"/>
  <c r="F28" i="3"/>
  <c r="F1228" i="3"/>
  <c r="F451" i="3"/>
  <c r="F94" i="3"/>
  <c r="F153" i="3"/>
  <c r="F166" i="3"/>
  <c r="F1129" i="3"/>
  <c r="F966" i="3"/>
  <c r="F735" i="3"/>
  <c r="F1314" i="3"/>
  <c r="F1000" i="3"/>
  <c r="F1107" i="3"/>
  <c r="F199" i="3"/>
  <c r="F164" i="3"/>
  <c r="F946" i="3"/>
  <c r="F1144" i="3"/>
  <c r="F1027" i="3"/>
  <c r="F418" i="3"/>
  <c r="F319" i="3"/>
  <c r="F673" i="3"/>
  <c r="F1251" i="3"/>
  <c r="F469" i="3"/>
  <c r="F964" i="3"/>
  <c r="F1083" i="3"/>
  <c r="F770" i="3"/>
  <c r="F959" i="3"/>
  <c r="F929" i="3"/>
  <c r="F956" i="3"/>
  <c r="F1332" i="3"/>
  <c r="F834" i="3"/>
  <c r="F1180" i="3"/>
  <c r="F717" i="3"/>
  <c r="F703" i="3"/>
  <c r="F1157" i="3"/>
  <c r="F621" i="3"/>
  <c r="F1087" i="3"/>
  <c r="F787" i="3"/>
  <c r="F1288" i="3"/>
  <c r="F8" i="3"/>
  <c r="F802" i="3"/>
  <c r="F1204" i="3"/>
  <c r="F430" i="3"/>
  <c r="F1036" i="3"/>
  <c r="F873" i="3"/>
  <c r="F821" i="3"/>
  <c r="F1031" i="3"/>
  <c r="F603" i="3"/>
  <c r="F1278" i="3"/>
  <c r="F1117" i="3"/>
  <c r="F539" i="3"/>
  <c r="F911" i="3"/>
  <c r="F555" i="3"/>
  <c r="F599" i="3"/>
  <c r="F595" i="3"/>
  <c r="F175" i="3"/>
  <c r="F654" i="3"/>
  <c r="F1093" i="3"/>
  <c r="F520" i="3"/>
  <c r="F729" i="3"/>
  <c r="F148" i="3"/>
  <c r="F173" i="3"/>
  <c r="F908" i="3"/>
  <c r="F527" i="3"/>
  <c r="F1075" i="3"/>
  <c r="F709" i="3"/>
  <c r="F1279" i="3"/>
  <c r="F766" i="3"/>
  <c r="F1219" i="3"/>
  <c r="F1213" i="3"/>
  <c r="F3" i="3"/>
  <c r="F6" i="3"/>
  <c r="F572" i="3"/>
  <c r="F764" i="3"/>
  <c r="F720" i="3"/>
  <c r="F1057" i="3"/>
  <c r="F1229" i="3"/>
  <c r="F741" i="3"/>
  <c r="F1125" i="3"/>
  <c r="F757" i="3"/>
  <c r="F12" i="3"/>
  <c r="F461" i="3"/>
  <c r="F1043" i="3"/>
  <c r="F1167" i="3"/>
  <c r="F239" i="3"/>
  <c r="F231" i="3"/>
  <c r="F247" i="3"/>
  <c r="F909" i="3"/>
  <c r="F844" i="3"/>
  <c r="F839" i="3"/>
  <c r="F845" i="3"/>
  <c r="F498" i="3"/>
  <c r="F1106" i="3"/>
  <c r="F573" i="3"/>
  <c r="F820" i="3"/>
  <c r="F859" i="3"/>
  <c r="F679" i="3"/>
  <c r="F436" i="3"/>
  <c r="F726" i="3"/>
  <c r="F807" i="3"/>
  <c r="F971" i="3"/>
  <c r="F1163" i="3"/>
  <c r="F1315" i="3"/>
  <c r="F1316" i="3"/>
  <c r="F1042" i="3"/>
  <c r="F1333" i="3"/>
  <c r="F1136" i="3"/>
  <c r="F975" i="3"/>
  <c r="F1221" i="3"/>
  <c r="F785" i="3"/>
  <c r="F392" i="3"/>
  <c r="F905" i="3"/>
  <c r="F1177" i="3"/>
  <c r="F409" i="3"/>
  <c r="F1103" i="3"/>
  <c r="F596" i="3"/>
  <c r="F336" i="3"/>
  <c r="F318" i="3"/>
  <c r="F912" i="3"/>
  <c r="F903" i="3"/>
  <c r="F838" i="3"/>
  <c r="F667" i="3"/>
  <c r="F854" i="3"/>
  <c r="F715" i="3"/>
  <c r="F1032" i="3"/>
  <c r="F529" i="3"/>
  <c r="F557" i="3"/>
  <c r="F581" i="3"/>
  <c r="F819" i="3"/>
  <c r="F423" i="3"/>
  <c r="F674" i="3"/>
  <c r="F473" i="3"/>
  <c r="F551" i="3"/>
  <c r="F503" i="3"/>
  <c r="F939" i="3"/>
  <c r="F660" i="3"/>
  <c r="F1058" i="3"/>
  <c r="F358" i="3"/>
  <c r="F1041" i="3"/>
  <c r="F628" i="3"/>
  <c r="F1139" i="3"/>
  <c r="F398" i="3"/>
  <c r="F1162" i="3"/>
  <c r="F917" i="3"/>
  <c r="F1084" i="3"/>
  <c r="F686" i="3"/>
  <c r="F1140" i="3"/>
  <c r="F698" i="3"/>
  <c r="F786" i="3"/>
  <c r="F420" i="3"/>
  <c r="F904" i="3"/>
  <c r="F900" i="3"/>
  <c r="F1234" i="3"/>
  <c r="F404" i="3"/>
  <c r="F1170" i="3"/>
  <c r="F1034" i="3"/>
  <c r="F803" i="3"/>
  <c r="F588" i="3"/>
  <c r="F1156" i="3"/>
  <c r="F972" i="3"/>
  <c r="F860" i="3"/>
  <c r="F1080" i="3"/>
  <c r="F1115" i="3"/>
  <c r="F40" i="3"/>
  <c r="F109" i="3"/>
  <c r="F250" i="3"/>
  <c r="F240" i="3"/>
  <c r="F906" i="3"/>
  <c r="F833" i="3"/>
  <c r="F815" i="3"/>
  <c r="F411" i="3"/>
  <c r="F1186" i="3"/>
  <c r="F958" i="3"/>
  <c r="F81" i="3"/>
  <c r="F982" i="3"/>
  <c r="F1235" i="3"/>
  <c r="F163" i="3"/>
  <c r="F261" i="3"/>
  <c r="F111" i="3"/>
  <c r="F121" i="3"/>
  <c r="F160" i="3"/>
  <c r="F1334" i="3"/>
  <c r="F1085" i="3"/>
  <c r="F445" i="3"/>
  <c r="F1335" i="3"/>
  <c r="F266" i="3"/>
  <c r="F691" i="3"/>
  <c r="F702" i="3"/>
  <c r="F356" i="3"/>
  <c r="F528" i="3"/>
  <c r="F771" i="3"/>
  <c r="F615" i="3"/>
  <c r="F1252" i="3"/>
  <c r="F1069" i="3"/>
  <c r="F1102" i="3"/>
  <c r="F810" i="3"/>
  <c r="F480" i="3"/>
  <c r="F669" i="3"/>
  <c r="F922" i="3"/>
  <c r="F260" i="3"/>
  <c r="F515" i="3"/>
  <c r="F1048" i="3"/>
  <c r="F980" i="3"/>
  <c r="F627" i="3"/>
  <c r="F681" i="3"/>
  <c r="F936" i="3"/>
  <c r="F369" i="3"/>
  <c r="F699" i="3"/>
  <c r="F1211" i="3"/>
  <c r="F340" i="3"/>
  <c r="F1030" i="3"/>
  <c r="F872" i="3"/>
  <c r="F1141" i="3"/>
  <c r="F1094" i="3"/>
  <c r="F779" i="3"/>
  <c r="F375" i="3"/>
  <c r="F853" i="3"/>
  <c r="F782" i="3"/>
  <c r="F1112" i="3"/>
  <c r="F671" i="3"/>
  <c r="F577" i="3"/>
  <c r="F875" i="3"/>
  <c r="F383" i="3"/>
  <c r="F1289" i="3"/>
  <c r="F514" i="3"/>
  <c r="F889" i="3"/>
  <c r="F940" i="3"/>
  <c r="F1104" i="3"/>
  <c r="F792" i="3"/>
  <c r="F794" i="3"/>
  <c r="F1317" i="3"/>
  <c r="F738" i="3"/>
  <c r="F1230" i="3"/>
  <c r="F270" i="3"/>
  <c r="F700" i="3"/>
  <c r="F721" i="3"/>
  <c r="F683" i="3"/>
  <c r="F259" i="3"/>
  <c r="F583" i="3"/>
  <c r="F1306" i="3"/>
  <c r="F1001" i="3"/>
  <c r="F670" i="3"/>
  <c r="F1155" i="3"/>
  <c r="F869" i="3"/>
  <c r="F1224" i="3"/>
  <c r="F103" i="3"/>
  <c r="F1253" i="3"/>
  <c r="F634" i="3"/>
  <c r="F97" i="3"/>
  <c r="F426" i="3"/>
  <c r="F661" i="3"/>
  <c r="F344" i="3"/>
  <c r="F82" i="3"/>
  <c r="F443" i="3"/>
  <c r="F99" i="3"/>
  <c r="F191" i="3"/>
  <c r="F229" i="3"/>
  <c r="F327" i="3"/>
  <c r="F1079" i="3"/>
  <c r="F829" i="3"/>
  <c r="F858" i="3"/>
  <c r="F918" i="3"/>
  <c r="F1173" i="3"/>
  <c r="F165" i="3"/>
  <c r="F14" i="3"/>
  <c r="F257" i="3"/>
  <c r="F659" i="3"/>
  <c r="F214" i="3"/>
  <c r="F1205" i="3"/>
  <c r="F101" i="3"/>
  <c r="F564" i="3"/>
  <c r="F584" i="3"/>
  <c r="F37" i="3"/>
  <c r="F575" i="3"/>
  <c r="F453" i="3"/>
  <c r="F944" i="3"/>
  <c r="F947" i="3"/>
  <c r="F847" i="3"/>
  <c r="F1135" i="3"/>
  <c r="F322" i="3"/>
  <c r="F604" i="3"/>
  <c r="F1181" i="3"/>
  <c r="F687" i="3"/>
  <c r="F460" i="3"/>
  <c r="F1158" i="3"/>
  <c r="F1215" i="3"/>
  <c r="F88" i="3"/>
  <c r="F1073" i="3"/>
  <c r="F26" i="3"/>
  <c r="F898" i="3"/>
  <c r="F597" i="3"/>
  <c r="F987" i="3"/>
  <c r="F644" i="3"/>
  <c r="F1105" i="3"/>
  <c r="F1280" i="3"/>
  <c r="F1336" i="3"/>
  <c r="F1010" i="3"/>
  <c r="F522" i="3"/>
  <c r="F485" i="3"/>
  <c r="F724" i="3"/>
  <c r="F1016" i="3"/>
  <c r="F600" i="3"/>
  <c r="F1006" i="3"/>
  <c r="F1020" i="3"/>
  <c r="F1318" i="3"/>
  <c r="F1175" i="3"/>
  <c r="F677" i="3"/>
  <c r="F69" i="3"/>
  <c r="F46" i="3"/>
  <c r="F91" i="3"/>
  <c r="F76" i="3"/>
  <c r="F852" i="3"/>
  <c r="F610" i="3"/>
  <c r="F462" i="3"/>
  <c r="F386" i="3"/>
  <c r="F532" i="3"/>
  <c r="F1015" i="3"/>
  <c r="F761" i="3"/>
  <c r="F630" i="3"/>
  <c r="F381" i="3"/>
  <c r="F402" i="3"/>
  <c r="F143" i="3"/>
  <c r="F182" i="3"/>
  <c r="F218" i="3"/>
  <c r="F227" i="3"/>
  <c r="F223" i="3"/>
  <c r="F253" i="3"/>
  <c r="F230" i="3"/>
  <c r="F196" i="3"/>
  <c r="F168" i="3"/>
  <c r="F306" i="3"/>
  <c r="F206" i="3"/>
  <c r="F152" i="3"/>
  <c r="F219" i="3"/>
  <c r="F258" i="3"/>
  <c r="F127" i="3"/>
  <c r="F204" i="3"/>
  <c r="F216" i="3"/>
  <c r="F236" i="3"/>
  <c r="F277" i="3"/>
  <c r="F205" i="3"/>
  <c r="F213" i="3"/>
  <c r="F209" i="3"/>
  <c r="F112" i="3"/>
  <c r="F242" i="3"/>
  <c r="F362" i="3"/>
  <c r="F210" i="3"/>
  <c r="F550" i="3"/>
  <c r="F226" i="3"/>
  <c r="F301" i="3"/>
  <c r="F185" i="3"/>
  <c r="F268" i="3"/>
  <c r="F138" i="3"/>
  <c r="F187" i="3"/>
  <c r="F271" i="3"/>
  <c r="F295" i="3"/>
  <c r="F412" i="3"/>
  <c r="F457" i="3"/>
  <c r="F194" i="3"/>
  <c r="F118" i="3"/>
  <c r="F188" i="3"/>
  <c r="F202" i="3"/>
  <c r="F159" i="3"/>
  <c r="F269" i="3"/>
  <c r="F494" i="3"/>
  <c r="F183" i="3"/>
  <c r="F1064" i="3"/>
  <c r="F919" i="3"/>
  <c r="F556" i="3"/>
  <c r="F689" i="3"/>
  <c r="F954" i="3"/>
  <c r="F590" i="3"/>
  <c r="F574" i="3"/>
  <c r="F203" i="3"/>
  <c r="F90" i="3"/>
  <c r="F778" i="3"/>
  <c r="F576" i="3"/>
  <c r="F1231" i="3"/>
  <c r="F758" i="3"/>
  <c r="F1337" i="3"/>
  <c r="F742" i="3"/>
  <c r="F537" i="3"/>
  <c r="F640" i="3"/>
  <c r="F1338" i="3"/>
  <c r="F1206" i="3"/>
  <c r="F1190" i="3"/>
  <c r="F509" i="3"/>
  <c r="F478" i="3"/>
  <c r="F235" i="3"/>
  <c r="F867" i="3"/>
  <c r="F54" i="3"/>
  <c r="F410" i="3"/>
  <c r="F116" i="3"/>
  <c r="F83" i="3"/>
  <c r="F5" i="3"/>
  <c r="F1059" i="3"/>
  <c r="F501" i="3"/>
  <c r="F1099" i="3"/>
  <c r="F1236" i="3"/>
  <c r="F1123" i="3"/>
  <c r="F419" i="3"/>
  <c r="F93" i="3"/>
  <c r="F1045" i="3"/>
  <c r="F933" i="3"/>
  <c r="F465" i="3"/>
  <c r="F180" i="3"/>
  <c r="F953" i="3"/>
  <c r="F547" i="3"/>
  <c r="F1119" i="3"/>
  <c r="F652" i="3"/>
  <c r="F732" i="3"/>
  <c r="F1339" i="3"/>
  <c r="F11" i="3"/>
  <c r="F977" i="3"/>
  <c r="F930" i="3"/>
  <c r="F1281" i="3"/>
  <c r="F1113" i="3"/>
  <c r="F1226" i="3"/>
  <c r="F1340" i="3"/>
  <c r="F1021" i="3"/>
  <c r="F1046" i="3"/>
  <c r="F636" i="3"/>
  <c r="F373" i="3"/>
  <c r="F518" i="3"/>
  <c r="F100" i="3"/>
  <c r="F886" i="3"/>
  <c r="F1017" i="3"/>
  <c r="F685" i="3"/>
  <c r="F1296" i="3"/>
  <c r="F549" i="3"/>
  <c r="F1258" i="3"/>
  <c r="F920" i="3"/>
  <c r="F254" i="3"/>
  <c r="F331" i="3"/>
  <c r="F1133" i="3"/>
  <c r="F705" i="3"/>
  <c r="F707" i="3"/>
  <c r="F364" i="3"/>
  <c r="F624" i="3"/>
  <c r="F393" i="3"/>
  <c r="F122" i="3"/>
  <c r="F217" i="3"/>
  <c r="F139" i="3"/>
  <c r="F376" i="3"/>
  <c r="F272" i="3"/>
  <c r="F172" i="3"/>
  <c r="F389" i="3"/>
  <c r="F1297" i="3"/>
  <c r="F1143" i="3"/>
  <c r="F607" i="3"/>
  <c r="F1270" i="3"/>
  <c r="F899" i="3"/>
  <c r="F1254" i="3"/>
  <c r="F448" i="3"/>
  <c r="F1265" i="3"/>
  <c r="F432" i="3"/>
  <c r="F1271" i="3"/>
  <c r="F427" i="3"/>
  <c r="F1298" i="3"/>
  <c r="F496" i="3"/>
  <c r="F617" i="3"/>
  <c r="F471" i="3"/>
  <c r="F1065" i="3"/>
  <c r="F488" i="3"/>
  <c r="F748" i="3"/>
  <c r="F1095" i="3"/>
  <c r="F695" i="3"/>
  <c r="F1195" i="3"/>
  <c r="F776" i="3"/>
  <c r="F490" i="3"/>
  <c r="F245" i="3"/>
  <c r="F145" i="3"/>
  <c r="F568" i="3"/>
  <c r="F1243" i="3"/>
  <c r="F1019" i="3"/>
  <c r="F589" i="3"/>
  <c r="F1146" i="3"/>
  <c r="F1282" i="3"/>
  <c r="F1216" i="3"/>
  <c r="F439" i="3"/>
  <c r="F329" i="3"/>
  <c r="F459" i="3"/>
  <c r="F1137" i="3"/>
  <c r="F1225" i="3"/>
  <c r="F458" i="3"/>
  <c r="F147" i="3"/>
  <c r="F1341" i="3"/>
  <c r="F1244" i="3"/>
  <c r="F377" i="3"/>
  <c r="F882" i="3"/>
  <c r="F4" i="3"/>
  <c r="F43" i="3"/>
  <c r="F725" i="3"/>
  <c r="F609" i="3"/>
  <c r="F1022" i="3"/>
  <c r="F586" i="3"/>
  <c r="F578" i="3"/>
  <c r="F638" i="3"/>
  <c r="F1237" i="3"/>
  <c r="F1039" i="3"/>
  <c r="F1089" i="3"/>
  <c r="F378" i="3"/>
  <c r="F132" i="3"/>
  <c r="F818" i="3"/>
  <c r="F405" i="3"/>
  <c r="F727" i="3"/>
  <c r="F1272" i="3"/>
  <c r="F777" i="3"/>
  <c r="F1098" i="3"/>
  <c r="F161" i="3"/>
  <c r="F535" i="3"/>
  <c r="F816" i="3"/>
  <c r="F1319" i="3"/>
  <c r="F957" i="3"/>
  <c r="F772" i="3"/>
  <c r="F1023" i="3"/>
  <c r="F999" i="3"/>
  <c r="F789" i="3"/>
  <c r="F212" i="3"/>
  <c r="F275" i="3"/>
  <c r="F1299" i="3"/>
  <c r="F1187" i="3"/>
  <c r="F754" i="3"/>
  <c r="F126" i="3"/>
  <c r="F117" i="3"/>
  <c r="F104" i="3"/>
  <c r="F637" i="3"/>
  <c r="F334" i="3"/>
  <c r="F884" i="3"/>
  <c r="F1066" i="3"/>
  <c r="F1142" i="3"/>
  <c r="F142" i="3"/>
  <c r="F1266" i="3"/>
  <c r="F990" i="3"/>
  <c r="F124" i="3"/>
  <c r="F1263" i="3"/>
  <c r="F916" i="3"/>
  <c r="F800" i="3"/>
  <c r="F991" i="3"/>
  <c r="F1200" i="3"/>
  <c r="F730" i="3"/>
  <c r="F945" i="3"/>
  <c r="F620" i="3"/>
  <c r="F773" i="3"/>
  <c r="F1053" i="3"/>
  <c r="F1283" i="3"/>
  <c r="F926" i="3"/>
  <c r="F98" i="3"/>
  <c r="F969" i="3"/>
  <c r="F1290" i="3"/>
  <c r="F516" i="3"/>
  <c r="F693" i="3"/>
  <c r="F625" i="3"/>
  <c r="F510" i="3"/>
  <c r="F812" i="3"/>
  <c r="F1196" i="3"/>
  <c r="F1342" i="3"/>
  <c r="F1273" i="3"/>
  <c r="F106" i="3"/>
  <c r="F861" i="3"/>
  <c r="F78" i="3"/>
  <c r="F1124" i="3"/>
  <c r="F992" i="3"/>
  <c r="F1011" i="3"/>
  <c r="F1171" i="3"/>
  <c r="F894" i="3"/>
  <c r="F1191" i="3"/>
  <c r="F841" i="3"/>
  <c r="F1174" i="3"/>
  <c r="F1116" i="3"/>
  <c r="F1153" i="3"/>
  <c r="F1100" i="3"/>
  <c r="F1291" i="3"/>
  <c r="F840" i="3"/>
  <c r="F608" i="3"/>
  <c r="F856" i="3"/>
  <c r="F851" i="3"/>
  <c r="F765" i="3"/>
  <c r="F51" i="3"/>
  <c r="F337" i="3"/>
  <c r="F743" i="3"/>
  <c r="F296" i="3"/>
  <c r="F285" i="3"/>
  <c r="F639" i="3"/>
  <c r="F1255" i="3"/>
  <c r="F74" i="3"/>
  <c r="F1007" i="3"/>
  <c r="F1108" i="3"/>
  <c r="F1343" i="3"/>
  <c r="F1344" i="3"/>
  <c r="F697" i="3"/>
  <c r="F174" i="3"/>
  <c r="F1033" i="3"/>
  <c r="F179" i="3"/>
  <c r="F783" i="3"/>
  <c r="F487" i="3"/>
  <c r="F489" i="3"/>
  <c r="F1076" i="3"/>
  <c r="F1126" i="3"/>
  <c r="F1152" i="3"/>
  <c r="F31" i="3"/>
  <c r="F793" i="3"/>
  <c r="F1267" i="3"/>
  <c r="F1131" i="3"/>
  <c r="F881" i="3"/>
  <c r="F1145" i="3"/>
  <c r="F723" i="3"/>
  <c r="F736" i="3"/>
  <c r="F1150" i="3"/>
  <c r="F813" i="3"/>
  <c r="F805" i="3"/>
  <c r="F848" i="3"/>
  <c r="F310" i="3"/>
  <c r="F1345" i="3"/>
  <c r="F125" i="3"/>
  <c r="F874" i="3"/>
  <c r="F666" i="3"/>
  <c r="F1096" i="3"/>
  <c r="F554" i="3"/>
  <c r="F1002" i="3"/>
  <c r="F1024" i="3"/>
  <c r="F915" i="3"/>
  <c r="F850" i="3"/>
  <c r="F1003" i="3"/>
  <c r="F832" i="3"/>
  <c r="F753" i="3"/>
  <c r="F768" i="3"/>
  <c r="F505" i="3"/>
  <c r="F690" i="3"/>
  <c r="F1082" i="3"/>
  <c r="F1241" i="3"/>
  <c r="F823" i="3"/>
  <c r="F1159" i="3"/>
  <c r="F157" i="3"/>
  <c r="F985" i="3"/>
  <c r="F1222" i="3"/>
  <c r="F363" i="3"/>
  <c r="F79" i="3"/>
  <c r="F251" i="3"/>
  <c r="F96" i="3"/>
  <c r="F449" i="3"/>
  <c r="F711" i="3"/>
  <c r="F49" i="3"/>
  <c r="F1151" i="3"/>
  <c r="F400" i="3"/>
  <c r="F1068" i="3"/>
  <c r="F491" i="3"/>
  <c r="F477" i="3"/>
  <c r="F649" i="3"/>
  <c r="F1101" i="3"/>
  <c r="F1078" i="3"/>
  <c r="F996" i="3"/>
  <c r="F855" i="3"/>
  <c r="F437" i="3"/>
  <c r="F1201" i="3"/>
  <c r="F1134" i="3"/>
  <c r="F351" i="3"/>
  <c r="F631" i="3"/>
  <c r="F428" i="3"/>
  <c r="F486" i="3"/>
  <c r="F973" i="3"/>
  <c r="F680" i="3"/>
  <c r="F1256" i="3"/>
  <c r="F682" i="3"/>
  <c r="F440" i="3"/>
  <c r="F1179" i="3"/>
  <c r="F808" i="3"/>
  <c r="F536" i="3"/>
  <c r="F984" i="3"/>
  <c r="F1004" i="3"/>
  <c r="F656" i="3"/>
  <c r="F781" i="3"/>
  <c r="F591" i="3"/>
  <c r="F540" i="3"/>
  <c r="F701" i="3"/>
  <c r="F618" i="3"/>
  <c r="F18" i="3"/>
  <c r="F155" i="3"/>
  <c r="F149" i="3"/>
  <c r="F1166" i="3"/>
  <c r="F928" i="3"/>
  <c r="F158" i="3"/>
  <c r="F64" i="3"/>
  <c r="F170" i="3"/>
  <c r="F128" i="3"/>
  <c r="F115" i="3"/>
  <c r="F338" i="3"/>
  <c r="F1182" i="3"/>
  <c r="F837" i="3"/>
  <c r="F983" i="3"/>
  <c r="F1320" i="3"/>
  <c r="F989" i="3"/>
  <c r="F790" i="3"/>
  <c r="F1081" i="3"/>
  <c r="F657" i="3"/>
  <c r="F407" i="3"/>
  <c r="F877" i="3"/>
  <c r="F740" i="3"/>
  <c r="F1014" i="3"/>
  <c r="F722" i="3"/>
  <c r="F629" i="3"/>
  <c r="F602" i="3"/>
  <c r="F756" i="3"/>
  <c r="F744" i="3"/>
  <c r="F1060" i="3"/>
  <c r="F307" i="3"/>
  <c r="F598" i="3"/>
  <c r="F970" i="3"/>
  <c r="F433" i="3"/>
  <c r="F543" i="3"/>
  <c r="F871" i="3"/>
  <c r="F1013" i="3"/>
  <c r="F286" i="3"/>
  <c r="F1274" i="3"/>
  <c r="F201" i="3"/>
  <c r="F1147" i="3"/>
  <c r="F728" i="3"/>
  <c r="F943" i="3"/>
  <c r="F1008" i="3"/>
  <c r="F780" i="3"/>
  <c r="F710" i="3"/>
  <c r="F1061" i="3"/>
  <c r="F965" i="3"/>
  <c r="F544" i="3"/>
  <c r="F435" i="3"/>
  <c r="F968" i="3"/>
  <c r="F468" i="3"/>
  <c r="F567" i="3"/>
  <c r="F95" i="3"/>
  <c r="F1212" i="3"/>
  <c r="F162" i="3"/>
  <c r="F429" i="3"/>
  <c r="F354" i="3"/>
  <c r="F524" i="3"/>
  <c r="F304" i="3"/>
  <c r="F632" i="3"/>
  <c r="F941" i="3"/>
  <c r="F585" i="3"/>
  <c r="F1184" i="3"/>
  <c r="F890" i="3"/>
  <c r="F892" i="3"/>
  <c r="F887" i="3"/>
  <c r="F1275" i="3"/>
  <c r="F283" i="3"/>
  <c r="F775" i="3"/>
  <c r="F924" i="3"/>
  <c r="F733" i="3"/>
  <c r="F745" i="3"/>
  <c r="F797" i="3"/>
  <c r="F314" i="3"/>
  <c r="F1054" i="3"/>
  <c r="F502" i="3"/>
  <c r="F1232" i="3"/>
  <c r="F763" i="3"/>
  <c r="F948" i="3"/>
  <c r="F399" i="3"/>
  <c r="F431" i="3"/>
  <c r="F243" i="3"/>
  <c r="F370" i="3"/>
  <c r="F913" i="3"/>
  <c r="F866" i="3"/>
  <c r="F141" i="3"/>
  <c r="F1284" i="3"/>
  <c r="F481" i="3"/>
  <c r="F545" i="3"/>
  <c r="F616" i="3"/>
  <c r="F1346" i="3"/>
  <c r="F34" i="3"/>
  <c r="F614" i="3"/>
  <c r="F888" i="3"/>
  <c r="F1077" i="3"/>
  <c r="F804" i="3"/>
  <c r="F560" i="3"/>
  <c r="F1168" i="3"/>
  <c r="F692" i="3"/>
  <c r="F1097" i="3"/>
  <c r="F39" i="3"/>
  <c r="F108" i="3"/>
  <c r="F646" i="3"/>
  <c r="F606" i="3"/>
  <c r="F140" i="3"/>
  <c r="F289" i="3"/>
  <c r="F308" i="3"/>
  <c r="F580" i="3"/>
  <c r="F641" i="3"/>
  <c r="F309" i="3"/>
  <c r="F506" i="3"/>
  <c r="F731" i="3"/>
  <c r="F1091" i="3"/>
  <c r="F499" i="3"/>
  <c r="F1050" i="3"/>
  <c r="F769" i="3"/>
  <c r="F414" i="3"/>
  <c r="F512" i="3"/>
  <c r="F1067" i="3"/>
  <c r="F1307" i="3"/>
  <c r="F842" i="3"/>
  <c r="F1321" i="3"/>
  <c r="F619" i="3"/>
  <c r="F1111" i="3"/>
  <c r="F463" i="3"/>
  <c r="F865" i="3"/>
  <c r="F879" i="3"/>
  <c r="F561" i="3"/>
  <c r="F876" i="3"/>
  <c r="F380" i="3"/>
  <c r="F52" i="3"/>
  <c r="F57" i="3"/>
  <c r="F265" i="3"/>
  <c r="F177" i="3"/>
  <c r="F23" i="3"/>
  <c r="F86" i="3"/>
  <c r="F1347" i="3"/>
  <c r="F347" i="3"/>
  <c r="F65" i="3"/>
  <c r="F298" i="3"/>
  <c r="F1214" i="3"/>
  <c r="F739" i="3"/>
  <c r="F1185" i="3"/>
  <c r="F357" i="3"/>
  <c r="F454" i="3"/>
  <c r="F1348" i="3"/>
  <c r="F1197" i="3"/>
  <c r="F846" i="3"/>
  <c r="F647" i="3"/>
  <c r="F1233" i="3"/>
  <c r="F896" i="3"/>
  <c r="F931" i="3"/>
  <c r="F843" i="3"/>
  <c r="F1287" i="3"/>
  <c r="F207" i="3"/>
  <c r="F601" i="3"/>
  <c r="F923" i="3"/>
  <c r="F1202" i="3"/>
  <c r="F1037" i="3"/>
  <c r="F500" i="3"/>
  <c r="F299" i="3"/>
  <c r="F424" i="3"/>
  <c r="F836" i="3"/>
  <c r="F1160" i="3"/>
  <c r="F284" i="3"/>
  <c r="F806" i="3"/>
  <c r="F542" i="3"/>
  <c r="F252" i="3"/>
  <c r="F1192" i="3"/>
  <c r="F863" i="3"/>
  <c r="F795" i="3"/>
  <c r="F107" i="3"/>
  <c r="F817" i="3"/>
  <c r="F938" i="3"/>
  <c r="F1165" i="3"/>
  <c r="F934" i="3"/>
  <c r="F1203" i="3"/>
  <c r="F66" i="3"/>
  <c r="F72" i="3"/>
  <c r="F80" i="3"/>
  <c r="F651" i="3"/>
  <c r="F256" i="3"/>
  <c r="F324" i="3"/>
  <c r="F1070" i="3"/>
  <c r="F1114" i="3"/>
  <c r="F1322" i="3"/>
  <c r="F421" i="3"/>
  <c r="F907" i="3"/>
  <c r="F50" i="3"/>
  <c r="F222" i="3"/>
  <c r="F105" i="3"/>
  <c r="F300" i="3"/>
  <c r="F146" i="3"/>
  <c r="F131" i="3"/>
  <c r="F1285" i="3"/>
  <c r="F178" i="3"/>
  <c r="F425" i="3"/>
  <c r="F134" i="3"/>
  <c r="F811" i="3"/>
  <c r="F246" i="3"/>
  <c r="F1074" i="3"/>
  <c r="F1223" i="3"/>
  <c r="F688" i="3"/>
  <c r="F297" i="3"/>
  <c r="F562" i="3"/>
  <c r="F391" i="3"/>
  <c r="F994" i="3"/>
  <c r="F594" i="3"/>
  <c r="F1349" i="3"/>
  <c r="F24" i="3"/>
  <c r="F345" i="3"/>
  <c r="F211" i="3"/>
  <c r="F113" i="3"/>
  <c r="F92" i="3"/>
  <c r="F826" i="3"/>
  <c r="F530" i="3"/>
  <c r="F563" i="3"/>
  <c r="F281" i="3"/>
  <c r="F264" i="3"/>
  <c r="F70" i="3"/>
  <c r="F442" i="3"/>
  <c r="F788" i="3"/>
  <c r="F868" i="3"/>
  <c r="F1110" i="3"/>
  <c r="F1109" i="3"/>
  <c r="F249" i="3"/>
  <c r="F326" i="3"/>
  <c r="F1161" i="3"/>
  <c r="F1245" i="3"/>
  <c r="F1040" i="3"/>
  <c r="F1308" i="3"/>
  <c r="F1086" i="3"/>
  <c r="F885" i="3"/>
  <c r="F1323" i="3"/>
  <c r="F441" i="3"/>
  <c r="F244" i="3"/>
  <c r="F406" i="3"/>
  <c r="F747" i="3"/>
  <c r="F762" i="3"/>
  <c r="F963" i="3"/>
  <c r="F814" i="3"/>
  <c r="F1193" i="3"/>
  <c r="F650" i="3"/>
  <c r="F694" i="3"/>
  <c r="F1194" i="3"/>
  <c r="F774" i="3"/>
  <c r="F799" i="3"/>
  <c r="F897" i="3"/>
  <c r="F921" i="3"/>
  <c r="F864" i="3"/>
  <c r="F523" i="3"/>
  <c r="F995" i="3"/>
  <c r="F89" i="3"/>
  <c r="F17" i="3"/>
  <c r="F396" i="3"/>
  <c r="F45" i="3"/>
  <c r="F48" i="3"/>
  <c r="F32" i="3"/>
  <c r="F215" i="3"/>
  <c r="F62" i="3"/>
  <c r="F38" i="3"/>
  <c r="F1227" i="3"/>
  <c r="F130" i="3"/>
  <c r="F642" i="3"/>
  <c r="F1005" i="3"/>
  <c r="F791" i="3"/>
  <c r="F713" i="3"/>
  <c r="F1257" i="3"/>
  <c r="F110" i="3"/>
  <c r="F967" i="3"/>
  <c r="F1350" i="3"/>
  <c r="F974" i="3"/>
  <c r="F719" i="3"/>
  <c r="F1018" i="3"/>
  <c r="F746" i="3"/>
  <c r="F979" i="3"/>
  <c r="F714" i="3"/>
  <c r="F9" i="3"/>
  <c r="F120" i="3"/>
  <c r="F280" i="3"/>
  <c r="F321" i="3"/>
  <c r="F274" i="3"/>
  <c r="F541" i="3"/>
  <c r="F901" i="3"/>
  <c r="F328" i="3"/>
  <c r="F84" i="3"/>
  <c r="F394" i="3"/>
  <c r="F986" i="3"/>
  <c r="F1351" i="3"/>
  <c r="F467" i="3"/>
  <c r="F910" i="3"/>
  <c r="F1130" i="3"/>
  <c r="F341" i="3"/>
  <c r="F1210" i="3"/>
  <c r="F305" i="3"/>
  <c r="F68" i="3"/>
  <c r="F493" i="3"/>
  <c r="F1188" i="3"/>
  <c r="F1238" i="3"/>
  <c r="F332" i="3"/>
  <c r="F997" i="3"/>
  <c r="F511" i="3"/>
  <c r="F961" i="3"/>
  <c r="F366" i="3"/>
  <c r="F484" i="3"/>
  <c r="F20" i="3"/>
  <c r="F798" i="3"/>
  <c r="F612" i="3"/>
  <c r="F22" i="3"/>
  <c r="F1300" i="3"/>
  <c r="F13" i="3"/>
  <c r="F382" i="3"/>
  <c r="F718" i="3"/>
  <c r="F384" i="3"/>
  <c r="F7" i="3"/>
  <c r="F1217" i="3"/>
  <c r="F1169" i="3"/>
  <c r="F446" i="3"/>
  <c r="F21" i="3"/>
  <c r="F313" i="3"/>
  <c r="F15" i="3"/>
  <c r="F19" i="3"/>
  <c r="F379" i="3"/>
  <c r="F622" i="3"/>
  <c r="F1220" i="3"/>
  <c r="F1035" i="3"/>
  <c r="F1324" i="3"/>
  <c r="F1292" i="3"/>
  <c r="F1352" i="3"/>
  <c r="F1301" i="3"/>
  <c r="F1246" i="3"/>
  <c r="F1090" i="3"/>
  <c r="F30" i="3"/>
  <c r="F749" i="3"/>
  <c r="F287" i="3"/>
  <c r="F1293" i="3"/>
  <c r="F228" i="3"/>
  <c r="F978" i="3"/>
  <c r="F1294" i="3"/>
  <c r="F1038" i="3"/>
  <c r="F828" i="3"/>
  <c r="F27" i="3"/>
  <c r="F44" i="3"/>
  <c r="F60" i="3"/>
  <c r="F47" i="3"/>
  <c r="F55" i="3"/>
  <c r="F186" i="3"/>
  <c r="F262" i="3"/>
  <c r="F801" i="3"/>
  <c r="F849" i="3"/>
  <c r="F565" i="3"/>
  <c r="F385" i="3"/>
  <c r="F350" i="3"/>
  <c r="F193" i="3"/>
  <c r="F482" i="3"/>
  <c r="F988" i="3"/>
  <c r="F302" i="3"/>
  <c r="F167" i="3"/>
  <c r="F633" i="3"/>
  <c r="F276" i="3"/>
  <c r="F415" i="3"/>
  <c r="F925" i="3"/>
  <c r="F1247" i="3"/>
  <c r="F267" i="3"/>
  <c r="F176" i="3"/>
  <c r="F1062" i="3"/>
  <c r="F455" i="3"/>
  <c r="F154" i="3"/>
  <c r="F156" i="3"/>
  <c r="F368" i="3"/>
  <c r="F1176" i="3"/>
  <c r="F63" i="3"/>
  <c r="F643" i="3"/>
  <c r="F712" i="3"/>
  <c r="F935" i="3"/>
  <c r="F993" i="3"/>
  <c r="F951" i="3"/>
  <c r="F525" i="3"/>
  <c r="F672" i="3"/>
  <c r="F566" i="3"/>
  <c r="F10" i="3"/>
  <c r="F192" i="3"/>
  <c r="F29" i="3"/>
  <c r="F952" i="3"/>
  <c r="F533" i="3"/>
  <c r="F571" i="3"/>
  <c r="F317" i="3"/>
  <c r="F417" i="3"/>
  <c r="F136" i="3"/>
  <c r="F59" i="3"/>
  <c r="F635" i="3"/>
  <c r="F1052" i="3"/>
  <c r="F558" i="3"/>
  <c r="F862" i="3"/>
  <c r="F546" i="3"/>
  <c r="F438" i="3"/>
  <c r="F663" i="3"/>
  <c r="F316" i="3"/>
  <c r="F678" i="3"/>
  <c r="F1262" i="3"/>
  <c r="F1276" i="3"/>
  <c r="F653" i="3"/>
  <c r="F759" i="3"/>
  <c r="F605" i="3"/>
  <c r="F570" i="3"/>
  <c r="F870" i="3"/>
  <c r="F942" i="3"/>
  <c r="F483" i="3"/>
  <c r="F891" i="3"/>
  <c r="F592" i="3"/>
  <c r="F927" i="3"/>
  <c r="F25" i="3"/>
  <c r="F135" i="3"/>
  <c r="F1286" i="3"/>
  <c r="F1309" i="3"/>
  <c r="F1044" i="3"/>
  <c r="F447" i="3"/>
  <c r="F593" i="3"/>
  <c r="F1164" i="3"/>
  <c r="F552" i="3"/>
  <c r="F553" i="3"/>
  <c r="F133" i="3"/>
  <c r="F665" i="3"/>
  <c r="F1138" i="3"/>
  <c r="F1248" i="3"/>
  <c r="F519" i="3"/>
  <c r="F708" i="3"/>
  <c r="F492" i="3"/>
  <c r="F676" i="3"/>
  <c r="F452" i="3"/>
  <c r="F1172" i="3"/>
  <c r="F1249" i="3"/>
  <c r="F668" i="3"/>
  <c r="F893" i="3"/>
  <c r="F1026" i="3"/>
  <c r="F626" i="3"/>
  <c r="F1072" i="3"/>
  <c r="F998" i="3"/>
  <c r="F831" i="3"/>
  <c r="F949" i="3"/>
  <c r="F184" i="3"/>
  <c r="F1325" i="3"/>
  <c r="F1132" i="3"/>
  <c r="AV87" i="3"/>
  <c r="AV1029" i="3"/>
  <c r="AV320" i="3"/>
  <c r="AV755" i="3"/>
  <c r="AV312" i="3"/>
  <c r="AV613" i="3"/>
  <c r="AV809" i="3"/>
  <c r="AV292" i="3"/>
  <c r="AV53" i="3"/>
  <c r="AV181" i="3"/>
  <c r="AV263" i="3"/>
  <c r="AV1071" i="3"/>
  <c r="AV123" i="3"/>
  <c r="AV36" i="3"/>
  <c r="AV150" i="3"/>
  <c r="AV233" i="3"/>
  <c r="AV343" i="3"/>
  <c r="AV71" i="3"/>
  <c r="AV360" i="3"/>
  <c r="AV464" i="3"/>
  <c r="AV623" i="3"/>
  <c r="AV1088" i="3"/>
  <c r="AV355" i="3"/>
  <c r="AV548" i="3"/>
  <c r="AV569" i="3"/>
  <c r="AV1122" i="3"/>
  <c r="AV323" i="3"/>
  <c r="AV290" i="3"/>
  <c r="AV303" i="3"/>
  <c r="AV248" i="3"/>
  <c r="AV255" i="3"/>
  <c r="AV282" i="3"/>
  <c r="AV372" i="3"/>
  <c r="AV359" i="3"/>
  <c r="AV315" i="3"/>
  <c r="AV1240" i="3"/>
  <c r="AV1199" i="3"/>
  <c r="AV1118" i="3"/>
  <c r="AV241" i="3"/>
  <c r="AV395" i="3"/>
  <c r="AV225" i="3"/>
  <c r="AV365" i="3"/>
  <c r="AV444" i="3"/>
  <c r="AV279" i="3"/>
  <c r="AV526" i="3"/>
  <c r="AV387" i="3"/>
  <c r="AV16" i="3"/>
  <c r="AV77" i="3"/>
  <c r="AV1312" i="3"/>
  <c r="AV58" i="3"/>
  <c r="AV293" i="3"/>
  <c r="AV273" i="3"/>
  <c r="AV476" i="3"/>
  <c r="AV1326" i="3"/>
  <c r="AV857" i="3"/>
  <c r="AV1303" i="3"/>
  <c r="AV878" i="3"/>
  <c r="AV41" i="3"/>
  <c r="AV1304" i="3"/>
  <c r="AV824" i="3"/>
  <c r="AV517" i="3"/>
  <c r="AV507" i="3"/>
  <c r="AV291" i="3"/>
  <c r="AV1305" i="3"/>
  <c r="AV479" i="3"/>
  <c r="AV504" i="3"/>
  <c r="AV361" i="3"/>
  <c r="AV880" i="3"/>
  <c r="AV1009" i="3"/>
  <c r="AV73" i="3"/>
  <c r="AV497" i="3"/>
  <c r="AV675" i="3"/>
  <c r="AV151" i="3"/>
  <c r="AV914" i="3"/>
  <c r="AV1063" i="3"/>
  <c r="AV1154" i="3"/>
  <c r="AV579" i="3"/>
  <c r="AV716" i="3"/>
  <c r="AV85" i="3"/>
  <c r="AV56" i="3"/>
  <c r="AV144" i="3"/>
  <c r="AV352" i="3"/>
  <c r="AV1121" i="3"/>
  <c r="AV825" i="3"/>
  <c r="AV238" i="3"/>
  <c r="AV760" i="3"/>
  <c r="AV220" i="3"/>
  <c r="AV1269" i="3"/>
  <c r="AV937" i="3"/>
  <c r="AV390" i="3"/>
  <c r="AV1183" i="3"/>
  <c r="AV416" i="3"/>
  <c r="AV278" i="3"/>
  <c r="AV1127" i="3"/>
  <c r="AV976" i="3"/>
  <c r="AV195" i="3"/>
  <c r="AV830" i="3"/>
  <c r="AV42" i="3"/>
  <c r="AV559" i="3"/>
  <c r="AV835" i="3"/>
  <c r="AV75" i="3"/>
  <c r="AV330" i="3"/>
  <c r="AV198" i="3"/>
  <c r="AV408" i="3"/>
  <c r="AV734" i="3"/>
  <c r="AV611" i="3"/>
  <c r="AV114" i="3"/>
  <c r="AV1207" i="3"/>
  <c r="AV35" i="3"/>
  <c r="AV475" i="3"/>
  <c r="AV750" i="3"/>
  <c r="AV325" i="3"/>
  <c r="AV582" i="3"/>
  <c r="AV311" i="3"/>
  <c r="AV67" i="3"/>
  <c r="AV171" i="3"/>
  <c r="AV706" i="3"/>
  <c r="AV456" i="3"/>
  <c r="AV895" i="3"/>
  <c r="AV208" i="3"/>
  <c r="AV534" i="3"/>
  <c r="AV662" i="3"/>
  <c r="AV119" i="3"/>
  <c r="AV401" i="3"/>
  <c r="AV129" i="3"/>
  <c r="AV346" i="3"/>
  <c r="AV472" i="3"/>
  <c r="AV189" i="3"/>
  <c r="AV169" i="3"/>
  <c r="AV232" i="3"/>
  <c r="AV474" i="3"/>
  <c r="AV664" i="3"/>
  <c r="AV339" i="3"/>
  <c r="AV342" i="3"/>
  <c r="AV374" i="3"/>
  <c r="AV294" i="3"/>
  <c r="AV371" i="3"/>
  <c r="AV224" i="3"/>
  <c r="AV349" i="3"/>
  <c r="AV190" i="3"/>
  <c r="AV1120" i="3"/>
  <c r="AV353" i="3"/>
  <c r="AV1148" i="3"/>
  <c r="AV1012" i="3"/>
  <c r="AV1331" i="3"/>
  <c r="AV1261" i="3"/>
  <c r="AV1277" i="3"/>
  <c r="AV1313" i="3"/>
  <c r="AV1218" i="3"/>
  <c r="AV684" i="3"/>
  <c r="AV704" i="3"/>
  <c r="AV367" i="3"/>
  <c r="AV397" i="3"/>
  <c r="AV1128" i="3"/>
  <c r="AV767" i="3"/>
  <c r="AV200" i="3"/>
  <c r="AV61" i="3"/>
  <c r="AV197" i="3"/>
  <c r="AV33" i="3"/>
  <c r="AV28" i="3"/>
  <c r="AV1228" i="3"/>
  <c r="AV451" i="3"/>
  <c r="AV94" i="3"/>
  <c r="AV153" i="3"/>
  <c r="AV166" i="3"/>
  <c r="AV735" i="3"/>
  <c r="AV1000" i="3"/>
  <c r="AV1107" i="3"/>
  <c r="AV199" i="3"/>
  <c r="AV164" i="3"/>
  <c r="AV946" i="3"/>
  <c r="AV1144" i="3"/>
  <c r="AV418" i="3"/>
  <c r="AV319" i="3"/>
  <c r="AV673" i="3"/>
  <c r="AV964" i="3"/>
  <c r="AV1083" i="3"/>
  <c r="AV770" i="3"/>
  <c r="AV959" i="3"/>
  <c r="AV929" i="3"/>
  <c r="AV956" i="3"/>
  <c r="AV1332" i="3"/>
  <c r="AV717" i="3"/>
  <c r="AV703" i="3"/>
  <c r="AV787" i="3"/>
  <c r="AV8" i="3"/>
  <c r="AV1204" i="3"/>
  <c r="AV873" i="3"/>
  <c r="AV821" i="3"/>
  <c r="AV1031" i="3"/>
  <c r="AV603" i="3"/>
  <c r="AV1117" i="3"/>
  <c r="AV911" i="3"/>
  <c r="AV555" i="3"/>
  <c r="AV599" i="3"/>
  <c r="AV595" i="3"/>
  <c r="AV175" i="3"/>
  <c r="AV654" i="3"/>
  <c r="AV520" i="3"/>
  <c r="AV729" i="3"/>
  <c r="AV148" i="3"/>
  <c r="AV173" i="3"/>
  <c r="AV709" i="3"/>
  <c r="AV766" i="3"/>
  <c r="AV3" i="3"/>
  <c r="AV6" i="3"/>
  <c r="AV764" i="3"/>
  <c r="AV1057" i="3"/>
  <c r="AV741" i="3"/>
  <c r="AV1125" i="3"/>
  <c r="AV757" i="3"/>
  <c r="AV12" i="3"/>
  <c r="AV461" i="3"/>
  <c r="AV1043" i="3"/>
  <c r="AV1167" i="3"/>
  <c r="AV239" i="3"/>
  <c r="AV231" i="3"/>
  <c r="AV247" i="3"/>
  <c r="AV909" i="3"/>
  <c r="AV844" i="3"/>
  <c r="AV498" i="3"/>
  <c r="AV573" i="3"/>
  <c r="AV859" i="3"/>
  <c r="AV679" i="3"/>
  <c r="AV436" i="3"/>
  <c r="AV807" i="3"/>
  <c r="AV971" i="3"/>
  <c r="AV1042" i="3"/>
  <c r="AV1333" i="3"/>
  <c r="AV975" i="3"/>
  <c r="AV1177" i="3"/>
  <c r="AV409" i="3"/>
  <c r="AV336" i="3"/>
  <c r="AV318" i="3"/>
  <c r="AV912" i="3"/>
  <c r="AV854" i="3"/>
  <c r="AV715" i="3"/>
  <c r="AV529" i="3"/>
  <c r="AV819" i="3"/>
  <c r="AV423" i="3"/>
  <c r="AV358" i="3"/>
  <c r="AV1041" i="3"/>
  <c r="AV1139" i="3"/>
  <c r="AV398" i="3"/>
  <c r="AV1162" i="3"/>
  <c r="AV686" i="3"/>
  <c r="AV1140" i="3"/>
  <c r="AV698" i="3"/>
  <c r="AV786" i="3"/>
  <c r="AV420" i="3"/>
  <c r="AV904" i="3"/>
  <c r="AV1234" i="3"/>
  <c r="AV404" i="3"/>
  <c r="AV588" i="3"/>
  <c r="AV1115" i="3"/>
  <c r="AV40" i="3"/>
  <c r="AV109" i="3"/>
  <c r="AV250" i="3"/>
  <c r="AV240" i="3"/>
  <c r="AV906" i="3"/>
  <c r="AV815" i="3"/>
  <c r="AV411" i="3"/>
  <c r="AV958" i="3"/>
  <c r="AV81" i="3"/>
  <c r="AV982" i="3"/>
  <c r="AV163" i="3"/>
  <c r="AV261" i="3"/>
  <c r="AV111" i="3"/>
  <c r="AV121" i="3"/>
  <c r="AV160" i="3"/>
  <c r="AV1334" i="3"/>
  <c r="AV1085" i="3"/>
  <c r="AV445" i="3"/>
  <c r="AV1335" i="3"/>
  <c r="AV266" i="3"/>
  <c r="AV702" i="3"/>
  <c r="AV356" i="3"/>
  <c r="AV528" i="3"/>
  <c r="AV771" i="3"/>
  <c r="AV615" i="3"/>
  <c r="AV810" i="3"/>
  <c r="AV480" i="3"/>
  <c r="AV922" i="3"/>
  <c r="AV260" i="3"/>
  <c r="AV515" i="3"/>
  <c r="AV1048" i="3"/>
  <c r="AV980" i="3"/>
  <c r="AV627" i="3"/>
  <c r="AV681" i="3"/>
  <c r="AV936" i="3"/>
  <c r="AV369" i="3"/>
  <c r="AV699" i="3"/>
  <c r="AV340" i="3"/>
  <c r="AV1030" i="3"/>
  <c r="AV375" i="3"/>
  <c r="AV782" i="3"/>
  <c r="AV671" i="3"/>
  <c r="AV577" i="3"/>
  <c r="AV383" i="3"/>
  <c r="AV1289" i="3"/>
  <c r="AV514" i="3"/>
  <c r="AV792" i="3"/>
  <c r="AV738" i="3"/>
  <c r="AV270" i="3"/>
  <c r="AV700" i="3"/>
  <c r="AV683" i="3"/>
  <c r="AV259" i="3"/>
  <c r="AV1306" i="3"/>
  <c r="AV1155" i="3"/>
  <c r="AV869" i="3"/>
  <c r="AV1224" i="3"/>
  <c r="AV103" i="3"/>
  <c r="AV634" i="3"/>
  <c r="AV97" i="3"/>
  <c r="AV426" i="3"/>
  <c r="AV661" i="3"/>
  <c r="AV344" i="3"/>
  <c r="AV82" i="3"/>
  <c r="AV443" i="3"/>
  <c r="AV99" i="3"/>
  <c r="AV191" i="3"/>
  <c r="AV229" i="3"/>
  <c r="AV327" i="3"/>
  <c r="AV829" i="3"/>
  <c r="AV1173" i="3"/>
  <c r="AV165" i="3"/>
  <c r="AV14" i="3"/>
  <c r="AV257" i="3"/>
  <c r="AV214" i="3"/>
  <c r="AV1205" i="3"/>
  <c r="AV101" i="3"/>
  <c r="AV564" i="3"/>
  <c r="AV584" i="3"/>
  <c r="AV37" i="3"/>
  <c r="AV575" i="3"/>
  <c r="AV453" i="3"/>
  <c r="AV947" i="3"/>
  <c r="AV847" i="3"/>
  <c r="AV1135" i="3"/>
  <c r="AV322" i="3"/>
  <c r="AV604" i="3"/>
  <c r="AV460" i="3"/>
  <c r="AV88" i="3"/>
  <c r="AV26" i="3"/>
  <c r="AV597" i="3"/>
  <c r="AV987" i="3"/>
  <c r="AV644" i="3"/>
  <c r="AV1336" i="3"/>
  <c r="AV522" i="3"/>
  <c r="AV485" i="3"/>
  <c r="AV724" i="3"/>
  <c r="AV1016" i="3"/>
  <c r="AV600" i="3"/>
  <c r="AV1006" i="3"/>
  <c r="AV1318" i="3"/>
  <c r="AV677" i="3"/>
  <c r="AV69" i="3"/>
  <c r="AV46" i="3"/>
  <c r="AV91" i="3"/>
  <c r="AV76" i="3"/>
  <c r="AV852" i="3"/>
  <c r="AV610" i="3"/>
  <c r="AV462" i="3"/>
  <c r="AV386" i="3"/>
  <c r="AV532" i="3"/>
  <c r="AV1015" i="3"/>
  <c r="AV761" i="3"/>
  <c r="AV630" i="3"/>
  <c r="AV381" i="3"/>
  <c r="AV143" i="3"/>
  <c r="AV182" i="3"/>
  <c r="AV218" i="3"/>
  <c r="AV227" i="3"/>
  <c r="AV223" i="3"/>
  <c r="AV253" i="3"/>
  <c r="AV230" i="3"/>
  <c r="AV196" i="3"/>
  <c r="AV168" i="3"/>
  <c r="AV306" i="3"/>
  <c r="AV206" i="3"/>
  <c r="AV152" i="3"/>
  <c r="AV219" i="3"/>
  <c r="AV258" i="3"/>
  <c r="AV127" i="3"/>
  <c r="AV204" i="3"/>
  <c r="AV216" i="3"/>
  <c r="AV236" i="3"/>
  <c r="AV277" i="3"/>
  <c r="AV205" i="3"/>
  <c r="AV213" i="3"/>
  <c r="AV209" i="3"/>
  <c r="AV112" i="3"/>
  <c r="AV242" i="3"/>
  <c r="AV362" i="3"/>
  <c r="AV210" i="3"/>
  <c r="AV550" i="3"/>
  <c r="AV226" i="3"/>
  <c r="AV301" i="3"/>
  <c r="AV185" i="3"/>
  <c r="AV268" i="3"/>
  <c r="AV138" i="3"/>
  <c r="AV187" i="3"/>
  <c r="AV271" i="3"/>
  <c r="AV295" i="3"/>
  <c r="AV412" i="3"/>
  <c r="AV457" i="3"/>
  <c r="AV194" i="3"/>
  <c r="AV118" i="3"/>
  <c r="AV188" i="3"/>
  <c r="AV202" i="3"/>
  <c r="AV159" i="3"/>
  <c r="AV269" i="3"/>
  <c r="AV494" i="3"/>
  <c r="AV183" i="3"/>
  <c r="AV919" i="3"/>
  <c r="AV556" i="3"/>
  <c r="AV954" i="3"/>
  <c r="AV574" i="3"/>
  <c r="AV203" i="3"/>
  <c r="AV90" i="3"/>
  <c r="AV576" i="3"/>
  <c r="AV758" i="3"/>
  <c r="AV742" i="3"/>
  <c r="AV537" i="3"/>
  <c r="AV640" i="3"/>
  <c r="AV1206" i="3"/>
  <c r="AV509" i="3"/>
  <c r="AV478" i="3"/>
  <c r="AV235" i="3"/>
  <c r="AV54" i="3"/>
  <c r="AV410" i="3"/>
  <c r="AV116" i="3"/>
  <c r="AV83" i="3"/>
  <c r="AV5" i="3"/>
  <c r="AV1059" i="3"/>
  <c r="AV501" i="3"/>
  <c r="AV419" i="3"/>
  <c r="AV93" i="3"/>
  <c r="AV933" i="3"/>
  <c r="AV465" i="3"/>
  <c r="AV180" i="3"/>
  <c r="AV953" i="3"/>
  <c r="AV547" i="3"/>
  <c r="AV652" i="3"/>
  <c r="AV11" i="3"/>
  <c r="AV1046" i="3"/>
  <c r="AV636" i="3"/>
  <c r="AV373" i="3"/>
  <c r="AV518" i="3"/>
  <c r="AV100" i="3"/>
  <c r="AV886" i="3"/>
  <c r="AV1258" i="3"/>
  <c r="AV920" i="3"/>
  <c r="AV254" i="3"/>
  <c r="AV331" i="3"/>
  <c r="AV705" i="3"/>
  <c r="AV707" i="3"/>
  <c r="AV364" i="3"/>
  <c r="AV624" i="3"/>
  <c r="AV393" i="3"/>
  <c r="AV122" i="3"/>
  <c r="AV217" i="3"/>
  <c r="AV139" i="3"/>
  <c r="AV376" i="3"/>
  <c r="AV272" i="3"/>
  <c r="AV172" i="3"/>
  <c r="AV389" i="3"/>
  <c r="AV607" i="3"/>
  <c r="AV899" i="3"/>
  <c r="AV448" i="3"/>
  <c r="AV432" i="3"/>
  <c r="AV427" i="3"/>
  <c r="AV496" i="3"/>
  <c r="AV617" i="3"/>
  <c r="AV471" i="3"/>
  <c r="AV488" i="3"/>
  <c r="AV748" i="3"/>
  <c r="AV1095" i="3"/>
  <c r="AV776" i="3"/>
  <c r="AV490" i="3"/>
  <c r="AV245" i="3"/>
  <c r="AV145" i="3"/>
  <c r="AV568" i="3"/>
  <c r="AV1019" i="3"/>
  <c r="AV589" i="3"/>
  <c r="AV1146" i="3"/>
  <c r="AV1282" i="3"/>
  <c r="AV439" i="3"/>
  <c r="AV329" i="3"/>
  <c r="AV459" i="3"/>
  <c r="AV458" i="3"/>
  <c r="AV147" i="3"/>
  <c r="AV1341" i="3"/>
  <c r="AV1244" i="3"/>
  <c r="AV377" i="3"/>
  <c r="AV4" i="3"/>
  <c r="AV609" i="3"/>
  <c r="AV578" i="3"/>
  <c r="AV1237" i="3"/>
  <c r="AV1089" i="3"/>
  <c r="AV378" i="3"/>
  <c r="AV132" i="3"/>
  <c r="AV405" i="3"/>
  <c r="AV727" i="3"/>
  <c r="AV777" i="3"/>
  <c r="AV1098" i="3"/>
  <c r="AV161" i="3"/>
  <c r="AV535" i="3"/>
  <c r="AV816" i="3"/>
  <c r="AV957" i="3"/>
  <c r="AV772" i="3"/>
  <c r="AV999" i="3"/>
  <c r="AV212" i="3"/>
  <c r="AV275" i="3"/>
  <c r="AV1299" i="3"/>
  <c r="AV754" i="3"/>
  <c r="AV126" i="3"/>
  <c r="AV117" i="3"/>
  <c r="AV104" i="3"/>
  <c r="AV637" i="3"/>
  <c r="AV334" i="3"/>
  <c r="AV884" i="3"/>
  <c r="AV142" i="3"/>
  <c r="AV124" i="3"/>
  <c r="AV916" i="3"/>
  <c r="AV991" i="3"/>
  <c r="AV1200" i="3"/>
  <c r="AV730" i="3"/>
  <c r="AV945" i="3"/>
  <c r="AV620" i="3"/>
  <c r="AV773" i="3"/>
  <c r="AV1053" i="3"/>
  <c r="AV1283" i="3"/>
  <c r="AV926" i="3"/>
  <c r="AV98" i="3"/>
  <c r="AV969" i="3"/>
  <c r="AV516" i="3"/>
  <c r="AV693" i="3"/>
  <c r="AV812" i="3"/>
  <c r="AV1196" i="3"/>
  <c r="AV1342" i="3"/>
  <c r="AV106" i="3"/>
  <c r="AV861" i="3"/>
  <c r="AV78" i="3"/>
  <c r="AV1174" i="3"/>
  <c r="AV1100" i="3"/>
  <c r="AV840" i="3"/>
  <c r="AV608" i="3"/>
  <c r="AV856" i="3"/>
  <c r="AV851" i="3"/>
  <c r="AV765" i="3"/>
  <c r="AV51" i="3"/>
  <c r="AV743" i="3"/>
  <c r="AV296" i="3"/>
  <c r="AV285" i="3"/>
  <c r="AV1108" i="3"/>
  <c r="AV1343" i="3"/>
  <c r="AV697" i="3"/>
  <c r="AV174" i="3"/>
  <c r="AV179" i="3"/>
  <c r="AV783" i="3"/>
  <c r="AV487" i="3"/>
  <c r="AV1076" i="3"/>
  <c r="AV1152" i="3"/>
  <c r="AV31" i="3"/>
  <c r="AV793" i="3"/>
  <c r="AV1145" i="3"/>
  <c r="AV723" i="3"/>
  <c r="AV736" i="3"/>
  <c r="AV813" i="3"/>
  <c r="AV848" i="3"/>
  <c r="AV310" i="3"/>
  <c r="AV1345" i="3"/>
  <c r="AV125" i="3"/>
  <c r="AV874" i="3"/>
  <c r="AV666" i="3"/>
  <c r="AV554" i="3"/>
  <c r="AV1002" i="3"/>
  <c r="AV832" i="3"/>
  <c r="AV753" i="3"/>
  <c r="AV768" i="3"/>
  <c r="AV505" i="3"/>
  <c r="AV690" i="3"/>
  <c r="AV157" i="3"/>
  <c r="AV985" i="3"/>
  <c r="AV363" i="3"/>
  <c r="AV79" i="3"/>
  <c r="AV251" i="3"/>
  <c r="AV96" i="3"/>
  <c r="AV449" i="3"/>
  <c r="AV711" i="3"/>
  <c r="AV49" i="3"/>
  <c r="AV400" i="3"/>
  <c r="AV491" i="3"/>
  <c r="AV477" i="3"/>
  <c r="AV649" i="3"/>
  <c r="AV996" i="3"/>
  <c r="AV855" i="3"/>
  <c r="AV1201" i="3"/>
  <c r="AV351" i="3"/>
  <c r="AV428" i="3"/>
  <c r="AV486" i="3"/>
  <c r="AV973" i="3"/>
  <c r="AV440" i="3"/>
  <c r="AV1179" i="3"/>
  <c r="AV808" i="3"/>
  <c r="AV536" i="3"/>
  <c r="AV984" i="3"/>
  <c r="AV1004" i="3"/>
  <c r="AV656" i="3"/>
  <c r="AV781" i="3"/>
  <c r="AV591" i="3"/>
  <c r="AV540" i="3"/>
  <c r="AV701" i="3"/>
  <c r="AV18" i="3"/>
  <c r="AV155" i="3"/>
  <c r="AV149" i="3"/>
  <c r="AV1166" i="3"/>
  <c r="AV928" i="3"/>
  <c r="AV158" i="3"/>
  <c r="AV64" i="3"/>
  <c r="AV170" i="3"/>
  <c r="AV128" i="3"/>
  <c r="AV115" i="3"/>
  <c r="AV1182" i="3"/>
  <c r="AV837" i="3"/>
  <c r="AV1081" i="3"/>
  <c r="AV657" i="3"/>
  <c r="AV407" i="3"/>
  <c r="AV877" i="3"/>
  <c r="AV722" i="3"/>
  <c r="AV629" i="3"/>
  <c r="AV744" i="3"/>
  <c r="AV1060" i="3"/>
  <c r="AV307" i="3"/>
  <c r="AV598" i="3"/>
  <c r="AV970" i="3"/>
  <c r="AV433" i="3"/>
  <c r="AV543" i="3"/>
  <c r="AV871" i="3"/>
  <c r="AV1013" i="3"/>
  <c r="AV286" i="3"/>
  <c r="AV201" i="3"/>
  <c r="AV728" i="3"/>
  <c r="AV943" i="3"/>
  <c r="AV780" i="3"/>
  <c r="AV1061" i="3"/>
  <c r="AV965" i="3"/>
  <c r="AV544" i="3"/>
  <c r="AV435" i="3"/>
  <c r="AV468" i="3"/>
  <c r="AV95" i="3"/>
  <c r="AV429" i="3"/>
  <c r="AV354" i="3"/>
  <c r="AV524" i="3"/>
  <c r="AV304" i="3"/>
  <c r="AV632" i="3"/>
  <c r="AV941" i="3"/>
  <c r="AV890" i="3"/>
  <c r="AV892" i="3"/>
  <c r="AV887" i="3"/>
  <c r="AV283" i="3"/>
  <c r="AV775" i="3"/>
  <c r="AV924" i="3"/>
  <c r="AV733" i="3"/>
  <c r="AV745" i="3"/>
  <c r="AV797" i="3"/>
  <c r="AV314" i="3"/>
  <c r="AV1054" i="3"/>
  <c r="AV1232" i="3"/>
  <c r="AV763" i="3"/>
  <c r="AV948" i="3"/>
  <c r="AV399" i="3"/>
  <c r="AV431" i="3"/>
  <c r="AV243" i="3"/>
  <c r="AV370" i="3"/>
  <c r="AV913" i="3"/>
  <c r="AV141" i="3"/>
  <c r="AV481" i="3"/>
  <c r="AV34" i="3"/>
  <c r="AV614" i="3"/>
  <c r="AV1077" i="3"/>
  <c r="AV804" i="3"/>
  <c r="AV560" i="3"/>
  <c r="AV1168" i="3"/>
  <c r="AV692" i="3"/>
  <c r="AV1097" i="3"/>
  <c r="AV39" i="3"/>
  <c r="AV646" i="3"/>
  <c r="AV140" i="3"/>
  <c r="AV289" i="3"/>
  <c r="AV308" i="3"/>
  <c r="AV580" i="3"/>
  <c r="AV641" i="3"/>
  <c r="AV309" i="3"/>
  <c r="AV1091" i="3"/>
  <c r="AV499" i="3"/>
  <c r="AV769" i="3"/>
  <c r="AV414" i="3"/>
  <c r="AV512" i="3"/>
  <c r="AV842" i="3"/>
  <c r="AV1111" i="3"/>
  <c r="AV463" i="3"/>
  <c r="AV865" i="3"/>
  <c r="AV879" i="3"/>
  <c r="AV561" i="3"/>
  <c r="AV876" i="3"/>
  <c r="AV380" i="3"/>
  <c r="AV52" i="3"/>
  <c r="AV57" i="3"/>
  <c r="AV265" i="3"/>
  <c r="AV177" i="3"/>
  <c r="AV23" i="3"/>
  <c r="AV347" i="3"/>
  <c r="AV65" i="3"/>
  <c r="AV298" i="3"/>
  <c r="AV1214" i="3"/>
  <c r="AV1185" i="3"/>
  <c r="AV454" i="3"/>
  <c r="AV846" i="3"/>
  <c r="AV647" i="3"/>
  <c r="AV896" i="3"/>
  <c r="AV931" i="3"/>
  <c r="AV843" i="3"/>
  <c r="AV207" i="3"/>
  <c r="AV923" i="3"/>
  <c r="AV299" i="3"/>
  <c r="AV424" i="3"/>
  <c r="AV836" i="3"/>
  <c r="AV284" i="3"/>
  <c r="AV252" i="3"/>
  <c r="AV795" i="3"/>
  <c r="AV107" i="3"/>
  <c r="AV66" i="3"/>
  <c r="AV72" i="3"/>
  <c r="AV80" i="3"/>
  <c r="AV651" i="3"/>
  <c r="AV256" i="3"/>
  <c r="AV324" i="3"/>
  <c r="AV421" i="3"/>
  <c r="AV907" i="3"/>
  <c r="AV50" i="3"/>
  <c r="AV222" i="3"/>
  <c r="AV105" i="3"/>
  <c r="AV300" i="3"/>
  <c r="AV146" i="3"/>
  <c r="AV131" i="3"/>
  <c r="AV178" i="3"/>
  <c r="AV425" i="3"/>
  <c r="AV134" i="3"/>
  <c r="AV811" i="3"/>
  <c r="AV246" i="3"/>
  <c r="AV1074" i="3"/>
  <c r="AV297" i="3"/>
  <c r="AV562" i="3"/>
  <c r="AV391" i="3"/>
  <c r="AV994" i="3"/>
  <c r="AV594" i="3"/>
  <c r="AV24" i="3"/>
  <c r="AV345" i="3"/>
  <c r="AV211" i="3"/>
  <c r="AV113" i="3"/>
  <c r="AV92" i="3"/>
  <c r="AV826" i="3"/>
  <c r="AV530" i="3"/>
  <c r="AV563" i="3"/>
  <c r="AV281" i="3"/>
  <c r="AV264" i="3"/>
  <c r="AV70" i="3"/>
  <c r="AV442" i="3"/>
  <c r="AV788" i="3"/>
  <c r="AV868" i="3"/>
  <c r="AV1109" i="3"/>
  <c r="AV249" i="3"/>
  <c r="AV326" i="3"/>
  <c r="AV885" i="3"/>
  <c r="AV441" i="3"/>
  <c r="AV244" i="3"/>
  <c r="AV747" i="3"/>
  <c r="AV762" i="3"/>
  <c r="AV963" i="3"/>
  <c r="AV814" i="3"/>
  <c r="AV1193" i="3"/>
  <c r="AV650" i="3"/>
  <c r="AV694" i="3"/>
  <c r="AV799" i="3"/>
  <c r="AV897" i="3"/>
  <c r="AV921" i="3"/>
  <c r="AV864" i="3"/>
  <c r="AV89" i="3"/>
  <c r="AV17" i="3"/>
  <c r="AV396" i="3"/>
  <c r="AV45" i="3"/>
  <c r="AV48" i="3"/>
  <c r="AV32" i="3"/>
  <c r="AV215" i="3"/>
  <c r="AV38" i="3"/>
  <c r="AV130" i="3"/>
  <c r="AV1005" i="3"/>
  <c r="AV110" i="3"/>
  <c r="AV967" i="3"/>
  <c r="AV974" i="3"/>
  <c r="AV719" i="3"/>
  <c r="AV979" i="3"/>
  <c r="AV714" i="3"/>
  <c r="AV120" i="3"/>
  <c r="AV280" i="3"/>
  <c r="AV274" i="3"/>
  <c r="AV901" i="3"/>
  <c r="AV328" i="3"/>
  <c r="AV84" i="3"/>
  <c r="AV394" i="3"/>
  <c r="AV986" i="3"/>
  <c r="AV910" i="3"/>
  <c r="AV1130" i="3"/>
  <c r="AV341" i="3"/>
  <c r="AV305" i="3"/>
  <c r="AV68" i="3"/>
  <c r="AV493" i="3"/>
  <c r="AV997" i="3"/>
  <c r="AV511" i="3"/>
  <c r="AV961" i="3"/>
  <c r="AV366" i="3"/>
  <c r="AV20" i="3"/>
  <c r="AV798" i="3"/>
  <c r="AV22" i="3"/>
  <c r="AV1300" i="3"/>
  <c r="AV718" i="3"/>
  <c r="AV7" i="3"/>
  <c r="AV1169" i="3"/>
  <c r="AV446" i="3"/>
  <c r="AV21" i="3"/>
  <c r="AV15" i="3"/>
  <c r="AV19" i="3"/>
  <c r="AV379" i="3"/>
  <c r="AV622" i="3"/>
  <c r="AV1220" i="3"/>
  <c r="AV27" i="3"/>
  <c r="AV44" i="3"/>
  <c r="AV60" i="3"/>
  <c r="AV47" i="3"/>
  <c r="AV55" i="3"/>
  <c r="AV186" i="3"/>
  <c r="AV262" i="3"/>
  <c r="AV849" i="3"/>
  <c r="AV565" i="3"/>
  <c r="AV385" i="3"/>
  <c r="AV350" i="3"/>
  <c r="AV193" i="3"/>
  <c r="AV482" i="3"/>
  <c r="AV988" i="3"/>
  <c r="AV302" i="3"/>
  <c r="AV167" i="3"/>
  <c r="AV633" i="3"/>
  <c r="AV276" i="3"/>
  <c r="AV925" i="3"/>
  <c r="AV267" i="3"/>
  <c r="AV176" i="3"/>
  <c r="AV455" i="3"/>
  <c r="AV154" i="3"/>
  <c r="AV156" i="3"/>
  <c r="AV368" i="3"/>
  <c r="AV1176" i="3"/>
  <c r="AV63" i="3"/>
  <c r="AV643" i="3"/>
  <c r="AV712" i="3"/>
  <c r="AV935" i="3"/>
  <c r="AV525" i="3"/>
  <c r="AV672" i="3"/>
  <c r="AV10" i="3"/>
  <c r="AV192" i="3"/>
  <c r="AV29" i="3"/>
  <c r="AV533" i="3"/>
  <c r="AV571" i="3"/>
  <c r="AV317" i="3"/>
  <c r="AV417" i="3"/>
  <c r="AV136" i="3"/>
  <c r="AV59" i="3"/>
  <c r="AV558" i="3"/>
  <c r="AV862" i="3"/>
  <c r="AV546" i="3"/>
  <c r="AV438" i="3"/>
  <c r="AV663" i="3"/>
  <c r="AV316" i="3"/>
  <c r="AV678" i="3"/>
  <c r="AV1262" i="3"/>
  <c r="AV570" i="3"/>
  <c r="AV483" i="3"/>
  <c r="AV891" i="3"/>
  <c r="AV592" i="3"/>
  <c r="AV927" i="3"/>
  <c r="AV25" i="3"/>
  <c r="AV135" i="3"/>
  <c r="AV1044" i="3"/>
  <c r="AV447" i="3"/>
  <c r="AV593" i="3"/>
  <c r="AV553" i="3"/>
  <c r="AV133" i="3"/>
  <c r="AV1248" i="3"/>
  <c r="AV519" i="3"/>
  <c r="AV708" i="3"/>
  <c r="AV492" i="3"/>
  <c r="AV676" i="3"/>
  <c r="AV452" i="3"/>
  <c r="AV893" i="3"/>
  <c r="AV626" i="3"/>
  <c r="AV1072" i="3"/>
  <c r="AV998" i="3"/>
  <c r="AV949" i="3"/>
  <c r="AV184" i="3"/>
  <c r="AV1132" i="3"/>
  <c r="AP1302" i="3"/>
  <c r="AP1310" i="3"/>
  <c r="AP87" i="3"/>
  <c r="AP1029" i="3"/>
  <c r="AP320" i="3"/>
  <c r="AP755" i="3"/>
  <c r="AP312" i="3"/>
  <c r="AP613" i="3"/>
  <c r="AP292" i="3"/>
  <c r="AP53" i="3"/>
  <c r="AP181" i="3"/>
  <c r="AP1051" i="3"/>
  <c r="AP263" i="3"/>
  <c r="AP1071" i="3"/>
  <c r="AP123" i="3"/>
  <c r="AP36" i="3"/>
  <c r="AP150" i="3"/>
  <c r="AP784" i="3"/>
  <c r="AP233" i="3"/>
  <c r="AP737" i="3"/>
  <c r="AP343" i="3"/>
  <c r="AP71" i="3"/>
  <c r="AP360" i="3"/>
  <c r="AP464" i="3"/>
  <c r="AP623" i="3"/>
  <c r="AP752" i="3"/>
  <c r="AP1088" i="3"/>
  <c r="AP355" i="3"/>
  <c r="AP548" i="3"/>
  <c r="AP450" i="3"/>
  <c r="AP569" i="3"/>
  <c r="AP1122" i="3"/>
  <c r="AP466" i="3"/>
  <c r="AP495" i="3"/>
  <c r="AP323" i="3"/>
  <c r="AP290" i="3"/>
  <c r="AP303" i="3"/>
  <c r="AP248" i="3"/>
  <c r="AP348" i="3"/>
  <c r="AP255" i="3"/>
  <c r="AP335" i="3"/>
  <c r="AP282" i="3"/>
  <c r="AP372" i="3"/>
  <c r="AP359" i="3"/>
  <c r="AP422" i="3"/>
  <c r="AP315" i="3"/>
  <c r="AP1199" i="3"/>
  <c r="AP1118" i="3"/>
  <c r="AP902" i="3"/>
  <c r="AP1028" i="3"/>
  <c r="AP241" i="3"/>
  <c r="AP395" i="3"/>
  <c r="AP225" i="3"/>
  <c r="AP365" i="3"/>
  <c r="AP587" i="3"/>
  <c r="AP444" i="3"/>
  <c r="AP279" i="3"/>
  <c r="AP288" i="3"/>
  <c r="AP434" i="3"/>
  <c r="AP526" i="3"/>
  <c r="AP387" i="3"/>
  <c r="AP16" i="3"/>
  <c r="AP883" i="3"/>
  <c r="AP77" i="3"/>
  <c r="AP645" i="3"/>
  <c r="AP1312" i="3"/>
  <c r="AP58" i="3"/>
  <c r="AP1055" i="3"/>
  <c r="AP293" i="3"/>
  <c r="AP273" i="3"/>
  <c r="AP476" i="3"/>
  <c r="AP1326" i="3"/>
  <c r="AP857" i="3"/>
  <c r="AP655" i="3"/>
  <c r="AP950" i="3"/>
  <c r="AP41" i="3"/>
  <c r="AP538" i="3"/>
  <c r="AP1250" i="3"/>
  <c r="AP1304" i="3"/>
  <c r="AP824" i="3"/>
  <c r="AP102" i="3"/>
  <c r="AP517" i="3"/>
  <c r="AP137" i="3"/>
  <c r="AP648" i="3"/>
  <c r="AP507" i="3"/>
  <c r="AP981" i="3"/>
  <c r="AP291" i="3"/>
  <c r="AP1305" i="3"/>
  <c r="AP479" i="3"/>
  <c r="AP504" i="3"/>
  <c r="AP361" i="3"/>
  <c r="AP880" i="3"/>
  <c r="AP962" i="3"/>
  <c r="AP1009" i="3"/>
  <c r="AP73" i="3"/>
  <c r="AP1295" i="3"/>
  <c r="AP497" i="3"/>
  <c r="AP675" i="3"/>
  <c r="AP151" i="3"/>
  <c r="AP914" i="3"/>
  <c r="AP1154" i="3"/>
  <c r="AP579" i="3"/>
  <c r="AP234" i="3"/>
  <c r="AP716" i="3"/>
  <c r="AP822" i="3"/>
  <c r="AP85" i="3"/>
  <c r="AP56" i="3"/>
  <c r="AP144" i="3"/>
  <c r="AP960" i="3"/>
  <c r="AP352" i="3"/>
  <c r="AP1121" i="3"/>
  <c r="AP825" i="3"/>
  <c r="AP238" i="3"/>
  <c r="AP760" i="3"/>
  <c r="AP220" i="3"/>
  <c r="AP1269" i="3"/>
  <c r="AP937" i="3"/>
  <c r="AP390" i="3"/>
  <c r="AP416" i="3"/>
  <c r="AP932" i="3"/>
  <c r="AP278" i="3"/>
  <c r="AP1259" i="3"/>
  <c r="AP1260" i="3"/>
  <c r="AP1127" i="3"/>
  <c r="AP195" i="3"/>
  <c r="AP830" i="3"/>
  <c r="AP751" i="3"/>
  <c r="AP42" i="3"/>
  <c r="AP559" i="3"/>
  <c r="AP835" i="3"/>
  <c r="AP75" i="3"/>
  <c r="AP330" i="3"/>
  <c r="AP198" i="3"/>
  <c r="AP408" i="3"/>
  <c r="AP611" i="3"/>
  <c r="AP114" i="3"/>
  <c r="AP1207" i="3"/>
  <c r="AP35" i="3"/>
  <c r="AP1056" i="3"/>
  <c r="AP475" i="3"/>
  <c r="AP750" i="3"/>
  <c r="AP333" i="3"/>
  <c r="AP325" i="3"/>
  <c r="AP582" i="3"/>
  <c r="AP311" i="3"/>
  <c r="AP67" i="3"/>
  <c r="AP171" i="3"/>
  <c r="AP521" i="3"/>
  <c r="AP706" i="3"/>
  <c r="AP456" i="3"/>
  <c r="AP895" i="3"/>
  <c r="AP208" i="3"/>
  <c r="AP534" i="3"/>
  <c r="AP658" i="3"/>
  <c r="AP662" i="3"/>
  <c r="AP1264" i="3"/>
  <c r="AP119" i="3"/>
  <c r="AP403" i="3"/>
  <c r="AP401" i="3"/>
  <c r="AP129" i="3"/>
  <c r="AP346" i="3"/>
  <c r="AP472" i="3"/>
  <c r="AP189" i="3"/>
  <c r="AP169" i="3"/>
  <c r="AP508" i="3"/>
  <c r="AP232" i="3"/>
  <c r="AP474" i="3"/>
  <c r="AP664" i="3"/>
  <c r="AP339" i="3"/>
  <c r="AP342" i="3"/>
  <c r="AP374" i="3"/>
  <c r="AP294" i="3"/>
  <c r="AP1092" i="3"/>
  <c r="AP1178" i="3"/>
  <c r="AP371" i="3"/>
  <c r="AP224" i="3"/>
  <c r="AP221" i="3"/>
  <c r="AP349" i="3"/>
  <c r="AP413" i="3"/>
  <c r="AP190" i="3"/>
  <c r="AP1149" i="3"/>
  <c r="AP1120" i="3"/>
  <c r="AP353" i="3"/>
  <c r="AP1049" i="3"/>
  <c r="AP1208" i="3"/>
  <c r="AP1148" i="3"/>
  <c r="AP1012" i="3"/>
  <c r="AP696" i="3"/>
  <c r="AP1331" i="3"/>
  <c r="AP1261" i="3"/>
  <c r="AP684" i="3"/>
  <c r="AP367" i="3"/>
  <c r="AP397" i="3"/>
  <c r="AP388" i="3"/>
  <c r="AP470" i="3"/>
  <c r="AP531" i="3"/>
  <c r="AP1128" i="3"/>
  <c r="AP767" i="3"/>
  <c r="AP1209" i="3"/>
  <c r="AP237" i="3"/>
  <c r="AP1047" i="3"/>
  <c r="AP200" i="3"/>
  <c r="AP1239" i="3"/>
  <c r="AP61" i="3"/>
  <c r="AP197" i="3"/>
  <c r="AP513" i="3"/>
  <c r="AP33" i="3"/>
  <c r="AP28" i="3"/>
  <c r="AP1228" i="3"/>
  <c r="AP451" i="3"/>
  <c r="AP94" i="3"/>
  <c r="AP153" i="3"/>
  <c r="AP166" i="3"/>
  <c r="AP1129" i="3"/>
  <c r="AP966" i="3"/>
  <c r="AP735" i="3"/>
  <c r="AP1314" i="3"/>
  <c r="AP1000" i="3"/>
  <c r="AP1107" i="3"/>
  <c r="AP199" i="3"/>
  <c r="AP164" i="3"/>
  <c r="AP946" i="3"/>
  <c r="AP1144" i="3"/>
  <c r="AP1027" i="3"/>
  <c r="AP418" i="3"/>
  <c r="AP319" i="3"/>
  <c r="AP673" i="3"/>
  <c r="AP469" i="3"/>
  <c r="AP964" i="3"/>
  <c r="AP1083" i="3"/>
  <c r="AP770" i="3"/>
  <c r="AP959" i="3"/>
  <c r="AP929" i="3"/>
  <c r="AP956" i="3"/>
  <c r="AP1332" i="3"/>
  <c r="AP834" i="3"/>
  <c r="AP717" i="3"/>
  <c r="AP703" i="3"/>
  <c r="AP1157" i="3"/>
  <c r="AP621" i="3"/>
  <c r="AP1087" i="3"/>
  <c r="AP787" i="3"/>
  <c r="AP8" i="3"/>
  <c r="AP430" i="3"/>
  <c r="AP1036" i="3"/>
  <c r="AP873" i="3"/>
  <c r="AP821" i="3"/>
  <c r="AP603" i="3"/>
  <c r="AP1117" i="3"/>
  <c r="AP539" i="3"/>
  <c r="AP911" i="3"/>
  <c r="AP555" i="3"/>
  <c r="AP599" i="3"/>
  <c r="AP595" i="3"/>
  <c r="AP175" i="3"/>
  <c r="AP654" i="3"/>
  <c r="AP1093" i="3"/>
  <c r="AP520" i="3"/>
  <c r="AP729" i="3"/>
  <c r="AP148" i="3"/>
  <c r="AP173" i="3"/>
  <c r="AP908" i="3"/>
  <c r="AP527" i="3"/>
  <c r="AP1075" i="3"/>
  <c r="AP1279" i="3"/>
  <c r="AP766" i="3"/>
  <c r="AP1219" i="3"/>
  <c r="AP3" i="3"/>
  <c r="AP6" i="3"/>
  <c r="AP572" i="3"/>
  <c r="AP764" i="3"/>
  <c r="AP720" i="3"/>
  <c r="AP1057" i="3"/>
  <c r="AP1229" i="3"/>
  <c r="AP741" i="3"/>
  <c r="AP1125" i="3"/>
  <c r="AP757" i="3"/>
  <c r="AP12" i="3"/>
  <c r="AP461" i="3"/>
  <c r="AP1043" i="3"/>
  <c r="AP1167" i="3"/>
  <c r="AP239" i="3"/>
  <c r="AP231" i="3"/>
  <c r="AP247" i="3"/>
  <c r="AP909" i="3"/>
  <c r="AP844" i="3"/>
  <c r="AP839" i="3"/>
  <c r="AP845" i="3"/>
  <c r="AP498" i="3"/>
  <c r="AP1106" i="3"/>
  <c r="AP573" i="3"/>
  <c r="AP820" i="3"/>
  <c r="AP859" i="3"/>
  <c r="AP679" i="3"/>
  <c r="AP436" i="3"/>
  <c r="AP726" i="3"/>
  <c r="AP807" i="3"/>
  <c r="AP971" i="3"/>
  <c r="AP1163" i="3"/>
  <c r="AP1316" i="3"/>
  <c r="AP1333" i="3"/>
  <c r="AP1136" i="3"/>
  <c r="AP975" i="3"/>
  <c r="AP785" i="3"/>
  <c r="AP392" i="3"/>
  <c r="AP905" i="3"/>
  <c r="AP409" i="3"/>
  <c r="AP1103" i="3"/>
  <c r="AP596" i="3"/>
  <c r="AP336" i="3"/>
  <c r="AP318" i="3"/>
  <c r="AP912" i="3"/>
  <c r="AP667" i="3"/>
  <c r="AP715" i="3"/>
  <c r="AP1032" i="3"/>
  <c r="AP529" i="3"/>
  <c r="AP557" i="3"/>
  <c r="AP581" i="3"/>
  <c r="AP819" i="3"/>
  <c r="AP423" i="3"/>
  <c r="AP674" i="3"/>
  <c r="AP473" i="3"/>
  <c r="AP551" i="3"/>
  <c r="AP503" i="3"/>
  <c r="AP939" i="3"/>
  <c r="AP660" i="3"/>
  <c r="AP1058" i="3"/>
  <c r="AP358" i="3"/>
  <c r="AP1041" i="3"/>
  <c r="AP628" i="3"/>
  <c r="AP1139" i="3"/>
  <c r="AP398" i="3"/>
  <c r="AP917" i="3"/>
  <c r="AP1084" i="3"/>
  <c r="AP686" i="3"/>
  <c r="AP698" i="3"/>
  <c r="AP786" i="3"/>
  <c r="AP420" i="3"/>
  <c r="AP904" i="3"/>
  <c r="AP900" i="3"/>
  <c r="AP404" i="3"/>
  <c r="AP1170" i="3"/>
  <c r="AP1034" i="3"/>
  <c r="AP803" i="3"/>
  <c r="AP588" i="3"/>
  <c r="AP972" i="3"/>
  <c r="AP860" i="3"/>
  <c r="AP1080" i="3"/>
  <c r="AP40" i="3"/>
  <c r="AP109" i="3"/>
  <c r="AP250" i="3"/>
  <c r="AP240" i="3"/>
  <c r="AP906" i="3"/>
  <c r="AP833" i="3"/>
  <c r="AP815" i="3"/>
  <c r="AP411" i="3"/>
  <c r="AP958" i="3"/>
  <c r="AP81" i="3"/>
  <c r="AP1235" i="3"/>
  <c r="AP163" i="3"/>
  <c r="AP261" i="3"/>
  <c r="AP111" i="3"/>
  <c r="AP121" i="3"/>
  <c r="AP160" i="3"/>
  <c r="AP1334" i="3"/>
  <c r="AP1085" i="3"/>
  <c r="AP445" i="3"/>
  <c r="AP1335" i="3"/>
  <c r="AP266" i="3"/>
  <c r="AP691" i="3"/>
  <c r="AP702" i="3"/>
  <c r="AP356" i="3"/>
  <c r="AP528" i="3"/>
  <c r="AP771" i="3"/>
  <c r="AP615" i="3"/>
  <c r="AP1252" i="3"/>
  <c r="AP1069" i="3"/>
  <c r="AP810" i="3"/>
  <c r="AP480" i="3"/>
  <c r="AP669" i="3"/>
  <c r="AP922" i="3"/>
  <c r="AP260" i="3"/>
  <c r="AP515" i="3"/>
  <c r="AP1048" i="3"/>
  <c r="AP980" i="3"/>
  <c r="AP627" i="3"/>
  <c r="AP681" i="3"/>
  <c r="AP369" i="3"/>
  <c r="AP699" i="3"/>
  <c r="AP1211" i="3"/>
  <c r="AP340" i="3"/>
  <c r="AP1030" i="3"/>
  <c r="AP872" i="3"/>
  <c r="AP1141" i="3"/>
  <c r="AP1094" i="3"/>
  <c r="AP779" i="3"/>
  <c r="AP375" i="3"/>
  <c r="AP853" i="3"/>
  <c r="AP1112" i="3"/>
  <c r="AP671" i="3"/>
  <c r="AP577" i="3"/>
  <c r="AP383" i="3"/>
  <c r="AP514" i="3"/>
  <c r="AP889" i="3"/>
  <c r="AP940" i="3"/>
  <c r="AP792" i="3"/>
  <c r="AP794" i="3"/>
  <c r="AP738" i="3"/>
  <c r="AP1230" i="3"/>
  <c r="AP270" i="3"/>
  <c r="AP700" i="3"/>
  <c r="AP721" i="3"/>
  <c r="AP683" i="3"/>
  <c r="AP259" i="3"/>
  <c r="AP583" i="3"/>
  <c r="AP1306" i="3"/>
  <c r="AP1001" i="3"/>
  <c r="AP670" i="3"/>
  <c r="AP1155" i="3"/>
  <c r="AP869" i="3"/>
  <c r="AP103" i="3"/>
  <c r="AP634" i="3"/>
  <c r="AP97" i="3"/>
  <c r="AP426" i="3"/>
  <c r="AP661" i="3"/>
  <c r="AP344" i="3"/>
  <c r="AP82" i="3"/>
  <c r="AP443" i="3"/>
  <c r="AP99" i="3"/>
  <c r="AP191" i="3"/>
  <c r="AP229" i="3"/>
  <c r="AP327" i="3"/>
  <c r="AP1079" i="3"/>
  <c r="AP829" i="3"/>
  <c r="AP858" i="3"/>
  <c r="AP918" i="3"/>
  <c r="AP1173" i="3"/>
  <c r="AP165" i="3"/>
  <c r="AP14" i="3"/>
  <c r="AP257" i="3"/>
  <c r="AP659" i="3"/>
  <c r="AP214" i="3"/>
  <c r="AP1205" i="3"/>
  <c r="AP564" i="3"/>
  <c r="AP584" i="3"/>
  <c r="AP37" i="3"/>
  <c r="AP575" i="3"/>
  <c r="AP453" i="3"/>
  <c r="AP944" i="3"/>
  <c r="AP947" i="3"/>
  <c r="AP847" i="3"/>
  <c r="AP1135" i="3"/>
  <c r="AP322" i="3"/>
  <c r="AP604" i="3"/>
  <c r="AP1181" i="3"/>
  <c r="AP687" i="3"/>
  <c r="AP460" i="3"/>
  <c r="AP1158" i="3"/>
  <c r="AP1215" i="3"/>
  <c r="AP88" i="3"/>
  <c r="AP1073" i="3"/>
  <c r="AP26" i="3"/>
  <c r="AP597" i="3"/>
  <c r="AP987" i="3"/>
  <c r="AP644" i="3"/>
  <c r="AP1105" i="3"/>
  <c r="AP1336" i="3"/>
  <c r="AP1010" i="3"/>
  <c r="AP522" i="3"/>
  <c r="AP485" i="3"/>
  <c r="AP724" i="3"/>
  <c r="AP1016" i="3"/>
  <c r="AP600" i="3"/>
  <c r="AP1006" i="3"/>
  <c r="AP1020" i="3"/>
  <c r="AP677" i="3"/>
  <c r="AP69" i="3"/>
  <c r="AP46" i="3"/>
  <c r="AP91" i="3"/>
  <c r="AP76" i="3"/>
  <c r="AP852" i="3"/>
  <c r="AP610" i="3"/>
  <c r="AP462" i="3"/>
  <c r="AP386" i="3"/>
  <c r="AP532" i="3"/>
  <c r="AP1015" i="3"/>
  <c r="AP761" i="3"/>
  <c r="AP630" i="3"/>
  <c r="AP381" i="3"/>
  <c r="AP402" i="3"/>
  <c r="AP143" i="3"/>
  <c r="AP182" i="3"/>
  <c r="AP218" i="3"/>
  <c r="AP227" i="3"/>
  <c r="AP223" i="3"/>
  <c r="AP253" i="3"/>
  <c r="AP230" i="3"/>
  <c r="AP196" i="3"/>
  <c r="AP168" i="3"/>
  <c r="AP306" i="3"/>
  <c r="AP206" i="3"/>
  <c r="AP152" i="3"/>
  <c r="AP219" i="3"/>
  <c r="AP258" i="3"/>
  <c r="AP127" i="3"/>
  <c r="AP204" i="3"/>
  <c r="AP216" i="3"/>
  <c r="AP236" i="3"/>
  <c r="AP277" i="3"/>
  <c r="AP205" i="3"/>
  <c r="AP213" i="3"/>
  <c r="AP209" i="3"/>
  <c r="AP112" i="3"/>
  <c r="AP242" i="3"/>
  <c r="AP362" i="3"/>
  <c r="AP210" i="3"/>
  <c r="AP550" i="3"/>
  <c r="AP226" i="3"/>
  <c r="AP301" i="3"/>
  <c r="AP185" i="3"/>
  <c r="AP268" i="3"/>
  <c r="AP138" i="3"/>
  <c r="AP187" i="3"/>
  <c r="AP271" i="3"/>
  <c r="AP295" i="3"/>
  <c r="AP412" i="3"/>
  <c r="AP457" i="3"/>
  <c r="AP194" i="3"/>
  <c r="AP118" i="3"/>
  <c r="AP188" i="3"/>
  <c r="AP202" i="3"/>
  <c r="AP159" i="3"/>
  <c r="AP269" i="3"/>
  <c r="AP494" i="3"/>
  <c r="AP183" i="3"/>
  <c r="AP1064" i="3"/>
  <c r="AP919" i="3"/>
  <c r="AP556" i="3"/>
  <c r="AP689" i="3"/>
  <c r="AP954" i="3"/>
  <c r="AP590" i="3"/>
  <c r="AP574" i="3"/>
  <c r="AP203" i="3"/>
  <c r="AP90" i="3"/>
  <c r="AP778" i="3"/>
  <c r="AP576" i="3"/>
  <c r="AP758" i="3"/>
  <c r="AP742" i="3"/>
  <c r="AP537" i="3"/>
  <c r="AP640" i="3"/>
  <c r="AP1206" i="3"/>
  <c r="AP509" i="3"/>
  <c r="AP478" i="3"/>
  <c r="AP235" i="3"/>
  <c r="AP54" i="3"/>
  <c r="AP410" i="3"/>
  <c r="AP116" i="3"/>
  <c r="AP83" i="3"/>
  <c r="AP5" i="3"/>
  <c r="AP501" i="3"/>
  <c r="AP1099" i="3"/>
  <c r="AP1123" i="3"/>
  <c r="AP419" i="3"/>
  <c r="AP93" i="3"/>
  <c r="AP1045" i="3"/>
  <c r="AP933" i="3"/>
  <c r="AP465" i="3"/>
  <c r="AP180" i="3"/>
  <c r="AP547" i="3"/>
  <c r="AP1119" i="3"/>
  <c r="AP652" i="3"/>
  <c r="AP732" i="3"/>
  <c r="AP11" i="3"/>
  <c r="AP977" i="3"/>
  <c r="AP930" i="3"/>
  <c r="AP1281" i="3"/>
  <c r="AP1113" i="3"/>
  <c r="AP1021" i="3"/>
  <c r="AP636" i="3"/>
  <c r="AP373" i="3"/>
  <c r="AP518" i="3"/>
  <c r="AP100" i="3"/>
  <c r="AP886" i="3"/>
  <c r="AP1017" i="3"/>
  <c r="AP685" i="3"/>
  <c r="AP1296" i="3"/>
  <c r="AP549" i="3"/>
  <c r="AP920" i="3"/>
  <c r="AP254" i="3"/>
  <c r="AP331" i="3"/>
  <c r="AP705" i="3"/>
  <c r="AP707" i="3"/>
  <c r="AP364" i="3"/>
  <c r="AP624" i="3"/>
  <c r="AP393" i="3"/>
  <c r="AP122" i="3"/>
  <c r="AP217" i="3"/>
  <c r="AP139" i="3"/>
  <c r="AP376" i="3"/>
  <c r="AP272" i="3"/>
  <c r="AP172" i="3"/>
  <c r="AP389" i="3"/>
  <c r="AP1143" i="3"/>
  <c r="AP607" i="3"/>
  <c r="AP1270" i="3"/>
  <c r="AP899" i="3"/>
  <c r="AP1254" i="3"/>
  <c r="AP448" i="3"/>
  <c r="AP1265" i="3"/>
  <c r="AP432" i="3"/>
  <c r="AP427" i="3"/>
  <c r="AP617" i="3"/>
  <c r="AP471" i="3"/>
  <c r="AP1065" i="3"/>
  <c r="AP488" i="3"/>
  <c r="AP748" i="3"/>
  <c r="AP695" i="3"/>
  <c r="AP776" i="3"/>
  <c r="AP490" i="3"/>
  <c r="AP245" i="3"/>
  <c r="AP145" i="3"/>
  <c r="AP568" i="3"/>
  <c r="AP1019" i="3"/>
  <c r="AP589" i="3"/>
  <c r="AP1216" i="3"/>
  <c r="AP439" i="3"/>
  <c r="AP329" i="3"/>
  <c r="AP459" i="3"/>
  <c r="AP1137" i="3"/>
  <c r="AP1225" i="3"/>
  <c r="AP458" i="3"/>
  <c r="AP147" i="3"/>
  <c r="AP1341" i="3"/>
  <c r="AP1244" i="3"/>
  <c r="AP377" i="3"/>
  <c r="AP882" i="3"/>
  <c r="AP4" i="3"/>
  <c r="AP43" i="3"/>
  <c r="AP725" i="3"/>
  <c r="AP609" i="3"/>
  <c r="AP586" i="3"/>
  <c r="AP578" i="3"/>
  <c r="AP638" i="3"/>
  <c r="AP1237" i="3"/>
  <c r="AP1039" i="3"/>
  <c r="AP1089" i="3"/>
  <c r="AP378" i="3"/>
  <c r="AP132" i="3"/>
  <c r="AP818" i="3"/>
  <c r="AP405" i="3"/>
  <c r="AP727" i="3"/>
  <c r="AP1272" i="3"/>
  <c r="AP777" i="3"/>
  <c r="AP1098" i="3"/>
  <c r="AP161" i="3"/>
  <c r="AP535" i="3"/>
  <c r="AP816" i="3"/>
  <c r="AP957" i="3"/>
  <c r="AP772" i="3"/>
  <c r="AP789" i="3"/>
  <c r="AP212" i="3"/>
  <c r="AP275" i="3"/>
  <c r="AP1299" i="3"/>
  <c r="AP1187" i="3"/>
  <c r="AP754" i="3"/>
  <c r="AP126" i="3"/>
  <c r="AP117" i="3"/>
  <c r="AP104" i="3"/>
  <c r="AP637" i="3"/>
  <c r="AP334" i="3"/>
  <c r="AP1066" i="3"/>
  <c r="AP1142" i="3"/>
  <c r="AP142" i="3"/>
  <c r="AP1266" i="3"/>
  <c r="AP990" i="3"/>
  <c r="AP124" i="3"/>
  <c r="AP1263" i="3"/>
  <c r="AP916" i="3"/>
  <c r="AP800" i="3"/>
  <c r="AP991" i="3"/>
  <c r="AP1200" i="3"/>
  <c r="AP730" i="3"/>
  <c r="AP945" i="3"/>
  <c r="AP620" i="3"/>
  <c r="AP773" i="3"/>
  <c r="AP98" i="3"/>
  <c r="AP969" i="3"/>
  <c r="AP516" i="3"/>
  <c r="AP693" i="3"/>
  <c r="AP625" i="3"/>
  <c r="AP510" i="3"/>
  <c r="AP812" i="3"/>
  <c r="AP1196" i="3"/>
  <c r="AP1342" i="3"/>
  <c r="AP106" i="3"/>
  <c r="AP861" i="3"/>
  <c r="AP78" i="3"/>
  <c r="AP1124" i="3"/>
  <c r="AP992" i="3"/>
  <c r="AP1171" i="3"/>
  <c r="AP894" i="3"/>
  <c r="AP1191" i="3"/>
  <c r="AP841" i="3"/>
  <c r="AP1116" i="3"/>
  <c r="AP1153" i="3"/>
  <c r="AP1100" i="3"/>
  <c r="AP608" i="3"/>
  <c r="AP856" i="3"/>
  <c r="AP851" i="3"/>
  <c r="AP765" i="3"/>
  <c r="AP51" i="3"/>
  <c r="AP337" i="3"/>
  <c r="AP743" i="3"/>
  <c r="AP296" i="3"/>
  <c r="AP285" i="3"/>
  <c r="AP639" i="3"/>
  <c r="AP74" i="3"/>
  <c r="AP1108" i="3"/>
  <c r="AP1343" i="3"/>
  <c r="AP697" i="3"/>
  <c r="AP174" i="3"/>
  <c r="AP1033" i="3"/>
  <c r="AP179" i="3"/>
  <c r="AP783" i="3"/>
  <c r="AP487" i="3"/>
  <c r="AP489" i="3"/>
  <c r="AP1076" i="3"/>
  <c r="AP1126" i="3"/>
  <c r="AP1152" i="3"/>
  <c r="AP31" i="3"/>
  <c r="AP793" i="3"/>
  <c r="AP1267" i="3"/>
  <c r="AP1131" i="3"/>
  <c r="AP881" i="3"/>
  <c r="AP723" i="3"/>
  <c r="AP1150" i="3"/>
  <c r="AP813" i="3"/>
  <c r="AP805" i="3"/>
  <c r="AP848" i="3"/>
  <c r="AP310" i="3"/>
  <c r="AP125" i="3"/>
  <c r="AP874" i="3"/>
  <c r="AP666" i="3"/>
  <c r="AP1096" i="3"/>
  <c r="AP554" i="3"/>
  <c r="AP1002" i="3"/>
  <c r="AP1024" i="3"/>
  <c r="AP1003" i="3"/>
  <c r="AP832" i="3"/>
  <c r="AP753" i="3"/>
  <c r="AP768" i="3"/>
  <c r="AP505" i="3"/>
  <c r="AP690" i="3"/>
  <c r="AP1082" i="3"/>
  <c r="AP823" i="3"/>
  <c r="AP1159" i="3"/>
  <c r="AP157" i="3"/>
  <c r="AP1222" i="3"/>
  <c r="AP363" i="3"/>
  <c r="AP79" i="3"/>
  <c r="AP251" i="3"/>
  <c r="AP96" i="3"/>
  <c r="AP449" i="3"/>
  <c r="AP711" i="3"/>
  <c r="AP49" i="3"/>
  <c r="AP1151" i="3"/>
  <c r="AP400" i="3"/>
  <c r="AP1068" i="3"/>
  <c r="AP491" i="3"/>
  <c r="AP477" i="3"/>
  <c r="AP649" i="3"/>
  <c r="AP1101" i="3"/>
  <c r="AP1078" i="3"/>
  <c r="AP996" i="3"/>
  <c r="AP855" i="3"/>
  <c r="AP437" i="3"/>
  <c r="AP1201" i="3"/>
  <c r="AP1134" i="3"/>
  <c r="AP351" i="3"/>
  <c r="AP631" i="3"/>
  <c r="AP428" i="3"/>
  <c r="AP486" i="3"/>
  <c r="AP973" i="3"/>
  <c r="AP680" i="3"/>
  <c r="AP682" i="3"/>
  <c r="AP440" i="3"/>
  <c r="AP1179" i="3"/>
  <c r="AP808" i="3"/>
  <c r="AP536" i="3"/>
  <c r="AP984" i="3"/>
  <c r="AP1004" i="3"/>
  <c r="AP656" i="3"/>
  <c r="AP591" i="3"/>
  <c r="AP540" i="3"/>
  <c r="AP701" i="3"/>
  <c r="AP618" i="3"/>
  <c r="AP18" i="3"/>
  <c r="AP155" i="3"/>
  <c r="AP149" i="3"/>
  <c r="AP1166" i="3"/>
  <c r="AP928" i="3"/>
  <c r="AP158" i="3"/>
  <c r="AP64" i="3"/>
  <c r="AP170" i="3"/>
  <c r="AP128" i="3"/>
  <c r="AP115" i="3"/>
  <c r="AP338" i="3"/>
  <c r="AP837" i="3"/>
  <c r="AP983" i="3"/>
  <c r="AP1320" i="3"/>
  <c r="AP989" i="3"/>
  <c r="AP790" i="3"/>
  <c r="AP1081" i="3"/>
  <c r="AP657" i="3"/>
  <c r="AP407" i="3"/>
  <c r="AP877" i="3"/>
  <c r="AP740" i="3"/>
  <c r="AP1014" i="3"/>
  <c r="AP722" i="3"/>
  <c r="AP629" i="3"/>
  <c r="AP602" i="3"/>
  <c r="AP756" i="3"/>
  <c r="AP744" i="3"/>
  <c r="AP1060" i="3"/>
  <c r="AP307" i="3"/>
  <c r="AP598" i="3"/>
  <c r="AP433" i="3"/>
  <c r="AP543" i="3"/>
  <c r="AP871" i="3"/>
  <c r="AP286" i="3"/>
  <c r="AP1274" i="3"/>
  <c r="AP201" i="3"/>
  <c r="AP1147" i="3"/>
  <c r="AP728" i="3"/>
  <c r="AP943" i="3"/>
  <c r="AP1008" i="3"/>
  <c r="AP1061" i="3"/>
  <c r="AP965" i="3"/>
  <c r="AP435" i="3"/>
  <c r="AP968" i="3"/>
  <c r="AP468" i="3"/>
  <c r="AP567" i="3"/>
  <c r="AP95" i="3"/>
  <c r="AP1212" i="3"/>
  <c r="AP162" i="3"/>
  <c r="AP429" i="3"/>
  <c r="AP354" i="3"/>
  <c r="AP524" i="3"/>
  <c r="AP304" i="3"/>
  <c r="AP632" i="3"/>
  <c r="AP941" i="3"/>
  <c r="AP585" i="3"/>
  <c r="AP1184" i="3"/>
  <c r="AP892" i="3"/>
  <c r="AP887" i="3"/>
  <c r="AP283" i="3"/>
  <c r="AP775" i="3"/>
  <c r="AP924" i="3"/>
  <c r="AP733" i="3"/>
  <c r="AP745" i="3"/>
  <c r="AP797" i="3"/>
  <c r="AP314" i="3"/>
  <c r="AP1054" i="3"/>
  <c r="AP502" i="3"/>
  <c r="AP399" i="3"/>
  <c r="AP431" i="3"/>
  <c r="AP243" i="3"/>
  <c r="AP370" i="3"/>
  <c r="AP913" i="3"/>
  <c r="AP866" i="3"/>
  <c r="AP141" i="3"/>
  <c r="AP481" i="3"/>
  <c r="AP545" i="3"/>
  <c r="AP616" i="3"/>
  <c r="AP34" i="3"/>
  <c r="AP614" i="3"/>
  <c r="AP888" i="3"/>
  <c r="AP1077" i="3"/>
  <c r="AP804" i="3"/>
  <c r="AP560" i="3"/>
  <c r="AP692" i="3"/>
  <c r="AP39" i="3"/>
  <c r="AP108" i="3"/>
  <c r="AP646" i="3"/>
  <c r="AP606" i="3"/>
  <c r="AP140" i="3"/>
  <c r="AP289" i="3"/>
  <c r="AP308" i="3"/>
  <c r="AP580" i="3"/>
  <c r="AP641" i="3"/>
  <c r="AP309" i="3"/>
  <c r="AP506" i="3"/>
  <c r="AP731" i="3"/>
  <c r="AP1091" i="3"/>
  <c r="AP499" i="3"/>
  <c r="AP1050" i="3"/>
  <c r="AP769" i="3"/>
  <c r="AP414" i="3"/>
  <c r="AP512" i="3"/>
  <c r="AP1067" i="3"/>
  <c r="AP1307" i="3"/>
  <c r="AP842" i="3"/>
  <c r="AP1321" i="3"/>
  <c r="AP619" i="3"/>
  <c r="AP1111" i="3"/>
  <c r="AP463" i="3"/>
  <c r="AP865" i="3"/>
  <c r="AP561" i="3"/>
  <c r="AP876" i="3"/>
  <c r="AP380" i="3"/>
  <c r="AP52" i="3"/>
  <c r="AP57" i="3"/>
  <c r="AP265" i="3"/>
  <c r="AP177" i="3"/>
  <c r="AP23" i="3"/>
  <c r="AP86" i="3"/>
  <c r="AP347" i="3"/>
  <c r="AP65" i="3"/>
  <c r="AP298" i="3"/>
  <c r="AP1214" i="3"/>
  <c r="AP739" i="3"/>
  <c r="AP1185" i="3"/>
  <c r="AP357" i="3"/>
  <c r="AP454" i="3"/>
  <c r="AP1197" i="3"/>
  <c r="AP846" i="3"/>
  <c r="AP647" i="3"/>
  <c r="AP896" i="3"/>
  <c r="AP931" i="3"/>
  <c r="AP207" i="3"/>
  <c r="AP601" i="3"/>
  <c r="AP923" i="3"/>
  <c r="AP1202" i="3"/>
  <c r="AP1037" i="3"/>
  <c r="AP500" i="3"/>
  <c r="AP299" i="3"/>
  <c r="AP424" i="3"/>
  <c r="AP836" i="3"/>
  <c r="AP1160" i="3"/>
  <c r="AP284" i="3"/>
  <c r="AP806" i="3"/>
  <c r="AP542" i="3"/>
  <c r="AP252" i="3"/>
  <c r="AP863" i="3"/>
  <c r="AP795" i="3"/>
  <c r="AP107" i="3"/>
  <c r="AP817" i="3"/>
  <c r="AP938" i="3"/>
  <c r="AP1203" i="3"/>
  <c r="AP66" i="3"/>
  <c r="AP72" i="3"/>
  <c r="AP80" i="3"/>
  <c r="AP651" i="3"/>
  <c r="AP256" i="3"/>
  <c r="AP324" i="3"/>
  <c r="AP1070" i="3"/>
  <c r="AP421" i="3"/>
  <c r="AP907" i="3"/>
  <c r="AP50" i="3"/>
  <c r="AP222" i="3"/>
  <c r="AP105" i="3"/>
  <c r="AP300" i="3"/>
  <c r="AP146" i="3"/>
  <c r="AP131" i="3"/>
  <c r="AP425" i="3"/>
  <c r="AP134" i="3"/>
  <c r="AP811" i="3"/>
  <c r="AP246" i="3"/>
  <c r="AP297" i="3"/>
  <c r="AP562" i="3"/>
  <c r="AP391" i="3"/>
  <c r="AP994" i="3"/>
  <c r="AP594" i="3"/>
  <c r="AP24" i="3"/>
  <c r="AP345" i="3"/>
  <c r="AP211" i="3"/>
  <c r="AP113" i="3"/>
  <c r="AP92" i="3"/>
  <c r="AP826" i="3"/>
  <c r="AP530" i="3"/>
  <c r="AP563" i="3"/>
  <c r="AP281" i="3"/>
  <c r="AP264" i="3"/>
  <c r="AP70" i="3"/>
  <c r="AP788" i="3"/>
  <c r="AP868" i="3"/>
  <c r="AP1110" i="3"/>
  <c r="AP1109" i="3"/>
  <c r="AP249" i="3"/>
  <c r="AP326" i="3"/>
  <c r="AP1245" i="3"/>
  <c r="AP1040" i="3"/>
  <c r="AP1308" i="3"/>
  <c r="AP1086" i="3"/>
  <c r="AP885" i="3"/>
  <c r="AP1323" i="3"/>
  <c r="AP441" i="3"/>
  <c r="AP244" i="3"/>
  <c r="AP406" i="3"/>
  <c r="AP747" i="3"/>
  <c r="AP762" i="3"/>
  <c r="AP963" i="3"/>
  <c r="AP814" i="3"/>
  <c r="AP1193" i="3"/>
  <c r="AP650" i="3"/>
  <c r="AP694" i="3"/>
  <c r="AP1194" i="3"/>
  <c r="AP774" i="3"/>
  <c r="AP799" i="3"/>
  <c r="AP897" i="3"/>
  <c r="AP921" i="3"/>
  <c r="AP864" i="3"/>
  <c r="AP523" i="3"/>
  <c r="AP995" i="3"/>
  <c r="AP89" i="3"/>
  <c r="AP17" i="3"/>
  <c r="AP396" i="3"/>
  <c r="AP45" i="3"/>
  <c r="AP48" i="3"/>
  <c r="AP32" i="3"/>
  <c r="AP215" i="3"/>
  <c r="AP62" i="3"/>
  <c r="AP38" i="3"/>
  <c r="AP130" i="3"/>
  <c r="AP642" i="3"/>
  <c r="AP1005" i="3"/>
  <c r="AP713" i="3"/>
  <c r="AP110" i="3"/>
  <c r="AP967" i="3"/>
  <c r="AP719" i="3"/>
  <c r="AP746" i="3"/>
  <c r="AP979" i="3"/>
  <c r="AP714" i="3"/>
  <c r="AP9" i="3"/>
  <c r="AP120" i="3"/>
  <c r="AP280" i="3"/>
  <c r="AP321" i="3"/>
  <c r="AP274" i="3"/>
  <c r="AP541" i="3"/>
  <c r="AP901" i="3"/>
  <c r="AP328" i="3"/>
  <c r="AP84" i="3"/>
  <c r="AP394" i="3"/>
  <c r="AP467" i="3"/>
  <c r="AP910" i="3"/>
  <c r="AP1130" i="3"/>
  <c r="AP341" i="3"/>
  <c r="AP1210" i="3"/>
  <c r="AP305" i="3"/>
  <c r="AP68" i="3"/>
  <c r="AP493" i="3"/>
  <c r="AP1188" i="3"/>
  <c r="AP1238" i="3"/>
  <c r="AP332" i="3"/>
  <c r="AP997" i="3"/>
  <c r="AP511" i="3"/>
  <c r="AP961" i="3"/>
  <c r="AP366" i="3"/>
  <c r="AP484" i="3"/>
  <c r="AP20" i="3"/>
  <c r="AP798" i="3"/>
  <c r="AP612" i="3"/>
  <c r="AP22" i="3"/>
  <c r="AP1300" i="3"/>
  <c r="AP13" i="3"/>
  <c r="AP382" i="3"/>
  <c r="AP718" i="3"/>
  <c r="AP7" i="3"/>
  <c r="AP1217" i="3"/>
  <c r="AP1169" i="3"/>
  <c r="AP21" i="3"/>
  <c r="AP313" i="3"/>
  <c r="AP15" i="3"/>
  <c r="AP19" i="3"/>
  <c r="AP379" i="3"/>
  <c r="AP622" i="3"/>
  <c r="AP1035" i="3"/>
  <c r="AP1292" i="3"/>
  <c r="AP30" i="3"/>
  <c r="AP749" i="3"/>
  <c r="AP287" i="3"/>
  <c r="AP1293" i="3"/>
  <c r="AP228" i="3"/>
  <c r="AP978" i="3"/>
  <c r="AP1038" i="3"/>
  <c r="AP27" i="3"/>
  <c r="AP44" i="3"/>
  <c r="AP60" i="3"/>
  <c r="AP47" i="3"/>
  <c r="AP55" i="3"/>
  <c r="AP186" i="3"/>
  <c r="AP262" i="3"/>
  <c r="AP801" i="3"/>
  <c r="AP849" i="3"/>
  <c r="AP565" i="3"/>
  <c r="AP385" i="3"/>
  <c r="AP350" i="3"/>
  <c r="AP193" i="3"/>
  <c r="AP482" i="3"/>
  <c r="AP988" i="3"/>
  <c r="AP302" i="3"/>
  <c r="AP167" i="3"/>
  <c r="AP633" i="3"/>
  <c r="AP276" i="3"/>
  <c r="AP415" i="3"/>
  <c r="AP925" i="3"/>
  <c r="AP1247" i="3"/>
  <c r="AP267" i="3"/>
  <c r="AP176" i="3"/>
  <c r="AP1062" i="3"/>
  <c r="AP154" i="3"/>
  <c r="AP156" i="3"/>
  <c r="AP368" i="3"/>
  <c r="AP63" i="3"/>
  <c r="AP643" i="3"/>
  <c r="AP712" i="3"/>
  <c r="AP935" i="3"/>
  <c r="AP993" i="3"/>
  <c r="AP951" i="3"/>
  <c r="AP525" i="3"/>
  <c r="AP672" i="3"/>
  <c r="AP566" i="3"/>
  <c r="AP10" i="3"/>
  <c r="AP192" i="3"/>
  <c r="AP29" i="3"/>
  <c r="AP952" i="3"/>
  <c r="AP533" i="3"/>
  <c r="AP571" i="3"/>
  <c r="AP317" i="3"/>
  <c r="AP417" i="3"/>
  <c r="AP136" i="3"/>
  <c r="AP59" i="3"/>
  <c r="AP1052" i="3"/>
  <c r="AP558" i="3"/>
  <c r="AP862" i="3"/>
  <c r="AP546" i="3"/>
  <c r="AP438" i="3"/>
  <c r="AP663" i="3"/>
  <c r="AP316" i="3"/>
  <c r="AP678" i="3"/>
  <c r="AP653" i="3"/>
  <c r="AP759" i="3"/>
  <c r="AP605" i="3"/>
  <c r="AP570" i="3"/>
  <c r="AP870" i="3"/>
  <c r="AP942" i="3"/>
  <c r="AP483" i="3"/>
  <c r="AP891" i="3"/>
  <c r="AP592" i="3"/>
  <c r="AP25" i="3"/>
  <c r="AP135" i="3"/>
  <c r="AP1286" i="3"/>
  <c r="AP1044" i="3"/>
  <c r="AP447" i="3"/>
  <c r="AP593" i="3"/>
  <c r="AP1164" i="3"/>
  <c r="AP552" i="3"/>
  <c r="AP553" i="3"/>
  <c r="AP133" i="3"/>
  <c r="AP665" i="3"/>
  <c r="AP1138" i="3"/>
  <c r="AP1248" i="3"/>
  <c r="AP519" i="3"/>
  <c r="AP708" i="3"/>
  <c r="AP492" i="3"/>
  <c r="AP676" i="3"/>
  <c r="AP452" i="3"/>
  <c r="AP1172" i="3"/>
  <c r="AP1249" i="3"/>
  <c r="AP668" i="3"/>
  <c r="AP893" i="3"/>
  <c r="AP1026" i="3"/>
  <c r="AP626" i="3"/>
  <c r="AP1072" i="3"/>
  <c r="AP998" i="3"/>
  <c r="AP831" i="3"/>
  <c r="AP949" i="3"/>
  <c r="AP184" i="3"/>
  <c r="AP1132" i="3"/>
  <c r="AM87" i="3"/>
  <c r="AM1029" i="3"/>
  <c r="AM320" i="3"/>
  <c r="AM312" i="3"/>
  <c r="AM613" i="3"/>
  <c r="AM292" i="3"/>
  <c r="AM53" i="3"/>
  <c r="AM181" i="3"/>
  <c r="AM263" i="3"/>
  <c r="AM123" i="3"/>
  <c r="AM36" i="3"/>
  <c r="AM150" i="3"/>
  <c r="AM784" i="3"/>
  <c r="AM233" i="3"/>
  <c r="AM737" i="3"/>
  <c r="AM343" i="3"/>
  <c r="AM71" i="3"/>
  <c r="AM360" i="3"/>
  <c r="AM464" i="3"/>
  <c r="AM355" i="3"/>
  <c r="AM548" i="3"/>
  <c r="AM450" i="3"/>
  <c r="AM569" i="3"/>
  <c r="AM1122" i="3"/>
  <c r="AM495" i="3"/>
  <c r="AM290" i="3"/>
  <c r="AM303" i="3"/>
  <c r="AM248" i="3"/>
  <c r="AM348" i="3"/>
  <c r="AM255" i="3"/>
  <c r="AM335" i="3"/>
  <c r="AM282" i="3"/>
  <c r="AM372" i="3"/>
  <c r="AM955" i="3"/>
  <c r="AM1028" i="3"/>
  <c r="AM241" i="3"/>
  <c r="AM395" i="3"/>
  <c r="AM225" i="3"/>
  <c r="AM365" i="3"/>
  <c r="AM279" i="3"/>
  <c r="AM288" i="3"/>
  <c r="AM434" i="3"/>
  <c r="AM526" i="3"/>
  <c r="AM16" i="3"/>
  <c r="AM77" i="3"/>
  <c r="AM645" i="3"/>
  <c r="AM58" i="3"/>
  <c r="AM293" i="3"/>
  <c r="AM273" i="3"/>
  <c r="AM476" i="3"/>
  <c r="AM857" i="3"/>
  <c r="AM655" i="3"/>
  <c r="AM950" i="3"/>
  <c r="AM41" i="3"/>
  <c r="AM538" i="3"/>
  <c r="AM102" i="3"/>
  <c r="AM517" i="3"/>
  <c r="AM137" i="3"/>
  <c r="AM648" i="3"/>
  <c r="AM507" i="3"/>
  <c r="AM291" i="3"/>
  <c r="AM361" i="3"/>
  <c r="AM880" i="3"/>
  <c r="AM962" i="3"/>
  <c r="AM73" i="3"/>
  <c r="AM1295" i="3"/>
  <c r="AM497" i="3"/>
  <c r="AM675" i="3"/>
  <c r="AM151" i="3"/>
  <c r="AM579" i="3"/>
  <c r="AM234" i="3"/>
  <c r="AM85" i="3"/>
  <c r="AM56" i="3"/>
  <c r="AM144" i="3"/>
  <c r="AM960" i="3"/>
  <c r="AM352" i="3"/>
  <c r="AM1121" i="3"/>
  <c r="AM825" i="3"/>
  <c r="AM238" i="3"/>
  <c r="AM760" i="3"/>
  <c r="AM220" i="3"/>
  <c r="AM390" i="3"/>
  <c r="AM416" i="3"/>
  <c r="AM278" i="3"/>
  <c r="AM195" i="3"/>
  <c r="AM42" i="3"/>
  <c r="AM835" i="3"/>
  <c r="AM75" i="3"/>
  <c r="AM330" i="3"/>
  <c r="AM198" i="3"/>
  <c r="AM408" i="3"/>
  <c r="AM611" i="3"/>
  <c r="AM114" i="3"/>
  <c r="AM35" i="3"/>
  <c r="AM1056" i="3"/>
  <c r="AM475" i="3"/>
  <c r="AM750" i="3"/>
  <c r="AM333" i="3"/>
  <c r="AM325" i="3"/>
  <c r="AM582" i="3"/>
  <c r="AM311" i="3"/>
  <c r="AM67" i="3"/>
  <c r="AM171" i="3"/>
  <c r="AM706" i="3"/>
  <c r="AM456" i="3"/>
  <c r="AM895" i="3"/>
  <c r="AM208" i="3"/>
  <c r="AM534" i="3"/>
  <c r="AM662" i="3"/>
  <c r="AM1264" i="3"/>
  <c r="AM119" i="3"/>
  <c r="AM403" i="3"/>
  <c r="AM401" i="3"/>
  <c r="AM129" i="3"/>
  <c r="AM346" i="3"/>
  <c r="AM472" i="3"/>
  <c r="AM189" i="3"/>
  <c r="AM169" i="3"/>
  <c r="AM508" i="3"/>
  <c r="AM232" i="3"/>
  <c r="AM474" i="3"/>
  <c r="AM339" i="3"/>
  <c r="AM342" i="3"/>
  <c r="AM374" i="3"/>
  <c r="AM294" i="3"/>
  <c r="AM371" i="3"/>
  <c r="AM224" i="3"/>
  <c r="AM221" i="3"/>
  <c r="AM349" i="3"/>
  <c r="AM413" i="3"/>
  <c r="AM190" i="3"/>
  <c r="AM1120" i="3"/>
  <c r="AM353" i="3"/>
  <c r="AM1208" i="3"/>
  <c r="AM696" i="3"/>
  <c r="AM684" i="3"/>
  <c r="AM367" i="3"/>
  <c r="AM397" i="3"/>
  <c r="AM388" i="3"/>
  <c r="AM531" i="3"/>
  <c r="AM237" i="3"/>
  <c r="AM200" i="3"/>
  <c r="AM61" i="3"/>
  <c r="AM197" i="3"/>
  <c r="AM513" i="3"/>
  <c r="AM33" i="3"/>
  <c r="AM1228" i="3"/>
  <c r="AM451" i="3"/>
  <c r="AM94" i="3"/>
  <c r="AM153" i="3"/>
  <c r="AM166" i="3"/>
  <c r="AM199" i="3"/>
  <c r="AM164" i="3"/>
  <c r="AM418" i="3"/>
  <c r="AM319" i="3"/>
  <c r="AM469" i="3"/>
  <c r="AM964" i="3"/>
  <c r="AM959" i="3"/>
  <c r="AM929" i="3"/>
  <c r="AM956" i="3"/>
  <c r="AM834" i="3"/>
  <c r="AM1087" i="3"/>
  <c r="AM787" i="3"/>
  <c r="AM8" i="3"/>
  <c r="AM1036" i="3"/>
  <c r="AM873" i="3"/>
  <c r="AM821" i="3"/>
  <c r="AM1031" i="3"/>
  <c r="AM603" i="3"/>
  <c r="AM539" i="3"/>
  <c r="AM911" i="3"/>
  <c r="AM555" i="3"/>
  <c r="AM599" i="3"/>
  <c r="AM595" i="3"/>
  <c r="AM175" i="3"/>
  <c r="AM654" i="3"/>
  <c r="AM1093" i="3"/>
  <c r="AM520" i="3"/>
  <c r="AM729" i="3"/>
  <c r="AM148" i="3"/>
  <c r="AM173" i="3"/>
  <c r="AM908" i="3"/>
  <c r="AM527" i="3"/>
  <c r="AM1075" i="3"/>
  <c r="AM709" i="3"/>
  <c r="AM6" i="3"/>
  <c r="AM12" i="3"/>
  <c r="AM461" i="3"/>
  <c r="AM239" i="3"/>
  <c r="AM231" i="3"/>
  <c r="AM247" i="3"/>
  <c r="AM909" i="3"/>
  <c r="AM845" i="3"/>
  <c r="AM498" i="3"/>
  <c r="AM1106" i="3"/>
  <c r="AM573" i="3"/>
  <c r="AM679" i="3"/>
  <c r="AM436" i="3"/>
  <c r="AM726" i="3"/>
  <c r="AM807" i="3"/>
  <c r="AM1136" i="3"/>
  <c r="AM975" i="3"/>
  <c r="AM785" i="3"/>
  <c r="AM392" i="3"/>
  <c r="AM596" i="3"/>
  <c r="AM336" i="3"/>
  <c r="AM318" i="3"/>
  <c r="AM912" i="3"/>
  <c r="AM557" i="3"/>
  <c r="AM819" i="3"/>
  <c r="AM628" i="3"/>
  <c r="AM1139" i="3"/>
  <c r="AM420" i="3"/>
  <c r="AM904" i="3"/>
  <c r="AM1234" i="3"/>
  <c r="AM404" i="3"/>
  <c r="AM972" i="3"/>
  <c r="AM860" i="3"/>
  <c r="AM40" i="3"/>
  <c r="AM109" i="3"/>
  <c r="AM240" i="3"/>
  <c r="AM815" i="3"/>
  <c r="AM411" i="3"/>
  <c r="AM958" i="3"/>
  <c r="AM81" i="3"/>
  <c r="AM163" i="3"/>
  <c r="AM261" i="3"/>
  <c r="AM111" i="3"/>
  <c r="AM121" i="3"/>
  <c r="AM160" i="3"/>
  <c r="AM1085" i="3"/>
  <c r="AM445" i="3"/>
  <c r="AM266" i="3"/>
  <c r="AM691" i="3"/>
  <c r="AM702" i="3"/>
  <c r="AM356" i="3"/>
  <c r="AM771" i="3"/>
  <c r="AM810" i="3"/>
  <c r="AM480" i="3"/>
  <c r="AM922" i="3"/>
  <c r="AM515" i="3"/>
  <c r="AM1048" i="3"/>
  <c r="AM627" i="3"/>
  <c r="AM681" i="3"/>
  <c r="AM369" i="3"/>
  <c r="AM699" i="3"/>
  <c r="AM340" i="3"/>
  <c r="AM872" i="3"/>
  <c r="AM779" i="3"/>
  <c r="AM1112" i="3"/>
  <c r="AM577" i="3"/>
  <c r="AM383" i="3"/>
  <c r="AM889" i="3"/>
  <c r="AM794" i="3"/>
  <c r="AM270" i="3"/>
  <c r="AM259" i="3"/>
  <c r="AM583" i="3"/>
  <c r="AM1001" i="3"/>
  <c r="AM869" i="3"/>
  <c r="AM103" i="3"/>
  <c r="AM344" i="3"/>
  <c r="AM82" i="3"/>
  <c r="AM443" i="3"/>
  <c r="AM99" i="3"/>
  <c r="AM191" i="3"/>
  <c r="AM229" i="3"/>
  <c r="AM327" i="3"/>
  <c r="AM829" i="3"/>
  <c r="AM165" i="3"/>
  <c r="AM14" i="3"/>
  <c r="AM257" i="3"/>
  <c r="AM659" i="3"/>
  <c r="AM214" i="3"/>
  <c r="AM101" i="3"/>
  <c r="AM564" i="3"/>
  <c r="AM584" i="3"/>
  <c r="AM37" i="3"/>
  <c r="AM453" i="3"/>
  <c r="AM322" i="3"/>
  <c r="AM1181" i="3"/>
  <c r="AM460" i="3"/>
  <c r="AM88" i="3"/>
  <c r="AM26" i="3"/>
  <c r="AM597" i="3"/>
  <c r="AM644" i="3"/>
  <c r="AM1010" i="3"/>
  <c r="AM522" i="3"/>
  <c r="AM485" i="3"/>
  <c r="AM1016" i="3"/>
  <c r="AM600" i="3"/>
  <c r="AM677" i="3"/>
  <c r="AM69" i="3"/>
  <c r="AM46" i="3"/>
  <c r="AM91" i="3"/>
  <c r="AM76" i="3"/>
  <c r="AM852" i="3"/>
  <c r="AM462" i="3"/>
  <c r="AM532" i="3"/>
  <c r="AM761" i="3"/>
  <c r="AM630" i="3"/>
  <c r="AM381" i="3"/>
  <c r="AM402" i="3"/>
  <c r="AM143" i="3"/>
  <c r="AM182" i="3"/>
  <c r="AM218" i="3"/>
  <c r="AM227" i="3"/>
  <c r="AM223" i="3"/>
  <c r="AM253" i="3"/>
  <c r="AM230" i="3"/>
  <c r="AM196" i="3"/>
  <c r="AM168" i="3"/>
  <c r="AM306" i="3"/>
  <c r="AM206" i="3"/>
  <c r="AM152" i="3"/>
  <c r="AM219" i="3"/>
  <c r="AM258" i="3"/>
  <c r="AM127" i="3"/>
  <c r="AM204" i="3"/>
  <c r="AM216" i="3"/>
  <c r="AM236" i="3"/>
  <c r="AM277" i="3"/>
  <c r="AM205" i="3"/>
  <c r="AM213" i="3"/>
  <c r="AM209" i="3"/>
  <c r="AM112" i="3"/>
  <c r="AM242" i="3"/>
  <c r="AM362" i="3"/>
  <c r="AM210" i="3"/>
  <c r="AM550" i="3"/>
  <c r="AM226" i="3"/>
  <c r="AM301" i="3"/>
  <c r="AM185" i="3"/>
  <c r="AM268" i="3"/>
  <c r="AM138" i="3"/>
  <c r="AM187" i="3"/>
  <c r="AM271" i="3"/>
  <c r="AM295" i="3"/>
  <c r="AM412" i="3"/>
  <c r="AM457" i="3"/>
  <c r="AM194" i="3"/>
  <c r="AM118" i="3"/>
  <c r="AM188" i="3"/>
  <c r="AM202" i="3"/>
  <c r="AM159" i="3"/>
  <c r="AM269" i="3"/>
  <c r="AM494" i="3"/>
  <c r="AM183" i="3"/>
  <c r="AM689" i="3"/>
  <c r="AM574" i="3"/>
  <c r="AM203" i="3"/>
  <c r="AM90" i="3"/>
  <c r="AM758" i="3"/>
  <c r="AM537" i="3"/>
  <c r="AM640" i="3"/>
  <c r="AM509" i="3"/>
  <c r="AM478" i="3"/>
  <c r="AM235" i="3"/>
  <c r="AM116" i="3"/>
  <c r="AM83" i="3"/>
  <c r="AM5" i="3"/>
  <c r="AM419" i="3"/>
  <c r="AM93" i="3"/>
  <c r="AM1045" i="3"/>
  <c r="AM933" i="3"/>
  <c r="AM465" i="3"/>
  <c r="AM180" i="3"/>
  <c r="AM953" i="3"/>
  <c r="AM547" i="3"/>
  <c r="AM652" i="3"/>
  <c r="AM11" i="3"/>
  <c r="AM930" i="3"/>
  <c r="AM518" i="3"/>
  <c r="AM100" i="3"/>
  <c r="AM886" i="3"/>
  <c r="AM549" i="3"/>
  <c r="AM254" i="3"/>
  <c r="AM331" i="3"/>
  <c r="AM705" i="3"/>
  <c r="AM364" i="3"/>
  <c r="AM624" i="3"/>
  <c r="AM393" i="3"/>
  <c r="AM217" i="3"/>
  <c r="AM139" i="3"/>
  <c r="AM376" i="3"/>
  <c r="AM272" i="3"/>
  <c r="AM172" i="3"/>
  <c r="AM389" i="3"/>
  <c r="AM607" i="3"/>
  <c r="AM1270" i="3"/>
  <c r="AM448" i="3"/>
  <c r="AM432" i="3"/>
  <c r="AM427" i="3"/>
  <c r="AM471" i="3"/>
  <c r="AM488" i="3"/>
  <c r="AM695" i="3"/>
  <c r="AM490" i="3"/>
  <c r="AM245" i="3"/>
  <c r="AM145" i="3"/>
  <c r="AM568" i="3"/>
  <c r="AM589" i="3"/>
  <c r="AM439" i="3"/>
  <c r="AM329" i="3"/>
  <c r="AM459" i="3"/>
  <c r="AM458" i="3"/>
  <c r="AM147" i="3"/>
  <c r="AM4" i="3"/>
  <c r="AM43" i="3"/>
  <c r="AM725" i="3"/>
  <c r="AM609" i="3"/>
  <c r="AM586" i="3"/>
  <c r="AM578" i="3"/>
  <c r="AM638" i="3"/>
  <c r="AM378" i="3"/>
  <c r="AM132" i="3"/>
  <c r="AM818" i="3"/>
  <c r="AM405" i="3"/>
  <c r="AM727" i="3"/>
  <c r="AM1272" i="3"/>
  <c r="AM161" i="3"/>
  <c r="AM789" i="3"/>
  <c r="AM212" i="3"/>
  <c r="AM275" i="3"/>
  <c r="AM126" i="3"/>
  <c r="AM117" i="3"/>
  <c r="AM104" i="3"/>
  <c r="AM334" i="3"/>
  <c r="AM142" i="3"/>
  <c r="AM990" i="3"/>
  <c r="AM124" i="3"/>
  <c r="AM916" i="3"/>
  <c r="AM991" i="3"/>
  <c r="AM926" i="3"/>
  <c r="AM98" i="3"/>
  <c r="AM1290" i="3"/>
  <c r="AM516" i="3"/>
  <c r="AM693" i="3"/>
  <c r="AM510" i="3"/>
  <c r="AM812" i="3"/>
  <c r="AM1196" i="3"/>
  <c r="AM106" i="3"/>
  <c r="AM78" i="3"/>
  <c r="AM992" i="3"/>
  <c r="AM894" i="3"/>
  <c r="AM1116" i="3"/>
  <c r="AM1153" i="3"/>
  <c r="AM1100" i="3"/>
  <c r="AM608" i="3"/>
  <c r="AM765" i="3"/>
  <c r="AM51" i="3"/>
  <c r="AM337" i="3"/>
  <c r="AM743" i="3"/>
  <c r="AM296" i="3"/>
  <c r="AM285" i="3"/>
  <c r="AM74" i="3"/>
  <c r="AM697" i="3"/>
  <c r="AM174" i="3"/>
  <c r="AM31" i="3"/>
  <c r="AM723" i="3"/>
  <c r="AM1150" i="3"/>
  <c r="AM813" i="3"/>
  <c r="AM310" i="3"/>
  <c r="AM125" i="3"/>
  <c r="AM666" i="3"/>
  <c r="AM832" i="3"/>
  <c r="AM768" i="3"/>
  <c r="AM1082" i="3"/>
  <c r="AM1241" i="3"/>
  <c r="AM157" i="3"/>
  <c r="AM363" i="3"/>
  <c r="AM79" i="3"/>
  <c r="AM251" i="3"/>
  <c r="AM96" i="3"/>
  <c r="AM449" i="3"/>
  <c r="AM711" i="3"/>
  <c r="AM49" i="3"/>
  <c r="AM400" i="3"/>
  <c r="AM491" i="3"/>
  <c r="AM477" i="3"/>
  <c r="AM437" i="3"/>
  <c r="AM351" i="3"/>
  <c r="AM428" i="3"/>
  <c r="AM486" i="3"/>
  <c r="AM682" i="3"/>
  <c r="AM440" i="3"/>
  <c r="AM808" i="3"/>
  <c r="AM536" i="3"/>
  <c r="AM984" i="3"/>
  <c r="AM656" i="3"/>
  <c r="AM618" i="3"/>
  <c r="AM18" i="3"/>
  <c r="AM155" i="3"/>
  <c r="AM149" i="3"/>
  <c r="AM158" i="3"/>
  <c r="AM64" i="3"/>
  <c r="AM170" i="3"/>
  <c r="AM128" i="3"/>
  <c r="AM338" i="3"/>
  <c r="AM837" i="3"/>
  <c r="AM790" i="3"/>
  <c r="AM657" i="3"/>
  <c r="AM407" i="3"/>
  <c r="AM877" i="3"/>
  <c r="AM740" i="3"/>
  <c r="AM629" i="3"/>
  <c r="AM756" i="3"/>
  <c r="AM744" i="3"/>
  <c r="AM433" i="3"/>
  <c r="AM543" i="3"/>
  <c r="AM286" i="3"/>
  <c r="AM201" i="3"/>
  <c r="AM1147" i="3"/>
  <c r="AM943" i="3"/>
  <c r="AM1008" i="3"/>
  <c r="AM1061" i="3"/>
  <c r="AM435" i="3"/>
  <c r="AM968" i="3"/>
  <c r="AM95" i="3"/>
  <c r="AM162" i="3"/>
  <c r="AM429" i="3"/>
  <c r="AM354" i="3"/>
  <c r="AM304" i="3"/>
  <c r="AM632" i="3"/>
  <c r="AM941" i="3"/>
  <c r="AM585" i="3"/>
  <c r="AM892" i="3"/>
  <c r="AM283" i="3"/>
  <c r="AM733" i="3"/>
  <c r="AM745" i="3"/>
  <c r="AM797" i="3"/>
  <c r="AM314" i="3"/>
  <c r="AM1054" i="3"/>
  <c r="AM399" i="3"/>
  <c r="AM431" i="3"/>
  <c r="AM370" i="3"/>
  <c r="AM141" i="3"/>
  <c r="AM481" i="3"/>
  <c r="AM34" i="3"/>
  <c r="AM614" i="3"/>
  <c r="AM888" i="3"/>
  <c r="AM804" i="3"/>
  <c r="AM1168" i="3"/>
  <c r="AM692" i="3"/>
  <c r="AM1097" i="3"/>
  <c r="AM108" i="3"/>
  <c r="AM646" i="3"/>
  <c r="AM606" i="3"/>
  <c r="AM140" i="3"/>
  <c r="AM289" i="3"/>
  <c r="AM308" i="3"/>
  <c r="AM309" i="3"/>
  <c r="AM1050" i="3"/>
  <c r="AM414" i="3"/>
  <c r="AM512" i="3"/>
  <c r="AM842" i="3"/>
  <c r="AM619" i="3"/>
  <c r="AM463" i="3"/>
  <c r="AM561" i="3"/>
  <c r="AM380" i="3"/>
  <c r="AM52" i="3"/>
  <c r="AM57" i="3"/>
  <c r="AM265" i="3"/>
  <c r="AM177" i="3"/>
  <c r="AM23" i="3"/>
  <c r="AM86" i="3"/>
  <c r="AM347" i="3"/>
  <c r="AM65" i="3"/>
  <c r="AM298" i="3"/>
  <c r="AM1214" i="3"/>
  <c r="AM1197" i="3"/>
  <c r="AM843" i="3"/>
  <c r="AM207" i="3"/>
  <c r="AM923" i="3"/>
  <c r="AM1202" i="3"/>
  <c r="AM500" i="3"/>
  <c r="AM299" i="3"/>
  <c r="AM542" i="3"/>
  <c r="AM252" i="3"/>
  <c r="AM795" i="3"/>
  <c r="AM107" i="3"/>
  <c r="AM817" i="3"/>
  <c r="AM66" i="3"/>
  <c r="AM72" i="3"/>
  <c r="AM80" i="3"/>
  <c r="AM651" i="3"/>
  <c r="AM256" i="3"/>
  <c r="AM324" i="3"/>
  <c r="AM1070" i="3"/>
  <c r="AM421" i="3"/>
  <c r="AM907" i="3"/>
  <c r="AM50" i="3"/>
  <c r="AM222" i="3"/>
  <c r="AM105" i="3"/>
  <c r="AM300" i="3"/>
  <c r="AM146" i="3"/>
  <c r="AM131" i="3"/>
  <c r="AM178" i="3"/>
  <c r="AM425" i="3"/>
  <c r="AM134" i="3"/>
  <c r="AM811" i="3"/>
  <c r="AM246" i="3"/>
  <c r="AM297" i="3"/>
  <c r="AM562" i="3"/>
  <c r="AM391" i="3"/>
  <c r="AM994" i="3"/>
  <c r="AM24" i="3"/>
  <c r="AM345" i="3"/>
  <c r="AM211" i="3"/>
  <c r="AM113" i="3"/>
  <c r="AM92" i="3"/>
  <c r="AM826" i="3"/>
  <c r="AM563" i="3"/>
  <c r="AM281" i="3"/>
  <c r="AM264" i="3"/>
  <c r="AM442" i="3"/>
  <c r="AM788" i="3"/>
  <c r="AM249" i="3"/>
  <c r="AM326" i="3"/>
  <c r="AM1086" i="3"/>
  <c r="AM441" i="3"/>
  <c r="AM244" i="3"/>
  <c r="AM747" i="3"/>
  <c r="AM762" i="3"/>
  <c r="AM650" i="3"/>
  <c r="AM774" i="3"/>
  <c r="AM921" i="3"/>
  <c r="AM523" i="3"/>
  <c r="AM995" i="3"/>
  <c r="AM89" i="3"/>
  <c r="AM17" i="3"/>
  <c r="AM396" i="3"/>
  <c r="AM45" i="3"/>
  <c r="AM48" i="3"/>
  <c r="AM32" i="3"/>
  <c r="AM215" i="3"/>
  <c r="AM130" i="3"/>
  <c r="AM713" i="3"/>
  <c r="AM110" i="3"/>
  <c r="AM746" i="3"/>
  <c r="AM714" i="3"/>
  <c r="AM9" i="3"/>
  <c r="AM120" i="3"/>
  <c r="AM280" i="3"/>
  <c r="AM321" i="3"/>
  <c r="AM901" i="3"/>
  <c r="AM328" i="3"/>
  <c r="AM84" i="3"/>
  <c r="AM394" i="3"/>
  <c r="AM910" i="3"/>
  <c r="AM1130" i="3"/>
  <c r="AM341" i="3"/>
  <c r="AM1210" i="3"/>
  <c r="AM305" i="3"/>
  <c r="AM68" i="3"/>
  <c r="AM493" i="3"/>
  <c r="AM511" i="3"/>
  <c r="AM366" i="3"/>
  <c r="AM484" i="3"/>
  <c r="AM20" i="3"/>
  <c r="AM612" i="3"/>
  <c r="AM22" i="3"/>
  <c r="AM13" i="3"/>
  <c r="AM382" i="3"/>
  <c r="AM7" i="3"/>
  <c r="AM21" i="3"/>
  <c r="AM313" i="3"/>
  <c r="AM15" i="3"/>
  <c r="AM19" i="3"/>
  <c r="AM379" i="3"/>
  <c r="AM622" i="3"/>
  <c r="AM30" i="3"/>
  <c r="AM228" i="3"/>
  <c r="AM1038" i="3"/>
  <c r="AM828" i="3"/>
  <c r="AM27" i="3"/>
  <c r="AM44" i="3"/>
  <c r="AM60" i="3"/>
  <c r="AM47" i="3"/>
  <c r="AM55" i="3"/>
  <c r="AM186" i="3"/>
  <c r="AM262" i="3"/>
  <c r="AM849" i="3"/>
  <c r="AM565" i="3"/>
  <c r="AM385" i="3"/>
  <c r="AM350" i="3"/>
  <c r="AM193" i="3"/>
  <c r="AM482" i="3"/>
  <c r="AM988" i="3"/>
  <c r="AM302" i="3"/>
  <c r="AM167" i="3"/>
  <c r="AM633" i="3"/>
  <c r="AM276" i="3"/>
  <c r="AM267" i="3"/>
  <c r="AM176" i="3"/>
  <c r="AM455" i="3"/>
  <c r="AM154" i="3"/>
  <c r="AM156" i="3"/>
  <c r="AM368" i="3"/>
  <c r="AM63" i="3"/>
  <c r="AM643" i="3"/>
  <c r="AM951" i="3"/>
  <c r="AM672" i="3"/>
  <c r="AM566" i="3"/>
  <c r="AM10" i="3"/>
  <c r="AM192" i="3"/>
  <c r="AM29" i="3"/>
  <c r="AM952" i="3"/>
  <c r="AM533" i="3"/>
  <c r="AM317" i="3"/>
  <c r="AM417" i="3"/>
  <c r="AM136" i="3"/>
  <c r="AM59" i="3"/>
  <c r="AM862" i="3"/>
  <c r="AM546" i="3"/>
  <c r="AM438" i="3"/>
  <c r="AM663" i="3"/>
  <c r="AM316" i="3"/>
  <c r="AM759" i="3"/>
  <c r="AM605" i="3"/>
  <c r="AM570" i="3"/>
  <c r="AM870" i="3"/>
  <c r="AM483" i="3"/>
  <c r="AM891" i="3"/>
  <c r="AM592" i="3"/>
  <c r="AM927" i="3"/>
  <c r="AM25" i="3"/>
  <c r="AM1286" i="3"/>
  <c r="AM1044" i="3"/>
  <c r="AM447" i="3"/>
  <c r="AM552" i="3"/>
  <c r="AM553" i="3"/>
  <c r="AM133" i="3"/>
  <c r="AM1248" i="3"/>
  <c r="AM519" i="3"/>
  <c r="AM708" i="3"/>
  <c r="AM492" i="3"/>
  <c r="AM676" i="3"/>
  <c r="AM452" i="3"/>
  <c r="AM668" i="3"/>
  <c r="AM893" i="3"/>
  <c r="AM1026" i="3"/>
  <c r="AM831" i="3"/>
  <c r="AM184" i="3"/>
  <c r="AK28" i="3"/>
  <c r="AK54" i="3"/>
  <c r="AK1272" i="3"/>
  <c r="AK731" i="3"/>
  <c r="BB1596" i="1"/>
  <c r="BB1597" i="1"/>
  <c r="BB1598" i="1"/>
  <c r="BB1605" i="1"/>
  <c r="BB1606" i="1"/>
  <c r="BB1608" i="1"/>
  <c r="BB514" i="1"/>
  <c r="BB1623" i="1"/>
  <c r="BB1624" i="1"/>
  <c r="BB1629" i="1"/>
  <c r="BB281" i="1"/>
  <c r="BB1367" i="1"/>
  <c r="BB1368" i="1"/>
  <c r="BB1369" i="1"/>
  <c r="BB1370" i="1"/>
  <c r="BB405" i="1"/>
  <c r="BB1816" i="1"/>
  <c r="BB1817" i="1"/>
  <c r="BB1818" i="1"/>
  <c r="BB1819" i="1"/>
  <c r="BB2040" i="1"/>
  <c r="BB2052" i="1"/>
  <c r="BB2053" i="1"/>
  <c r="BB2054" i="1"/>
  <c r="BB2124" i="1"/>
  <c r="BB2125" i="1"/>
  <c r="BB1460" i="1"/>
  <c r="BB1461" i="1"/>
  <c r="BB2282" i="1"/>
  <c r="BB2283" i="1"/>
  <c r="BB2284" i="1"/>
  <c r="BB2285" i="1"/>
  <c r="BB2330" i="1"/>
  <c r="BB1099" i="1"/>
  <c r="BB2331" i="1"/>
  <c r="BB2332" i="1"/>
  <c r="BB2333" i="1"/>
  <c r="BB2334" i="1"/>
  <c r="BB2335" i="1"/>
  <c r="BB2336" i="1"/>
  <c r="BB2337" i="1"/>
  <c r="BB2338" i="1"/>
  <c r="BB2339" i="1"/>
  <c r="BB2340" i="1"/>
  <c r="BB2341" i="1"/>
  <c r="BB2342" i="1"/>
  <c r="BB2343" i="1"/>
  <c r="BB2344" i="1"/>
  <c r="BB2345" i="1"/>
  <c r="BB2346" i="1"/>
  <c r="BB547" i="1"/>
  <c r="BB548" i="1"/>
  <c r="BB549" i="1"/>
  <c r="BB550" i="1"/>
  <c r="BB551" i="1"/>
  <c r="BB973" i="1"/>
  <c r="BB974" i="1"/>
  <c r="BB2412" i="1"/>
  <c r="BB2413" i="1"/>
  <c r="BB954" i="1"/>
  <c r="BB955" i="1"/>
  <c r="BB956" i="1"/>
  <c r="BB2479" i="1"/>
  <c r="BB2480" i="1"/>
  <c r="BB928" i="1"/>
  <c r="BB929" i="1"/>
  <c r="BB930" i="1"/>
  <c r="BB931" i="1"/>
  <c r="BB932" i="1"/>
  <c r="BB933" i="1"/>
  <c r="BB934" i="1"/>
  <c r="BB935" i="1"/>
  <c r="BB936" i="1"/>
  <c r="BB937" i="1"/>
  <c r="BB938" i="1"/>
  <c r="BB939" i="1"/>
  <c r="BB940" i="1"/>
  <c r="BB941" i="1"/>
  <c r="BB942" i="1"/>
  <c r="BB943" i="1"/>
  <c r="BB944" i="1"/>
  <c r="BB945" i="1"/>
  <c r="BB1288" i="1"/>
  <c r="BB1289" i="1"/>
  <c r="BB1290" i="1"/>
  <c r="BB1291" i="1"/>
  <c r="BB1512" i="1"/>
  <c r="BB1513" i="1"/>
  <c r="BB1514" i="1"/>
  <c r="BB961" i="1"/>
  <c r="BB962" i="1"/>
  <c r="BB963" i="1"/>
  <c r="BB1548" i="1"/>
  <c r="Z1563" i="1"/>
  <c r="Z1564" i="1"/>
  <c r="Z1565" i="1"/>
  <c r="Z1566" i="1"/>
  <c r="Z1567" i="1"/>
  <c r="Z1568" i="1"/>
  <c r="Z1569" i="1"/>
  <c r="Z979" i="1"/>
  <c r="Z980" i="1"/>
  <c r="Z981" i="1"/>
  <c r="Z982" i="1"/>
  <c r="Z1570" i="1"/>
  <c r="Z1315" i="1"/>
  <c r="Z1316" i="1"/>
  <c r="Z508" i="1"/>
  <c r="Z509" i="1"/>
  <c r="Z510" i="1"/>
  <c r="Z511" i="1"/>
  <c r="Z1228" i="1"/>
  <c r="Z1229" i="1"/>
  <c r="Z1571" i="1"/>
  <c r="Z1572" i="1"/>
  <c r="Z1573" i="1"/>
  <c r="Z1185" i="1"/>
  <c r="Z1186" i="1"/>
  <c r="Z1574" i="1"/>
  <c r="Z1575" i="1"/>
  <c r="Z384" i="1"/>
  <c r="Z385" i="1"/>
  <c r="Z386" i="1"/>
  <c r="Z33" i="1"/>
  <c r="Z35" i="1"/>
  <c r="Z34" i="1"/>
  <c r="Z36" i="1"/>
  <c r="Z37" i="1"/>
  <c r="Z135" i="1"/>
  <c r="Z136" i="1"/>
  <c r="Z137" i="1"/>
  <c r="Z138" i="1"/>
  <c r="Z139" i="1"/>
  <c r="Z140" i="1"/>
  <c r="Z141" i="1"/>
  <c r="Z142" i="1"/>
  <c r="Z143" i="1"/>
  <c r="Z144" i="1"/>
  <c r="Z145" i="1"/>
  <c r="Z146" i="1"/>
  <c r="Z147" i="1"/>
  <c r="Z148" i="1"/>
  <c r="Z149" i="1"/>
  <c r="Z1576" i="1"/>
  <c r="Z1577" i="1"/>
  <c r="Z1578" i="1"/>
  <c r="Z1579" i="1"/>
  <c r="Z1580" i="1"/>
  <c r="Z1581" i="1"/>
  <c r="Z1582" i="1"/>
  <c r="Z80" i="1"/>
  <c r="Z99" i="1"/>
  <c r="Z100" i="1"/>
  <c r="Z81" i="1"/>
  <c r="Z101" i="1"/>
  <c r="Z102" i="1"/>
  <c r="Z82" i="1"/>
  <c r="Z103" i="1"/>
  <c r="Z104" i="1"/>
  <c r="Z83" i="1"/>
  <c r="Z105" i="1"/>
  <c r="Z106" i="1"/>
  <c r="Z84" i="1"/>
  <c r="Z107" i="1"/>
  <c r="Z108" i="1"/>
  <c r="Z85" i="1"/>
  <c r="Z109" i="1"/>
  <c r="Z110" i="1"/>
  <c r="Z86" i="1"/>
  <c r="Z111" i="1"/>
  <c r="Z112" i="1"/>
  <c r="Z87" i="1"/>
  <c r="Z113" i="1"/>
  <c r="Z114" i="1"/>
  <c r="Z88" i="1"/>
  <c r="Z115" i="1"/>
  <c r="Z116" i="1"/>
  <c r="Z89" i="1"/>
  <c r="Z117" i="1"/>
  <c r="Z118" i="1"/>
  <c r="Z90" i="1"/>
  <c r="Z119" i="1"/>
  <c r="Z120" i="1"/>
  <c r="Z121" i="1"/>
  <c r="Z122" i="1"/>
  <c r="Z123" i="1"/>
  <c r="Z124" i="1"/>
  <c r="Z1583" i="1"/>
  <c r="Z1584" i="1"/>
  <c r="Z1585" i="1"/>
  <c r="Z993" i="1"/>
  <c r="Z994" i="1"/>
  <c r="Z1586" i="1"/>
  <c r="Z1587" i="1"/>
  <c r="Z1588" i="1"/>
  <c r="Z1589" i="1"/>
  <c r="Z995" i="1"/>
  <c r="Z996" i="1"/>
  <c r="Z1317" i="1"/>
  <c r="Z1318" i="1"/>
  <c r="Z1590" i="1"/>
  <c r="Z1319" i="1"/>
  <c r="Z1320" i="1"/>
  <c r="Z1321" i="1"/>
  <c r="Z1591" i="1"/>
  <c r="Z1592" i="1"/>
  <c r="Z1593" i="1"/>
  <c r="Z407" i="1"/>
  <c r="Z408" i="1"/>
  <c r="Z409" i="1"/>
  <c r="Z410" i="1"/>
  <c r="Z411" i="1"/>
  <c r="Z997" i="1"/>
  <c r="Z998" i="1"/>
  <c r="Z1594" i="1"/>
  <c r="Z1595" i="1"/>
  <c r="Z1596" i="1"/>
  <c r="Z1597" i="1"/>
  <c r="Z1598" i="1"/>
  <c r="Z1147" i="1"/>
  <c r="Z1599" i="1"/>
  <c r="Z1148" i="1"/>
  <c r="Z1600" i="1"/>
  <c r="Z1601" i="1"/>
  <c r="Z1322" i="1"/>
  <c r="Z1602" i="1"/>
  <c r="Z816" i="1"/>
  <c r="Z817" i="1"/>
  <c r="Z999" i="1"/>
  <c r="Z1000" i="1"/>
  <c r="Z1323" i="1"/>
  <c r="Z1324" i="1"/>
  <c r="Z1325" i="1"/>
  <c r="Z1159" i="1"/>
  <c r="Z1603" i="1"/>
  <c r="Z1604" i="1"/>
  <c r="Z512" i="1"/>
  <c r="Z513" i="1"/>
  <c r="Z1326" i="1"/>
  <c r="Z1327" i="1"/>
  <c r="Z246" i="1"/>
  <c r="Z1605" i="1"/>
  <c r="Z1606" i="1"/>
  <c r="Z1607" i="1"/>
  <c r="Z1608" i="1"/>
  <c r="Z1609" i="1"/>
  <c r="Z1610" i="1"/>
  <c r="Z815" i="1"/>
  <c r="Z818" i="1"/>
  <c r="Z819" i="1"/>
  <c r="Z1611" i="1"/>
  <c r="Z1612" i="1"/>
  <c r="Z1613" i="1"/>
  <c r="Z1614" i="1"/>
  <c r="Z1615" i="1"/>
  <c r="Z514" i="1"/>
  <c r="Z1616" i="1"/>
  <c r="Z1617" i="1"/>
  <c r="Z1618" i="1"/>
  <c r="Z1619" i="1"/>
  <c r="Z311" i="1"/>
  <c r="Z314" i="1"/>
  <c r="Z312" i="1"/>
  <c r="Z315" i="1"/>
  <c r="Z313" i="1"/>
  <c r="Z316" i="1"/>
  <c r="Z317" i="1"/>
  <c r="Z9" i="1"/>
  <c r="Z1620" i="1"/>
  <c r="Z1621" i="1"/>
  <c r="Z1622" i="1"/>
  <c r="Z1001" i="1"/>
  <c r="Z1002" i="1"/>
  <c r="Z1623" i="1"/>
  <c r="Z1624" i="1"/>
  <c r="Z1625" i="1"/>
  <c r="Z1626" i="1"/>
  <c r="Z1627" i="1"/>
  <c r="Z1628" i="1"/>
  <c r="Z783" i="1"/>
  <c r="Z784" i="1"/>
  <c r="Z1629" i="1"/>
  <c r="Z1630" i="1"/>
  <c r="Z1631" i="1"/>
  <c r="Z1632" i="1"/>
  <c r="Z1633" i="1"/>
  <c r="Z1634" i="1"/>
  <c r="Z1635" i="1"/>
  <c r="Z1636" i="1"/>
  <c r="Z1637" i="1"/>
  <c r="Z1638" i="1"/>
  <c r="Z1639" i="1"/>
  <c r="Z1640" i="1"/>
  <c r="Z1641" i="1"/>
  <c r="Z7" i="1"/>
  <c r="Z8" i="1"/>
  <c r="Z645" i="1"/>
  <c r="Z646" i="1"/>
  <c r="Z647" i="1"/>
  <c r="Z648" i="1"/>
  <c r="Z649" i="1"/>
  <c r="Z650" i="1"/>
  <c r="Z651" i="1"/>
  <c r="Z652" i="1"/>
  <c r="Z1642" i="1"/>
  <c r="Z1643" i="1"/>
  <c r="Z1328" i="1"/>
  <c r="Z1644" i="1"/>
  <c r="Z1645" i="1"/>
  <c r="Z424" i="1"/>
  <c r="Z425" i="1"/>
  <c r="Z426" i="1"/>
  <c r="Z427" i="1"/>
  <c r="Z428" i="1"/>
  <c r="Z429" i="1"/>
  <c r="Z430" i="1"/>
  <c r="Z431" i="1"/>
  <c r="Z480" i="1"/>
  <c r="Z481" i="1"/>
  <c r="Z482" i="1"/>
  <c r="Z483" i="1"/>
  <c r="Z1110" i="1"/>
  <c r="Z1646" i="1"/>
  <c r="Z1647" i="1"/>
  <c r="Z1648" i="1"/>
  <c r="Z1649" i="1"/>
  <c r="Z3" i="1"/>
  <c r="Z4" i="1"/>
  <c r="Z1329" i="1"/>
  <c r="Z1330" i="1"/>
  <c r="Z1331" i="1"/>
  <c r="Z782" i="1"/>
  <c r="Z785" i="1"/>
  <c r="Z786" i="1"/>
  <c r="Z1332" i="1"/>
  <c r="Z1333" i="1"/>
  <c r="Z1334" i="1"/>
  <c r="Z1335" i="1"/>
  <c r="Z1336" i="1"/>
  <c r="Z1337" i="1"/>
  <c r="Z1338" i="1"/>
  <c r="Z1339" i="1"/>
  <c r="Z1340" i="1"/>
  <c r="Z1341" i="1"/>
  <c r="Z1342" i="1"/>
  <c r="Z1343" i="1"/>
  <c r="Z1650" i="1"/>
  <c r="Z1651" i="1"/>
  <c r="Z1652" i="1"/>
  <c r="Z1653" i="1"/>
  <c r="Z1654" i="1"/>
  <c r="Z1655" i="1"/>
  <c r="Z150" i="1"/>
  <c r="Z151" i="1"/>
  <c r="Z152" i="1"/>
  <c r="Z153" i="1"/>
  <c r="Z154" i="1"/>
  <c r="Z155" i="1"/>
  <c r="Z156" i="1"/>
  <c r="Z157" i="1"/>
  <c r="Z158" i="1"/>
  <c r="Z159" i="1"/>
  <c r="Z160" i="1"/>
  <c r="Z161" i="1"/>
  <c r="Z162" i="1"/>
  <c r="Z163" i="1"/>
  <c r="Z164" i="1"/>
  <c r="Z1656" i="1"/>
  <c r="Z1344" i="1"/>
  <c r="Z1345" i="1"/>
  <c r="Z515" i="1"/>
  <c r="Z516" i="1"/>
  <c r="Z517" i="1"/>
  <c r="Z439" i="1"/>
  <c r="Z447" i="1"/>
  <c r="Z518" i="1"/>
  <c r="Z519" i="1"/>
  <c r="Z520" i="1"/>
  <c r="Z521" i="1"/>
  <c r="Z522" i="1"/>
  <c r="Z523" i="1"/>
  <c r="Z524" i="1"/>
  <c r="Z525" i="1"/>
  <c r="Z526" i="1"/>
  <c r="Z527" i="1"/>
  <c r="Z528" i="1"/>
  <c r="Z529" i="1"/>
  <c r="Z530" i="1"/>
  <c r="Z531" i="1"/>
  <c r="Z532" i="1"/>
  <c r="Z533" i="1"/>
  <c r="Z534" i="1"/>
  <c r="Z535" i="1"/>
  <c r="Z536" i="1"/>
  <c r="Z537" i="1"/>
  <c r="Z538" i="1"/>
  <c r="Z440" i="1"/>
  <c r="Z441" i="1"/>
  <c r="Z442" i="1"/>
  <c r="Z443" i="1"/>
  <c r="Z444" i="1"/>
  <c r="Z445" i="1"/>
  <c r="Z446" i="1"/>
  <c r="Z448" i="1"/>
  <c r="Z449" i="1"/>
  <c r="Z450" i="1"/>
  <c r="Z451" i="1"/>
  <c r="Z452" i="1"/>
  <c r="Z453" i="1"/>
  <c r="Z454" i="1"/>
  <c r="Z1657" i="1"/>
  <c r="Z1658" i="1"/>
  <c r="Z467" i="1"/>
  <c r="Z468" i="1"/>
  <c r="Z469" i="1"/>
  <c r="Z1109" i="1"/>
  <c r="Z1346" i="1"/>
  <c r="Z1347" i="1"/>
  <c r="Z1348" i="1"/>
  <c r="Z1349" i="1"/>
  <c r="Z1350" i="1"/>
  <c r="Z1351" i="1"/>
  <c r="Z1659" i="1"/>
  <c r="Z1660" i="1"/>
  <c r="Z1003" i="1"/>
  <c r="Z1004" i="1"/>
  <c r="Z1005" i="1"/>
  <c r="Z1006" i="1"/>
  <c r="Z1661" i="1"/>
  <c r="Z1662" i="1"/>
  <c r="Z1663" i="1"/>
  <c r="Z1664" i="1"/>
  <c r="Z1665" i="1"/>
  <c r="Z1666" i="1"/>
  <c r="Z1667" i="1"/>
  <c r="Z1668" i="1"/>
  <c r="Z1669" i="1"/>
  <c r="Z1670" i="1"/>
  <c r="Z1072" i="1"/>
  <c r="Z967" i="1"/>
  <c r="Z968" i="1"/>
  <c r="Z969" i="1"/>
  <c r="Z1352" i="1"/>
  <c r="Z1181" i="1"/>
  <c r="Z1353" i="1"/>
  <c r="Z1671" i="1"/>
  <c r="Z284" i="1"/>
  <c r="Z276" i="1"/>
  <c r="Z1672" i="1"/>
  <c r="Z1673" i="1"/>
  <c r="Z1674" i="1"/>
  <c r="Z1675" i="1"/>
  <c r="Z1676" i="1"/>
  <c r="Z1677" i="1"/>
  <c r="Z1678" i="1"/>
  <c r="Z1679" i="1"/>
  <c r="Z1680" i="1"/>
  <c r="Z1681" i="1"/>
  <c r="Z1682" i="1"/>
  <c r="Z1683" i="1"/>
  <c r="Z1684" i="1"/>
  <c r="Z1685" i="1"/>
  <c r="Z1686" i="1"/>
  <c r="Z1687" i="1"/>
  <c r="Z1688" i="1"/>
  <c r="Z1689" i="1"/>
  <c r="Z1690" i="1"/>
  <c r="Z1691" i="1"/>
  <c r="Z1692" i="1"/>
  <c r="Z985" i="1"/>
  <c r="Z986" i="1"/>
  <c r="Z987" i="1"/>
  <c r="Z988" i="1"/>
  <c r="Z989" i="1"/>
  <c r="Z990" i="1"/>
  <c r="Z991" i="1"/>
  <c r="Z38" i="1"/>
  <c r="Z39" i="1"/>
  <c r="Z40" i="1"/>
  <c r="Z41" i="1"/>
  <c r="Z42" i="1"/>
  <c r="Z43" i="1"/>
  <c r="Z44" i="1"/>
  <c r="Z45" i="1"/>
  <c r="Z46" i="1"/>
  <c r="Z47" i="1"/>
  <c r="Z48" i="1"/>
  <c r="Z49" i="1"/>
  <c r="Z50" i="1"/>
  <c r="Z51" i="1"/>
  <c r="Z52" i="1"/>
  <c r="Z53" i="1"/>
  <c r="Z54" i="1"/>
  <c r="Z55" i="1"/>
  <c r="Z1354" i="1"/>
  <c r="Z1355" i="1"/>
  <c r="Z1693" i="1"/>
  <c r="Z1694" i="1"/>
  <c r="Z1695" i="1"/>
  <c r="Z1696" i="1"/>
  <c r="Z1697" i="1"/>
  <c r="Z1698" i="1"/>
  <c r="Z1699" i="1"/>
  <c r="Z1700" i="1"/>
  <c r="Z1701" i="1"/>
  <c r="Z908" i="1"/>
  <c r="Z909" i="1"/>
  <c r="Z1356" i="1"/>
  <c r="Z1357" i="1"/>
  <c r="Z1358" i="1"/>
  <c r="Z1359" i="1"/>
  <c r="Z1702" i="1"/>
  <c r="Z1703" i="1"/>
  <c r="Z1704" i="1"/>
  <c r="Z1705" i="1"/>
  <c r="Z1706" i="1"/>
  <c r="Z1707" i="1"/>
  <c r="Z1708" i="1"/>
  <c r="Z1709" i="1"/>
  <c r="Z1007" i="1"/>
  <c r="Z1008" i="1"/>
  <c r="Z281" i="1"/>
  <c r="Z1360" i="1"/>
  <c r="Z1361" i="1"/>
  <c r="Z1362" i="1"/>
  <c r="Z1710" i="1"/>
  <c r="Z1711" i="1"/>
  <c r="Z1712" i="1"/>
  <c r="Z1114" i="1"/>
  <c r="Z32" i="1"/>
  <c r="Z1713" i="1"/>
  <c r="Z1714" i="1"/>
  <c r="Z1715" i="1"/>
  <c r="Z1716" i="1"/>
  <c r="Z1717" i="1"/>
  <c r="Z1718" i="1"/>
  <c r="Z1363" i="1"/>
  <c r="Z1364" i="1"/>
  <c r="Z1365" i="1"/>
  <c r="Z1366" i="1"/>
  <c r="Z502" i="1"/>
  <c r="Z503" i="1"/>
  <c r="Z504" i="1"/>
  <c r="Z505" i="1"/>
  <c r="Z1367" i="1"/>
  <c r="Z1368" i="1"/>
  <c r="Z1369" i="1"/>
  <c r="Z1370" i="1"/>
  <c r="Z1719" i="1"/>
  <c r="Z1720" i="1"/>
  <c r="Z323" i="1"/>
  <c r="Z338" i="1"/>
  <c r="Z339" i="1"/>
  <c r="Z324" i="1"/>
  <c r="Z340" i="1"/>
  <c r="Z341" i="1"/>
  <c r="Z325" i="1"/>
  <c r="Z342" i="1"/>
  <c r="Z343" i="1"/>
  <c r="Z326" i="1"/>
  <c r="Z344" i="1"/>
  <c r="Z345" i="1"/>
  <c r="Z327" i="1"/>
  <c r="Z346" i="1"/>
  <c r="Z347" i="1"/>
  <c r="Z328" i="1"/>
  <c r="Z348" i="1"/>
  <c r="Z349" i="1"/>
  <c r="Z329" i="1"/>
  <c r="Z350" i="1"/>
  <c r="Z351" i="1"/>
  <c r="Z330" i="1"/>
  <c r="Z352" i="1"/>
  <c r="Z353" i="1"/>
  <c r="Z354" i="1"/>
  <c r="Z355" i="1"/>
  <c r="Z356" i="1"/>
  <c r="Z357" i="1"/>
  <c r="Z358" i="1"/>
  <c r="Z359" i="1"/>
  <c r="Z360" i="1"/>
  <c r="Z331" i="1"/>
  <c r="Z361" i="1"/>
  <c r="Z332" i="1"/>
  <c r="Z362" i="1"/>
  <c r="Z333" i="1"/>
  <c r="Z363" i="1"/>
  <c r="Z334" i="1"/>
  <c r="Z364" i="1"/>
  <c r="Z335" i="1"/>
  <c r="Z336" i="1"/>
  <c r="Z337" i="1"/>
  <c r="Z365" i="1"/>
  <c r="Z366" i="1"/>
  <c r="Z367" i="1"/>
  <c r="Z368" i="1"/>
  <c r="Z1721" i="1"/>
  <c r="Z1722" i="1"/>
  <c r="Z1723" i="1"/>
  <c r="Z1724" i="1"/>
  <c r="Z1230" i="1"/>
  <c r="Z1231" i="1"/>
  <c r="Z1251" i="1"/>
  <c r="Z1252" i="1"/>
  <c r="Z1253" i="1"/>
  <c r="Z1254" i="1"/>
  <c r="Z910" i="1"/>
  <c r="Z911" i="1"/>
  <c r="Z539" i="1"/>
  <c r="Z31" i="1"/>
  <c r="Z1086" i="1"/>
  <c r="Z811" i="1"/>
  <c r="Z812" i="1"/>
  <c r="Z1725" i="1"/>
  <c r="Z1726" i="1"/>
  <c r="Z1727" i="1"/>
  <c r="Z1728" i="1"/>
  <c r="Z1371" i="1"/>
  <c r="Z1372" i="1"/>
  <c r="Z1729" i="1"/>
  <c r="Z1730" i="1"/>
  <c r="Z1731" i="1"/>
  <c r="Z947" i="1"/>
  <c r="Z948" i="1"/>
  <c r="Z949" i="1"/>
  <c r="Z950" i="1"/>
  <c r="Z1218" i="1"/>
  <c r="Z1219" i="1"/>
  <c r="Z1732" i="1"/>
  <c r="Z1733" i="1"/>
  <c r="Z1734" i="1"/>
  <c r="Z1735" i="1"/>
  <c r="Z1736" i="1"/>
  <c r="Z1737" i="1"/>
  <c r="Z1738" i="1"/>
  <c r="Z899" i="1"/>
  <c r="Z900" i="1"/>
  <c r="Z1373" i="1"/>
  <c r="Z1374" i="1"/>
  <c r="Z1375" i="1"/>
  <c r="Z1376" i="1"/>
  <c r="Z1377" i="1"/>
  <c r="Z1378" i="1"/>
  <c r="Z1379" i="1"/>
  <c r="Z1739" i="1"/>
  <c r="Z1740" i="1"/>
  <c r="Z1741" i="1"/>
  <c r="Z1742" i="1"/>
  <c r="Z1743" i="1"/>
  <c r="Z1744" i="1"/>
  <c r="Z1178" i="1"/>
  <c r="Z1179" i="1"/>
  <c r="Z1180" i="1"/>
  <c r="Z1745" i="1"/>
  <c r="Z1380" i="1"/>
  <c r="Z1746" i="1"/>
  <c r="Z1381" i="1"/>
  <c r="Z1382" i="1"/>
  <c r="Z1383" i="1"/>
  <c r="Z1384" i="1"/>
  <c r="Z1385" i="1"/>
  <c r="Z1386" i="1"/>
  <c r="Z1387" i="1"/>
  <c r="Z1747" i="1"/>
  <c r="Z1748" i="1"/>
  <c r="Z1749" i="1"/>
  <c r="Z1750" i="1"/>
  <c r="Z1751" i="1"/>
  <c r="Z1752" i="1"/>
  <c r="Z1753" i="1"/>
  <c r="Z1754" i="1"/>
  <c r="Z1755" i="1"/>
  <c r="Z1756" i="1"/>
  <c r="Z1757" i="1"/>
  <c r="Z1758" i="1"/>
  <c r="Z1759" i="1"/>
  <c r="Z1760" i="1"/>
  <c r="Z1761" i="1"/>
  <c r="Z405" i="1"/>
  <c r="Z1009" i="1"/>
  <c r="Z1010" i="1"/>
  <c r="Z1762" i="1"/>
  <c r="Z1763" i="1"/>
  <c r="Z1764" i="1"/>
  <c r="Z1765" i="1"/>
  <c r="Z804" i="1"/>
  <c r="Z805" i="1"/>
  <c r="Z806" i="1"/>
  <c r="Z1766" i="1"/>
  <c r="Z1767" i="1"/>
  <c r="Z1768" i="1"/>
  <c r="Z1769" i="1"/>
  <c r="Z1770" i="1"/>
  <c r="Z1206" i="1"/>
  <c r="Z1207" i="1"/>
  <c r="Z1771" i="1"/>
  <c r="Z1772" i="1"/>
  <c r="Z781" i="1"/>
  <c r="Z787" i="1"/>
  <c r="Z788" i="1"/>
  <c r="Z1388" i="1"/>
  <c r="Z1773" i="1"/>
  <c r="Z1774" i="1"/>
  <c r="Z1775" i="1"/>
  <c r="Z1136" i="1"/>
  <c r="Z1137" i="1"/>
  <c r="Z1776" i="1"/>
  <c r="Z1777" i="1"/>
  <c r="Z1778" i="1"/>
  <c r="Z1779" i="1"/>
  <c r="Z1780" i="1"/>
  <c r="Z1781" i="1"/>
  <c r="Z1782" i="1"/>
  <c r="Z1255" i="1"/>
  <c r="Z1256" i="1"/>
  <c r="Z1257" i="1"/>
  <c r="Z1258" i="1"/>
  <c r="Z1259"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389" i="1"/>
  <c r="Z1390" i="1"/>
  <c r="Z1391" i="1"/>
  <c r="Z1392" i="1"/>
  <c r="Z1393" i="1"/>
  <c r="Z1809" i="1"/>
  <c r="Z1810" i="1"/>
  <c r="Z1811" i="1"/>
  <c r="Z1812" i="1"/>
  <c r="Z1813" i="1"/>
  <c r="Z1814" i="1"/>
  <c r="Z1815" i="1"/>
  <c r="Z1816" i="1"/>
  <c r="Z1817" i="1"/>
  <c r="Z1818" i="1"/>
  <c r="Z1819" i="1"/>
  <c r="Z1820" i="1"/>
  <c r="Z1821" i="1"/>
  <c r="Z1822" i="1"/>
  <c r="Z1823" i="1"/>
  <c r="Z5" i="1"/>
  <c r="Z6"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277" i="1"/>
  <c r="Z278" i="1"/>
  <c r="Z279" i="1"/>
  <c r="Z1860" i="1"/>
  <c r="Z1861" i="1"/>
  <c r="Z1862" i="1"/>
  <c r="Z1863" i="1"/>
  <c r="Z1864" i="1"/>
  <c r="Z1865" i="1"/>
  <c r="Z1866" i="1"/>
  <c r="Z1867" i="1"/>
  <c r="Z1868" i="1"/>
  <c r="Z1869" i="1"/>
  <c r="Z1870" i="1"/>
  <c r="Z1871" i="1"/>
  <c r="Z1872" i="1"/>
  <c r="Z1011" i="1"/>
  <c r="Z1012" i="1"/>
  <c r="Z1873" i="1"/>
  <c r="Z1874" i="1"/>
  <c r="Z1875" i="1"/>
  <c r="Z1876" i="1"/>
  <c r="Z1877" i="1"/>
  <c r="Z1878" i="1"/>
  <c r="Z1879" i="1"/>
  <c r="Z1880" i="1"/>
  <c r="Z771" i="1"/>
  <c r="Z1214" i="1"/>
  <c r="Z1215" i="1"/>
  <c r="Z1881" i="1"/>
  <c r="Z1882" i="1"/>
  <c r="Z1883" i="1"/>
  <c r="Z1884" i="1"/>
  <c r="Z1885" i="1"/>
  <c r="Z1886" i="1"/>
  <c r="Z898" i="1"/>
  <c r="Z901" i="1"/>
  <c r="Z902" i="1"/>
  <c r="Z1260" i="1"/>
  <c r="Z1261" i="1"/>
  <c r="Z1887" i="1"/>
  <c r="Z1888" i="1"/>
  <c r="Z1889" i="1"/>
  <c r="Z1890" i="1"/>
  <c r="Z1891" i="1"/>
  <c r="Z1892" i="1"/>
  <c r="Z1893" i="1"/>
  <c r="Z1894" i="1"/>
  <c r="Z1895" i="1"/>
  <c r="Z1896" i="1"/>
  <c r="Z1897" i="1"/>
  <c r="Z1898" i="1"/>
  <c r="Z1899" i="1"/>
  <c r="Z1900" i="1"/>
  <c r="Z1901" i="1"/>
  <c r="Z1902" i="1"/>
  <c r="Z1903" i="1"/>
  <c r="Z1904" i="1"/>
  <c r="Z1905" i="1"/>
  <c r="Z1906" i="1"/>
  <c r="Z1394" i="1"/>
  <c r="Z1395" i="1"/>
  <c r="Z1169" i="1"/>
  <c r="Z1907" i="1"/>
  <c r="Z1396" i="1"/>
  <c r="Z1908" i="1"/>
  <c r="Z1397" i="1"/>
  <c r="Z1398" i="1"/>
  <c r="Z1909" i="1"/>
  <c r="Z1910" i="1"/>
  <c r="Z1399" i="1"/>
  <c r="Z1400" i="1"/>
  <c r="Z1401" i="1"/>
  <c r="Z1402" i="1"/>
  <c r="Z1403" i="1"/>
  <c r="Z1404" i="1"/>
  <c r="Z1405" i="1"/>
  <c r="Z1406" i="1"/>
  <c r="Z1407" i="1"/>
  <c r="Z1408" i="1"/>
  <c r="Z1911" i="1"/>
  <c r="Z1912" i="1"/>
  <c r="Z1409" i="1"/>
  <c r="Z1913" i="1"/>
  <c r="Z1914" i="1"/>
  <c r="Z1170" i="1"/>
  <c r="Z1171" i="1"/>
  <c r="Z1172" i="1"/>
  <c r="Z1173" i="1"/>
  <c r="Z1915" i="1"/>
  <c r="Z1916" i="1"/>
  <c r="Z1917" i="1"/>
  <c r="Z1918" i="1"/>
  <c r="Z1410" i="1"/>
  <c r="Z1411" i="1"/>
  <c r="Z1412" i="1"/>
  <c r="Z1413" i="1"/>
  <c r="Z1919" i="1"/>
  <c r="Z1920" i="1"/>
  <c r="Z1921" i="1"/>
  <c r="Z1922" i="1"/>
  <c r="Z1923" i="1"/>
  <c r="Z1414" i="1"/>
  <c r="Z1415" i="1"/>
  <c r="Z1416" i="1"/>
  <c r="Z1417" i="1"/>
  <c r="Z1418" i="1"/>
  <c r="Z1924" i="1"/>
  <c r="Z1925" i="1"/>
  <c r="Z1419" i="1"/>
  <c r="Z1420" i="1"/>
  <c r="Z1421" i="1"/>
  <c r="Z1422" i="1"/>
  <c r="Z1926" i="1"/>
  <c r="Z1927" i="1"/>
  <c r="Z1928" i="1"/>
  <c r="Z1929" i="1"/>
  <c r="Z1930" i="1"/>
  <c r="Z1931" i="1"/>
  <c r="Z1932" i="1"/>
  <c r="Z1933" i="1"/>
  <c r="Z1934" i="1"/>
  <c r="Z1935" i="1"/>
  <c r="Z1936" i="1"/>
  <c r="Z1937" i="1"/>
  <c r="Z1938" i="1"/>
  <c r="Z1939" i="1"/>
  <c r="Z1940" i="1"/>
  <c r="Z1423" i="1"/>
  <c r="Z1424" i="1"/>
  <c r="Z1425" i="1"/>
  <c r="Z1941" i="1"/>
  <c r="Z1942" i="1"/>
  <c r="Z1943" i="1"/>
  <c r="Z1944" i="1"/>
  <c r="Z1945" i="1"/>
  <c r="Z1946" i="1"/>
  <c r="Z1947" i="1"/>
  <c r="Z1948" i="1"/>
  <c r="Z1949" i="1"/>
  <c r="Z1950" i="1"/>
  <c r="Z1951" i="1"/>
  <c r="Z1952" i="1"/>
  <c r="Z1953" i="1"/>
  <c r="Z1954" i="1"/>
  <c r="Z1955" i="1"/>
  <c r="Z1956" i="1"/>
  <c r="Z1957" i="1"/>
  <c r="Z1958" i="1"/>
  <c r="Z1106" i="1"/>
  <c r="Z1107" i="1"/>
  <c r="Z1959" i="1"/>
  <c r="Z1960" i="1"/>
  <c r="Z1961" i="1"/>
  <c r="Z1962" i="1"/>
  <c r="Z1963" i="1"/>
  <c r="Z1964" i="1"/>
  <c r="Z1965" i="1"/>
  <c r="Z1966" i="1"/>
  <c r="Z1967" i="1"/>
  <c r="Z1968" i="1"/>
  <c r="Z1969" i="1"/>
  <c r="Z1970" i="1"/>
  <c r="Z1155" i="1"/>
  <c r="Z1156" i="1"/>
  <c r="Z1262" i="1"/>
  <c r="Z1971" i="1"/>
  <c r="Z1972" i="1"/>
  <c r="Z1973" i="1"/>
  <c r="Z406" i="1"/>
  <c r="Z16" i="1"/>
  <c r="Z17" i="1"/>
  <c r="Z1974" i="1"/>
  <c r="Z1975" i="1"/>
  <c r="Z10" i="1"/>
  <c r="Z13" i="1"/>
  <c r="Z11" i="1"/>
  <c r="Z14" i="1"/>
  <c r="Z15" i="1"/>
  <c r="Z1013" i="1"/>
  <c r="Z1014" i="1"/>
  <c r="Z1976" i="1"/>
  <c r="Z1977" i="1"/>
  <c r="Z1978" i="1"/>
  <c r="Z1979" i="1"/>
  <c r="Z874" i="1"/>
  <c r="Z875" i="1"/>
  <c r="Z876" i="1"/>
  <c r="Z877" i="1"/>
  <c r="Z878" i="1"/>
  <c r="Z879" i="1"/>
  <c r="Z880" i="1"/>
  <c r="Z881" i="1"/>
  <c r="Z1980" i="1"/>
  <c r="Z1981" i="1"/>
  <c r="Z1982" i="1"/>
  <c r="Z1983" i="1"/>
  <c r="Z1984" i="1"/>
  <c r="Z1985" i="1"/>
  <c r="Z1986" i="1"/>
  <c r="Z1987" i="1"/>
  <c r="Z1988" i="1"/>
  <c r="Z1989" i="1"/>
  <c r="Z1990" i="1"/>
  <c r="Z1991" i="1"/>
  <c r="Z1992" i="1"/>
  <c r="Z1993" i="1"/>
  <c r="Z1994" i="1"/>
  <c r="Z390" i="1"/>
  <c r="Z397" i="1"/>
  <c r="Z391" i="1"/>
  <c r="Z398" i="1"/>
  <c r="Z392" i="1"/>
  <c r="Z399" i="1"/>
  <c r="Z393" i="1"/>
  <c r="Z400" i="1"/>
  <c r="Z394" i="1"/>
  <c r="Z401" i="1"/>
  <c r="Z395" i="1"/>
  <c r="Z396" i="1"/>
  <c r="Z402" i="1"/>
  <c r="Z403" i="1"/>
  <c r="Z1263" i="1"/>
  <c r="Z1264" i="1"/>
  <c r="Z1232" i="1"/>
  <c r="Z1233" i="1"/>
  <c r="Z1995" i="1"/>
  <c r="Z1426" i="1"/>
  <c r="Z1996" i="1"/>
  <c r="Z1997" i="1"/>
  <c r="Z1998" i="1"/>
  <c r="Z1042" i="1"/>
  <c r="Z1045" i="1"/>
  <c r="Z12" i="1"/>
  <c r="Z18" i="1"/>
  <c r="Z1043" i="1"/>
  <c r="Z1044" i="1"/>
  <c r="Z1046" i="1"/>
  <c r="Z1047" i="1"/>
  <c r="Z1048" i="1"/>
  <c r="Z1999" i="1"/>
  <c r="Z2000" i="1"/>
  <c r="Z2001" i="1"/>
  <c r="Z2002" i="1"/>
  <c r="Z19" i="1"/>
  <c r="Z23" i="1"/>
  <c r="Z20" i="1"/>
  <c r="Z24" i="1"/>
  <c r="Z21" i="1"/>
  <c r="Z22" i="1"/>
  <c r="Z25" i="1"/>
  <c r="Z26" i="1"/>
  <c r="Z27" i="1"/>
  <c r="Z2003" i="1"/>
  <c r="Z1427" i="1"/>
  <c r="Z912" i="1"/>
  <c r="Z913" i="1"/>
  <c r="Z2004" i="1"/>
  <c r="Z2005" i="1"/>
  <c r="Z914" i="1"/>
  <c r="Z915" i="1"/>
  <c r="Z1428" i="1"/>
  <c r="Z2006" i="1"/>
  <c r="Z2007" i="1"/>
  <c r="Z2008" i="1"/>
  <c r="Z2009" i="1"/>
  <c r="Z2010" i="1"/>
  <c r="Z2011" i="1"/>
  <c r="Z2012" i="1"/>
  <c r="Z1429" i="1"/>
  <c r="Z2013" i="1"/>
  <c r="Z1430" i="1"/>
  <c r="Z1431" i="1"/>
  <c r="Z2014" i="1"/>
  <c r="Z2015" i="1"/>
  <c r="Z2016" i="1"/>
  <c r="Z2017" i="1"/>
  <c r="Z2018" i="1"/>
  <c r="Z1432" i="1"/>
  <c r="Z1433" i="1"/>
  <c r="Z1265" i="1"/>
  <c r="Z1266" i="1"/>
  <c r="Z2019" i="1"/>
  <c r="Z2020" i="1"/>
  <c r="Z1057" i="1"/>
  <c r="Z2021" i="1"/>
  <c r="Z2022" i="1"/>
  <c r="Z2023" i="1"/>
  <c r="Z1015" i="1"/>
  <c r="Z1016" i="1"/>
  <c r="Z907" i="1"/>
  <c r="Z916" i="1"/>
  <c r="Z917" i="1"/>
  <c r="Z1220" i="1"/>
  <c r="Z1221" i="1"/>
  <c r="Z2024" i="1"/>
  <c r="Z2025" i="1"/>
  <c r="Z847" i="1"/>
  <c r="Z437" i="1"/>
  <c r="Z438" i="1"/>
  <c r="Z2026" i="1"/>
  <c r="Z2027" i="1"/>
  <c r="Z2028" i="1"/>
  <c r="Z2029" i="1"/>
  <c r="Z2030" i="1"/>
  <c r="Z2031" i="1"/>
  <c r="Z2032" i="1"/>
  <c r="Z2033" i="1"/>
  <c r="Z2034" i="1"/>
  <c r="Z2035" i="1"/>
  <c r="Z2036" i="1"/>
  <c r="Z2037" i="1"/>
  <c r="Z2038" i="1"/>
  <c r="Z2039" i="1"/>
  <c r="Z318" i="1"/>
  <c r="Z319" i="1"/>
  <c r="Z2040" i="1"/>
  <c r="Z1176" i="1"/>
  <c r="Z1177" i="1"/>
  <c r="Z2041" i="1"/>
  <c r="Z2042" i="1"/>
  <c r="Z2043" i="1"/>
  <c r="Z2044" i="1"/>
  <c r="Z2045" i="1"/>
  <c r="Z2046" i="1"/>
  <c r="Z2047" i="1"/>
  <c r="Z2048" i="1"/>
  <c r="Z2049"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2050" i="1"/>
  <c r="Z2051" i="1"/>
  <c r="Z1267" i="1"/>
  <c r="Z2052" i="1"/>
  <c r="Z2053" i="1"/>
  <c r="Z2054" i="1"/>
  <c r="Z1434" i="1"/>
  <c r="Z2055" i="1"/>
  <c r="Z1435" i="1"/>
  <c r="Z1268" i="1"/>
  <c r="Z1269" i="1"/>
  <c r="Z1436" i="1"/>
  <c r="Z2056" i="1"/>
  <c r="Z1437" i="1"/>
  <c r="Z1438" i="1"/>
  <c r="Z2057" i="1"/>
  <c r="Z1439" i="1"/>
  <c r="Z746" i="1"/>
  <c r="Z747" i="1"/>
  <c r="Z2058" i="1"/>
  <c r="Z2059" i="1"/>
  <c r="Z957" i="1"/>
  <c r="Z958" i="1"/>
  <c r="Z959" i="1"/>
  <c r="Z748" i="1"/>
  <c r="Z749" i="1"/>
  <c r="Z750" i="1"/>
  <c r="Z751" i="1"/>
  <c r="Z2060" i="1"/>
  <c r="Z2061" i="1"/>
  <c r="Z752" i="1"/>
  <c r="Z753" i="1"/>
  <c r="Z2062" i="1"/>
  <c r="Z754" i="1"/>
  <c r="Z755" i="1"/>
  <c r="Z2063" i="1"/>
  <c r="Z2064" i="1"/>
  <c r="Z2065" i="1"/>
  <c r="Z2066" i="1"/>
  <c r="Z2067" i="1"/>
  <c r="Z2068" i="1"/>
  <c r="Z1440" i="1"/>
  <c r="Z1441" i="1"/>
  <c r="Z2069" i="1"/>
  <c r="Z2070" i="1"/>
  <c r="Z848" i="1"/>
  <c r="Z849" i="1"/>
  <c r="Z850" i="1"/>
  <c r="Z851" i="1"/>
  <c r="Z852" i="1"/>
  <c r="Z853" i="1"/>
  <c r="Z854" i="1"/>
  <c r="Z855" i="1"/>
  <c r="Z856" i="1"/>
  <c r="Z857" i="1"/>
  <c r="Z858" i="1"/>
  <c r="Z859" i="1"/>
  <c r="Z860" i="1"/>
  <c r="Z861" i="1"/>
  <c r="Z862" i="1"/>
  <c r="Z2071" i="1"/>
  <c r="Z2072" i="1"/>
  <c r="Z756" i="1"/>
  <c r="Z757" i="1"/>
  <c r="Z1270" i="1"/>
  <c r="Z789" i="1"/>
  <c r="Z2073" i="1"/>
  <c r="Z2074" i="1"/>
  <c r="Z1208" i="1"/>
  <c r="Z2075" i="1"/>
  <c r="Z2076" i="1"/>
  <c r="Z2077" i="1"/>
  <c r="Z2078" i="1"/>
  <c r="Z2079" i="1"/>
  <c r="Z758" i="1"/>
  <c r="Z759" i="1"/>
  <c r="Z2080" i="1"/>
  <c r="Z2081" i="1"/>
  <c r="Z2082" i="1"/>
  <c r="Z760" i="1"/>
  <c r="Z761" i="1"/>
  <c r="Z1442" i="1"/>
  <c r="Z2083" i="1"/>
  <c r="Z2084" i="1"/>
  <c r="Z1443" i="1"/>
  <c r="Z1444" i="1"/>
  <c r="Z977" i="1"/>
  <c r="Z978" i="1"/>
  <c r="Z1445" i="1"/>
  <c r="Z1446" i="1"/>
  <c r="Z2085" i="1"/>
  <c r="Z2086" i="1"/>
  <c r="Z540" i="1"/>
  <c r="Z802" i="1"/>
  <c r="Z807" i="1"/>
  <c r="Z803" i="1"/>
  <c r="Z808" i="1"/>
  <c r="Z809" i="1"/>
  <c r="Z2087" i="1"/>
  <c r="Z2088" i="1"/>
  <c r="Z2089" i="1"/>
  <c r="Z2090" i="1"/>
  <c r="Z2091" i="1"/>
  <c r="Z2092" i="1"/>
  <c r="Z2093" i="1"/>
  <c r="Z2094" i="1"/>
  <c r="Z2095" i="1"/>
  <c r="Z2096" i="1"/>
  <c r="Z790" i="1"/>
  <c r="Z791" i="1"/>
  <c r="Z2097" i="1"/>
  <c r="Z2098" i="1"/>
  <c r="Z2099" i="1"/>
  <c r="Z2100" i="1"/>
  <c r="Z2101" i="1"/>
  <c r="Z2102" i="1"/>
  <c r="Z369" i="1"/>
  <c r="Z2103" i="1"/>
  <c r="Z2104" i="1"/>
  <c r="Z234" i="1"/>
  <c r="Z230" i="1"/>
  <c r="Z2105" i="1"/>
  <c r="Z762" i="1"/>
  <c r="Z763" i="1"/>
  <c r="Z1192" i="1"/>
  <c r="Z2106" i="1"/>
  <c r="Z1193" i="1"/>
  <c r="Z2107" i="1"/>
  <c r="Z1194" i="1"/>
  <c r="Z2108" i="1"/>
  <c r="Z1195" i="1"/>
  <c r="Z2109" i="1"/>
  <c r="Z1196" i="1"/>
  <c r="Z2110" i="1"/>
  <c r="Z1197" i="1"/>
  <c r="Z2111" i="1"/>
  <c r="Z1198" i="1"/>
  <c r="Z2112" i="1"/>
  <c r="Z1199" i="1"/>
  <c r="Z1200" i="1"/>
  <c r="Z1201" i="1"/>
  <c r="Z1202" i="1"/>
  <c r="Z1203" i="1"/>
  <c r="Z2113" i="1"/>
  <c r="Z2114" i="1"/>
  <c r="Z2115" i="1"/>
  <c r="Z2116" i="1"/>
  <c r="Z2117" i="1"/>
  <c r="Z2118" i="1"/>
  <c r="Z764" i="1"/>
  <c r="Z765" i="1"/>
  <c r="Z1089" i="1"/>
  <c r="Z2119" i="1"/>
  <c r="Z792" i="1"/>
  <c r="Z2120" i="1"/>
  <c r="Z2121" i="1"/>
  <c r="Z2122" i="1"/>
  <c r="Z2123" i="1"/>
  <c r="Z2124" i="1"/>
  <c r="Z2125" i="1"/>
  <c r="Z2126" i="1"/>
  <c r="Z772" i="1"/>
  <c r="Z964" i="1"/>
  <c r="Z1447" i="1"/>
  <c r="Z2127" i="1"/>
  <c r="Z2128" i="1"/>
  <c r="Z2129" i="1"/>
  <c r="Z1271" i="1"/>
  <c r="Z1272" i="1"/>
  <c r="Z2130" i="1"/>
  <c r="Z2131" i="1"/>
  <c r="Z2132" i="1"/>
  <c r="Z2133" i="1"/>
  <c r="Z960" i="1"/>
  <c r="Z2134" i="1"/>
  <c r="Z2135" i="1"/>
  <c r="Z404" i="1"/>
  <c r="Z1085" i="1"/>
  <c r="Z1448" i="1"/>
  <c r="Z1449" i="1"/>
  <c r="Z1450" i="1"/>
  <c r="Z1451" i="1"/>
  <c r="Z1452" i="1"/>
  <c r="Z1029" i="1"/>
  <c r="Z1030" i="1"/>
  <c r="Z1031" i="1"/>
  <c r="Z470" i="1"/>
  <c r="Z2136" i="1"/>
  <c r="Z2137" i="1"/>
  <c r="Z2138" i="1"/>
  <c r="Z2139" i="1"/>
  <c r="Z2140" i="1"/>
  <c r="Z2141" i="1"/>
  <c r="Z2142" i="1"/>
  <c r="Z2143" i="1"/>
  <c r="Z2144" i="1"/>
  <c r="Z2145" i="1"/>
  <c r="Z2146" i="1"/>
  <c r="Z2147" i="1"/>
  <c r="Z2148" i="1"/>
  <c r="Z2149" i="1"/>
  <c r="Z1453" i="1"/>
  <c r="Z2150" i="1"/>
  <c r="Z2151" i="1"/>
  <c r="Z2152" i="1"/>
  <c r="Z1017" i="1"/>
  <c r="Z1018" i="1"/>
  <c r="Z2153" i="1"/>
  <c r="Z2154" i="1"/>
  <c r="Z2155" i="1"/>
  <c r="Z2156" i="1"/>
  <c r="Z2157" i="1"/>
  <c r="Z2158" i="1"/>
  <c r="Z2159" i="1"/>
  <c r="Z56" i="1"/>
  <c r="Z57" i="1"/>
  <c r="Z58" i="1"/>
  <c r="Z59" i="1"/>
  <c r="Z60" i="1"/>
  <c r="Z61" i="1"/>
  <c r="Z2160" i="1"/>
  <c r="Z2161" i="1"/>
  <c r="Z1454" i="1"/>
  <c r="Z1455" i="1"/>
  <c r="Z2162" i="1"/>
  <c r="Z2163" i="1"/>
  <c r="Z1157" i="1"/>
  <c r="Z1158" i="1"/>
  <c r="Z2164" i="1"/>
  <c r="Z2165" i="1"/>
  <c r="Z2166" i="1"/>
  <c r="Z2167" i="1"/>
  <c r="Z2168" i="1"/>
  <c r="Z1019" i="1"/>
  <c r="Z1020" i="1"/>
  <c r="Z2169" i="1"/>
  <c r="Z2170" i="1"/>
  <c r="Z2171" i="1"/>
  <c r="Z412" i="1"/>
  <c r="Z417" i="1"/>
  <c r="Z413" i="1"/>
  <c r="Z418" i="1"/>
  <c r="Z414" i="1"/>
  <c r="Z415" i="1"/>
  <c r="Z416" i="1"/>
  <c r="Z419" i="1"/>
  <c r="Z420" i="1"/>
  <c r="Z421" i="1"/>
  <c r="Z2172" i="1"/>
  <c r="Z2173" i="1"/>
  <c r="Z1093" i="1"/>
  <c r="Z2174" i="1"/>
  <c r="Z2175" i="1"/>
  <c r="Z2176" i="1"/>
  <c r="Z2177" i="1"/>
  <c r="Z2178" i="1"/>
  <c r="Z2179" i="1"/>
  <c r="Z2180" i="1"/>
  <c r="Z1456" i="1"/>
  <c r="Z2181" i="1"/>
  <c r="Z1117" i="1"/>
  <c r="Z1118" i="1"/>
  <c r="Z1119" i="1"/>
  <c r="Z1115" i="1"/>
  <c r="Z1116" i="1"/>
  <c r="Z1120" i="1"/>
  <c r="Z1121" i="1"/>
  <c r="Z1122" i="1"/>
  <c r="Z1123" i="1"/>
  <c r="Z1128" i="1"/>
  <c r="Z1129" i="1"/>
  <c r="Z1124" i="1"/>
  <c r="Z1125" i="1"/>
  <c r="Z1126" i="1"/>
  <c r="Z1127" i="1"/>
  <c r="Z2182" i="1"/>
  <c r="Z2183" i="1"/>
  <c r="Z2184" i="1"/>
  <c r="Z1457" i="1"/>
  <c r="Z2185" i="1"/>
  <c r="Z2186" i="1"/>
  <c r="Z2187" i="1"/>
  <c r="Z2188" i="1"/>
  <c r="Z2189" i="1"/>
  <c r="Z2190" i="1"/>
  <c r="Z1222" i="1"/>
  <c r="Z1223" i="1"/>
  <c r="Z1224" i="1"/>
  <c r="Z1225" i="1"/>
  <c r="Z2191" i="1"/>
  <c r="Z2192" i="1"/>
  <c r="Z820" i="1"/>
  <c r="Z821" i="1"/>
  <c r="Z822" i="1"/>
  <c r="Z2193" i="1"/>
  <c r="Z2194" i="1"/>
  <c r="Z2195" i="1"/>
  <c r="Z2196" i="1"/>
  <c r="Z2197" i="1"/>
  <c r="Z1097" i="1"/>
  <c r="Z1098" i="1"/>
  <c r="Z844" i="1"/>
  <c r="Z845" i="1"/>
  <c r="Z2198" i="1"/>
  <c r="Z846" i="1"/>
  <c r="Z793" i="1"/>
  <c r="Z924" i="1"/>
  <c r="Z925" i="1"/>
  <c r="Z926" i="1"/>
  <c r="Z927" i="1"/>
  <c r="Z2199" i="1"/>
  <c r="Z2200" i="1"/>
  <c r="Z2201" i="1"/>
  <c r="Z1021" i="1"/>
  <c r="Z1022" i="1"/>
  <c r="Z2202" i="1"/>
  <c r="Z2203" i="1"/>
  <c r="Z1458" i="1"/>
  <c r="Z1459" i="1"/>
  <c r="Z1460" i="1"/>
  <c r="Z1461" i="1"/>
  <c r="Z541" i="1"/>
  <c r="Z542" i="1"/>
  <c r="Z2204" i="1"/>
  <c r="Z1273" i="1"/>
  <c r="Z2205" i="1"/>
  <c r="Z1274" i="1"/>
  <c r="Z1275" i="1"/>
  <c r="Z2206" i="1"/>
  <c r="Z2207" i="1"/>
  <c r="Z2208" i="1"/>
  <c r="Z543" i="1"/>
  <c r="Z2209" i="1"/>
  <c r="Z2210" i="1"/>
  <c r="Z2211" i="1"/>
  <c r="Z1216" i="1"/>
  <c r="Z1217" i="1"/>
  <c r="Z2212" i="1"/>
  <c r="Z1108" i="1"/>
  <c r="Z1023" i="1"/>
  <c r="Z1024" i="1"/>
  <c r="Z544" i="1"/>
  <c r="Z545" i="1"/>
  <c r="Z546" i="1"/>
  <c r="Z2213" i="1"/>
  <c r="Z2214" i="1"/>
  <c r="Z2215" i="1"/>
  <c r="Z2216" i="1"/>
  <c r="Z2217" i="1"/>
  <c r="Z2218" i="1"/>
  <c r="Z2219" i="1"/>
  <c r="Z1462" i="1"/>
  <c r="Z1463" i="1"/>
  <c r="Z1464" i="1"/>
  <c r="Z1465" i="1"/>
  <c r="Z2220" i="1"/>
  <c r="Z2221" i="1"/>
  <c r="Z1234" i="1"/>
  <c r="Z1235" i="1"/>
  <c r="Z1466" i="1"/>
  <c r="Z1467" i="1"/>
  <c r="Z1468" i="1"/>
  <c r="Z1469" i="1"/>
  <c r="Z2222" i="1"/>
  <c r="Z2223" i="1"/>
  <c r="Z2224" i="1"/>
  <c r="Z2225" i="1"/>
  <c r="Z2226" i="1"/>
  <c r="Z2227" i="1"/>
  <c r="Z2228" i="1"/>
  <c r="Z2229" i="1"/>
  <c r="Z2230" i="1"/>
  <c r="Z2231" i="1"/>
  <c r="Z2232" i="1"/>
  <c r="Z2233" i="1"/>
  <c r="Z2234" i="1"/>
  <c r="Z2235" i="1"/>
  <c r="Z2236" i="1"/>
  <c r="Z1470" i="1"/>
  <c r="Z2237" i="1"/>
  <c r="Z2238" i="1"/>
  <c r="Z2239" i="1"/>
  <c r="Z2240" i="1"/>
  <c r="Z2241" i="1"/>
  <c r="Z2242" i="1"/>
  <c r="Z2243" i="1"/>
  <c r="Z1058" i="1"/>
  <c r="Z1059" i="1"/>
  <c r="Z1060" i="1"/>
  <c r="Z1061" i="1"/>
  <c r="Z2244" i="1"/>
  <c r="Z2245" i="1"/>
  <c r="Z2246" i="1"/>
  <c r="Z2247" i="1"/>
  <c r="Z2248" i="1"/>
  <c r="Z2249" i="1"/>
  <c r="Z2250" i="1"/>
  <c r="Z2251" i="1"/>
  <c r="Z2252" i="1"/>
  <c r="Z992" i="1"/>
  <c r="Z1025" i="1"/>
  <c r="Z1026" i="1"/>
  <c r="Z2253" i="1"/>
  <c r="Z2254" i="1"/>
  <c r="Z2255" i="1"/>
  <c r="Z2256" i="1"/>
  <c r="Z2257" i="1"/>
  <c r="Z1471" i="1"/>
  <c r="Z1472" i="1"/>
  <c r="Z2258" i="1"/>
  <c r="Z2259" i="1"/>
  <c r="Z2260" i="1"/>
  <c r="Z1236" i="1"/>
  <c r="Z1237" i="1"/>
  <c r="Z794" i="1"/>
  <c r="Z795" i="1"/>
  <c r="Z1190" i="1"/>
  <c r="Z1276" i="1"/>
  <c r="Z1191" i="1"/>
  <c r="Z1277" i="1"/>
  <c r="Z1278" i="1"/>
  <c r="Z2261" i="1"/>
  <c r="Z2262" i="1"/>
  <c r="Z1473" i="1"/>
  <c r="Z1474" i="1"/>
  <c r="Z1475" i="1"/>
  <c r="Z1209" i="1"/>
  <c r="Z2263" i="1"/>
  <c r="Z1210" i="1"/>
  <c r="Z2264" i="1"/>
  <c r="Z2265" i="1"/>
  <c r="Z1087" i="1"/>
  <c r="Z1088" i="1"/>
  <c r="Z882" i="1"/>
  <c r="Z883" i="1"/>
  <c r="Z884" i="1"/>
  <c r="Z885" i="1"/>
  <c r="Z886" i="1"/>
  <c r="Z887" i="1"/>
  <c r="Z888" i="1"/>
  <c r="Z889" i="1"/>
  <c r="Z1476" i="1"/>
  <c r="Z1477" i="1"/>
  <c r="Z1100" i="1"/>
  <c r="Z1101" i="1"/>
  <c r="Z1102" i="1"/>
  <c r="Z1103" i="1"/>
  <c r="Z1104" i="1"/>
  <c r="Z1105" i="1"/>
  <c r="Z1032" i="1"/>
  <c r="Z2266" i="1"/>
  <c r="Z2267" i="1"/>
  <c r="Z220" i="1"/>
  <c r="Z221" i="1"/>
  <c r="Z1090" i="1"/>
  <c r="Z1091" i="1"/>
  <c r="Z1092" i="1"/>
  <c r="Z2268" i="1"/>
  <c r="Z1238" i="1"/>
  <c r="Z2269" i="1"/>
  <c r="Z1239" i="1"/>
  <c r="Z2270" i="1"/>
  <c r="Z1240" i="1"/>
  <c r="Z2271" i="1"/>
  <c r="Z1241" i="1"/>
  <c r="Z2272" i="1"/>
  <c r="Z1242" i="1"/>
  <c r="Z2273" i="1"/>
  <c r="Z1243" i="1"/>
  <c r="Z2274" i="1"/>
  <c r="Z2275" i="1"/>
  <c r="Z2276" i="1"/>
  <c r="Z2277" i="1"/>
  <c r="Z2278" i="1"/>
  <c r="Z2279" i="1"/>
  <c r="Z2280" i="1"/>
  <c r="Z2281" i="1"/>
  <c r="Z1478" i="1"/>
  <c r="Z1479" i="1"/>
  <c r="Z2282" i="1"/>
  <c r="Z2283" i="1"/>
  <c r="Z2284" i="1"/>
  <c r="Z2285" i="1"/>
  <c r="Z2286" i="1"/>
  <c r="Z1226" i="1"/>
  <c r="Z1227" i="1"/>
  <c r="Z2287" i="1"/>
  <c r="Z1480" i="1"/>
  <c r="Z1481" i="1"/>
  <c r="Z2288" i="1"/>
  <c r="Z2289" i="1"/>
  <c r="Z2290" i="1"/>
  <c r="Z2291" i="1"/>
  <c r="Z2292" i="1"/>
  <c r="Z1279" i="1"/>
  <c r="Z2293" i="1"/>
  <c r="Z2294" i="1"/>
  <c r="Z2295" i="1"/>
  <c r="Z2296" i="1"/>
  <c r="Z1280" i="1"/>
  <c r="Z2297" i="1"/>
  <c r="Z2298" i="1"/>
  <c r="Z2299" i="1"/>
  <c r="Z2300" i="1"/>
  <c r="Z1281" i="1"/>
  <c r="Z2301" i="1"/>
  <c r="Z2302" i="1"/>
  <c r="Z2303" i="1"/>
  <c r="Z2304" i="1"/>
  <c r="Z1282" i="1"/>
  <c r="Z2305" i="1"/>
  <c r="Z2306" i="1"/>
  <c r="Z2307" i="1"/>
  <c r="Z2308" i="1"/>
  <c r="Z2309" i="1"/>
  <c r="Z2310" i="1"/>
  <c r="Z2311" i="1"/>
  <c r="Z2312" i="1"/>
  <c r="Z2313" i="1"/>
  <c r="Z2314" i="1"/>
  <c r="Z2315" i="1"/>
  <c r="Z2316" i="1"/>
  <c r="Z2317" i="1"/>
  <c r="Z1283" i="1"/>
  <c r="Z2318" i="1"/>
  <c r="Z2319" i="1"/>
  <c r="Z1284" i="1"/>
  <c r="Z1285" i="1"/>
  <c r="Z1286" i="1"/>
  <c r="Z2320" i="1"/>
  <c r="Z2321" i="1"/>
  <c r="Z2322" i="1"/>
  <c r="Z2323" i="1"/>
  <c r="Z2324" i="1"/>
  <c r="Z1035" i="1"/>
  <c r="Z1036" i="1"/>
  <c r="Z1037" i="1"/>
  <c r="Z1038" i="1"/>
  <c r="Z1287" i="1"/>
  <c r="Z2325" i="1"/>
  <c r="Z2326" i="1"/>
  <c r="Z1482" i="1"/>
  <c r="Z1062" i="1"/>
  <c r="Z2327" i="1"/>
  <c r="Z1063" i="1"/>
  <c r="Z2328" i="1"/>
  <c r="Z1483" i="1"/>
  <c r="Z2329" i="1"/>
  <c r="Z1484" i="1"/>
  <c r="Z1485" i="1"/>
  <c r="Z1486" i="1"/>
  <c r="Z2330" i="1"/>
  <c r="Z1099" i="1"/>
  <c r="Z2331" i="1"/>
  <c r="Z2332" i="1"/>
  <c r="Z2333" i="1"/>
  <c r="Z2334" i="1"/>
  <c r="Z2335" i="1"/>
  <c r="Z2336" i="1"/>
  <c r="Z2337" i="1"/>
  <c r="Z2338" i="1"/>
  <c r="Z2339" i="1"/>
  <c r="Z2340" i="1"/>
  <c r="Z2341" i="1"/>
  <c r="Z2342" i="1"/>
  <c r="Z2343" i="1"/>
  <c r="Z2344" i="1"/>
  <c r="Z2345" i="1"/>
  <c r="Z2346" i="1"/>
  <c r="Z547" i="1"/>
  <c r="Z548" i="1"/>
  <c r="Z549" i="1"/>
  <c r="Z550" i="1"/>
  <c r="Z551" i="1"/>
  <c r="Z2347" i="1"/>
  <c r="Z2348" i="1"/>
  <c r="Z1039" i="1"/>
  <c r="Z62" i="1"/>
  <c r="Z63" i="1"/>
  <c r="Z64" i="1"/>
  <c r="Z65" i="1"/>
  <c r="Z66" i="1"/>
  <c r="Z67" i="1"/>
  <c r="Z68" i="1"/>
  <c r="Z69" i="1"/>
  <c r="Z70" i="1"/>
  <c r="Z71" i="1"/>
  <c r="Z72" i="1"/>
  <c r="Z73" i="1"/>
  <c r="Z74" i="1"/>
  <c r="Z75" i="1"/>
  <c r="Z76" i="1"/>
  <c r="Z77" i="1"/>
  <c r="Z78" i="1"/>
  <c r="Z973" i="1"/>
  <c r="Z974" i="1"/>
  <c r="Z292" i="1"/>
  <c r="Z2349" i="1"/>
  <c r="Z2350" i="1"/>
  <c r="Z2351" i="1"/>
  <c r="Z2352" i="1"/>
  <c r="Z1487" i="1"/>
  <c r="Z1488" i="1"/>
  <c r="Z2353" i="1"/>
  <c r="Z2354" i="1"/>
  <c r="Z1244" i="1"/>
  <c r="Z216" i="1"/>
  <c r="Z217" i="1"/>
  <c r="Z222" i="1"/>
  <c r="Z218" i="1"/>
  <c r="Z219" i="1"/>
  <c r="Z223" i="1"/>
  <c r="Z224" i="1"/>
  <c r="Z225" i="1"/>
  <c r="Z226" i="1"/>
  <c r="Z208" i="1"/>
  <c r="Z209" i="1"/>
  <c r="Z210" i="1"/>
  <c r="Z211" i="1"/>
  <c r="Z212" i="1"/>
  <c r="Z213" i="1"/>
  <c r="Z214" i="1"/>
  <c r="Z227" i="1"/>
  <c r="Z228" i="1"/>
  <c r="Z229" i="1"/>
  <c r="Z215" i="1"/>
  <c r="Z2355" i="1"/>
  <c r="Z2356" i="1"/>
  <c r="Z2357" i="1"/>
  <c r="Z2358" i="1"/>
  <c r="Z2359" i="1"/>
  <c r="Z866" i="1"/>
  <c r="Z2360" i="1"/>
  <c r="Z2361" i="1"/>
  <c r="Z2362" i="1"/>
  <c r="Z2363" i="1"/>
  <c r="Z2364" i="1"/>
  <c r="Z2365" i="1"/>
  <c r="Z2366" i="1"/>
  <c r="Z2367" i="1"/>
  <c r="Z2368" i="1"/>
  <c r="Z2369" i="1"/>
  <c r="Z2370" i="1"/>
  <c r="Z2371" i="1"/>
  <c r="Z282" i="1"/>
  <c r="Z1245" i="1"/>
  <c r="Z1246" i="1"/>
  <c r="Z477" i="1"/>
  <c r="Z552" i="1"/>
  <c r="Z553" i="1"/>
  <c r="Z2372" i="1"/>
  <c r="Z2373" i="1"/>
  <c r="Z2374" i="1"/>
  <c r="Z2375" i="1"/>
  <c r="Z2376" i="1"/>
  <c r="Z2377" i="1"/>
  <c r="Z2378" i="1"/>
  <c r="Z1153" i="1"/>
  <c r="Z1154" i="1"/>
  <c r="Z2379" i="1"/>
  <c r="Z1160" i="1"/>
  <c r="Z1161" i="1"/>
  <c r="Z2380" i="1"/>
  <c r="Z2381" i="1"/>
  <c r="Z2382" i="1"/>
  <c r="Z2383" i="1"/>
  <c r="Z2384" i="1"/>
  <c r="Z1165" i="1"/>
  <c r="Z1166" i="1"/>
  <c r="Z2385" i="1"/>
  <c r="Z2386" i="1"/>
  <c r="Z2387" i="1"/>
  <c r="Z1167" i="1"/>
  <c r="Z1168" i="1"/>
  <c r="Z2388" i="1"/>
  <c r="Z1211" i="1"/>
  <c r="Z1212" i="1"/>
  <c r="Z2389" i="1"/>
  <c r="Z1489" i="1"/>
  <c r="Z1490" i="1"/>
  <c r="Z2390" i="1"/>
  <c r="Z2391" i="1"/>
  <c r="Z2392" i="1"/>
  <c r="Z2393" i="1"/>
  <c r="Z2394" i="1"/>
  <c r="Z2395" i="1"/>
  <c r="Z2396" i="1"/>
  <c r="Z2397" i="1"/>
  <c r="Z2398" i="1"/>
  <c r="Z2399" i="1"/>
  <c r="Z2400" i="1"/>
  <c r="Z2401" i="1"/>
  <c r="Z2402" i="1"/>
  <c r="Z2403" i="1"/>
  <c r="Z554" i="1"/>
  <c r="Z555" i="1"/>
  <c r="Z556" i="1"/>
  <c r="Z2404" i="1"/>
  <c r="Z2405" i="1"/>
  <c r="Z2406" i="1"/>
  <c r="Z2407" i="1"/>
  <c r="Z478" i="1"/>
  <c r="Z479" i="1"/>
  <c r="Z2408" i="1"/>
  <c r="Z2409" i="1"/>
  <c r="Z2410" i="1"/>
  <c r="Z2411" i="1"/>
  <c r="Z2412" i="1"/>
  <c r="Z2413" i="1"/>
  <c r="Z2414" i="1"/>
  <c r="Z2415" i="1"/>
  <c r="Z810" i="1"/>
  <c r="Z796" i="1"/>
  <c r="Z797" i="1"/>
  <c r="Z2416" i="1"/>
  <c r="Z2417" i="1"/>
  <c r="Z2418" i="1"/>
  <c r="Z2419" i="1"/>
  <c r="Z1083" i="1"/>
  <c r="Z1084" i="1"/>
  <c r="Z2420" i="1"/>
  <c r="Z2421" i="1"/>
  <c r="Z1491" i="1"/>
  <c r="Z2422" i="1"/>
  <c r="Z2423" i="1"/>
  <c r="Z2424" i="1"/>
  <c r="Z2425" i="1"/>
  <c r="Z1492" i="1"/>
  <c r="Z1493" i="1"/>
  <c r="Z1081" i="1"/>
  <c r="Z1082" i="1"/>
  <c r="Z2426" i="1"/>
  <c r="Z2427" i="1"/>
  <c r="Z766" i="1"/>
  <c r="Z767" i="1"/>
  <c r="Z954" i="1"/>
  <c r="Z955" i="1"/>
  <c r="Z956" i="1"/>
  <c r="Z1040" i="1"/>
  <c r="Z2428" i="1"/>
  <c r="Z2429" i="1"/>
  <c r="Z2430" i="1"/>
  <c r="Z2431" i="1"/>
  <c r="Z2432" i="1"/>
  <c r="Z2433" i="1"/>
  <c r="Z2434" i="1"/>
  <c r="Z2435" i="1"/>
  <c r="Z2436" i="1"/>
  <c r="Z2437" i="1"/>
  <c r="Z2438" i="1"/>
  <c r="Z2439" i="1"/>
  <c r="Z773" i="1"/>
  <c r="Z775" i="1"/>
  <c r="Z774" i="1"/>
  <c r="Z776" i="1"/>
  <c r="Z777" i="1"/>
  <c r="Z2440" i="1"/>
  <c r="Z2441" i="1"/>
  <c r="Z2442" i="1"/>
  <c r="Z2443" i="1"/>
  <c r="Z2444" i="1"/>
  <c r="Z2445" i="1"/>
  <c r="Z2446" i="1"/>
  <c r="Z2447" i="1"/>
  <c r="Z779" i="1"/>
  <c r="Z798" i="1"/>
  <c r="Z799" i="1"/>
  <c r="Z320" i="1"/>
  <c r="Z321" i="1"/>
  <c r="Z322" i="1"/>
  <c r="Z1494" i="1"/>
  <c r="Z2448" i="1"/>
  <c r="Z2449" i="1"/>
  <c r="Z280" i="1"/>
  <c r="Z863" i="1"/>
  <c r="Z864" i="1"/>
  <c r="Z865" i="1"/>
  <c r="Z800" i="1"/>
  <c r="Z2450" i="1"/>
  <c r="Z2451" i="1"/>
  <c r="Z2452" i="1"/>
  <c r="Z2453" i="1"/>
  <c r="Z2454" i="1"/>
  <c r="Z2455" i="1"/>
  <c r="Z2456" i="1"/>
  <c r="Z2457" i="1"/>
  <c r="Z2458" i="1"/>
  <c r="Z2459" i="1"/>
  <c r="Z2460" i="1"/>
  <c r="Z2461" i="1"/>
  <c r="Z2462" i="1"/>
  <c r="Z2463" i="1"/>
  <c r="Z2464" i="1"/>
  <c r="Z1247" i="1"/>
  <c r="Z2465" i="1"/>
  <c r="Z2466" i="1"/>
  <c r="Z2467" i="1"/>
  <c r="Z2468" i="1"/>
  <c r="Z2469" i="1"/>
  <c r="Z2470" i="1"/>
  <c r="Z2471" i="1"/>
  <c r="Z2472" i="1"/>
  <c r="Z918" i="1"/>
  <c r="Z2473" i="1"/>
  <c r="Z2474" i="1"/>
  <c r="Z2475" i="1"/>
  <c r="Z2476" i="1"/>
  <c r="Z2477" i="1"/>
  <c r="Z2478" i="1"/>
  <c r="Z2479" i="1"/>
  <c r="Z2480" i="1"/>
  <c r="Z2481" i="1"/>
  <c r="Z2482" i="1"/>
  <c r="Z2483" i="1"/>
  <c r="Z2484" i="1"/>
  <c r="Z2485" i="1"/>
  <c r="Z2486" i="1"/>
  <c r="Z2487" i="1"/>
  <c r="Z2488" i="1"/>
  <c r="Z293" i="1"/>
  <c r="Z295" i="1"/>
  <c r="Z294" i="1"/>
  <c r="Z296" i="1"/>
  <c r="Z297" i="1"/>
  <c r="Z867" i="1"/>
  <c r="Z890" i="1"/>
  <c r="Z868" i="1"/>
  <c r="Z891" i="1"/>
  <c r="Z869" i="1"/>
  <c r="Z892" i="1"/>
  <c r="Z870" i="1"/>
  <c r="Z871" i="1"/>
  <c r="Z872" i="1"/>
  <c r="Z873" i="1"/>
  <c r="Z893" i="1"/>
  <c r="Z2489" i="1"/>
  <c r="Z2490" i="1"/>
  <c r="Z894" i="1"/>
  <c r="Z895" i="1"/>
  <c r="Z896" i="1"/>
  <c r="Z897" i="1"/>
  <c r="Z965" i="1"/>
  <c r="Z970" i="1"/>
  <c r="Z966" i="1"/>
  <c r="Z971" i="1"/>
  <c r="Z972" i="1"/>
  <c r="Z2491" i="1"/>
  <c r="Z2492" i="1"/>
  <c r="Z922" i="1"/>
  <c r="Z923" i="1"/>
  <c r="Z506" i="1"/>
  <c r="Z2493" i="1"/>
  <c r="Z2494" i="1"/>
  <c r="Z2495" i="1"/>
  <c r="Z2496" i="1"/>
  <c r="Z2497" i="1"/>
  <c r="Z2498" i="1"/>
  <c r="Z2499" i="1"/>
  <c r="Z507" i="1"/>
  <c r="Z2500" i="1"/>
  <c r="Z1182" i="1"/>
  <c r="Z1183" i="1"/>
  <c r="Z975" i="1"/>
  <c r="Z976" i="1"/>
  <c r="Z1248" i="1"/>
  <c r="Z1249" i="1"/>
  <c r="Z1250" i="1"/>
  <c r="Z928" i="1"/>
  <c r="Z929" i="1"/>
  <c r="Z930" i="1"/>
  <c r="Z931" i="1"/>
  <c r="Z932" i="1"/>
  <c r="Z933" i="1"/>
  <c r="Z934" i="1"/>
  <c r="Z935" i="1"/>
  <c r="Z936" i="1"/>
  <c r="Z937" i="1"/>
  <c r="Z938" i="1"/>
  <c r="Z939" i="1"/>
  <c r="Z940" i="1"/>
  <c r="Z941" i="1"/>
  <c r="Z942" i="1"/>
  <c r="Z943" i="1"/>
  <c r="Z944" i="1"/>
  <c r="Z945" i="1"/>
  <c r="Z1068" i="1"/>
  <c r="Z286" i="1"/>
  <c r="Z287" i="1"/>
  <c r="Z288" i="1"/>
  <c r="Z289" i="1"/>
  <c r="Z290" i="1"/>
  <c r="Z291" i="1"/>
  <c r="Z983" i="1"/>
  <c r="Z984" i="1"/>
  <c r="Z1184" i="1"/>
  <c r="Z2501" i="1"/>
  <c r="Z2502" i="1"/>
  <c r="Z1495" i="1"/>
  <c r="Z1496" i="1"/>
  <c r="Z1497" i="1"/>
  <c r="Z1498" i="1"/>
  <c r="Z1499" i="1"/>
  <c r="Z1500" i="1"/>
  <c r="Z1501" i="1"/>
  <c r="Z2503" i="1"/>
  <c r="Z1502" i="1"/>
  <c r="Z2504" i="1"/>
  <c r="Z2505" i="1"/>
  <c r="Z1503" i="1"/>
  <c r="Z2506" i="1"/>
  <c r="Z2507" i="1"/>
  <c r="Z1033" i="1"/>
  <c r="Z2508" i="1"/>
  <c r="Z2509" i="1"/>
  <c r="Z387" i="1"/>
  <c r="Z388" i="1"/>
  <c r="Z389" i="1"/>
  <c r="Z2510" i="1"/>
  <c r="Z2511" i="1"/>
  <c r="Z2512" i="1"/>
  <c r="Z2513" i="1"/>
  <c r="Z2514" i="1"/>
  <c r="Z2515" i="1"/>
  <c r="Z2516" i="1"/>
  <c r="Z2517" i="1"/>
  <c r="Z1130" i="1"/>
  <c r="Z1131" i="1"/>
  <c r="Z1132" i="1"/>
  <c r="Z1133" i="1"/>
  <c r="Z1134" i="1"/>
  <c r="Z1135" i="1"/>
  <c r="Z2518" i="1"/>
  <c r="Z2519" i="1"/>
  <c r="Z2520" i="1"/>
  <c r="Z2521" i="1"/>
  <c r="Z2522" i="1"/>
  <c r="Z2523" i="1"/>
  <c r="Z2524" i="1"/>
  <c r="Z2525" i="1"/>
  <c r="Z2526" i="1"/>
  <c r="Z2527" i="1"/>
  <c r="Z2528" i="1"/>
  <c r="Z2529" i="1"/>
  <c r="Z2530" i="1"/>
  <c r="Z2531" i="1"/>
  <c r="Z432" i="1"/>
  <c r="Z434" i="1"/>
  <c r="Z433" i="1"/>
  <c r="Z435" i="1"/>
  <c r="Z436" i="1"/>
  <c r="Z2532" i="1"/>
  <c r="Z2533" i="1"/>
  <c r="Z2534" i="1"/>
  <c r="Z2535" i="1"/>
  <c r="Z2536" i="1"/>
  <c r="Z2537" i="1"/>
  <c r="Z1187" i="1"/>
  <c r="Z2538" i="1"/>
  <c r="Z2539" i="1"/>
  <c r="Z2540" i="1"/>
  <c r="Z2541" i="1"/>
  <c r="Z2542" i="1"/>
  <c r="Z1073" i="1"/>
  <c r="Z1074" i="1"/>
  <c r="Z1075" i="1"/>
  <c r="Z1076" i="1"/>
  <c r="Z1077" i="1"/>
  <c r="Z1078" i="1"/>
  <c r="Z1079" i="1"/>
  <c r="Z1080" i="1"/>
  <c r="Z2543" i="1"/>
  <c r="Z2544" i="1"/>
  <c r="Z2545" i="1"/>
  <c r="Z2546" i="1"/>
  <c r="Z2547" i="1"/>
  <c r="Z2548" i="1"/>
  <c r="Z2549" i="1"/>
  <c r="Z2550" i="1"/>
  <c r="Z2551" i="1"/>
  <c r="Z2552" i="1"/>
  <c r="Z830" i="1"/>
  <c r="Z831" i="1"/>
  <c r="Z832" i="1"/>
  <c r="Z833" i="1"/>
  <c r="Z2553" i="1"/>
  <c r="Z834" i="1"/>
  <c r="Z2554" i="1"/>
  <c r="Z835" i="1"/>
  <c r="Z2555" i="1"/>
  <c r="Z836" i="1"/>
  <c r="Z2556" i="1"/>
  <c r="Z557" i="1"/>
  <c r="Z558" i="1"/>
  <c r="Z460" i="1"/>
  <c r="Z461" i="1"/>
  <c r="Z2557" i="1"/>
  <c r="Z2558" i="1"/>
  <c r="Z559" i="1"/>
  <c r="Z560" i="1"/>
  <c r="Z561" i="1"/>
  <c r="Z562" i="1"/>
  <c r="Z563" i="1"/>
  <c r="Z564" i="1"/>
  <c r="Z565" i="1"/>
  <c r="Z566" i="1"/>
  <c r="Z567" i="1"/>
  <c r="Z568" i="1"/>
  <c r="Z462" i="1"/>
  <c r="Z463" i="1"/>
  <c r="Z464" i="1"/>
  <c r="Z465" i="1"/>
  <c r="Z466" i="1"/>
  <c r="Z2559" i="1"/>
  <c r="Z2560" i="1"/>
  <c r="Z2561" i="1"/>
  <c r="Z2562" i="1"/>
  <c r="Z2563" i="1"/>
  <c r="Z1094" i="1"/>
  <c r="Z2564" i="1"/>
  <c r="Z1095" i="1"/>
  <c r="Z2565" i="1"/>
  <c r="Z1096" i="1"/>
  <c r="Z2566" i="1"/>
  <c r="Z2567" i="1"/>
  <c r="Z2568" i="1"/>
  <c r="Z2569" i="1"/>
  <c r="Z2570" i="1"/>
  <c r="Z95" i="1"/>
  <c r="Z125" i="1"/>
  <c r="Z96" i="1"/>
  <c r="Z126" i="1"/>
  <c r="Z127" i="1"/>
  <c r="Z128" i="1"/>
  <c r="Z129" i="1"/>
  <c r="Z2571" i="1"/>
  <c r="Z2572" i="1"/>
  <c r="Z2573" i="1"/>
  <c r="Z2574" i="1"/>
  <c r="Z2575" i="1"/>
  <c r="Z2576" i="1"/>
  <c r="Z2577" i="1"/>
  <c r="Z2578" i="1"/>
  <c r="Z2579" i="1"/>
  <c r="Z2580" i="1"/>
  <c r="Z1288" i="1"/>
  <c r="Z903" i="1"/>
  <c r="Z904" i="1"/>
  <c r="Z905" i="1"/>
  <c r="Z906" i="1"/>
  <c r="Z1504" i="1"/>
  <c r="Z1505" i="1"/>
  <c r="Z1506" i="1"/>
  <c r="Z1507" i="1"/>
  <c r="Z1508" i="1"/>
  <c r="Z1289" i="1"/>
  <c r="Z1290" i="1"/>
  <c r="Z1291" i="1"/>
  <c r="Z1509" i="1"/>
  <c r="Z1510" i="1"/>
  <c r="Z1511" i="1"/>
  <c r="Z1162" i="1"/>
  <c r="Z1204" i="1"/>
  <c r="Z1205" i="1"/>
  <c r="Z2581" i="1"/>
  <c r="Z1163" i="1"/>
  <c r="Z1164" i="1"/>
  <c r="Z2582" i="1"/>
  <c r="Z2583" i="1"/>
  <c r="Z2584" i="1"/>
  <c r="Z2585" i="1"/>
  <c r="Z2586" i="1"/>
  <c r="Z2587" i="1"/>
  <c r="Z2588" i="1"/>
  <c r="Z2589" i="1"/>
  <c r="Z2590" i="1"/>
  <c r="Z2591" i="1"/>
  <c r="Z2592" i="1"/>
  <c r="Z2593" i="1"/>
  <c r="Z2594" i="1"/>
  <c r="Z2595" i="1"/>
  <c r="Z2596" i="1"/>
  <c r="Z2597" i="1"/>
  <c r="Z2598" i="1"/>
  <c r="Z2599" i="1"/>
  <c r="Z2600" i="1"/>
  <c r="Z2601" i="1"/>
  <c r="Z2602" i="1"/>
  <c r="Z2603" i="1"/>
  <c r="Z1512" i="1"/>
  <c r="Z1513" i="1"/>
  <c r="Z1514" i="1"/>
  <c r="Z1515" i="1"/>
  <c r="Z1516" i="1"/>
  <c r="Z1517" i="1"/>
  <c r="Z1518" i="1"/>
  <c r="Z2604" i="1"/>
  <c r="Z2605" i="1"/>
  <c r="Z1519" i="1"/>
  <c r="Z2606" i="1"/>
  <c r="Z2607" i="1"/>
  <c r="Z1292" i="1"/>
  <c r="Z1293" i="1"/>
  <c r="Z285" i="1"/>
  <c r="Z2608" i="1"/>
  <c r="Z2609" i="1"/>
  <c r="Z2610" i="1"/>
  <c r="Z1139" i="1"/>
  <c r="Z1140" i="1"/>
  <c r="Z2611" i="1"/>
  <c r="Z2612" i="1"/>
  <c r="Z2613" i="1"/>
  <c r="Z569" i="1"/>
  <c r="Z570" i="1"/>
  <c r="Z571" i="1"/>
  <c r="Z2614" i="1"/>
  <c r="Z2615" i="1"/>
  <c r="Z1520" i="1"/>
  <c r="Z2616" i="1"/>
  <c r="Z946" i="1"/>
  <c r="Z1521" i="1"/>
  <c r="Z2617" i="1"/>
  <c r="Z572" i="1"/>
  <c r="Z1522" i="1"/>
  <c r="Z1523" i="1"/>
  <c r="Z2618" i="1"/>
  <c r="Z2619" i="1"/>
  <c r="Z1144" i="1"/>
  <c r="Z2620" i="1"/>
  <c r="Z2621" i="1"/>
  <c r="Z2622" i="1"/>
  <c r="Z2623" i="1"/>
  <c r="Z2624" i="1"/>
  <c r="Z2625" i="1"/>
  <c r="Z2626" i="1"/>
  <c r="Z1294" i="1"/>
  <c r="Z1295" i="1"/>
  <c r="Z1296" i="1"/>
  <c r="Z1297" i="1"/>
  <c r="Z1298" i="1"/>
  <c r="Z1299" i="1"/>
  <c r="Z1300" i="1"/>
  <c r="Z1301" i="1"/>
  <c r="Z1302" i="1"/>
  <c r="Z1303" i="1"/>
  <c r="Z1304" i="1"/>
  <c r="Z1305" i="1"/>
  <c r="Z2627" i="1"/>
  <c r="Z2628" i="1"/>
  <c r="Z2629" i="1"/>
  <c r="Z2630" i="1"/>
  <c r="Z2631" i="1"/>
  <c r="Z2632" i="1"/>
  <c r="Z1049" i="1"/>
  <c r="Z1050" i="1"/>
  <c r="Z2633" i="1"/>
  <c r="Z2634" i="1"/>
  <c r="Z1145" i="1"/>
  <c r="Z1146" i="1"/>
  <c r="Z573" i="1"/>
  <c r="Z2635" i="1"/>
  <c r="Z2636" i="1"/>
  <c r="Z2637" i="1"/>
  <c r="Z2638" i="1"/>
  <c r="Z2639" i="1"/>
  <c r="Z2640" i="1"/>
  <c r="Z2641" i="1"/>
  <c r="Z2642" i="1"/>
  <c r="Z2643" i="1"/>
  <c r="Z2644" i="1"/>
  <c r="Z2645" i="1"/>
  <c r="Z2646" i="1"/>
  <c r="Z2647" i="1"/>
  <c r="Z2648" i="1"/>
  <c r="Z2649" i="1"/>
  <c r="Z2650" i="1"/>
  <c r="Z2651" i="1"/>
  <c r="Z653" i="1"/>
  <c r="Z768" i="1"/>
  <c r="Z769" i="1"/>
  <c r="Z770" i="1"/>
  <c r="Z2652" i="1"/>
  <c r="Z2653" i="1"/>
  <c r="Z2654" i="1"/>
  <c r="Z2655" i="1"/>
  <c r="Z235" i="1"/>
  <c r="Z236" i="1"/>
  <c r="Z244" i="1"/>
  <c r="Z245" i="1"/>
  <c r="Z237" i="1"/>
  <c r="Z238" i="1"/>
  <c r="Z239" i="1"/>
  <c r="Z231" i="1"/>
  <c r="Z232" i="1"/>
  <c r="Z233" i="1"/>
  <c r="Z240" i="1"/>
  <c r="Z241" i="1"/>
  <c r="Z242" i="1"/>
  <c r="Z243" i="1"/>
  <c r="Z1524" i="1"/>
  <c r="Z1525" i="1"/>
  <c r="Z484" i="1"/>
  <c r="Z1526" i="1"/>
  <c r="Z485" i="1"/>
  <c r="Z1527" i="1"/>
  <c r="Z486" i="1"/>
  <c r="Z487" i="1"/>
  <c r="Z1528" i="1"/>
  <c r="Z488" i="1"/>
  <c r="Z2656" i="1"/>
  <c r="Z2657" i="1"/>
  <c r="Z1529" i="1"/>
  <c r="Z1530" i="1"/>
  <c r="Z1531" i="1"/>
  <c r="Z1532" i="1"/>
  <c r="Z1533" i="1"/>
  <c r="Z1534" i="1"/>
  <c r="Z1535" i="1"/>
  <c r="Z2658" i="1"/>
  <c r="Z2659" i="1"/>
  <c r="Z2660" i="1"/>
  <c r="Z2661" i="1"/>
  <c r="Z194" i="1"/>
  <c r="Z165" i="1"/>
  <c r="Z166" i="1"/>
  <c r="Z195" i="1"/>
  <c r="Z167" i="1"/>
  <c r="Z168" i="1"/>
  <c r="Z196" i="1"/>
  <c r="Z169" i="1"/>
  <c r="Z170" i="1"/>
  <c r="Z171" i="1"/>
  <c r="Z172" i="1"/>
  <c r="Z173" i="1"/>
  <c r="Z174" i="1"/>
  <c r="Z175" i="1"/>
  <c r="Z176" i="1"/>
  <c r="Z177" i="1"/>
  <c r="Z178" i="1"/>
  <c r="Z179" i="1"/>
  <c r="Z180" i="1"/>
  <c r="Z181" i="1"/>
  <c r="Z197" i="1"/>
  <c r="Z182" i="1"/>
  <c r="Z198" i="1"/>
  <c r="Z183" i="1"/>
  <c r="Z199" i="1"/>
  <c r="Z184" i="1"/>
  <c r="Z200" i="1"/>
  <c r="Z185" i="1"/>
  <c r="Z201" i="1"/>
  <c r="Z186" i="1"/>
  <c r="Z202" i="1"/>
  <c r="Z187" i="1"/>
  <c r="Z203" i="1"/>
  <c r="Z188" i="1"/>
  <c r="Z204" i="1"/>
  <c r="Z189" i="1"/>
  <c r="Z97" i="1"/>
  <c r="Z205" i="1"/>
  <c r="Z91" i="1"/>
  <c r="Z92" i="1"/>
  <c r="Z93" i="1"/>
  <c r="Z94" i="1"/>
  <c r="Z130" i="1"/>
  <c r="Z131" i="1"/>
  <c r="Z132" i="1"/>
  <c r="Z133" i="1"/>
  <c r="Z134" i="1"/>
  <c r="Z190" i="1"/>
  <c r="Z98" i="1"/>
  <c r="Z206" i="1"/>
  <c r="Z191" i="1"/>
  <c r="Z207" i="1"/>
  <c r="Z192" i="1"/>
  <c r="Z193" i="1"/>
  <c r="Z2662" i="1"/>
  <c r="Z2663" i="1"/>
  <c r="Z1111" i="1"/>
  <c r="Z1069" i="1"/>
  <c r="Z1112" i="1"/>
  <c r="Z2664" i="1"/>
  <c r="Z1070" i="1"/>
  <c r="Z2665" i="1"/>
  <c r="Z1113" i="1"/>
  <c r="Z2666" i="1"/>
  <c r="Z1071" i="1"/>
  <c r="Z2667" i="1"/>
  <c r="Z823" i="1"/>
  <c r="Z824" i="1"/>
  <c r="Z825" i="1"/>
  <c r="Z826" i="1"/>
  <c r="Z951" i="1"/>
  <c r="Z952" i="1"/>
  <c r="Z953" i="1"/>
  <c r="Z2668" i="1"/>
  <c r="Z919" i="1"/>
  <c r="Z920" i="1"/>
  <c r="Z2669" i="1"/>
  <c r="Z921" i="1"/>
  <c r="Z2670" i="1"/>
  <c r="Z2671" i="1"/>
  <c r="Z2672" i="1"/>
  <c r="Z2673" i="1"/>
  <c r="Z2674" i="1"/>
  <c r="Z2675" i="1"/>
  <c r="Z2676" i="1"/>
  <c r="Z2677" i="1"/>
  <c r="Z2678" i="1"/>
  <c r="Z2679" i="1"/>
  <c r="Z79" i="1"/>
  <c r="Z471" i="1"/>
  <c r="Z574" i="1"/>
  <c r="Z472" i="1"/>
  <c r="Z575" i="1"/>
  <c r="Z473" i="1"/>
  <c r="Z576" i="1"/>
  <c r="Z474" i="1"/>
  <c r="Z577" i="1"/>
  <c r="Z578" i="1"/>
  <c r="Z2680" i="1"/>
  <c r="Z2681" i="1"/>
  <c r="Z2682" i="1"/>
  <c r="Z1306" i="1"/>
  <c r="Z2683" i="1"/>
  <c r="Z2684" i="1"/>
  <c r="Z2685" i="1"/>
  <c r="Z1307" i="1"/>
  <c r="Z2686" i="1"/>
  <c r="Z2687" i="1"/>
  <c r="Z2688" i="1"/>
  <c r="Z2689" i="1"/>
  <c r="Z2690" i="1"/>
  <c r="Z2691" i="1"/>
  <c r="Z2692" i="1"/>
  <c r="Z2693" i="1"/>
  <c r="Z2694" i="1"/>
  <c r="Z2695" i="1"/>
  <c r="Z1308" i="1"/>
  <c r="Z1309" i="1"/>
  <c r="Z1310" i="1"/>
  <c r="Z1311" i="1"/>
  <c r="Z1312" i="1"/>
  <c r="Z1313" i="1"/>
  <c r="Z1314" i="1"/>
  <c r="Z2696" i="1"/>
  <c r="Z2697" i="1"/>
  <c r="Z2698" i="1"/>
  <c r="Z2699" i="1"/>
  <c r="Z2700" i="1"/>
  <c r="Z2701" i="1"/>
  <c r="Z489" i="1"/>
  <c r="Z579" i="1"/>
  <c r="Z580" i="1"/>
  <c r="Z581" i="1"/>
  <c r="Z582" i="1"/>
  <c r="Z583" i="1"/>
  <c r="Z490" i="1"/>
  <c r="Z584" i="1"/>
  <c r="Z585" i="1"/>
  <c r="Z586" i="1"/>
  <c r="Z587" i="1"/>
  <c r="Z588" i="1"/>
  <c r="Z491" i="1"/>
  <c r="Z589" i="1"/>
  <c r="Z590" i="1"/>
  <c r="Z591" i="1"/>
  <c r="Z592" i="1"/>
  <c r="Z593" i="1"/>
  <c r="Z492" i="1"/>
  <c r="Z594" i="1"/>
  <c r="Z595" i="1"/>
  <c r="Z596" i="1"/>
  <c r="Z597" i="1"/>
  <c r="Z598" i="1"/>
  <c r="Z493" i="1"/>
  <c r="Z599" i="1"/>
  <c r="Z600" i="1"/>
  <c r="Z601" i="1"/>
  <c r="Z602" i="1"/>
  <c r="Z603" i="1"/>
  <c r="Z494" i="1"/>
  <c r="Z604" i="1"/>
  <c r="Z605" i="1"/>
  <c r="Z2702" i="1"/>
  <c r="Z2703" i="1"/>
  <c r="Z2704" i="1"/>
  <c r="Z2705" i="1"/>
  <c r="Z2706" i="1"/>
  <c r="Z606" i="1"/>
  <c r="Z607" i="1"/>
  <c r="Z608" i="1"/>
  <c r="Z609" i="1"/>
  <c r="Z610" i="1"/>
  <c r="Z611" i="1"/>
  <c r="Z612" i="1"/>
  <c r="Z613" i="1"/>
  <c r="Z614" i="1"/>
  <c r="Z615" i="1"/>
  <c r="Z616" i="1"/>
  <c r="Z617" i="1"/>
  <c r="Z618" i="1"/>
  <c r="Z619" i="1"/>
  <c r="Z620" i="1"/>
  <c r="Z621" i="1"/>
  <c r="Z2707" i="1"/>
  <c r="Z2708" i="1"/>
  <c r="Z2709" i="1"/>
  <c r="Z2710" i="1"/>
  <c r="Z2711" i="1"/>
  <c r="Z2712" i="1"/>
  <c r="Z2713" i="1"/>
  <c r="Z622" i="1"/>
  <c r="Z495" i="1"/>
  <c r="Z623" i="1"/>
  <c r="Z624" i="1"/>
  <c r="Z2714" i="1"/>
  <c r="Z2715" i="1"/>
  <c r="Z625" i="1"/>
  <c r="Z496" i="1"/>
  <c r="Z626" i="1"/>
  <c r="Z627" i="1"/>
  <c r="Z628" i="1"/>
  <c r="Z497" i="1"/>
  <c r="Z629" i="1"/>
  <c r="Z630" i="1"/>
  <c r="Z631" i="1"/>
  <c r="Z498" i="1"/>
  <c r="Z499" i="1"/>
  <c r="Z500" i="1"/>
  <c r="Z501" i="1"/>
  <c r="Z632" i="1"/>
  <c r="Z633" i="1"/>
  <c r="Z634" i="1"/>
  <c r="Z635" i="1"/>
  <c r="Z636" i="1"/>
  <c r="Z637" i="1"/>
  <c r="Z638" i="1"/>
  <c r="Z639" i="1"/>
  <c r="Z640" i="1"/>
  <c r="Z641" i="1"/>
  <c r="Z2716" i="1"/>
  <c r="Z2717" i="1"/>
  <c r="Z2718" i="1"/>
  <c r="Z2719" i="1"/>
  <c r="Z2720" i="1"/>
  <c r="Z2721" i="1"/>
  <c r="Z2722" i="1"/>
  <c r="Z2723" i="1"/>
  <c r="Z642" i="1"/>
  <c r="Z643" i="1"/>
  <c r="Z644" i="1"/>
  <c r="Z2724" i="1"/>
  <c r="Z2725" i="1"/>
  <c r="Z2726" i="1"/>
  <c r="Z2727" i="1"/>
  <c r="Z2728" i="1"/>
  <c r="Z1536" i="1"/>
  <c r="Z1537" i="1"/>
  <c r="Z1538" i="1"/>
  <c r="Z1539" i="1"/>
  <c r="Z1540" i="1"/>
  <c r="Z2729" i="1"/>
  <c r="Z2730" i="1"/>
  <c r="Z2731" i="1"/>
  <c r="Z2732" i="1"/>
  <c r="Z2733" i="1"/>
  <c r="Z2734" i="1"/>
  <c r="Z1541" i="1"/>
  <c r="Z2735" i="1"/>
  <c r="Z1542" i="1"/>
  <c r="Z2736" i="1"/>
  <c r="Z1543" i="1"/>
  <c r="Z2737" i="1"/>
  <c r="Z2738" i="1"/>
  <c r="Z2739" i="1"/>
  <c r="Z2740" i="1"/>
  <c r="Z2741" i="1"/>
  <c r="Z2742" i="1"/>
  <c r="Z2743" i="1"/>
  <c r="Z247" i="1"/>
  <c r="Z261" i="1"/>
  <c r="Z248" i="1"/>
  <c r="Z262" i="1"/>
  <c r="Z249" i="1"/>
  <c r="Z263" i="1"/>
  <c r="Z250" i="1"/>
  <c r="Z264" i="1"/>
  <c r="Z251" i="1"/>
  <c r="Z265" i="1"/>
  <c r="Z252" i="1"/>
  <c r="Z266" i="1"/>
  <c r="Z253" i="1"/>
  <c r="Z267" i="1"/>
  <c r="Z254" i="1"/>
  <c r="Z268" i="1"/>
  <c r="Z255" i="1"/>
  <c r="Z269" i="1"/>
  <c r="Z256" i="1"/>
  <c r="Z257" i="1"/>
  <c r="Z258" i="1"/>
  <c r="Z259" i="1"/>
  <c r="Z260" i="1"/>
  <c r="Z270" i="1"/>
  <c r="Z271" i="1"/>
  <c r="Z272" i="1"/>
  <c r="Z273" i="1"/>
  <c r="Z274" i="1"/>
  <c r="Z275" i="1"/>
  <c r="Z1149" i="1"/>
  <c r="Z2744" i="1"/>
  <c r="Z2745" i="1"/>
  <c r="Z961" i="1"/>
  <c r="Z962" i="1"/>
  <c r="Z963" i="1"/>
  <c r="Z455" i="1"/>
  <c r="Z457" i="1"/>
  <c r="Z456" i="1"/>
  <c r="Z458" i="1"/>
  <c r="Z459" i="1"/>
  <c r="Z1544" i="1"/>
  <c r="Z283" i="1"/>
  <c r="Z2746" i="1"/>
  <c r="Z2747" i="1"/>
  <c r="Z2748" i="1"/>
  <c r="Z370" i="1"/>
  <c r="Z374" i="1"/>
  <c r="Z375" i="1"/>
  <c r="Z371" i="1"/>
  <c r="Z376" i="1"/>
  <c r="Z377" i="1"/>
  <c r="Z372" i="1"/>
  <c r="Z378" i="1"/>
  <c r="Z379" i="1"/>
  <c r="Z373" i="1"/>
  <c r="Z380" i="1"/>
  <c r="Z381" i="1"/>
  <c r="Z382" i="1"/>
  <c r="Z383" i="1"/>
  <c r="Z2749" i="1"/>
  <c r="Z2750" i="1"/>
  <c r="Z2751" i="1"/>
  <c r="Z2752" i="1"/>
  <c r="Z298" i="1"/>
  <c r="Z304" i="1"/>
  <c r="Z299" i="1"/>
  <c r="Z305" i="1"/>
  <c r="Z300" i="1"/>
  <c r="Z306" i="1"/>
  <c r="Z301" i="1"/>
  <c r="Z307" i="1"/>
  <c r="Z302" i="1"/>
  <c r="Z308" i="1"/>
  <c r="Z303" i="1"/>
  <c r="Z309" i="1"/>
  <c r="Z310" i="1"/>
  <c r="Z2753" i="1"/>
  <c r="Z2754" i="1"/>
  <c r="Z2755" i="1"/>
  <c r="Z1027" i="1"/>
  <c r="Z1028" i="1"/>
  <c r="Z2756" i="1"/>
  <c r="Z2757" i="1"/>
  <c r="Z2758" i="1"/>
  <c r="Z2759" i="1"/>
  <c r="Z2760" i="1"/>
  <c r="Z2761" i="1"/>
  <c r="Z1041" i="1"/>
  <c r="Z2762" i="1"/>
  <c r="Z837" i="1"/>
  <c r="Z838" i="1"/>
  <c r="Z839" i="1"/>
  <c r="Z840" i="1"/>
  <c r="Z841" i="1"/>
  <c r="Z842" i="1"/>
  <c r="Z843" i="1"/>
  <c r="Z2763" i="1"/>
  <c r="Z2764" i="1"/>
  <c r="Z2765" i="1"/>
  <c r="Z2766" i="1"/>
  <c r="Z2767" i="1"/>
  <c r="Z2768" i="1"/>
  <c r="Z1189" i="1"/>
  <c r="Z2769" i="1"/>
  <c r="Z2770" i="1"/>
  <c r="Z2771" i="1"/>
  <c r="Z2772" i="1"/>
  <c r="Z2773" i="1"/>
  <c r="Z2774" i="1"/>
  <c r="Z475" i="1"/>
  <c r="Z476" i="1"/>
  <c r="Z2775" i="1"/>
  <c r="Z2776" i="1"/>
  <c r="Z1545" i="1"/>
  <c r="Z1546" i="1"/>
  <c r="Z2777" i="1"/>
  <c r="Z1547" i="1"/>
  <c r="Z2778" i="1"/>
  <c r="Z2779" i="1"/>
  <c r="Z1064" i="1"/>
  <c r="Z1065" i="1"/>
  <c r="Z1066" i="1"/>
  <c r="Z1067" i="1"/>
  <c r="Z2780" i="1"/>
  <c r="Z2781" i="1"/>
  <c r="Z2782" i="1"/>
  <c r="Z2783" i="1"/>
  <c r="Z2784" i="1"/>
  <c r="Z2785" i="1"/>
  <c r="Z2786" i="1"/>
  <c r="Z1051" i="1"/>
  <c r="Z1052" i="1"/>
  <c r="Z1053" i="1"/>
  <c r="Z1054" i="1"/>
  <c r="Z1055" i="1"/>
  <c r="Z1056" i="1"/>
  <c r="Z1548" i="1"/>
  <c r="Z2787" i="1"/>
  <c r="Z1549" i="1"/>
  <c r="Z2788" i="1"/>
  <c r="Z2789" i="1"/>
  <c r="Z2790" i="1"/>
  <c r="Z2791" i="1"/>
  <c r="Z2792" i="1"/>
  <c r="Z2793" i="1"/>
  <c r="Z2794" i="1"/>
  <c r="Z2795" i="1"/>
  <c r="Z1550" i="1"/>
  <c r="Z2796" i="1"/>
  <c r="Z1551" i="1"/>
  <c r="Z2797" i="1"/>
  <c r="Z1552" i="1"/>
  <c r="Z2798" i="1"/>
  <c r="Z1553" i="1"/>
  <c r="Z2799" i="1"/>
  <c r="Z1554" i="1"/>
  <c r="Z2800" i="1"/>
  <c r="Z1555" i="1"/>
  <c r="Z2801" i="1"/>
  <c r="Z1556" i="1"/>
  <c r="Z2802" i="1"/>
  <c r="Z1557" i="1"/>
  <c r="Z2803" i="1"/>
  <c r="Z1558" i="1"/>
  <c r="Z2804" i="1"/>
  <c r="Z1559" i="1"/>
  <c r="Z2805" i="1"/>
  <c r="Z1560" i="1"/>
  <c r="Z2806" i="1"/>
  <c r="Z1561" i="1"/>
  <c r="Z2807" i="1"/>
  <c r="Z2808" i="1"/>
  <c r="Z2809" i="1"/>
  <c r="Z2810" i="1"/>
  <c r="Z2811" i="1"/>
  <c r="Z2812" i="1"/>
  <c r="Z2813" i="1"/>
  <c r="Z2814" i="1"/>
  <c r="Z2815" i="1"/>
  <c r="Z2816" i="1"/>
  <c r="Z2817" i="1"/>
  <c r="Z2818" i="1"/>
  <c r="Z827" i="1"/>
  <c r="Z828" i="1"/>
  <c r="Z829" i="1"/>
  <c r="Z2819" i="1"/>
  <c r="Z1142" i="1"/>
  <c r="Z2820" i="1"/>
  <c r="Z2821" i="1"/>
  <c r="Z2822" i="1"/>
  <c r="Z1562" i="1"/>
  <c r="Z28" i="1"/>
  <c r="Z29" i="1"/>
  <c r="Z30" i="1"/>
  <c r="Z2823" i="1"/>
  <c r="Z801" i="1"/>
  <c r="Z2824" i="1"/>
  <c r="Z2825" i="1"/>
  <c r="Z2826" i="1"/>
  <c r="Z2827" i="1"/>
  <c r="Z2828" i="1"/>
  <c r="Z1174" i="1"/>
  <c r="Z2829" i="1"/>
  <c r="Z1213" i="1"/>
  <c r="Z1175" i="1"/>
  <c r="Z1188" i="1"/>
  <c r="Z2830" i="1"/>
  <c r="Z2831" i="1"/>
  <c r="Z422" i="1"/>
  <c r="Z2832" i="1"/>
  <c r="Z423" i="1"/>
  <c r="Z2833" i="1"/>
  <c r="Z2834" i="1"/>
  <c r="Z1141" i="1"/>
  <c r="Z1143" i="1"/>
  <c r="Z814" i="1"/>
  <c r="Z813" i="1"/>
  <c r="Z1138" i="1"/>
  <c r="Z1151" i="1"/>
  <c r="Z778" i="1"/>
  <c r="Z780" i="1"/>
  <c r="Z1152" i="1"/>
  <c r="Z1034" i="1"/>
  <c r="Z1150" i="1"/>
  <c r="Z2835" i="1"/>
  <c r="V1563" i="1"/>
  <c r="V1564" i="1"/>
  <c r="V1565" i="1"/>
  <c r="V1566" i="1"/>
  <c r="V1567" i="1"/>
  <c r="V1568" i="1"/>
  <c r="V1569" i="1"/>
  <c r="V979" i="1"/>
  <c r="V980" i="1"/>
  <c r="V981" i="1"/>
  <c r="V982" i="1"/>
  <c r="V1570" i="1"/>
  <c r="V1315" i="1"/>
  <c r="V1316" i="1"/>
  <c r="V508" i="1"/>
  <c r="V509" i="1"/>
  <c r="V510" i="1"/>
  <c r="V511" i="1"/>
  <c r="V1228" i="1"/>
  <c r="V1229" i="1"/>
  <c r="V1571" i="1"/>
  <c r="V1572" i="1"/>
  <c r="V1573" i="1"/>
  <c r="V1185" i="1"/>
  <c r="V1186" i="1"/>
  <c r="V1574" i="1"/>
  <c r="V1575" i="1"/>
  <c r="V384" i="1"/>
  <c r="V385" i="1"/>
  <c r="V386" i="1"/>
  <c r="V33" i="1"/>
  <c r="V35" i="1"/>
  <c r="V34" i="1"/>
  <c r="V36" i="1"/>
  <c r="V37" i="1"/>
  <c r="V135" i="1"/>
  <c r="V136" i="1"/>
  <c r="V137" i="1"/>
  <c r="V138" i="1"/>
  <c r="V139" i="1"/>
  <c r="V140" i="1"/>
  <c r="V141" i="1"/>
  <c r="V142" i="1"/>
  <c r="V143" i="1"/>
  <c r="V144" i="1"/>
  <c r="V145" i="1"/>
  <c r="V146" i="1"/>
  <c r="V147" i="1"/>
  <c r="V148" i="1"/>
  <c r="V149" i="1"/>
  <c r="V1576" i="1"/>
  <c r="V1577" i="1"/>
  <c r="V1578" i="1"/>
  <c r="V1579" i="1"/>
  <c r="V1580" i="1"/>
  <c r="V1581" i="1"/>
  <c r="V1582" i="1"/>
  <c r="V80" i="1"/>
  <c r="V99" i="1"/>
  <c r="V100" i="1"/>
  <c r="V81" i="1"/>
  <c r="V101" i="1"/>
  <c r="V102" i="1"/>
  <c r="V82" i="1"/>
  <c r="V103" i="1"/>
  <c r="V104" i="1"/>
  <c r="V83" i="1"/>
  <c r="V105" i="1"/>
  <c r="V106" i="1"/>
  <c r="V84" i="1"/>
  <c r="V107" i="1"/>
  <c r="V108" i="1"/>
  <c r="V85" i="1"/>
  <c r="V109" i="1"/>
  <c r="V110" i="1"/>
  <c r="V86" i="1"/>
  <c r="V111" i="1"/>
  <c r="V112" i="1"/>
  <c r="V87" i="1"/>
  <c r="V113" i="1"/>
  <c r="V114" i="1"/>
  <c r="V88" i="1"/>
  <c r="V115" i="1"/>
  <c r="V116" i="1"/>
  <c r="V89" i="1"/>
  <c r="V117" i="1"/>
  <c r="V118" i="1"/>
  <c r="V90" i="1"/>
  <c r="V119" i="1"/>
  <c r="V120" i="1"/>
  <c r="V121" i="1"/>
  <c r="V122" i="1"/>
  <c r="V123" i="1"/>
  <c r="V124" i="1"/>
  <c r="V1583" i="1"/>
  <c r="V1584" i="1"/>
  <c r="V1585" i="1"/>
  <c r="V993" i="1"/>
  <c r="V994" i="1"/>
  <c r="V1586" i="1"/>
  <c r="V1587" i="1"/>
  <c r="V1588" i="1"/>
  <c r="V1589" i="1"/>
  <c r="V995" i="1"/>
  <c r="V996" i="1"/>
  <c r="V1317" i="1"/>
  <c r="V1318" i="1"/>
  <c r="V1590" i="1"/>
  <c r="V1319" i="1"/>
  <c r="V1320" i="1"/>
  <c r="V1321" i="1"/>
  <c r="V1591" i="1"/>
  <c r="V1592" i="1"/>
  <c r="V1593" i="1"/>
  <c r="V407" i="1"/>
  <c r="V408" i="1"/>
  <c r="V409" i="1"/>
  <c r="V410" i="1"/>
  <c r="V411" i="1"/>
  <c r="V997" i="1"/>
  <c r="V998" i="1"/>
  <c r="V1594" i="1"/>
  <c r="V1595" i="1"/>
  <c r="V1596" i="1"/>
  <c r="V1597" i="1"/>
  <c r="V1598" i="1"/>
  <c r="V1147" i="1"/>
  <c r="V1599" i="1"/>
  <c r="V1148" i="1"/>
  <c r="V1600" i="1"/>
  <c r="V1601" i="1"/>
  <c r="V1322" i="1"/>
  <c r="V1602" i="1"/>
  <c r="V816" i="1"/>
  <c r="V817" i="1"/>
  <c r="V999" i="1"/>
  <c r="V1000" i="1"/>
  <c r="V1323" i="1"/>
  <c r="V1324" i="1"/>
  <c r="V1325" i="1"/>
  <c r="V1159" i="1"/>
  <c r="V1603" i="1"/>
  <c r="V1604" i="1"/>
  <c r="V512" i="1"/>
  <c r="V513" i="1"/>
  <c r="V1326" i="1"/>
  <c r="V1327" i="1"/>
  <c r="V246" i="1"/>
  <c r="V1605" i="1"/>
  <c r="V1606" i="1"/>
  <c r="V1607" i="1"/>
  <c r="V1608" i="1"/>
  <c r="V1609" i="1"/>
  <c r="V1610" i="1"/>
  <c r="V815" i="1"/>
  <c r="V818" i="1"/>
  <c r="V819" i="1"/>
  <c r="V1611" i="1"/>
  <c r="V1612" i="1"/>
  <c r="V1613" i="1"/>
  <c r="V1614" i="1"/>
  <c r="V1615" i="1"/>
  <c r="V514" i="1"/>
  <c r="V1616" i="1"/>
  <c r="V1617" i="1"/>
  <c r="V1618" i="1"/>
  <c r="V1619" i="1"/>
  <c r="V311" i="1"/>
  <c r="V314" i="1"/>
  <c r="V312" i="1"/>
  <c r="V315" i="1"/>
  <c r="V313" i="1"/>
  <c r="V316" i="1"/>
  <c r="V317" i="1"/>
  <c r="V9" i="1"/>
  <c r="V1620" i="1"/>
  <c r="V1621" i="1"/>
  <c r="V1622" i="1"/>
  <c r="V1001" i="1"/>
  <c r="V1002" i="1"/>
  <c r="V1623" i="1"/>
  <c r="V1624" i="1"/>
  <c r="V1625" i="1"/>
  <c r="V1626" i="1"/>
  <c r="V1627" i="1"/>
  <c r="V1628" i="1"/>
  <c r="V783" i="1"/>
  <c r="V784" i="1"/>
  <c r="V1629" i="1"/>
  <c r="V1630" i="1"/>
  <c r="V1631" i="1"/>
  <c r="V1632" i="1"/>
  <c r="V1633" i="1"/>
  <c r="V1634" i="1"/>
  <c r="V1635" i="1"/>
  <c r="V1636" i="1"/>
  <c r="V1637" i="1"/>
  <c r="V1638" i="1"/>
  <c r="V1639" i="1"/>
  <c r="V1640" i="1"/>
  <c r="V1641" i="1"/>
  <c r="V7" i="1"/>
  <c r="V8" i="1"/>
  <c r="V645" i="1"/>
  <c r="V646" i="1"/>
  <c r="V647" i="1"/>
  <c r="V648" i="1"/>
  <c r="V649" i="1"/>
  <c r="V650" i="1"/>
  <c r="V651" i="1"/>
  <c r="V652" i="1"/>
  <c r="V1642" i="1"/>
  <c r="V1643" i="1"/>
  <c r="V1328" i="1"/>
  <c r="V1644" i="1"/>
  <c r="V1645" i="1"/>
  <c r="V424" i="1"/>
  <c r="V425" i="1"/>
  <c r="V426" i="1"/>
  <c r="V427" i="1"/>
  <c r="V428" i="1"/>
  <c r="V429" i="1"/>
  <c r="V430" i="1"/>
  <c r="V431" i="1"/>
  <c r="V480" i="1"/>
  <c r="V481" i="1"/>
  <c r="V482" i="1"/>
  <c r="V483" i="1"/>
  <c r="V1110" i="1"/>
  <c r="V1646" i="1"/>
  <c r="V1647" i="1"/>
  <c r="V1648" i="1"/>
  <c r="V1649" i="1"/>
  <c r="V3" i="1"/>
  <c r="V4" i="1"/>
  <c r="V1329" i="1"/>
  <c r="V1330" i="1"/>
  <c r="V1331" i="1"/>
  <c r="V782" i="1"/>
  <c r="V785" i="1"/>
  <c r="V786" i="1"/>
  <c r="V1332" i="1"/>
  <c r="V1333" i="1"/>
  <c r="V1334" i="1"/>
  <c r="V1335" i="1"/>
  <c r="V1336" i="1"/>
  <c r="V1337" i="1"/>
  <c r="V1338" i="1"/>
  <c r="V1339" i="1"/>
  <c r="V1340" i="1"/>
  <c r="V1341" i="1"/>
  <c r="V1342" i="1"/>
  <c r="V1343" i="1"/>
  <c r="V1650" i="1"/>
  <c r="V1651" i="1"/>
  <c r="V1652" i="1"/>
  <c r="V1653" i="1"/>
  <c r="V1654" i="1"/>
  <c r="V1655" i="1"/>
  <c r="V150" i="1"/>
  <c r="V151" i="1"/>
  <c r="V152" i="1"/>
  <c r="V153" i="1"/>
  <c r="V154" i="1"/>
  <c r="V155" i="1"/>
  <c r="V156" i="1"/>
  <c r="V157" i="1"/>
  <c r="V158" i="1"/>
  <c r="V159" i="1"/>
  <c r="V160" i="1"/>
  <c r="V161" i="1"/>
  <c r="V162" i="1"/>
  <c r="V163" i="1"/>
  <c r="V164" i="1"/>
  <c r="V1656" i="1"/>
  <c r="V1344" i="1"/>
  <c r="V1345" i="1"/>
  <c r="V515" i="1"/>
  <c r="V516" i="1"/>
  <c r="V517" i="1"/>
  <c r="V439" i="1"/>
  <c r="V447" i="1"/>
  <c r="V518" i="1"/>
  <c r="V519" i="1"/>
  <c r="V520" i="1"/>
  <c r="V521" i="1"/>
  <c r="V522" i="1"/>
  <c r="V523" i="1"/>
  <c r="V524" i="1"/>
  <c r="V525" i="1"/>
  <c r="V526" i="1"/>
  <c r="V527" i="1"/>
  <c r="V528" i="1"/>
  <c r="V529" i="1"/>
  <c r="V530" i="1"/>
  <c r="V531" i="1"/>
  <c r="V532" i="1"/>
  <c r="V533" i="1"/>
  <c r="V534" i="1"/>
  <c r="V535" i="1"/>
  <c r="V536" i="1"/>
  <c r="V537" i="1"/>
  <c r="V538" i="1"/>
  <c r="V440" i="1"/>
  <c r="V441" i="1"/>
  <c r="V442" i="1"/>
  <c r="V443" i="1"/>
  <c r="V444" i="1"/>
  <c r="V445" i="1"/>
  <c r="V446" i="1"/>
  <c r="V448" i="1"/>
  <c r="V449" i="1"/>
  <c r="V450" i="1"/>
  <c r="V451" i="1"/>
  <c r="V452" i="1"/>
  <c r="V453" i="1"/>
  <c r="V454" i="1"/>
  <c r="V1657" i="1"/>
  <c r="V1658" i="1"/>
  <c r="V467" i="1"/>
  <c r="V468" i="1"/>
  <c r="V469" i="1"/>
  <c r="V1109" i="1"/>
  <c r="V1346" i="1"/>
  <c r="V1347" i="1"/>
  <c r="V1348" i="1"/>
  <c r="V1349" i="1"/>
  <c r="V1350" i="1"/>
  <c r="V1351" i="1"/>
  <c r="V1659" i="1"/>
  <c r="V1660" i="1"/>
  <c r="V1003" i="1"/>
  <c r="V1004" i="1"/>
  <c r="V1005" i="1"/>
  <c r="V1006" i="1"/>
  <c r="V1661" i="1"/>
  <c r="V1662" i="1"/>
  <c r="V1663" i="1"/>
  <c r="V1664" i="1"/>
  <c r="V1665" i="1"/>
  <c r="V1666" i="1"/>
  <c r="V1667" i="1"/>
  <c r="V1668" i="1"/>
  <c r="V1669" i="1"/>
  <c r="V1670" i="1"/>
  <c r="V1072" i="1"/>
  <c r="V967" i="1"/>
  <c r="V968" i="1"/>
  <c r="V969" i="1"/>
  <c r="V1352" i="1"/>
  <c r="V1181" i="1"/>
  <c r="V1353" i="1"/>
  <c r="V1671" i="1"/>
  <c r="V284" i="1"/>
  <c r="V276" i="1"/>
  <c r="V1672" i="1"/>
  <c r="V1673" i="1"/>
  <c r="V1674" i="1"/>
  <c r="V1675" i="1"/>
  <c r="V1676" i="1"/>
  <c r="V1677" i="1"/>
  <c r="V1678" i="1"/>
  <c r="V1679" i="1"/>
  <c r="V1680" i="1"/>
  <c r="V1681" i="1"/>
  <c r="V1682" i="1"/>
  <c r="V1683" i="1"/>
  <c r="V1684" i="1"/>
  <c r="V1685" i="1"/>
  <c r="V1686" i="1"/>
  <c r="V1687" i="1"/>
  <c r="V1688" i="1"/>
  <c r="V1689" i="1"/>
  <c r="V1690" i="1"/>
  <c r="V1691" i="1"/>
  <c r="V1692" i="1"/>
  <c r="V985" i="1"/>
  <c r="V986" i="1"/>
  <c r="V987" i="1"/>
  <c r="V988" i="1"/>
  <c r="V989" i="1"/>
  <c r="V990" i="1"/>
  <c r="V991" i="1"/>
  <c r="V38" i="1"/>
  <c r="V39" i="1"/>
  <c r="V40" i="1"/>
  <c r="V41" i="1"/>
  <c r="V42" i="1"/>
  <c r="V43" i="1"/>
  <c r="V44" i="1"/>
  <c r="V45" i="1"/>
  <c r="V46" i="1"/>
  <c r="V47" i="1"/>
  <c r="V48" i="1"/>
  <c r="V49" i="1"/>
  <c r="V50" i="1"/>
  <c r="V51" i="1"/>
  <c r="V52" i="1"/>
  <c r="V53" i="1"/>
  <c r="V54" i="1"/>
  <c r="V55" i="1"/>
  <c r="V1354" i="1"/>
  <c r="V1355" i="1"/>
  <c r="V1693" i="1"/>
  <c r="V1694" i="1"/>
  <c r="V1695" i="1"/>
  <c r="V1696" i="1"/>
  <c r="V1697" i="1"/>
  <c r="V1698" i="1"/>
  <c r="V1699" i="1"/>
  <c r="V1700" i="1"/>
  <c r="V1701" i="1"/>
  <c r="V908" i="1"/>
  <c r="V909" i="1"/>
  <c r="V1356" i="1"/>
  <c r="V1357" i="1"/>
  <c r="V1358" i="1"/>
  <c r="V1359" i="1"/>
  <c r="V1702" i="1"/>
  <c r="V1703" i="1"/>
  <c r="V1704" i="1"/>
  <c r="V1705" i="1"/>
  <c r="V1706" i="1"/>
  <c r="V1707" i="1"/>
  <c r="V1708" i="1"/>
  <c r="V1709" i="1"/>
  <c r="V1007" i="1"/>
  <c r="V1008" i="1"/>
  <c r="V281" i="1"/>
  <c r="V1360" i="1"/>
  <c r="V1361" i="1"/>
  <c r="V1362" i="1"/>
  <c r="V1710" i="1"/>
  <c r="V1711" i="1"/>
  <c r="V1712" i="1"/>
  <c r="V1114" i="1"/>
  <c r="V32" i="1"/>
  <c r="V1713" i="1"/>
  <c r="V1714" i="1"/>
  <c r="V1715" i="1"/>
  <c r="V1716" i="1"/>
  <c r="V1717" i="1"/>
  <c r="V1718" i="1"/>
  <c r="V1363" i="1"/>
  <c r="V1364" i="1"/>
  <c r="V1365" i="1"/>
  <c r="V1366" i="1"/>
  <c r="V502" i="1"/>
  <c r="V503" i="1"/>
  <c r="V504" i="1"/>
  <c r="V505" i="1"/>
  <c r="V1367" i="1"/>
  <c r="V1368" i="1"/>
  <c r="V1369" i="1"/>
  <c r="V1370" i="1"/>
  <c r="V1719" i="1"/>
  <c r="V1720" i="1"/>
  <c r="V323" i="1"/>
  <c r="V338" i="1"/>
  <c r="V339" i="1"/>
  <c r="V324" i="1"/>
  <c r="V340" i="1"/>
  <c r="V341" i="1"/>
  <c r="V325" i="1"/>
  <c r="V342" i="1"/>
  <c r="V343" i="1"/>
  <c r="V326" i="1"/>
  <c r="V344" i="1"/>
  <c r="V345" i="1"/>
  <c r="V327" i="1"/>
  <c r="V346" i="1"/>
  <c r="V347" i="1"/>
  <c r="V328" i="1"/>
  <c r="V348" i="1"/>
  <c r="V349" i="1"/>
  <c r="V329" i="1"/>
  <c r="V350" i="1"/>
  <c r="V351" i="1"/>
  <c r="V330" i="1"/>
  <c r="V352" i="1"/>
  <c r="V353" i="1"/>
  <c r="V354" i="1"/>
  <c r="V355" i="1"/>
  <c r="V356" i="1"/>
  <c r="V357" i="1"/>
  <c r="V358" i="1"/>
  <c r="V359" i="1"/>
  <c r="V360" i="1"/>
  <c r="V331" i="1"/>
  <c r="V361" i="1"/>
  <c r="V332" i="1"/>
  <c r="V362" i="1"/>
  <c r="V333" i="1"/>
  <c r="V363" i="1"/>
  <c r="V334" i="1"/>
  <c r="V364" i="1"/>
  <c r="V335" i="1"/>
  <c r="V336" i="1"/>
  <c r="V337" i="1"/>
  <c r="V365" i="1"/>
  <c r="V366" i="1"/>
  <c r="V367" i="1"/>
  <c r="V368" i="1"/>
  <c r="V1721" i="1"/>
  <c r="V1722" i="1"/>
  <c r="V1723" i="1"/>
  <c r="V1724" i="1"/>
  <c r="V1230" i="1"/>
  <c r="V1231" i="1"/>
  <c r="V1251" i="1"/>
  <c r="V1252" i="1"/>
  <c r="V1253" i="1"/>
  <c r="V1254" i="1"/>
  <c r="V910" i="1"/>
  <c r="V911" i="1"/>
  <c r="V539" i="1"/>
  <c r="V31" i="1"/>
  <c r="V1086" i="1"/>
  <c r="V811" i="1"/>
  <c r="V812" i="1"/>
  <c r="V1725" i="1"/>
  <c r="V1726" i="1"/>
  <c r="V1727" i="1"/>
  <c r="V1728" i="1"/>
  <c r="V1371" i="1"/>
  <c r="V1372" i="1"/>
  <c r="V1729" i="1"/>
  <c r="V1730" i="1"/>
  <c r="V1731" i="1"/>
  <c r="V947" i="1"/>
  <c r="V948" i="1"/>
  <c r="V949" i="1"/>
  <c r="V950" i="1"/>
  <c r="V1218" i="1"/>
  <c r="V1219" i="1"/>
  <c r="V1732" i="1"/>
  <c r="V1733" i="1"/>
  <c r="V1734" i="1"/>
  <c r="V1735" i="1"/>
  <c r="V1736" i="1"/>
  <c r="V1737" i="1"/>
  <c r="V1738" i="1"/>
  <c r="V899" i="1"/>
  <c r="V900" i="1"/>
  <c r="V1373" i="1"/>
  <c r="V1374" i="1"/>
  <c r="V1375" i="1"/>
  <c r="V1376" i="1"/>
  <c r="V1377" i="1"/>
  <c r="V1378" i="1"/>
  <c r="V1379" i="1"/>
  <c r="V1739" i="1"/>
  <c r="V1740" i="1"/>
  <c r="V1741" i="1"/>
  <c r="V1742" i="1"/>
  <c r="V1743" i="1"/>
  <c r="V1744" i="1"/>
  <c r="V1178" i="1"/>
  <c r="V1179" i="1"/>
  <c r="V1180" i="1"/>
  <c r="V1745" i="1"/>
  <c r="V1380" i="1"/>
  <c r="V1746" i="1"/>
  <c r="V1381" i="1"/>
  <c r="V1382" i="1"/>
  <c r="V1383" i="1"/>
  <c r="V1384" i="1"/>
  <c r="V1385" i="1"/>
  <c r="V1386" i="1"/>
  <c r="V1387" i="1"/>
  <c r="V1747" i="1"/>
  <c r="V1748" i="1"/>
  <c r="V1749" i="1"/>
  <c r="V1750" i="1"/>
  <c r="V1751" i="1"/>
  <c r="V1752" i="1"/>
  <c r="V1753" i="1"/>
  <c r="V1754" i="1"/>
  <c r="V1755" i="1"/>
  <c r="V1756" i="1"/>
  <c r="V1757" i="1"/>
  <c r="V1758" i="1"/>
  <c r="V1759" i="1"/>
  <c r="V1760" i="1"/>
  <c r="V1761" i="1"/>
  <c r="V405" i="1"/>
  <c r="V1009" i="1"/>
  <c r="V1010" i="1"/>
  <c r="V1762" i="1"/>
  <c r="V1763" i="1"/>
  <c r="V1764" i="1"/>
  <c r="V1765" i="1"/>
  <c r="V804" i="1"/>
  <c r="V805" i="1"/>
  <c r="V806" i="1"/>
  <c r="V1766" i="1"/>
  <c r="V1767" i="1"/>
  <c r="V1768" i="1"/>
  <c r="V1769" i="1"/>
  <c r="V1770" i="1"/>
  <c r="V1206" i="1"/>
  <c r="V1207" i="1"/>
  <c r="V1771" i="1"/>
  <c r="V1772" i="1"/>
  <c r="V781" i="1"/>
  <c r="V787" i="1"/>
  <c r="V788" i="1"/>
  <c r="V1388" i="1"/>
  <c r="V1773" i="1"/>
  <c r="V1774" i="1"/>
  <c r="V1775" i="1"/>
  <c r="V1136" i="1"/>
  <c r="V1137" i="1"/>
  <c r="V1776" i="1"/>
  <c r="V1777" i="1"/>
  <c r="V1778" i="1"/>
  <c r="V1779" i="1"/>
  <c r="V1780" i="1"/>
  <c r="V1781" i="1"/>
  <c r="V1782" i="1"/>
  <c r="V1255" i="1"/>
  <c r="V1256" i="1"/>
  <c r="V1257" i="1"/>
  <c r="V1258" i="1"/>
  <c r="V1259"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389" i="1"/>
  <c r="V1390" i="1"/>
  <c r="V1391" i="1"/>
  <c r="V1392" i="1"/>
  <c r="V1393" i="1"/>
  <c r="V1809" i="1"/>
  <c r="V1810" i="1"/>
  <c r="V1811" i="1"/>
  <c r="V1812" i="1"/>
  <c r="V1813" i="1"/>
  <c r="V1814" i="1"/>
  <c r="V1815" i="1"/>
  <c r="V1816" i="1"/>
  <c r="V1817" i="1"/>
  <c r="V1818" i="1"/>
  <c r="V1819" i="1"/>
  <c r="V1820" i="1"/>
  <c r="V1821" i="1"/>
  <c r="V1822" i="1"/>
  <c r="V1823" i="1"/>
  <c r="V5" i="1"/>
  <c r="V6"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277" i="1"/>
  <c r="V278" i="1"/>
  <c r="V279" i="1"/>
  <c r="V1860" i="1"/>
  <c r="V1861" i="1"/>
  <c r="V1862" i="1"/>
  <c r="V1863" i="1"/>
  <c r="V1864" i="1"/>
  <c r="V1865" i="1"/>
  <c r="V1866" i="1"/>
  <c r="V1867" i="1"/>
  <c r="V1868" i="1"/>
  <c r="V1869" i="1"/>
  <c r="V1870" i="1"/>
  <c r="V1871" i="1"/>
  <c r="V1872" i="1"/>
  <c r="V1011" i="1"/>
  <c r="V1012" i="1"/>
  <c r="V1873" i="1"/>
  <c r="V1874" i="1"/>
  <c r="V1875" i="1"/>
  <c r="V1876" i="1"/>
  <c r="V1877" i="1"/>
  <c r="V1878" i="1"/>
  <c r="V1879" i="1"/>
  <c r="V1880" i="1"/>
  <c r="V771" i="1"/>
  <c r="V1214" i="1"/>
  <c r="V1215" i="1"/>
  <c r="V1881" i="1"/>
  <c r="V1882" i="1"/>
  <c r="V1883" i="1"/>
  <c r="V1884" i="1"/>
  <c r="V1885" i="1"/>
  <c r="V1886" i="1"/>
  <c r="V898" i="1"/>
  <c r="V901" i="1"/>
  <c r="V902" i="1"/>
  <c r="V1260" i="1"/>
  <c r="V1261" i="1"/>
  <c r="V1887" i="1"/>
  <c r="V1888" i="1"/>
  <c r="V1889" i="1"/>
  <c r="V1890" i="1"/>
  <c r="V1891" i="1"/>
  <c r="V1892" i="1"/>
  <c r="V1893" i="1"/>
  <c r="V1894" i="1"/>
  <c r="V1895" i="1"/>
  <c r="V1896" i="1"/>
  <c r="V1897" i="1"/>
  <c r="V1898" i="1"/>
  <c r="V1899" i="1"/>
  <c r="V1900" i="1"/>
  <c r="V1901" i="1"/>
  <c r="V1902" i="1"/>
  <c r="V1903" i="1"/>
  <c r="V1904" i="1"/>
  <c r="V1905" i="1"/>
  <c r="V1906" i="1"/>
  <c r="V1394" i="1"/>
  <c r="V1395" i="1"/>
  <c r="V1169" i="1"/>
  <c r="V1907" i="1"/>
  <c r="V1396" i="1"/>
  <c r="V1908" i="1"/>
  <c r="V1397" i="1"/>
  <c r="V1398" i="1"/>
  <c r="V1909" i="1"/>
  <c r="V1910" i="1"/>
  <c r="V1399" i="1"/>
  <c r="V1400" i="1"/>
  <c r="V1401" i="1"/>
  <c r="V1402" i="1"/>
  <c r="V1403" i="1"/>
  <c r="V1404" i="1"/>
  <c r="V1405" i="1"/>
  <c r="V1406" i="1"/>
  <c r="V1407" i="1"/>
  <c r="V1408" i="1"/>
  <c r="V1911" i="1"/>
  <c r="V1912" i="1"/>
  <c r="V1409" i="1"/>
  <c r="V1913" i="1"/>
  <c r="V1914" i="1"/>
  <c r="V1170" i="1"/>
  <c r="V1171" i="1"/>
  <c r="V1172" i="1"/>
  <c r="V1173" i="1"/>
  <c r="V1915" i="1"/>
  <c r="V1916" i="1"/>
  <c r="V1917" i="1"/>
  <c r="V1918" i="1"/>
  <c r="V1410" i="1"/>
  <c r="V1411" i="1"/>
  <c r="V1412" i="1"/>
  <c r="V1413" i="1"/>
  <c r="V1919" i="1"/>
  <c r="V1920" i="1"/>
  <c r="V1921" i="1"/>
  <c r="V1922" i="1"/>
  <c r="V1923" i="1"/>
  <c r="V1414" i="1"/>
  <c r="V1415" i="1"/>
  <c r="V1416" i="1"/>
  <c r="V1417" i="1"/>
  <c r="V1418" i="1"/>
  <c r="V1924" i="1"/>
  <c r="V1925" i="1"/>
  <c r="V1419" i="1"/>
  <c r="V1420" i="1"/>
  <c r="V1421" i="1"/>
  <c r="V1422" i="1"/>
  <c r="V1926" i="1"/>
  <c r="V1927" i="1"/>
  <c r="V1928" i="1"/>
  <c r="V1929" i="1"/>
  <c r="V1930" i="1"/>
  <c r="V1931" i="1"/>
  <c r="V1932" i="1"/>
  <c r="V1933" i="1"/>
  <c r="V1934" i="1"/>
  <c r="V1935" i="1"/>
  <c r="V1936" i="1"/>
  <c r="V1937" i="1"/>
  <c r="V1938" i="1"/>
  <c r="V1939" i="1"/>
  <c r="V1940" i="1"/>
  <c r="V1423" i="1"/>
  <c r="V1424" i="1"/>
  <c r="V1425" i="1"/>
  <c r="V1941" i="1"/>
  <c r="V1942" i="1"/>
  <c r="V1943" i="1"/>
  <c r="V1944" i="1"/>
  <c r="V1945" i="1"/>
  <c r="V1946" i="1"/>
  <c r="V1947" i="1"/>
  <c r="V1948" i="1"/>
  <c r="V1949" i="1"/>
  <c r="V1950" i="1"/>
  <c r="V1951" i="1"/>
  <c r="V1952" i="1"/>
  <c r="V1953" i="1"/>
  <c r="V1954" i="1"/>
  <c r="V1955" i="1"/>
  <c r="V1956" i="1"/>
  <c r="V1957" i="1"/>
  <c r="V1958" i="1"/>
  <c r="V1106" i="1"/>
  <c r="V1107" i="1"/>
  <c r="V1959" i="1"/>
  <c r="V1960" i="1"/>
  <c r="V1961" i="1"/>
  <c r="V1962" i="1"/>
  <c r="V1963" i="1"/>
  <c r="V1964" i="1"/>
  <c r="V1965" i="1"/>
  <c r="V1966" i="1"/>
  <c r="V1967" i="1"/>
  <c r="V1968" i="1"/>
  <c r="V1969" i="1"/>
  <c r="V1970" i="1"/>
  <c r="V1155" i="1"/>
  <c r="V1156" i="1"/>
  <c r="V1262" i="1"/>
  <c r="V1971" i="1"/>
  <c r="V1972" i="1"/>
  <c r="V1973" i="1"/>
  <c r="V406" i="1"/>
  <c r="V16" i="1"/>
  <c r="V17" i="1"/>
  <c r="V1974" i="1"/>
  <c r="V1975" i="1"/>
  <c r="V10" i="1"/>
  <c r="V13" i="1"/>
  <c r="V11" i="1"/>
  <c r="V14" i="1"/>
  <c r="V15" i="1"/>
  <c r="V1013" i="1"/>
  <c r="V1014" i="1"/>
  <c r="V1976" i="1"/>
  <c r="V1977" i="1"/>
  <c r="V1978" i="1"/>
  <c r="V1979" i="1"/>
  <c r="V874" i="1"/>
  <c r="V875" i="1"/>
  <c r="V876" i="1"/>
  <c r="V877" i="1"/>
  <c r="V878" i="1"/>
  <c r="V879" i="1"/>
  <c r="V880" i="1"/>
  <c r="V881" i="1"/>
  <c r="V1980" i="1"/>
  <c r="V1981" i="1"/>
  <c r="V1982" i="1"/>
  <c r="V1983" i="1"/>
  <c r="V1984" i="1"/>
  <c r="V1985" i="1"/>
  <c r="V1986" i="1"/>
  <c r="V1987" i="1"/>
  <c r="V1988" i="1"/>
  <c r="V1989" i="1"/>
  <c r="V1990" i="1"/>
  <c r="V1991" i="1"/>
  <c r="V1992" i="1"/>
  <c r="V1993" i="1"/>
  <c r="V1994" i="1"/>
  <c r="V390" i="1"/>
  <c r="V397" i="1"/>
  <c r="V391" i="1"/>
  <c r="V398" i="1"/>
  <c r="V392" i="1"/>
  <c r="V399" i="1"/>
  <c r="V393" i="1"/>
  <c r="V400" i="1"/>
  <c r="V394" i="1"/>
  <c r="V401" i="1"/>
  <c r="V395" i="1"/>
  <c r="V396" i="1"/>
  <c r="V402" i="1"/>
  <c r="V403" i="1"/>
  <c r="V1263" i="1"/>
  <c r="V1264" i="1"/>
  <c r="V1232" i="1"/>
  <c r="V1233" i="1"/>
  <c r="V1995" i="1"/>
  <c r="V1426" i="1"/>
  <c r="V1996" i="1"/>
  <c r="V1997" i="1"/>
  <c r="V1998" i="1"/>
  <c r="V1042" i="1"/>
  <c r="V1045" i="1"/>
  <c r="V12" i="1"/>
  <c r="V18" i="1"/>
  <c r="V1043" i="1"/>
  <c r="V1044" i="1"/>
  <c r="V1046" i="1"/>
  <c r="V1047" i="1"/>
  <c r="V1048" i="1"/>
  <c r="V1999" i="1"/>
  <c r="V2000" i="1"/>
  <c r="V2001" i="1"/>
  <c r="V2002" i="1"/>
  <c r="V19" i="1"/>
  <c r="V23" i="1"/>
  <c r="V20" i="1"/>
  <c r="V24" i="1"/>
  <c r="V21" i="1"/>
  <c r="V22" i="1"/>
  <c r="V25" i="1"/>
  <c r="V26" i="1"/>
  <c r="V27" i="1"/>
  <c r="V2003" i="1"/>
  <c r="V1427" i="1"/>
  <c r="V912" i="1"/>
  <c r="V913" i="1"/>
  <c r="V2004" i="1"/>
  <c r="V2005" i="1"/>
  <c r="V914" i="1"/>
  <c r="V915" i="1"/>
  <c r="V1428" i="1"/>
  <c r="V2006" i="1"/>
  <c r="V2007" i="1"/>
  <c r="V2008" i="1"/>
  <c r="V2009" i="1"/>
  <c r="V2010" i="1"/>
  <c r="V2011" i="1"/>
  <c r="V2012" i="1"/>
  <c r="V1429" i="1"/>
  <c r="V2013" i="1"/>
  <c r="V1430" i="1"/>
  <c r="V1431" i="1"/>
  <c r="V2014" i="1"/>
  <c r="V2015" i="1"/>
  <c r="V2016" i="1"/>
  <c r="V2017" i="1"/>
  <c r="V2018" i="1"/>
  <c r="V1432" i="1"/>
  <c r="V1433" i="1"/>
  <c r="V1265" i="1"/>
  <c r="V1266" i="1"/>
  <c r="V2019" i="1"/>
  <c r="V2020" i="1"/>
  <c r="V1057" i="1"/>
  <c r="V2021" i="1"/>
  <c r="V2022" i="1"/>
  <c r="V2023" i="1"/>
  <c r="V1015" i="1"/>
  <c r="V1016" i="1"/>
  <c r="V907" i="1"/>
  <c r="V916" i="1"/>
  <c r="V917" i="1"/>
  <c r="V1220" i="1"/>
  <c r="V1221" i="1"/>
  <c r="V2024" i="1"/>
  <c r="V2025" i="1"/>
  <c r="V847" i="1"/>
  <c r="V437" i="1"/>
  <c r="V438" i="1"/>
  <c r="V2026" i="1"/>
  <c r="V2027" i="1"/>
  <c r="V2028" i="1"/>
  <c r="V2029" i="1"/>
  <c r="V2030" i="1"/>
  <c r="V2031" i="1"/>
  <c r="V2032" i="1"/>
  <c r="V2033" i="1"/>
  <c r="V2034" i="1"/>
  <c r="V2035" i="1"/>
  <c r="V2036" i="1"/>
  <c r="V2037" i="1"/>
  <c r="V2038" i="1"/>
  <c r="V2039" i="1"/>
  <c r="V318" i="1"/>
  <c r="V319" i="1"/>
  <c r="V2040" i="1"/>
  <c r="V1176" i="1"/>
  <c r="V1177" i="1"/>
  <c r="V2041" i="1"/>
  <c r="V2042" i="1"/>
  <c r="V2043" i="1"/>
  <c r="V2044" i="1"/>
  <c r="V2045" i="1"/>
  <c r="V2046" i="1"/>
  <c r="V2047" i="1"/>
  <c r="V2048" i="1"/>
  <c r="V2049"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2050" i="1"/>
  <c r="V2051" i="1"/>
  <c r="V1267" i="1"/>
  <c r="V2052" i="1"/>
  <c r="V2053" i="1"/>
  <c r="V2054" i="1"/>
  <c r="V1434" i="1"/>
  <c r="V2055" i="1"/>
  <c r="V1435" i="1"/>
  <c r="V1268" i="1"/>
  <c r="V1269" i="1"/>
  <c r="V1436" i="1"/>
  <c r="V2056" i="1"/>
  <c r="V1437" i="1"/>
  <c r="V1438" i="1"/>
  <c r="V2057" i="1"/>
  <c r="V1439" i="1"/>
  <c r="V746" i="1"/>
  <c r="V747" i="1"/>
  <c r="V2058" i="1"/>
  <c r="V2059" i="1"/>
  <c r="V957" i="1"/>
  <c r="V958" i="1"/>
  <c r="V959" i="1"/>
  <c r="V748" i="1"/>
  <c r="V749" i="1"/>
  <c r="V750" i="1"/>
  <c r="V751" i="1"/>
  <c r="V2060" i="1"/>
  <c r="V2061" i="1"/>
  <c r="V752" i="1"/>
  <c r="V753" i="1"/>
  <c r="V2062" i="1"/>
  <c r="V754" i="1"/>
  <c r="V755" i="1"/>
  <c r="V2063" i="1"/>
  <c r="V2064" i="1"/>
  <c r="V2065" i="1"/>
  <c r="V2066" i="1"/>
  <c r="V2067" i="1"/>
  <c r="V2068" i="1"/>
  <c r="V1440" i="1"/>
  <c r="V1441" i="1"/>
  <c r="V2069" i="1"/>
  <c r="V2070" i="1"/>
  <c r="V848" i="1"/>
  <c r="V849" i="1"/>
  <c r="V850" i="1"/>
  <c r="V851" i="1"/>
  <c r="V852" i="1"/>
  <c r="V853" i="1"/>
  <c r="V854" i="1"/>
  <c r="V855" i="1"/>
  <c r="V856" i="1"/>
  <c r="V857" i="1"/>
  <c r="V858" i="1"/>
  <c r="V859" i="1"/>
  <c r="V860" i="1"/>
  <c r="V861" i="1"/>
  <c r="V862" i="1"/>
  <c r="V2071" i="1"/>
  <c r="V2072" i="1"/>
  <c r="V756" i="1"/>
  <c r="V757" i="1"/>
  <c r="V1270" i="1"/>
  <c r="V789" i="1"/>
  <c r="V2073" i="1"/>
  <c r="V2074" i="1"/>
  <c r="V1208" i="1"/>
  <c r="V2075" i="1"/>
  <c r="V2076" i="1"/>
  <c r="V2077" i="1"/>
  <c r="V2078" i="1"/>
  <c r="V2079" i="1"/>
  <c r="V758" i="1"/>
  <c r="V759" i="1"/>
  <c r="V2080" i="1"/>
  <c r="V2081" i="1"/>
  <c r="V2082" i="1"/>
  <c r="V760" i="1"/>
  <c r="V761" i="1"/>
  <c r="V1442" i="1"/>
  <c r="V2083" i="1"/>
  <c r="V2084" i="1"/>
  <c r="V1443" i="1"/>
  <c r="V1444" i="1"/>
  <c r="V977" i="1"/>
  <c r="V978" i="1"/>
  <c r="V1445" i="1"/>
  <c r="V1446" i="1"/>
  <c r="V2085" i="1"/>
  <c r="V2086" i="1"/>
  <c r="V540" i="1"/>
  <c r="V802" i="1"/>
  <c r="V807" i="1"/>
  <c r="V803" i="1"/>
  <c r="V808" i="1"/>
  <c r="V809" i="1"/>
  <c r="V2087" i="1"/>
  <c r="V2088" i="1"/>
  <c r="V2089" i="1"/>
  <c r="V2090" i="1"/>
  <c r="V2091" i="1"/>
  <c r="V2092" i="1"/>
  <c r="V2093" i="1"/>
  <c r="V2094" i="1"/>
  <c r="V2095" i="1"/>
  <c r="V2096" i="1"/>
  <c r="V790" i="1"/>
  <c r="V791" i="1"/>
  <c r="V2097" i="1"/>
  <c r="V2098" i="1"/>
  <c r="V2099" i="1"/>
  <c r="V2100" i="1"/>
  <c r="V2101" i="1"/>
  <c r="V2102" i="1"/>
  <c r="V369" i="1"/>
  <c r="V2103" i="1"/>
  <c r="V2104" i="1"/>
  <c r="V234" i="1"/>
  <c r="V230" i="1"/>
  <c r="V2105" i="1"/>
  <c r="V762" i="1"/>
  <c r="V763" i="1"/>
  <c r="V1192" i="1"/>
  <c r="V2106" i="1"/>
  <c r="V1193" i="1"/>
  <c r="V2107" i="1"/>
  <c r="V1194" i="1"/>
  <c r="V2108" i="1"/>
  <c r="V1195" i="1"/>
  <c r="V2109" i="1"/>
  <c r="V1196" i="1"/>
  <c r="V2110" i="1"/>
  <c r="V1197" i="1"/>
  <c r="V2111" i="1"/>
  <c r="V1198" i="1"/>
  <c r="V2112" i="1"/>
  <c r="V1199" i="1"/>
  <c r="V1200" i="1"/>
  <c r="V1201" i="1"/>
  <c r="V1202" i="1"/>
  <c r="V1203" i="1"/>
  <c r="V2113" i="1"/>
  <c r="V2114" i="1"/>
  <c r="V2115" i="1"/>
  <c r="V2116" i="1"/>
  <c r="V2117" i="1"/>
  <c r="V2118" i="1"/>
  <c r="V764" i="1"/>
  <c r="V765" i="1"/>
  <c r="V1089" i="1"/>
  <c r="V2119" i="1"/>
  <c r="V792" i="1"/>
  <c r="V2120" i="1"/>
  <c r="V2121" i="1"/>
  <c r="V2122" i="1"/>
  <c r="V2123" i="1"/>
  <c r="V2124" i="1"/>
  <c r="V2125" i="1"/>
  <c r="V2126" i="1"/>
  <c r="V772" i="1"/>
  <c r="V964" i="1"/>
  <c r="V1447" i="1"/>
  <c r="V2127" i="1"/>
  <c r="V2128" i="1"/>
  <c r="V2129" i="1"/>
  <c r="V1271" i="1"/>
  <c r="V1272" i="1"/>
  <c r="V2130" i="1"/>
  <c r="V2131" i="1"/>
  <c r="V2132" i="1"/>
  <c r="V2133" i="1"/>
  <c r="V960" i="1"/>
  <c r="V2134" i="1"/>
  <c r="V2135" i="1"/>
  <c r="V404" i="1"/>
  <c r="V1085" i="1"/>
  <c r="V1448" i="1"/>
  <c r="V1449" i="1"/>
  <c r="V1450" i="1"/>
  <c r="V1451" i="1"/>
  <c r="V1452" i="1"/>
  <c r="V1029" i="1"/>
  <c r="V1030" i="1"/>
  <c r="V1031" i="1"/>
  <c r="V470" i="1"/>
  <c r="V2136" i="1"/>
  <c r="V2137" i="1"/>
  <c r="V2138" i="1"/>
  <c r="V2139" i="1"/>
  <c r="V2140" i="1"/>
  <c r="V2141" i="1"/>
  <c r="V2142" i="1"/>
  <c r="V2143" i="1"/>
  <c r="V2144" i="1"/>
  <c r="V2145" i="1"/>
  <c r="V2146" i="1"/>
  <c r="V2147" i="1"/>
  <c r="V2148" i="1"/>
  <c r="V2149" i="1"/>
  <c r="V1453" i="1"/>
  <c r="V2150" i="1"/>
  <c r="V2151" i="1"/>
  <c r="V2152" i="1"/>
  <c r="V1017" i="1"/>
  <c r="V1018" i="1"/>
  <c r="V2153" i="1"/>
  <c r="V2154" i="1"/>
  <c r="V2155" i="1"/>
  <c r="V2156" i="1"/>
  <c r="V2157" i="1"/>
  <c r="V2158" i="1"/>
  <c r="V2159" i="1"/>
  <c r="V56" i="1"/>
  <c r="V57" i="1"/>
  <c r="V58" i="1"/>
  <c r="V59" i="1"/>
  <c r="V60" i="1"/>
  <c r="V61" i="1"/>
  <c r="V2160" i="1"/>
  <c r="V2161" i="1"/>
  <c r="V1454" i="1"/>
  <c r="V1455" i="1"/>
  <c r="V2162" i="1"/>
  <c r="V2163" i="1"/>
  <c r="V1157" i="1"/>
  <c r="V1158" i="1"/>
  <c r="V2164" i="1"/>
  <c r="V2165" i="1"/>
  <c r="V2166" i="1"/>
  <c r="V2167" i="1"/>
  <c r="V2168" i="1"/>
  <c r="V1019" i="1"/>
  <c r="V1020" i="1"/>
  <c r="V2169" i="1"/>
  <c r="V2170" i="1"/>
  <c r="V2171" i="1"/>
  <c r="V412" i="1"/>
  <c r="V417" i="1"/>
  <c r="V413" i="1"/>
  <c r="V418" i="1"/>
  <c r="V414" i="1"/>
  <c r="V415" i="1"/>
  <c r="V416" i="1"/>
  <c r="V419" i="1"/>
  <c r="V420" i="1"/>
  <c r="V421" i="1"/>
  <c r="V2172" i="1"/>
  <c r="V2173" i="1"/>
  <c r="V1093" i="1"/>
  <c r="V2174" i="1"/>
  <c r="V2175" i="1"/>
  <c r="V2176" i="1"/>
  <c r="V2177" i="1"/>
  <c r="V2178" i="1"/>
  <c r="V2179" i="1"/>
  <c r="V2180" i="1"/>
  <c r="V1456" i="1"/>
  <c r="V2181" i="1"/>
  <c r="V1117" i="1"/>
  <c r="V1118" i="1"/>
  <c r="V1119" i="1"/>
  <c r="V1115" i="1"/>
  <c r="V1116" i="1"/>
  <c r="V1120" i="1"/>
  <c r="V1121" i="1"/>
  <c r="V1122" i="1"/>
  <c r="V1123" i="1"/>
  <c r="V1128" i="1"/>
  <c r="V1129" i="1"/>
  <c r="V1124" i="1"/>
  <c r="V1125" i="1"/>
  <c r="V1126" i="1"/>
  <c r="V1127" i="1"/>
  <c r="V2182" i="1"/>
  <c r="V2183" i="1"/>
  <c r="V2184" i="1"/>
  <c r="V1457" i="1"/>
  <c r="V2185" i="1"/>
  <c r="V2186" i="1"/>
  <c r="V2187" i="1"/>
  <c r="V2188" i="1"/>
  <c r="V2189" i="1"/>
  <c r="V2190" i="1"/>
  <c r="V1222" i="1"/>
  <c r="V1223" i="1"/>
  <c r="V1224" i="1"/>
  <c r="V1225" i="1"/>
  <c r="V2191" i="1"/>
  <c r="V2192" i="1"/>
  <c r="V820" i="1"/>
  <c r="V821" i="1"/>
  <c r="V822" i="1"/>
  <c r="V2193" i="1"/>
  <c r="V2194" i="1"/>
  <c r="V2195" i="1"/>
  <c r="V2196" i="1"/>
  <c r="V2197" i="1"/>
  <c r="V1097" i="1"/>
  <c r="V1098" i="1"/>
  <c r="V844" i="1"/>
  <c r="V845" i="1"/>
  <c r="V2198" i="1"/>
  <c r="V846" i="1"/>
  <c r="V793" i="1"/>
  <c r="V924" i="1"/>
  <c r="V925" i="1"/>
  <c r="V926" i="1"/>
  <c r="V927" i="1"/>
  <c r="V2199" i="1"/>
  <c r="V2200" i="1"/>
  <c r="V2201" i="1"/>
  <c r="V1021" i="1"/>
  <c r="V1022" i="1"/>
  <c r="V2202" i="1"/>
  <c r="V2203" i="1"/>
  <c r="V1458" i="1"/>
  <c r="V1459" i="1"/>
  <c r="V1460" i="1"/>
  <c r="V1461" i="1"/>
  <c r="V541" i="1"/>
  <c r="V542" i="1"/>
  <c r="V2204" i="1"/>
  <c r="V1273" i="1"/>
  <c r="V2205" i="1"/>
  <c r="V1274" i="1"/>
  <c r="V1275" i="1"/>
  <c r="V2206" i="1"/>
  <c r="V2207" i="1"/>
  <c r="V2208" i="1"/>
  <c r="V543" i="1"/>
  <c r="V2209" i="1"/>
  <c r="V2210" i="1"/>
  <c r="V2211" i="1"/>
  <c r="V1216" i="1"/>
  <c r="V1217" i="1"/>
  <c r="V2212" i="1"/>
  <c r="V1108" i="1"/>
  <c r="V1023" i="1"/>
  <c r="V1024" i="1"/>
  <c r="V544" i="1"/>
  <c r="V545" i="1"/>
  <c r="V546" i="1"/>
  <c r="V2213" i="1"/>
  <c r="V2214" i="1"/>
  <c r="V2215" i="1"/>
  <c r="V2216" i="1"/>
  <c r="V2217" i="1"/>
  <c r="V2218" i="1"/>
  <c r="V2219" i="1"/>
  <c r="V1462" i="1"/>
  <c r="V1463" i="1"/>
  <c r="V1464" i="1"/>
  <c r="V1465" i="1"/>
  <c r="V2220" i="1"/>
  <c r="V2221" i="1"/>
  <c r="V1234" i="1"/>
  <c r="V1235" i="1"/>
  <c r="V1466" i="1"/>
  <c r="V1467" i="1"/>
  <c r="V1468" i="1"/>
  <c r="V1469" i="1"/>
  <c r="V2222" i="1"/>
  <c r="V2223" i="1"/>
  <c r="V2224" i="1"/>
  <c r="V2225" i="1"/>
  <c r="V2226" i="1"/>
  <c r="V2227" i="1"/>
  <c r="V2228" i="1"/>
  <c r="V2229" i="1"/>
  <c r="V2230" i="1"/>
  <c r="V2231" i="1"/>
  <c r="V2232" i="1"/>
  <c r="V2233" i="1"/>
  <c r="V2234" i="1"/>
  <c r="V2235" i="1"/>
  <c r="V2236" i="1"/>
  <c r="V1470" i="1"/>
  <c r="V2237" i="1"/>
  <c r="V2238" i="1"/>
  <c r="V2239" i="1"/>
  <c r="V2240" i="1"/>
  <c r="V2241" i="1"/>
  <c r="V2242" i="1"/>
  <c r="V2243" i="1"/>
  <c r="V1058" i="1"/>
  <c r="V1059" i="1"/>
  <c r="V1060" i="1"/>
  <c r="V1061" i="1"/>
  <c r="V2244" i="1"/>
  <c r="V2245" i="1"/>
  <c r="V2246" i="1"/>
  <c r="V2247" i="1"/>
  <c r="V2248" i="1"/>
  <c r="V2249" i="1"/>
  <c r="V2250" i="1"/>
  <c r="V2251" i="1"/>
  <c r="V2252" i="1"/>
  <c r="V992" i="1"/>
  <c r="V1025" i="1"/>
  <c r="V1026" i="1"/>
  <c r="V2253" i="1"/>
  <c r="V2254" i="1"/>
  <c r="V2255" i="1"/>
  <c r="V2256" i="1"/>
  <c r="V2257" i="1"/>
  <c r="V1471" i="1"/>
  <c r="V1472" i="1"/>
  <c r="V2258" i="1"/>
  <c r="V2259" i="1"/>
  <c r="V2260" i="1"/>
  <c r="V1236" i="1"/>
  <c r="V1237" i="1"/>
  <c r="V794" i="1"/>
  <c r="V795" i="1"/>
  <c r="V1190" i="1"/>
  <c r="V1276" i="1"/>
  <c r="V1191" i="1"/>
  <c r="V1277" i="1"/>
  <c r="V1278" i="1"/>
  <c r="V2261" i="1"/>
  <c r="V2262" i="1"/>
  <c r="V1473" i="1"/>
  <c r="V1474" i="1"/>
  <c r="V1475" i="1"/>
  <c r="V1209" i="1"/>
  <c r="V2263" i="1"/>
  <c r="V1210" i="1"/>
  <c r="V2264" i="1"/>
  <c r="V2265" i="1"/>
  <c r="V1087" i="1"/>
  <c r="V1088" i="1"/>
  <c r="V882" i="1"/>
  <c r="V883" i="1"/>
  <c r="V884" i="1"/>
  <c r="V885" i="1"/>
  <c r="V886" i="1"/>
  <c r="V887" i="1"/>
  <c r="V888" i="1"/>
  <c r="V889" i="1"/>
  <c r="V1476" i="1"/>
  <c r="V1477" i="1"/>
  <c r="V1100" i="1"/>
  <c r="V1101" i="1"/>
  <c r="V1102" i="1"/>
  <c r="V1103" i="1"/>
  <c r="V1104" i="1"/>
  <c r="V1105" i="1"/>
  <c r="V1032" i="1"/>
  <c r="V2266" i="1"/>
  <c r="V2267" i="1"/>
  <c r="V220" i="1"/>
  <c r="V221" i="1"/>
  <c r="V1090" i="1"/>
  <c r="V1091" i="1"/>
  <c r="V1092" i="1"/>
  <c r="V2268" i="1"/>
  <c r="V1238" i="1"/>
  <c r="V2269" i="1"/>
  <c r="V1239" i="1"/>
  <c r="V2270" i="1"/>
  <c r="V1240" i="1"/>
  <c r="V2271" i="1"/>
  <c r="V1241" i="1"/>
  <c r="V2272" i="1"/>
  <c r="V1242" i="1"/>
  <c r="V2273" i="1"/>
  <c r="V1243" i="1"/>
  <c r="V2274" i="1"/>
  <c r="V2275" i="1"/>
  <c r="V2276" i="1"/>
  <c r="V2277" i="1"/>
  <c r="V2278" i="1"/>
  <c r="V2279" i="1"/>
  <c r="V2280" i="1"/>
  <c r="V2281" i="1"/>
  <c r="V1478" i="1"/>
  <c r="V1479" i="1"/>
  <c r="V2282" i="1"/>
  <c r="V2283" i="1"/>
  <c r="V2284" i="1"/>
  <c r="V2285" i="1"/>
  <c r="V2286" i="1"/>
  <c r="V1226" i="1"/>
  <c r="V1227" i="1"/>
  <c r="V2287" i="1"/>
  <c r="V1480" i="1"/>
  <c r="V1481" i="1"/>
  <c r="V2288" i="1"/>
  <c r="V2289" i="1"/>
  <c r="V2290" i="1"/>
  <c r="V2291" i="1"/>
  <c r="V2292" i="1"/>
  <c r="V1279" i="1"/>
  <c r="V2293" i="1"/>
  <c r="V2294" i="1"/>
  <c r="V2295" i="1"/>
  <c r="V2296" i="1"/>
  <c r="V1280" i="1"/>
  <c r="V2297" i="1"/>
  <c r="V2298" i="1"/>
  <c r="V2299" i="1"/>
  <c r="V2300" i="1"/>
  <c r="V1281" i="1"/>
  <c r="V2301" i="1"/>
  <c r="V2302" i="1"/>
  <c r="V2303" i="1"/>
  <c r="V2304" i="1"/>
  <c r="V1282" i="1"/>
  <c r="V2305" i="1"/>
  <c r="V2306" i="1"/>
  <c r="V2307" i="1"/>
  <c r="V2308" i="1"/>
  <c r="V2309" i="1"/>
  <c r="V2310" i="1"/>
  <c r="V2311" i="1"/>
  <c r="V2312" i="1"/>
  <c r="V2313" i="1"/>
  <c r="V2314" i="1"/>
  <c r="V2315" i="1"/>
  <c r="V2316" i="1"/>
  <c r="V2317" i="1"/>
  <c r="V1283" i="1"/>
  <c r="V2318" i="1"/>
  <c r="V2319" i="1"/>
  <c r="V1284" i="1"/>
  <c r="V1285" i="1"/>
  <c r="V1286" i="1"/>
  <c r="V2320" i="1"/>
  <c r="V2321" i="1"/>
  <c r="V2322" i="1"/>
  <c r="V2323" i="1"/>
  <c r="V2324" i="1"/>
  <c r="V1035" i="1"/>
  <c r="V1036" i="1"/>
  <c r="V1037" i="1"/>
  <c r="V1038" i="1"/>
  <c r="V1287" i="1"/>
  <c r="V2325" i="1"/>
  <c r="V2326" i="1"/>
  <c r="V1482" i="1"/>
  <c r="V1062" i="1"/>
  <c r="V2327" i="1"/>
  <c r="V1063" i="1"/>
  <c r="V2328" i="1"/>
  <c r="V1483" i="1"/>
  <c r="V2329" i="1"/>
  <c r="V1484" i="1"/>
  <c r="V1485" i="1"/>
  <c r="V1486" i="1"/>
  <c r="V2330" i="1"/>
  <c r="V1099" i="1"/>
  <c r="V2331" i="1"/>
  <c r="V2332" i="1"/>
  <c r="V2333" i="1"/>
  <c r="V2334" i="1"/>
  <c r="V2335" i="1"/>
  <c r="V2336" i="1"/>
  <c r="V2337" i="1"/>
  <c r="V2338" i="1"/>
  <c r="V2339" i="1"/>
  <c r="V2340" i="1"/>
  <c r="V2341" i="1"/>
  <c r="V2342" i="1"/>
  <c r="V2343" i="1"/>
  <c r="V2344" i="1"/>
  <c r="V2345" i="1"/>
  <c r="V2346" i="1"/>
  <c r="V547" i="1"/>
  <c r="V548" i="1"/>
  <c r="V549" i="1"/>
  <c r="V550" i="1"/>
  <c r="V551" i="1"/>
  <c r="V2347" i="1"/>
  <c r="V2348" i="1"/>
  <c r="V1039" i="1"/>
  <c r="V62" i="1"/>
  <c r="V63" i="1"/>
  <c r="V64" i="1"/>
  <c r="V65" i="1"/>
  <c r="V66" i="1"/>
  <c r="V67" i="1"/>
  <c r="V68" i="1"/>
  <c r="V69" i="1"/>
  <c r="V70" i="1"/>
  <c r="V71" i="1"/>
  <c r="V72" i="1"/>
  <c r="V73" i="1"/>
  <c r="V74" i="1"/>
  <c r="V75" i="1"/>
  <c r="V76" i="1"/>
  <c r="V77" i="1"/>
  <c r="V78" i="1"/>
  <c r="V973" i="1"/>
  <c r="V974" i="1"/>
  <c r="V292" i="1"/>
  <c r="V2349" i="1"/>
  <c r="V2350" i="1"/>
  <c r="V2351" i="1"/>
  <c r="V2352" i="1"/>
  <c r="V1487" i="1"/>
  <c r="V1488" i="1"/>
  <c r="V2353" i="1"/>
  <c r="V2354" i="1"/>
  <c r="V1244" i="1"/>
  <c r="V216" i="1"/>
  <c r="V217" i="1"/>
  <c r="V222" i="1"/>
  <c r="V218" i="1"/>
  <c r="V219" i="1"/>
  <c r="V223" i="1"/>
  <c r="V224" i="1"/>
  <c r="V225" i="1"/>
  <c r="V226" i="1"/>
  <c r="V208" i="1"/>
  <c r="V209" i="1"/>
  <c r="V210" i="1"/>
  <c r="V211" i="1"/>
  <c r="V212" i="1"/>
  <c r="V213" i="1"/>
  <c r="V214" i="1"/>
  <c r="V227" i="1"/>
  <c r="V228" i="1"/>
  <c r="V229" i="1"/>
  <c r="V215" i="1"/>
  <c r="V2355" i="1"/>
  <c r="V2356" i="1"/>
  <c r="V2357" i="1"/>
  <c r="V2358" i="1"/>
  <c r="V2359" i="1"/>
  <c r="V866" i="1"/>
  <c r="V2360" i="1"/>
  <c r="V2361" i="1"/>
  <c r="V2362" i="1"/>
  <c r="V2363" i="1"/>
  <c r="V2364" i="1"/>
  <c r="V2365" i="1"/>
  <c r="V2366" i="1"/>
  <c r="V2367" i="1"/>
  <c r="V2368" i="1"/>
  <c r="V2369" i="1"/>
  <c r="V2370" i="1"/>
  <c r="V2371" i="1"/>
  <c r="V282" i="1"/>
  <c r="V1245" i="1"/>
  <c r="V1246" i="1"/>
  <c r="V477" i="1"/>
  <c r="V552" i="1"/>
  <c r="V553" i="1"/>
  <c r="V2372" i="1"/>
  <c r="V2373" i="1"/>
  <c r="V2374" i="1"/>
  <c r="V2375" i="1"/>
  <c r="V2376" i="1"/>
  <c r="V2377" i="1"/>
  <c r="V2378" i="1"/>
  <c r="V1153" i="1"/>
  <c r="V1154" i="1"/>
  <c r="V2379" i="1"/>
  <c r="V1160" i="1"/>
  <c r="V1161" i="1"/>
  <c r="V2380" i="1"/>
  <c r="V2381" i="1"/>
  <c r="V2382" i="1"/>
  <c r="V2383" i="1"/>
  <c r="V2384" i="1"/>
  <c r="V1165" i="1"/>
  <c r="V1166" i="1"/>
  <c r="V2385" i="1"/>
  <c r="V2386" i="1"/>
  <c r="V2387" i="1"/>
  <c r="V1167" i="1"/>
  <c r="V1168" i="1"/>
  <c r="V2388" i="1"/>
  <c r="V1211" i="1"/>
  <c r="V1212" i="1"/>
  <c r="V2389" i="1"/>
  <c r="V1489" i="1"/>
  <c r="V1490" i="1"/>
  <c r="V2390" i="1"/>
  <c r="V2391" i="1"/>
  <c r="V2392" i="1"/>
  <c r="V2393" i="1"/>
  <c r="V2394" i="1"/>
  <c r="V2395" i="1"/>
  <c r="V2396" i="1"/>
  <c r="V2397" i="1"/>
  <c r="V2398" i="1"/>
  <c r="V2399" i="1"/>
  <c r="V2400" i="1"/>
  <c r="V2401" i="1"/>
  <c r="V2402" i="1"/>
  <c r="V2403" i="1"/>
  <c r="V554" i="1"/>
  <c r="V555" i="1"/>
  <c r="V556" i="1"/>
  <c r="V2404" i="1"/>
  <c r="V2405" i="1"/>
  <c r="V2406" i="1"/>
  <c r="V2407" i="1"/>
  <c r="V478" i="1"/>
  <c r="V479" i="1"/>
  <c r="V2408" i="1"/>
  <c r="V2409" i="1"/>
  <c r="V2410" i="1"/>
  <c r="V2411" i="1"/>
  <c r="V2412" i="1"/>
  <c r="V2413" i="1"/>
  <c r="V2414" i="1"/>
  <c r="V2415" i="1"/>
  <c r="V810" i="1"/>
  <c r="V796" i="1"/>
  <c r="V797" i="1"/>
  <c r="V2416" i="1"/>
  <c r="V2417" i="1"/>
  <c r="V2418" i="1"/>
  <c r="V2419" i="1"/>
  <c r="V1083" i="1"/>
  <c r="V1084" i="1"/>
  <c r="V2420" i="1"/>
  <c r="V2421" i="1"/>
  <c r="V1491" i="1"/>
  <c r="V2422" i="1"/>
  <c r="V2423" i="1"/>
  <c r="V2424" i="1"/>
  <c r="V2425" i="1"/>
  <c r="V1492" i="1"/>
  <c r="V1493" i="1"/>
  <c r="V1081" i="1"/>
  <c r="V1082" i="1"/>
  <c r="V2426" i="1"/>
  <c r="V2427" i="1"/>
  <c r="V766" i="1"/>
  <c r="V767" i="1"/>
  <c r="V954" i="1"/>
  <c r="V955" i="1"/>
  <c r="V956" i="1"/>
  <c r="V1040" i="1"/>
  <c r="V2428" i="1"/>
  <c r="V2429" i="1"/>
  <c r="V2430" i="1"/>
  <c r="V2431" i="1"/>
  <c r="V2432" i="1"/>
  <c r="V2433" i="1"/>
  <c r="V2434" i="1"/>
  <c r="V2435" i="1"/>
  <c r="V2436" i="1"/>
  <c r="V2437" i="1"/>
  <c r="V2438" i="1"/>
  <c r="V2439" i="1"/>
  <c r="V773" i="1"/>
  <c r="V775" i="1"/>
  <c r="V774" i="1"/>
  <c r="V776" i="1"/>
  <c r="V777" i="1"/>
  <c r="V2440" i="1"/>
  <c r="V2441" i="1"/>
  <c r="V2442" i="1"/>
  <c r="V2443" i="1"/>
  <c r="V2444" i="1"/>
  <c r="V2445" i="1"/>
  <c r="V2446" i="1"/>
  <c r="V2447" i="1"/>
  <c r="V779" i="1"/>
  <c r="V798" i="1"/>
  <c r="V799" i="1"/>
  <c r="V320" i="1"/>
  <c r="V321" i="1"/>
  <c r="V322" i="1"/>
  <c r="V1494" i="1"/>
  <c r="V2448" i="1"/>
  <c r="V2449" i="1"/>
  <c r="V280" i="1"/>
  <c r="V863" i="1"/>
  <c r="V864" i="1"/>
  <c r="V865" i="1"/>
  <c r="V800" i="1"/>
  <c r="V2450" i="1"/>
  <c r="V2451" i="1"/>
  <c r="V2452" i="1"/>
  <c r="V2453" i="1"/>
  <c r="V2454" i="1"/>
  <c r="V2455" i="1"/>
  <c r="V2456" i="1"/>
  <c r="V2457" i="1"/>
  <c r="V2458" i="1"/>
  <c r="V2459" i="1"/>
  <c r="V2460" i="1"/>
  <c r="V2461" i="1"/>
  <c r="V2462" i="1"/>
  <c r="V2463" i="1"/>
  <c r="V2464" i="1"/>
  <c r="V1247" i="1"/>
  <c r="V2465" i="1"/>
  <c r="V2466" i="1"/>
  <c r="V2467" i="1"/>
  <c r="V2468" i="1"/>
  <c r="V2469" i="1"/>
  <c r="V2470" i="1"/>
  <c r="V2471" i="1"/>
  <c r="V2472" i="1"/>
  <c r="V918" i="1"/>
  <c r="V2473" i="1"/>
  <c r="V2474" i="1"/>
  <c r="V2475" i="1"/>
  <c r="V2476" i="1"/>
  <c r="V2477" i="1"/>
  <c r="V2478" i="1"/>
  <c r="V2479" i="1"/>
  <c r="V2480" i="1"/>
  <c r="V2481" i="1"/>
  <c r="V2482" i="1"/>
  <c r="V2483" i="1"/>
  <c r="V2484" i="1"/>
  <c r="V2485" i="1"/>
  <c r="V2486" i="1"/>
  <c r="V2487" i="1"/>
  <c r="V2488" i="1"/>
  <c r="V293" i="1"/>
  <c r="V295" i="1"/>
  <c r="V294" i="1"/>
  <c r="V296" i="1"/>
  <c r="V297" i="1"/>
  <c r="V867" i="1"/>
  <c r="V890" i="1"/>
  <c r="V868" i="1"/>
  <c r="V891" i="1"/>
  <c r="V869" i="1"/>
  <c r="V892" i="1"/>
  <c r="V870" i="1"/>
  <c r="V871" i="1"/>
  <c r="V872" i="1"/>
  <c r="V873" i="1"/>
  <c r="V893" i="1"/>
  <c r="V2489" i="1"/>
  <c r="V2490" i="1"/>
  <c r="V894" i="1"/>
  <c r="V895" i="1"/>
  <c r="V896" i="1"/>
  <c r="V897" i="1"/>
  <c r="V965" i="1"/>
  <c r="V970" i="1"/>
  <c r="V966" i="1"/>
  <c r="V971" i="1"/>
  <c r="V972" i="1"/>
  <c r="V2491" i="1"/>
  <c r="V2492" i="1"/>
  <c r="V922" i="1"/>
  <c r="V923" i="1"/>
  <c r="V506" i="1"/>
  <c r="V2493" i="1"/>
  <c r="V2494" i="1"/>
  <c r="V2495" i="1"/>
  <c r="V2496" i="1"/>
  <c r="V2497" i="1"/>
  <c r="V2498" i="1"/>
  <c r="V2499" i="1"/>
  <c r="V507" i="1"/>
  <c r="V2500" i="1"/>
  <c r="V1182" i="1"/>
  <c r="V1183" i="1"/>
  <c r="V975" i="1"/>
  <c r="V976" i="1"/>
  <c r="V1248" i="1"/>
  <c r="V1249" i="1"/>
  <c r="V1250" i="1"/>
  <c r="V928" i="1"/>
  <c r="V929" i="1"/>
  <c r="V930" i="1"/>
  <c r="V931" i="1"/>
  <c r="V932" i="1"/>
  <c r="V933" i="1"/>
  <c r="V934" i="1"/>
  <c r="V935" i="1"/>
  <c r="V936" i="1"/>
  <c r="V937" i="1"/>
  <c r="V938" i="1"/>
  <c r="V939" i="1"/>
  <c r="V940" i="1"/>
  <c r="V941" i="1"/>
  <c r="V942" i="1"/>
  <c r="V943" i="1"/>
  <c r="V944" i="1"/>
  <c r="V945" i="1"/>
  <c r="V1068" i="1"/>
  <c r="V286" i="1"/>
  <c r="V287" i="1"/>
  <c r="V288" i="1"/>
  <c r="V289" i="1"/>
  <c r="V290" i="1"/>
  <c r="V291" i="1"/>
  <c r="V983" i="1"/>
  <c r="V984" i="1"/>
  <c r="V1184" i="1"/>
  <c r="V2501" i="1"/>
  <c r="V2502" i="1"/>
  <c r="V1495" i="1"/>
  <c r="V1496" i="1"/>
  <c r="V1497" i="1"/>
  <c r="V1498" i="1"/>
  <c r="V1499" i="1"/>
  <c r="V1500" i="1"/>
  <c r="V1501" i="1"/>
  <c r="V2503" i="1"/>
  <c r="V1502" i="1"/>
  <c r="V2504" i="1"/>
  <c r="V2505" i="1"/>
  <c r="V1503" i="1"/>
  <c r="V2506" i="1"/>
  <c r="V2507" i="1"/>
  <c r="V1033" i="1"/>
  <c r="V2508" i="1"/>
  <c r="V2509" i="1"/>
  <c r="V387" i="1"/>
  <c r="V388" i="1"/>
  <c r="V389" i="1"/>
  <c r="V2510" i="1"/>
  <c r="V2511" i="1"/>
  <c r="V2512" i="1"/>
  <c r="V2513" i="1"/>
  <c r="V2514" i="1"/>
  <c r="V2515" i="1"/>
  <c r="V2516" i="1"/>
  <c r="V2517" i="1"/>
  <c r="V1130" i="1"/>
  <c r="V1131" i="1"/>
  <c r="V1132" i="1"/>
  <c r="V1133" i="1"/>
  <c r="V1134" i="1"/>
  <c r="V1135" i="1"/>
  <c r="V2518" i="1"/>
  <c r="V2519" i="1"/>
  <c r="V2520" i="1"/>
  <c r="V2521" i="1"/>
  <c r="V2522" i="1"/>
  <c r="V2523" i="1"/>
  <c r="V2524" i="1"/>
  <c r="V2525" i="1"/>
  <c r="V2526" i="1"/>
  <c r="V2527" i="1"/>
  <c r="V2528" i="1"/>
  <c r="V2529" i="1"/>
  <c r="V2530" i="1"/>
  <c r="V2531" i="1"/>
  <c r="V432" i="1"/>
  <c r="V434" i="1"/>
  <c r="V433" i="1"/>
  <c r="V435" i="1"/>
  <c r="V436" i="1"/>
  <c r="V2532" i="1"/>
  <c r="V2533" i="1"/>
  <c r="V2534" i="1"/>
  <c r="V2535" i="1"/>
  <c r="V2536" i="1"/>
  <c r="V2537" i="1"/>
  <c r="V1187" i="1"/>
  <c r="V2538" i="1"/>
  <c r="V2539" i="1"/>
  <c r="V2540" i="1"/>
  <c r="V2541" i="1"/>
  <c r="V2542" i="1"/>
  <c r="V1073" i="1"/>
  <c r="V1074" i="1"/>
  <c r="V1075" i="1"/>
  <c r="V1076" i="1"/>
  <c r="V1077" i="1"/>
  <c r="V1078" i="1"/>
  <c r="V1079" i="1"/>
  <c r="V1080" i="1"/>
  <c r="V2543" i="1"/>
  <c r="V2544" i="1"/>
  <c r="V2545" i="1"/>
  <c r="V2546" i="1"/>
  <c r="V2547" i="1"/>
  <c r="V2548" i="1"/>
  <c r="V2549" i="1"/>
  <c r="V2550" i="1"/>
  <c r="V2551" i="1"/>
  <c r="V2552" i="1"/>
  <c r="V830" i="1"/>
  <c r="V831" i="1"/>
  <c r="V832" i="1"/>
  <c r="V833" i="1"/>
  <c r="V2553" i="1"/>
  <c r="V834" i="1"/>
  <c r="V2554" i="1"/>
  <c r="V835" i="1"/>
  <c r="V2555" i="1"/>
  <c r="V836" i="1"/>
  <c r="V2556" i="1"/>
  <c r="V557" i="1"/>
  <c r="V558" i="1"/>
  <c r="V460" i="1"/>
  <c r="V461" i="1"/>
  <c r="V2557" i="1"/>
  <c r="V2558" i="1"/>
  <c r="V559" i="1"/>
  <c r="V560" i="1"/>
  <c r="V561" i="1"/>
  <c r="V562" i="1"/>
  <c r="V563" i="1"/>
  <c r="V564" i="1"/>
  <c r="V565" i="1"/>
  <c r="V566" i="1"/>
  <c r="V567" i="1"/>
  <c r="V568" i="1"/>
  <c r="V462" i="1"/>
  <c r="V463" i="1"/>
  <c r="V464" i="1"/>
  <c r="V465" i="1"/>
  <c r="V466" i="1"/>
  <c r="V2559" i="1"/>
  <c r="V2560" i="1"/>
  <c r="V2561" i="1"/>
  <c r="V2562" i="1"/>
  <c r="V2563" i="1"/>
  <c r="V1094" i="1"/>
  <c r="V2564" i="1"/>
  <c r="V1095" i="1"/>
  <c r="V2565" i="1"/>
  <c r="V1096" i="1"/>
  <c r="V2566" i="1"/>
  <c r="V2567" i="1"/>
  <c r="V2568" i="1"/>
  <c r="V2569" i="1"/>
  <c r="V2570" i="1"/>
  <c r="V95" i="1"/>
  <c r="V125" i="1"/>
  <c r="V96" i="1"/>
  <c r="V126" i="1"/>
  <c r="V127" i="1"/>
  <c r="V128" i="1"/>
  <c r="V129" i="1"/>
  <c r="V2571" i="1"/>
  <c r="V2572" i="1"/>
  <c r="V2573" i="1"/>
  <c r="V2574" i="1"/>
  <c r="V2575" i="1"/>
  <c r="V2576" i="1"/>
  <c r="V2577" i="1"/>
  <c r="V2578" i="1"/>
  <c r="V2579" i="1"/>
  <c r="V2580" i="1"/>
  <c r="V1288" i="1"/>
  <c r="V903" i="1"/>
  <c r="V904" i="1"/>
  <c r="V905" i="1"/>
  <c r="V906" i="1"/>
  <c r="V1504" i="1"/>
  <c r="V1505" i="1"/>
  <c r="V1506" i="1"/>
  <c r="V1507" i="1"/>
  <c r="V1508" i="1"/>
  <c r="V1289" i="1"/>
  <c r="V1290" i="1"/>
  <c r="V1291" i="1"/>
  <c r="V1509" i="1"/>
  <c r="V1510" i="1"/>
  <c r="V1511" i="1"/>
  <c r="V1162" i="1"/>
  <c r="V1204" i="1"/>
  <c r="V1205" i="1"/>
  <c r="V2581" i="1"/>
  <c r="V1163" i="1"/>
  <c r="V1164" i="1"/>
  <c r="V2582" i="1"/>
  <c r="V2583" i="1"/>
  <c r="V2584" i="1"/>
  <c r="V2585" i="1"/>
  <c r="V2586" i="1"/>
  <c r="V2587" i="1"/>
  <c r="V2588" i="1"/>
  <c r="V2589" i="1"/>
  <c r="V2590" i="1"/>
  <c r="V2591" i="1"/>
  <c r="V2592" i="1"/>
  <c r="V2593" i="1"/>
  <c r="V2594" i="1"/>
  <c r="V2595" i="1"/>
  <c r="V2596" i="1"/>
  <c r="V2597" i="1"/>
  <c r="V2598" i="1"/>
  <c r="V2599" i="1"/>
  <c r="V2600" i="1"/>
  <c r="V2601" i="1"/>
  <c r="V2602" i="1"/>
  <c r="V2603" i="1"/>
  <c r="V1512" i="1"/>
  <c r="V1513" i="1"/>
  <c r="V1514" i="1"/>
  <c r="V1515" i="1"/>
  <c r="V1516" i="1"/>
  <c r="V1517" i="1"/>
  <c r="V1518" i="1"/>
  <c r="V2604" i="1"/>
  <c r="V2605" i="1"/>
  <c r="V1519" i="1"/>
  <c r="V2606" i="1"/>
  <c r="V2607" i="1"/>
  <c r="V1292" i="1"/>
  <c r="V1293" i="1"/>
  <c r="V285" i="1"/>
  <c r="V2608" i="1"/>
  <c r="V2609" i="1"/>
  <c r="V2610" i="1"/>
  <c r="V1139" i="1"/>
  <c r="V1140" i="1"/>
  <c r="V2611" i="1"/>
  <c r="V2612" i="1"/>
  <c r="V2613" i="1"/>
  <c r="V569" i="1"/>
  <c r="V570" i="1"/>
  <c r="V571" i="1"/>
  <c r="V2614" i="1"/>
  <c r="V2615" i="1"/>
  <c r="V1520" i="1"/>
  <c r="V2616" i="1"/>
  <c r="V946" i="1"/>
  <c r="V1521" i="1"/>
  <c r="V2617" i="1"/>
  <c r="V572" i="1"/>
  <c r="V1522" i="1"/>
  <c r="V1523" i="1"/>
  <c r="V2618" i="1"/>
  <c r="V2619" i="1"/>
  <c r="V1144" i="1"/>
  <c r="V2620" i="1"/>
  <c r="V2621" i="1"/>
  <c r="V2622" i="1"/>
  <c r="V2623" i="1"/>
  <c r="V2624" i="1"/>
  <c r="V2625" i="1"/>
  <c r="V2626" i="1"/>
  <c r="V1294" i="1"/>
  <c r="V1295" i="1"/>
  <c r="V1296" i="1"/>
  <c r="V1297" i="1"/>
  <c r="V1298" i="1"/>
  <c r="V1299" i="1"/>
  <c r="V1300" i="1"/>
  <c r="V1301" i="1"/>
  <c r="V1302" i="1"/>
  <c r="V1303" i="1"/>
  <c r="V1304" i="1"/>
  <c r="V1305" i="1"/>
  <c r="V2627" i="1"/>
  <c r="V2628" i="1"/>
  <c r="V2629" i="1"/>
  <c r="V2630" i="1"/>
  <c r="V2631" i="1"/>
  <c r="V2632" i="1"/>
  <c r="V1049" i="1"/>
  <c r="V1050" i="1"/>
  <c r="V2633" i="1"/>
  <c r="V2634" i="1"/>
  <c r="V1145" i="1"/>
  <c r="V1146" i="1"/>
  <c r="V573" i="1"/>
  <c r="V2635" i="1"/>
  <c r="V2636" i="1"/>
  <c r="V2637" i="1"/>
  <c r="V2638" i="1"/>
  <c r="V2639" i="1"/>
  <c r="V2640" i="1"/>
  <c r="V2641" i="1"/>
  <c r="V2642" i="1"/>
  <c r="V2643" i="1"/>
  <c r="V2644" i="1"/>
  <c r="V2645" i="1"/>
  <c r="V2646" i="1"/>
  <c r="V2647" i="1"/>
  <c r="V2648" i="1"/>
  <c r="V2649" i="1"/>
  <c r="V2650" i="1"/>
  <c r="V2651" i="1"/>
  <c r="V653" i="1"/>
  <c r="V768" i="1"/>
  <c r="V769" i="1"/>
  <c r="V770" i="1"/>
  <c r="V2652" i="1"/>
  <c r="V2653" i="1"/>
  <c r="V2654" i="1"/>
  <c r="V2655" i="1"/>
  <c r="V235" i="1"/>
  <c r="V236" i="1"/>
  <c r="V244" i="1"/>
  <c r="V245" i="1"/>
  <c r="V237" i="1"/>
  <c r="V238" i="1"/>
  <c r="V239" i="1"/>
  <c r="V231" i="1"/>
  <c r="V232" i="1"/>
  <c r="V233" i="1"/>
  <c r="V240" i="1"/>
  <c r="V241" i="1"/>
  <c r="V242" i="1"/>
  <c r="V243" i="1"/>
  <c r="V1524" i="1"/>
  <c r="V1525" i="1"/>
  <c r="V484" i="1"/>
  <c r="V1526" i="1"/>
  <c r="V485" i="1"/>
  <c r="V1527" i="1"/>
  <c r="V486" i="1"/>
  <c r="V487" i="1"/>
  <c r="V1528" i="1"/>
  <c r="V488" i="1"/>
  <c r="V2656" i="1"/>
  <c r="V2657" i="1"/>
  <c r="V1529" i="1"/>
  <c r="V1530" i="1"/>
  <c r="V1531" i="1"/>
  <c r="V1532" i="1"/>
  <c r="V1533" i="1"/>
  <c r="V1534" i="1"/>
  <c r="V1535" i="1"/>
  <c r="V2658" i="1"/>
  <c r="V2659" i="1"/>
  <c r="V2660" i="1"/>
  <c r="V2661" i="1"/>
  <c r="V194" i="1"/>
  <c r="V165" i="1"/>
  <c r="V166" i="1"/>
  <c r="V195" i="1"/>
  <c r="V167" i="1"/>
  <c r="V168" i="1"/>
  <c r="V196" i="1"/>
  <c r="V169" i="1"/>
  <c r="V170" i="1"/>
  <c r="V171" i="1"/>
  <c r="V172" i="1"/>
  <c r="V173" i="1"/>
  <c r="V174" i="1"/>
  <c r="V175" i="1"/>
  <c r="V176" i="1"/>
  <c r="V177" i="1"/>
  <c r="V178" i="1"/>
  <c r="V179" i="1"/>
  <c r="V180" i="1"/>
  <c r="V181" i="1"/>
  <c r="V197" i="1"/>
  <c r="V182" i="1"/>
  <c r="V198" i="1"/>
  <c r="V183" i="1"/>
  <c r="V199" i="1"/>
  <c r="V184" i="1"/>
  <c r="V200" i="1"/>
  <c r="V185" i="1"/>
  <c r="V201" i="1"/>
  <c r="V186" i="1"/>
  <c r="V202" i="1"/>
  <c r="V187" i="1"/>
  <c r="V203" i="1"/>
  <c r="V188" i="1"/>
  <c r="V204" i="1"/>
  <c r="V189" i="1"/>
  <c r="V97" i="1"/>
  <c r="V205" i="1"/>
  <c r="V91" i="1"/>
  <c r="V92" i="1"/>
  <c r="V93" i="1"/>
  <c r="V94" i="1"/>
  <c r="V130" i="1"/>
  <c r="V131" i="1"/>
  <c r="V132" i="1"/>
  <c r="V133" i="1"/>
  <c r="V134" i="1"/>
  <c r="V190" i="1"/>
  <c r="V98" i="1"/>
  <c r="V206" i="1"/>
  <c r="V191" i="1"/>
  <c r="V207" i="1"/>
  <c r="V192" i="1"/>
  <c r="V193" i="1"/>
  <c r="V2662" i="1"/>
  <c r="V2663" i="1"/>
  <c r="V1111" i="1"/>
  <c r="V1069" i="1"/>
  <c r="V1112" i="1"/>
  <c r="V2664" i="1"/>
  <c r="V1070" i="1"/>
  <c r="V2665" i="1"/>
  <c r="V1113" i="1"/>
  <c r="V2666" i="1"/>
  <c r="V1071" i="1"/>
  <c r="V2667" i="1"/>
  <c r="V823" i="1"/>
  <c r="V824" i="1"/>
  <c r="V825" i="1"/>
  <c r="V826" i="1"/>
  <c r="V951" i="1"/>
  <c r="V952" i="1"/>
  <c r="V953" i="1"/>
  <c r="V2668" i="1"/>
  <c r="V919" i="1"/>
  <c r="V920" i="1"/>
  <c r="V2669" i="1"/>
  <c r="V921" i="1"/>
  <c r="V2670" i="1"/>
  <c r="V2671" i="1"/>
  <c r="V2672" i="1"/>
  <c r="V2673" i="1"/>
  <c r="V2674" i="1"/>
  <c r="V2675" i="1"/>
  <c r="V2676" i="1"/>
  <c r="V2677" i="1"/>
  <c r="V2678" i="1"/>
  <c r="V2679" i="1"/>
  <c r="V79" i="1"/>
  <c r="V471" i="1"/>
  <c r="V574" i="1"/>
  <c r="V472" i="1"/>
  <c r="V575" i="1"/>
  <c r="V473" i="1"/>
  <c r="V576" i="1"/>
  <c r="V474" i="1"/>
  <c r="V577" i="1"/>
  <c r="V578" i="1"/>
  <c r="V2680" i="1"/>
  <c r="V2681" i="1"/>
  <c r="V2682" i="1"/>
  <c r="V1306" i="1"/>
  <c r="V2683" i="1"/>
  <c r="V2684" i="1"/>
  <c r="V2685" i="1"/>
  <c r="V1307" i="1"/>
  <c r="V2686" i="1"/>
  <c r="V2687" i="1"/>
  <c r="V2688" i="1"/>
  <c r="V2689" i="1"/>
  <c r="V2690" i="1"/>
  <c r="V2691" i="1"/>
  <c r="V2692" i="1"/>
  <c r="V2693" i="1"/>
  <c r="V2694" i="1"/>
  <c r="V2695" i="1"/>
  <c r="V1308" i="1"/>
  <c r="V1309" i="1"/>
  <c r="V1310" i="1"/>
  <c r="V1311" i="1"/>
  <c r="V1312" i="1"/>
  <c r="V1313" i="1"/>
  <c r="V1314" i="1"/>
  <c r="V2696" i="1"/>
  <c r="V2697" i="1"/>
  <c r="V2698" i="1"/>
  <c r="V2699" i="1"/>
  <c r="V2700" i="1"/>
  <c r="V2701" i="1"/>
  <c r="V489" i="1"/>
  <c r="V579" i="1"/>
  <c r="V580" i="1"/>
  <c r="V581" i="1"/>
  <c r="V582" i="1"/>
  <c r="V583" i="1"/>
  <c r="V490" i="1"/>
  <c r="V584" i="1"/>
  <c r="V585" i="1"/>
  <c r="V586" i="1"/>
  <c r="V587" i="1"/>
  <c r="V588" i="1"/>
  <c r="V491" i="1"/>
  <c r="V589" i="1"/>
  <c r="V590" i="1"/>
  <c r="V591" i="1"/>
  <c r="V592" i="1"/>
  <c r="V593" i="1"/>
  <c r="V492" i="1"/>
  <c r="V594" i="1"/>
  <c r="V595" i="1"/>
  <c r="V596" i="1"/>
  <c r="V597" i="1"/>
  <c r="V598" i="1"/>
  <c r="V493" i="1"/>
  <c r="V599" i="1"/>
  <c r="V600" i="1"/>
  <c r="V601" i="1"/>
  <c r="V602" i="1"/>
  <c r="V603" i="1"/>
  <c r="V494" i="1"/>
  <c r="V604" i="1"/>
  <c r="V605" i="1"/>
  <c r="V2702" i="1"/>
  <c r="V2703" i="1"/>
  <c r="V2704" i="1"/>
  <c r="V2705" i="1"/>
  <c r="V2706" i="1"/>
  <c r="V606" i="1"/>
  <c r="V607" i="1"/>
  <c r="V608" i="1"/>
  <c r="V609" i="1"/>
  <c r="V610" i="1"/>
  <c r="V611" i="1"/>
  <c r="V612" i="1"/>
  <c r="V613" i="1"/>
  <c r="V614" i="1"/>
  <c r="V615" i="1"/>
  <c r="V616" i="1"/>
  <c r="V617" i="1"/>
  <c r="V618" i="1"/>
  <c r="V619" i="1"/>
  <c r="V620" i="1"/>
  <c r="V621" i="1"/>
  <c r="V2707" i="1"/>
  <c r="V2708" i="1"/>
  <c r="V2709" i="1"/>
  <c r="V2710" i="1"/>
  <c r="V2711" i="1"/>
  <c r="V2712" i="1"/>
  <c r="V2713" i="1"/>
  <c r="V622" i="1"/>
  <c r="V495" i="1"/>
  <c r="V623" i="1"/>
  <c r="V624" i="1"/>
  <c r="V2714" i="1"/>
  <c r="V2715" i="1"/>
  <c r="V625" i="1"/>
  <c r="V496" i="1"/>
  <c r="V626" i="1"/>
  <c r="V627" i="1"/>
  <c r="V628" i="1"/>
  <c r="V497" i="1"/>
  <c r="V629" i="1"/>
  <c r="V630" i="1"/>
  <c r="V631" i="1"/>
  <c r="V498" i="1"/>
  <c r="V499" i="1"/>
  <c r="V500" i="1"/>
  <c r="V501" i="1"/>
  <c r="V632" i="1"/>
  <c r="V633" i="1"/>
  <c r="V634" i="1"/>
  <c r="V635" i="1"/>
  <c r="V636" i="1"/>
  <c r="V637" i="1"/>
  <c r="V638" i="1"/>
  <c r="V639" i="1"/>
  <c r="V640" i="1"/>
  <c r="V641" i="1"/>
  <c r="V2716" i="1"/>
  <c r="V2717" i="1"/>
  <c r="V2718" i="1"/>
  <c r="V2719" i="1"/>
  <c r="V2720" i="1"/>
  <c r="V2721" i="1"/>
  <c r="V2722" i="1"/>
  <c r="V2723" i="1"/>
  <c r="V642" i="1"/>
  <c r="V643" i="1"/>
  <c r="V644" i="1"/>
  <c r="V2724" i="1"/>
  <c r="V2725" i="1"/>
  <c r="V2726" i="1"/>
  <c r="V2727" i="1"/>
  <c r="V2728" i="1"/>
  <c r="V1536" i="1"/>
  <c r="V1537" i="1"/>
  <c r="V1538" i="1"/>
  <c r="V1539" i="1"/>
  <c r="V1540" i="1"/>
  <c r="V2729" i="1"/>
  <c r="V2730" i="1"/>
  <c r="V2731" i="1"/>
  <c r="V2732" i="1"/>
  <c r="V2733" i="1"/>
  <c r="V2734" i="1"/>
  <c r="V1541" i="1"/>
  <c r="V2735" i="1"/>
  <c r="V1542" i="1"/>
  <c r="V2736" i="1"/>
  <c r="V1543" i="1"/>
  <c r="V2737" i="1"/>
  <c r="V2738" i="1"/>
  <c r="V2739" i="1"/>
  <c r="V2740" i="1"/>
  <c r="V2741" i="1"/>
  <c r="V2742" i="1"/>
  <c r="V2743" i="1"/>
  <c r="V247" i="1"/>
  <c r="V261" i="1"/>
  <c r="V248" i="1"/>
  <c r="V262" i="1"/>
  <c r="V249" i="1"/>
  <c r="V263" i="1"/>
  <c r="V250" i="1"/>
  <c r="V264" i="1"/>
  <c r="V251" i="1"/>
  <c r="V265" i="1"/>
  <c r="V252" i="1"/>
  <c r="V266" i="1"/>
  <c r="V253" i="1"/>
  <c r="V267" i="1"/>
  <c r="V254" i="1"/>
  <c r="V268" i="1"/>
  <c r="V255" i="1"/>
  <c r="V269" i="1"/>
  <c r="V256" i="1"/>
  <c r="V257" i="1"/>
  <c r="V258" i="1"/>
  <c r="V259" i="1"/>
  <c r="V260" i="1"/>
  <c r="V270" i="1"/>
  <c r="V271" i="1"/>
  <c r="V272" i="1"/>
  <c r="V273" i="1"/>
  <c r="V274" i="1"/>
  <c r="V275" i="1"/>
  <c r="V1149" i="1"/>
  <c r="V2744" i="1"/>
  <c r="V2745" i="1"/>
  <c r="V961" i="1"/>
  <c r="V962" i="1"/>
  <c r="V963" i="1"/>
  <c r="V455" i="1"/>
  <c r="V457" i="1"/>
  <c r="V456" i="1"/>
  <c r="V458" i="1"/>
  <c r="V459" i="1"/>
  <c r="V1544" i="1"/>
  <c r="V283" i="1"/>
  <c r="V2746" i="1"/>
  <c r="V2747" i="1"/>
  <c r="V2748" i="1"/>
  <c r="V370" i="1"/>
  <c r="V374" i="1"/>
  <c r="V375" i="1"/>
  <c r="V371" i="1"/>
  <c r="V376" i="1"/>
  <c r="V377" i="1"/>
  <c r="V372" i="1"/>
  <c r="V378" i="1"/>
  <c r="V379" i="1"/>
  <c r="V373" i="1"/>
  <c r="V380" i="1"/>
  <c r="V381" i="1"/>
  <c r="V382" i="1"/>
  <c r="V383" i="1"/>
  <c r="V2749" i="1"/>
  <c r="V2750" i="1"/>
  <c r="V2751" i="1"/>
  <c r="V2752" i="1"/>
  <c r="V298" i="1"/>
  <c r="V304" i="1"/>
  <c r="V299" i="1"/>
  <c r="V305" i="1"/>
  <c r="V300" i="1"/>
  <c r="V306" i="1"/>
  <c r="V301" i="1"/>
  <c r="V307" i="1"/>
  <c r="V302" i="1"/>
  <c r="V308" i="1"/>
  <c r="V303" i="1"/>
  <c r="V309" i="1"/>
  <c r="V310" i="1"/>
  <c r="V2753" i="1"/>
  <c r="V2754" i="1"/>
  <c r="V2755" i="1"/>
  <c r="V1027" i="1"/>
  <c r="V1028" i="1"/>
  <c r="V2756" i="1"/>
  <c r="V2757" i="1"/>
  <c r="V2758" i="1"/>
  <c r="V2759" i="1"/>
  <c r="V2760" i="1"/>
  <c r="V2761" i="1"/>
  <c r="V1041" i="1"/>
  <c r="V2762" i="1"/>
  <c r="V837" i="1"/>
  <c r="V838" i="1"/>
  <c r="V839" i="1"/>
  <c r="V840" i="1"/>
  <c r="V841" i="1"/>
  <c r="V842" i="1"/>
  <c r="V843" i="1"/>
  <c r="V2763" i="1"/>
  <c r="V2764" i="1"/>
  <c r="V2765" i="1"/>
  <c r="V2766" i="1"/>
  <c r="V2767" i="1"/>
  <c r="V2768" i="1"/>
  <c r="V1189" i="1"/>
  <c r="V2769" i="1"/>
  <c r="V2770" i="1"/>
  <c r="V2771" i="1"/>
  <c r="V2772" i="1"/>
  <c r="V2773" i="1"/>
  <c r="V2774" i="1"/>
  <c r="V475" i="1"/>
  <c r="V476" i="1"/>
  <c r="V2775" i="1"/>
  <c r="V2776" i="1"/>
  <c r="V1545" i="1"/>
  <c r="V1546" i="1"/>
  <c r="V2777" i="1"/>
  <c r="V1547" i="1"/>
  <c r="V2778" i="1"/>
  <c r="V2779" i="1"/>
  <c r="V1064" i="1"/>
  <c r="V1065" i="1"/>
  <c r="V1066" i="1"/>
  <c r="V1067" i="1"/>
  <c r="V2780" i="1"/>
  <c r="V2781" i="1"/>
  <c r="V2782" i="1"/>
  <c r="V2783" i="1"/>
  <c r="V2784" i="1"/>
  <c r="V2785" i="1"/>
  <c r="V2786" i="1"/>
  <c r="V1051" i="1"/>
  <c r="V1052" i="1"/>
  <c r="V1053" i="1"/>
  <c r="V1054" i="1"/>
  <c r="V1055" i="1"/>
  <c r="V1056" i="1"/>
  <c r="V1548" i="1"/>
  <c r="V2787" i="1"/>
  <c r="V1549" i="1"/>
  <c r="V2788" i="1"/>
  <c r="V2789" i="1"/>
  <c r="V2790" i="1"/>
  <c r="V2791" i="1"/>
  <c r="V2792" i="1"/>
  <c r="V2793" i="1"/>
  <c r="V2794" i="1"/>
  <c r="V2795" i="1"/>
  <c r="V1550" i="1"/>
  <c r="V2796" i="1"/>
  <c r="V1551" i="1"/>
  <c r="V2797" i="1"/>
  <c r="V1552" i="1"/>
  <c r="V2798" i="1"/>
  <c r="V1553" i="1"/>
  <c r="V2799" i="1"/>
  <c r="V1554" i="1"/>
  <c r="V2800" i="1"/>
  <c r="V1555" i="1"/>
  <c r="V2801" i="1"/>
  <c r="V1556" i="1"/>
  <c r="V2802" i="1"/>
  <c r="V1557" i="1"/>
  <c r="V2803" i="1"/>
  <c r="V1558" i="1"/>
  <c r="V2804" i="1"/>
  <c r="V1559" i="1"/>
  <c r="V2805" i="1"/>
  <c r="V1560" i="1"/>
  <c r="V2806" i="1"/>
  <c r="V1561" i="1"/>
  <c r="V2807" i="1"/>
  <c r="V2808" i="1"/>
  <c r="V2809" i="1"/>
  <c r="V2810" i="1"/>
  <c r="V2811" i="1"/>
  <c r="V2812" i="1"/>
  <c r="V2813" i="1"/>
  <c r="V2814" i="1"/>
  <c r="V2815" i="1"/>
  <c r="V2816" i="1"/>
  <c r="V2817" i="1"/>
  <c r="V2818" i="1"/>
  <c r="V827" i="1"/>
  <c r="V828" i="1"/>
  <c r="V829" i="1"/>
  <c r="V2819" i="1"/>
  <c r="V1142" i="1"/>
  <c r="V2820" i="1"/>
  <c r="V2821" i="1"/>
  <c r="V2822" i="1"/>
  <c r="V1562" i="1"/>
  <c r="V28" i="1"/>
  <c r="V29" i="1"/>
  <c r="V30" i="1"/>
  <c r="V2823" i="1"/>
  <c r="V801" i="1"/>
  <c r="V2824" i="1"/>
  <c r="V2825" i="1"/>
  <c r="V2826" i="1"/>
  <c r="V2827" i="1"/>
  <c r="V2828" i="1"/>
  <c r="V1174" i="1"/>
  <c r="V2829" i="1"/>
  <c r="V1213" i="1"/>
  <c r="V1175" i="1"/>
  <c r="V1188" i="1"/>
  <c r="V2830" i="1"/>
  <c r="V2831" i="1"/>
  <c r="V422" i="1"/>
  <c r="V2832" i="1"/>
  <c r="V423" i="1"/>
  <c r="V2833" i="1"/>
  <c r="V2834" i="1"/>
  <c r="V1141" i="1"/>
  <c r="V1143" i="1"/>
  <c r="V814" i="1"/>
  <c r="V813" i="1"/>
  <c r="V1138" i="1"/>
  <c r="V1151" i="1"/>
  <c r="V778" i="1"/>
  <c r="V780" i="1"/>
  <c r="V1152" i="1"/>
  <c r="V1034" i="1"/>
  <c r="V1150" i="1"/>
  <c r="V2835" i="1"/>
  <c r="U1228" i="1"/>
  <c r="U1229" i="1"/>
  <c r="U135" i="1"/>
  <c r="U136" i="1"/>
  <c r="U137" i="1"/>
  <c r="U138" i="1"/>
  <c r="U139" i="1"/>
  <c r="U140" i="1"/>
  <c r="U141" i="1"/>
  <c r="U142" i="1"/>
  <c r="U143" i="1"/>
  <c r="U144" i="1"/>
  <c r="U145" i="1"/>
  <c r="U146" i="1"/>
  <c r="U147" i="1"/>
  <c r="U148" i="1"/>
  <c r="U149" i="1"/>
  <c r="U80" i="1"/>
  <c r="U99" i="1"/>
  <c r="U100" i="1"/>
  <c r="U81" i="1"/>
  <c r="U101" i="1"/>
  <c r="U102" i="1"/>
  <c r="U82" i="1"/>
  <c r="U103" i="1"/>
  <c r="U104" i="1"/>
  <c r="U83" i="1"/>
  <c r="U105" i="1"/>
  <c r="U106" i="1"/>
  <c r="U84" i="1"/>
  <c r="U107" i="1"/>
  <c r="U108" i="1"/>
  <c r="U85" i="1"/>
  <c r="U109" i="1"/>
  <c r="U110" i="1"/>
  <c r="U86" i="1"/>
  <c r="U111" i="1"/>
  <c r="U112" i="1"/>
  <c r="U87" i="1"/>
  <c r="U113" i="1"/>
  <c r="U114" i="1"/>
  <c r="U88" i="1"/>
  <c r="U115" i="1"/>
  <c r="U116" i="1"/>
  <c r="U89" i="1"/>
  <c r="U117" i="1"/>
  <c r="U118" i="1"/>
  <c r="U90" i="1"/>
  <c r="U119" i="1"/>
  <c r="U120" i="1"/>
  <c r="U121" i="1"/>
  <c r="U122" i="1"/>
  <c r="U123" i="1"/>
  <c r="U124" i="1"/>
  <c r="U993" i="1"/>
  <c r="U994" i="1"/>
  <c r="U995" i="1"/>
  <c r="U996" i="1"/>
  <c r="U1592" i="1"/>
  <c r="U1593" i="1"/>
  <c r="U407" i="1"/>
  <c r="U408" i="1"/>
  <c r="U409" i="1"/>
  <c r="U410" i="1"/>
  <c r="U411" i="1"/>
  <c r="U997" i="1"/>
  <c r="U998" i="1"/>
  <c r="U1147" i="1"/>
  <c r="U1599" i="1"/>
  <c r="U1148" i="1"/>
  <c r="U1600" i="1"/>
  <c r="U1601" i="1"/>
  <c r="U999" i="1"/>
  <c r="U1000" i="1"/>
  <c r="U1159" i="1"/>
  <c r="U1603" i="1"/>
  <c r="U1604" i="1"/>
  <c r="U246" i="1"/>
  <c r="U1606" i="1"/>
  <c r="U1608" i="1"/>
  <c r="U311" i="1"/>
  <c r="U314" i="1"/>
  <c r="U312" i="1"/>
  <c r="U315" i="1"/>
  <c r="U313" i="1"/>
  <c r="U316" i="1"/>
  <c r="U317" i="1"/>
  <c r="U9" i="1"/>
  <c r="U1620" i="1"/>
  <c r="U1621" i="1"/>
  <c r="U1622" i="1"/>
  <c r="U1001" i="1"/>
  <c r="U1002" i="1"/>
  <c r="U783" i="1"/>
  <c r="U784" i="1"/>
  <c r="U1633" i="1"/>
  <c r="U1634" i="1"/>
  <c r="U1644" i="1"/>
  <c r="U1645" i="1"/>
  <c r="U424" i="1"/>
  <c r="U425" i="1"/>
  <c r="U426" i="1"/>
  <c r="U427" i="1"/>
  <c r="U428" i="1"/>
  <c r="U429" i="1"/>
  <c r="U430" i="1"/>
  <c r="U431" i="1"/>
  <c r="U1646" i="1"/>
  <c r="U1647" i="1"/>
  <c r="U1648" i="1"/>
  <c r="U1649" i="1"/>
  <c r="U1650" i="1"/>
  <c r="U1651" i="1"/>
  <c r="U1652" i="1"/>
  <c r="U1653" i="1"/>
  <c r="U1654" i="1"/>
  <c r="U1655" i="1"/>
  <c r="U150" i="1"/>
  <c r="U151" i="1"/>
  <c r="U152" i="1"/>
  <c r="U153" i="1"/>
  <c r="U154" i="1"/>
  <c r="U155" i="1"/>
  <c r="U156" i="1"/>
  <c r="U157" i="1"/>
  <c r="U158" i="1"/>
  <c r="U159" i="1"/>
  <c r="U160" i="1"/>
  <c r="U161" i="1"/>
  <c r="U162" i="1"/>
  <c r="U163" i="1"/>
  <c r="U164" i="1"/>
  <c r="U1109" i="1"/>
  <c r="U1003" i="1"/>
  <c r="U1004" i="1"/>
  <c r="U1005" i="1"/>
  <c r="U1006" i="1"/>
  <c r="U1072" i="1"/>
  <c r="U967" i="1"/>
  <c r="U968" i="1"/>
  <c r="U969" i="1"/>
  <c r="U1671" i="1"/>
  <c r="U1672" i="1"/>
  <c r="U1673" i="1"/>
  <c r="U1674" i="1"/>
  <c r="U1675" i="1"/>
  <c r="U1676" i="1"/>
  <c r="U985" i="1"/>
  <c r="U986" i="1"/>
  <c r="U987" i="1"/>
  <c r="U988" i="1"/>
  <c r="U989" i="1"/>
  <c r="U990" i="1"/>
  <c r="U991" i="1"/>
  <c r="U1693" i="1"/>
  <c r="U1694" i="1"/>
  <c r="U908" i="1"/>
  <c r="U909" i="1"/>
  <c r="U1358" i="1"/>
  <c r="U1359" i="1"/>
  <c r="U1704" i="1"/>
  <c r="U1705" i="1"/>
  <c r="U1007" i="1"/>
  <c r="U1008" i="1"/>
  <c r="U1712" i="1"/>
  <c r="U1114" i="1"/>
  <c r="U1367" i="1"/>
  <c r="U1368" i="1"/>
  <c r="U1369" i="1"/>
  <c r="U1370" i="1"/>
  <c r="U910" i="1"/>
  <c r="U911" i="1"/>
  <c r="U31" i="1"/>
  <c r="U1086" i="1"/>
  <c r="U811" i="1"/>
  <c r="U812" i="1"/>
  <c r="U1732" i="1"/>
  <c r="U1733" i="1"/>
  <c r="U1734" i="1"/>
  <c r="U1735" i="1"/>
  <c r="U1736" i="1"/>
  <c r="U899" i="1"/>
  <c r="U900" i="1"/>
  <c r="U1009" i="1"/>
  <c r="U1010" i="1"/>
  <c r="U804" i="1"/>
  <c r="U805" i="1"/>
  <c r="U806" i="1"/>
  <c r="U1768" i="1"/>
  <c r="U781" i="1"/>
  <c r="U787" i="1"/>
  <c r="U788" i="1"/>
  <c r="U1774" i="1"/>
  <c r="U1775" i="1"/>
  <c r="U1776" i="1"/>
  <c r="U1255" i="1"/>
  <c r="U1256" i="1"/>
  <c r="U1257" i="1"/>
  <c r="U1258" i="1"/>
  <c r="U1259" i="1"/>
  <c r="U1826" i="1"/>
  <c r="U1827" i="1"/>
  <c r="U1828" i="1"/>
  <c r="U1829" i="1"/>
  <c r="U1830" i="1"/>
  <c r="U1831" i="1"/>
  <c r="U1011" i="1"/>
  <c r="U1012" i="1"/>
  <c r="U771" i="1"/>
  <c r="U898" i="1"/>
  <c r="U901" i="1"/>
  <c r="U902" i="1"/>
  <c r="U1887" i="1"/>
  <c r="U1888" i="1"/>
  <c r="U1169" i="1"/>
  <c r="U1170" i="1"/>
  <c r="U1171" i="1"/>
  <c r="U1172" i="1"/>
  <c r="U1173" i="1"/>
  <c r="U1954" i="1"/>
  <c r="U1968" i="1"/>
  <c r="U1969" i="1"/>
  <c r="U1155" i="1"/>
  <c r="U1156" i="1"/>
  <c r="U406" i="1"/>
  <c r="U1013" i="1"/>
  <c r="U1014" i="1"/>
  <c r="U874" i="1"/>
  <c r="U875" i="1"/>
  <c r="U876" i="1"/>
  <c r="U877" i="1"/>
  <c r="U878" i="1"/>
  <c r="U879" i="1"/>
  <c r="U880" i="1"/>
  <c r="U881" i="1"/>
  <c r="U390" i="1"/>
  <c r="U397" i="1"/>
  <c r="U391" i="1"/>
  <c r="U398" i="1"/>
  <c r="U392" i="1"/>
  <c r="U399" i="1"/>
  <c r="U393" i="1"/>
  <c r="U400" i="1"/>
  <c r="U394" i="1"/>
  <c r="U401" i="1"/>
  <c r="U395" i="1"/>
  <c r="U396" i="1"/>
  <c r="U402" i="1"/>
  <c r="U403" i="1"/>
  <c r="U912" i="1"/>
  <c r="U913" i="1"/>
  <c r="U914" i="1"/>
  <c r="U915" i="1"/>
  <c r="U1429" i="1"/>
  <c r="U1430" i="1"/>
  <c r="U1431" i="1"/>
  <c r="U1057" i="1"/>
  <c r="U2021" i="1"/>
  <c r="U2022" i="1"/>
  <c r="U2023" i="1"/>
  <c r="U1015" i="1"/>
  <c r="U1016" i="1"/>
  <c r="U907" i="1"/>
  <c r="U916" i="1"/>
  <c r="U917" i="1"/>
  <c r="U1435" i="1"/>
  <c r="U1437" i="1"/>
  <c r="U1439" i="1"/>
  <c r="U957" i="1"/>
  <c r="U958" i="1"/>
  <c r="U959" i="1"/>
  <c r="U789" i="1"/>
  <c r="U1208" i="1"/>
  <c r="U1443" i="1"/>
  <c r="U1444" i="1"/>
  <c r="U977" i="1"/>
  <c r="U978" i="1"/>
  <c r="U802" i="1"/>
  <c r="U807" i="1"/>
  <c r="U803" i="1"/>
  <c r="U808" i="1"/>
  <c r="U809" i="1"/>
  <c r="U369" i="1"/>
  <c r="U2103" i="1"/>
  <c r="U2105" i="1"/>
  <c r="U1192" i="1"/>
  <c r="U2106" i="1"/>
  <c r="U1193" i="1"/>
  <c r="U2107" i="1"/>
  <c r="U1194" i="1"/>
  <c r="U2108" i="1"/>
  <c r="U1195" i="1"/>
  <c r="U2109" i="1"/>
  <c r="U1196" i="1"/>
  <c r="U2110" i="1"/>
  <c r="U1197" i="1"/>
  <c r="U2111" i="1"/>
  <c r="U1198" i="1"/>
  <c r="U2112" i="1"/>
  <c r="U1199" i="1"/>
  <c r="U1200" i="1"/>
  <c r="U1201" i="1"/>
  <c r="U1202" i="1"/>
  <c r="U1203" i="1"/>
  <c r="U2113" i="1"/>
  <c r="U2114" i="1"/>
  <c r="U2115" i="1"/>
  <c r="U2116" i="1"/>
  <c r="U2117" i="1"/>
  <c r="U2118" i="1"/>
  <c r="U1089" i="1"/>
  <c r="U792" i="1"/>
  <c r="U2122" i="1"/>
  <c r="U2123" i="1"/>
  <c r="U772" i="1"/>
  <c r="U964" i="1"/>
  <c r="U1447" i="1"/>
  <c r="U1271" i="1"/>
  <c r="U1272" i="1"/>
  <c r="U960" i="1"/>
  <c r="U1085" i="1"/>
  <c r="U1029" i="1"/>
  <c r="U1030" i="1"/>
  <c r="U1031" i="1"/>
  <c r="U1017" i="1"/>
  <c r="U1018" i="1"/>
  <c r="U1019" i="1"/>
  <c r="U1020" i="1"/>
  <c r="U1093" i="1"/>
  <c r="U1222" i="1"/>
  <c r="U1223" i="1"/>
  <c r="U1224" i="1"/>
  <c r="U1225" i="1"/>
  <c r="U820" i="1"/>
  <c r="U821" i="1"/>
  <c r="U822" i="1"/>
  <c r="U1097" i="1"/>
  <c r="U1098" i="1"/>
  <c r="U844" i="1"/>
  <c r="U845" i="1"/>
  <c r="U846" i="1"/>
  <c r="U793" i="1"/>
  <c r="U924" i="1"/>
  <c r="U925" i="1"/>
  <c r="U926" i="1"/>
  <c r="U927" i="1"/>
  <c r="U1021" i="1"/>
  <c r="U1022" i="1"/>
  <c r="U1273" i="1"/>
  <c r="U2205" i="1"/>
  <c r="U1274" i="1"/>
  <c r="U1275" i="1"/>
  <c r="U2206" i="1"/>
  <c r="U2207" i="1"/>
  <c r="U2208" i="1"/>
  <c r="U1108" i="1"/>
  <c r="U1023" i="1"/>
  <c r="U1024" i="1"/>
  <c r="U2213" i="1"/>
  <c r="U2214" i="1"/>
  <c r="U2215" i="1"/>
  <c r="U2216" i="1"/>
  <c r="U1466" i="1"/>
  <c r="U1467" i="1"/>
  <c r="U1468" i="1"/>
  <c r="U1469" i="1"/>
  <c r="U2222" i="1"/>
  <c r="U2223" i="1"/>
  <c r="U2224" i="1"/>
  <c r="U2225" i="1"/>
  <c r="U2226" i="1"/>
  <c r="U2229" i="1"/>
  <c r="U2230" i="1"/>
  <c r="U2231" i="1"/>
  <c r="U2232" i="1"/>
  <c r="U1058" i="1"/>
  <c r="U1059" i="1"/>
  <c r="U1060" i="1"/>
  <c r="U1061" i="1"/>
  <c r="U2249" i="1"/>
  <c r="U2250" i="1"/>
  <c r="U992" i="1"/>
  <c r="U1025" i="1"/>
  <c r="U1026" i="1"/>
  <c r="U2258" i="1"/>
  <c r="U2259" i="1"/>
  <c r="U2260" i="1"/>
  <c r="U794" i="1"/>
  <c r="U795" i="1"/>
  <c r="U882" i="1"/>
  <c r="U883" i="1"/>
  <c r="U884" i="1"/>
  <c r="U885" i="1"/>
  <c r="U886" i="1"/>
  <c r="U887" i="1"/>
  <c r="U888" i="1"/>
  <c r="U889" i="1"/>
  <c r="U1100" i="1"/>
  <c r="U1101" i="1"/>
  <c r="U1102" i="1"/>
  <c r="U1103" i="1"/>
  <c r="U1104" i="1"/>
  <c r="U1105" i="1"/>
  <c r="U1032" i="1"/>
  <c r="U1226" i="1"/>
  <c r="U1227" i="1"/>
  <c r="U2330" i="1"/>
  <c r="U1099" i="1"/>
  <c r="U2331" i="1"/>
  <c r="U2332" i="1"/>
  <c r="U2333" i="1"/>
  <c r="U2334" i="1"/>
  <c r="U2335" i="1"/>
  <c r="U2336" i="1"/>
  <c r="U2337" i="1"/>
  <c r="U2338" i="1"/>
  <c r="U2339" i="1"/>
  <c r="U2340" i="1"/>
  <c r="U2341" i="1"/>
  <c r="U2342" i="1"/>
  <c r="U2343" i="1"/>
  <c r="U2344" i="1"/>
  <c r="U2345" i="1"/>
  <c r="U2346" i="1"/>
  <c r="U547" i="1"/>
  <c r="U548" i="1"/>
  <c r="U549" i="1"/>
  <c r="U550" i="1"/>
  <c r="U551" i="1"/>
  <c r="U2347" i="1"/>
  <c r="U2348" i="1"/>
  <c r="U973" i="1"/>
  <c r="U974" i="1"/>
  <c r="U1244" i="1"/>
  <c r="U866" i="1"/>
  <c r="U2373" i="1"/>
  <c r="U2374" i="1"/>
  <c r="U1165" i="1"/>
  <c r="U1166" i="1"/>
  <c r="U2385" i="1"/>
  <c r="U2400" i="1"/>
  <c r="U2401" i="1"/>
  <c r="U2408" i="1"/>
  <c r="U2409" i="1"/>
  <c r="U2412" i="1"/>
  <c r="U2413" i="1"/>
  <c r="U810" i="1"/>
  <c r="U796" i="1"/>
  <c r="U797" i="1"/>
  <c r="U1083" i="1"/>
  <c r="U1084" i="1"/>
  <c r="U1081" i="1"/>
  <c r="U1082" i="1"/>
  <c r="U2426" i="1"/>
  <c r="U2436" i="1"/>
  <c r="U2437" i="1"/>
  <c r="U773" i="1"/>
  <c r="U775" i="1"/>
  <c r="U774" i="1"/>
  <c r="U776" i="1"/>
  <c r="U777" i="1"/>
  <c r="U2446" i="1"/>
  <c r="U2447" i="1"/>
  <c r="U779" i="1"/>
  <c r="U798" i="1"/>
  <c r="U799" i="1"/>
  <c r="U320" i="1"/>
  <c r="U321" i="1"/>
  <c r="U322" i="1"/>
  <c r="U280" i="1"/>
  <c r="U800" i="1"/>
  <c r="U918" i="1"/>
  <c r="U2473" i="1"/>
  <c r="U2474" i="1"/>
  <c r="U293" i="1"/>
  <c r="U295" i="1"/>
  <c r="U294" i="1"/>
  <c r="U296" i="1"/>
  <c r="U297" i="1"/>
  <c r="U867" i="1"/>
  <c r="U890" i="1"/>
  <c r="U868" i="1"/>
  <c r="U891" i="1"/>
  <c r="U869" i="1"/>
  <c r="U892" i="1"/>
  <c r="U870" i="1"/>
  <c r="U871" i="1"/>
  <c r="U872" i="1"/>
  <c r="U873" i="1"/>
  <c r="U893" i="1"/>
  <c r="U2489" i="1"/>
  <c r="U2490" i="1"/>
  <c r="U894" i="1"/>
  <c r="U895" i="1"/>
  <c r="U896" i="1"/>
  <c r="U897" i="1"/>
  <c r="U965" i="1"/>
  <c r="U970" i="1"/>
  <c r="U966" i="1"/>
  <c r="U971" i="1"/>
  <c r="U972" i="1"/>
  <c r="U922" i="1"/>
  <c r="U923" i="1"/>
  <c r="U2493" i="1"/>
  <c r="U2494" i="1"/>
  <c r="U2495" i="1"/>
  <c r="U2496" i="1"/>
  <c r="U1182" i="1"/>
  <c r="U1183" i="1"/>
  <c r="U1248" i="1"/>
  <c r="U1249" i="1"/>
  <c r="U1250" i="1"/>
  <c r="U934" i="1"/>
  <c r="U939" i="1"/>
  <c r="U940" i="1"/>
  <c r="U941" i="1"/>
  <c r="U942" i="1"/>
  <c r="U943" i="1"/>
  <c r="U944" i="1"/>
  <c r="U945" i="1"/>
  <c r="U983" i="1"/>
  <c r="U984" i="1"/>
  <c r="U1184" i="1"/>
  <c r="U2501" i="1"/>
  <c r="U2502" i="1"/>
  <c r="U1033" i="1"/>
  <c r="U2510" i="1"/>
  <c r="U2511" i="1"/>
  <c r="U432" i="1"/>
  <c r="U434" i="1"/>
  <c r="U433" i="1"/>
  <c r="U435" i="1"/>
  <c r="U436" i="1"/>
  <c r="U1187" i="1"/>
  <c r="U2538" i="1"/>
  <c r="U2539" i="1"/>
  <c r="U2542" i="1"/>
  <c r="U1073" i="1"/>
  <c r="U1074" i="1"/>
  <c r="U1075" i="1"/>
  <c r="U1076" i="1"/>
  <c r="U1077" i="1"/>
  <c r="U1078" i="1"/>
  <c r="U1079" i="1"/>
  <c r="U1080" i="1"/>
  <c r="U2543" i="1"/>
  <c r="U2544" i="1"/>
  <c r="U830" i="1"/>
  <c r="U831" i="1"/>
  <c r="U832" i="1"/>
  <c r="U833" i="1"/>
  <c r="U2553" i="1"/>
  <c r="U834" i="1"/>
  <c r="U2554" i="1"/>
  <c r="U835" i="1"/>
  <c r="U2555" i="1"/>
  <c r="U836" i="1"/>
  <c r="U2556" i="1"/>
  <c r="U557" i="1"/>
  <c r="U558" i="1"/>
  <c r="U460" i="1"/>
  <c r="U461" i="1"/>
  <c r="U559" i="1"/>
  <c r="U560" i="1"/>
  <c r="U561" i="1"/>
  <c r="U562" i="1"/>
  <c r="U563" i="1"/>
  <c r="U564" i="1"/>
  <c r="U565" i="1"/>
  <c r="U566" i="1"/>
  <c r="U567" i="1"/>
  <c r="U568" i="1"/>
  <c r="U462" i="1"/>
  <c r="U463" i="1"/>
  <c r="U464" i="1"/>
  <c r="U465" i="1"/>
  <c r="U466" i="1"/>
  <c r="U1094" i="1"/>
  <c r="U1095" i="1"/>
  <c r="U1096" i="1"/>
  <c r="U2574" i="1"/>
  <c r="U2575" i="1"/>
  <c r="U2576" i="1"/>
  <c r="U2577" i="1"/>
  <c r="U2578" i="1"/>
  <c r="U2579" i="1"/>
  <c r="U903" i="1"/>
  <c r="U904" i="1"/>
  <c r="U905" i="1"/>
  <c r="U906" i="1"/>
  <c r="U1162" i="1"/>
  <c r="U2581" i="1"/>
  <c r="U1163" i="1"/>
  <c r="U1164" i="1"/>
  <c r="U2582" i="1"/>
  <c r="U2583" i="1"/>
  <c r="U2584" i="1"/>
  <c r="U1512" i="1"/>
  <c r="U1513" i="1"/>
  <c r="U1514" i="1"/>
  <c r="U572" i="1"/>
  <c r="U1144" i="1"/>
  <c r="U2620" i="1"/>
  <c r="U2621" i="1"/>
  <c r="U2622" i="1"/>
  <c r="U2623" i="1"/>
  <c r="U1049" i="1"/>
  <c r="U1050" i="1"/>
  <c r="U2640" i="1"/>
  <c r="U1524" i="1"/>
  <c r="U1525" i="1"/>
  <c r="U484" i="1"/>
  <c r="U1526" i="1"/>
  <c r="U485" i="1"/>
  <c r="U1527" i="1"/>
  <c r="U486" i="1"/>
  <c r="U487" i="1"/>
  <c r="U1528" i="1"/>
  <c r="U488" i="1"/>
  <c r="U2658" i="1"/>
  <c r="U2659" i="1"/>
  <c r="U2660" i="1"/>
  <c r="U2661" i="1"/>
  <c r="U194" i="1"/>
  <c r="U165" i="1"/>
  <c r="U166" i="1"/>
  <c r="U195" i="1"/>
  <c r="U167" i="1"/>
  <c r="U168" i="1"/>
  <c r="U196" i="1"/>
  <c r="U169" i="1"/>
  <c r="U170" i="1"/>
  <c r="U171" i="1"/>
  <c r="U172" i="1"/>
  <c r="U173" i="1"/>
  <c r="U174" i="1"/>
  <c r="U175" i="1"/>
  <c r="U176" i="1"/>
  <c r="U177" i="1"/>
  <c r="U178" i="1"/>
  <c r="U179" i="1"/>
  <c r="U180" i="1"/>
  <c r="U181" i="1"/>
  <c r="U197" i="1"/>
  <c r="U182" i="1"/>
  <c r="U198" i="1"/>
  <c r="U183" i="1"/>
  <c r="U199" i="1"/>
  <c r="U184" i="1"/>
  <c r="U200" i="1"/>
  <c r="U185" i="1"/>
  <c r="U201" i="1"/>
  <c r="U186" i="1"/>
  <c r="U202" i="1"/>
  <c r="U187" i="1"/>
  <c r="U203" i="1"/>
  <c r="U188" i="1"/>
  <c r="U204" i="1"/>
  <c r="U189" i="1"/>
  <c r="U205" i="1"/>
  <c r="U91" i="1"/>
  <c r="U92" i="1"/>
  <c r="U93" i="1"/>
  <c r="U94" i="1"/>
  <c r="U130" i="1"/>
  <c r="U131" i="1"/>
  <c r="U132" i="1"/>
  <c r="U133" i="1"/>
  <c r="U134" i="1"/>
  <c r="U190" i="1"/>
  <c r="U206" i="1"/>
  <c r="U191" i="1"/>
  <c r="U207" i="1"/>
  <c r="U192" i="1"/>
  <c r="U193" i="1"/>
  <c r="U1111" i="1"/>
  <c r="U1069" i="1"/>
  <c r="U1112" i="1"/>
  <c r="U1070" i="1"/>
  <c r="U1113" i="1"/>
  <c r="U1071" i="1"/>
  <c r="U823" i="1"/>
  <c r="U824" i="1"/>
  <c r="U825" i="1"/>
  <c r="U826" i="1"/>
  <c r="U951" i="1"/>
  <c r="U952" i="1"/>
  <c r="U953" i="1"/>
  <c r="U79" i="1"/>
  <c r="U579" i="1"/>
  <c r="U582" i="1"/>
  <c r="U583" i="1"/>
  <c r="U584" i="1"/>
  <c r="U587" i="1"/>
  <c r="U588" i="1"/>
  <c r="U589" i="1"/>
  <c r="U592" i="1"/>
  <c r="U593" i="1"/>
  <c r="U594" i="1"/>
  <c r="U597" i="1"/>
  <c r="U598" i="1"/>
  <c r="U599" i="1"/>
  <c r="U602" i="1"/>
  <c r="U603" i="1"/>
  <c r="U604" i="1"/>
  <c r="U614" i="1"/>
  <c r="U615" i="1"/>
  <c r="U616" i="1"/>
  <c r="U617" i="1"/>
  <c r="U618" i="1"/>
  <c r="U619" i="1"/>
  <c r="U620" i="1"/>
  <c r="U621" i="1"/>
  <c r="U622" i="1"/>
  <c r="U623" i="1"/>
  <c r="U625" i="1"/>
  <c r="U626" i="1"/>
  <c r="U628" i="1"/>
  <c r="U629" i="1"/>
  <c r="U631" i="1"/>
  <c r="U632" i="1"/>
  <c r="U633" i="1"/>
  <c r="U634" i="1"/>
  <c r="U635" i="1"/>
  <c r="U640" i="1"/>
  <c r="U641" i="1"/>
  <c r="U642" i="1"/>
  <c r="U643" i="1"/>
  <c r="U644" i="1"/>
  <c r="U2730" i="1"/>
  <c r="U1541" i="1"/>
  <c r="U2735" i="1"/>
  <c r="U1542" i="1"/>
  <c r="U2736" i="1"/>
  <c r="U1543" i="1"/>
  <c r="U2737" i="1"/>
  <c r="U2738" i="1"/>
  <c r="U247" i="1"/>
  <c r="U261" i="1"/>
  <c r="U248" i="1"/>
  <c r="U262" i="1"/>
  <c r="U249" i="1"/>
  <c r="U263" i="1"/>
  <c r="U250" i="1"/>
  <c r="U264" i="1"/>
  <c r="U251" i="1"/>
  <c r="U265" i="1"/>
  <c r="U252" i="1"/>
  <c r="U266" i="1"/>
  <c r="U253" i="1"/>
  <c r="U267" i="1"/>
  <c r="U254" i="1"/>
  <c r="U268" i="1"/>
  <c r="U255" i="1"/>
  <c r="U269" i="1"/>
  <c r="U256" i="1"/>
  <c r="U257" i="1"/>
  <c r="U258" i="1"/>
  <c r="U259" i="1"/>
  <c r="U260" i="1"/>
  <c r="U270" i="1"/>
  <c r="U271" i="1"/>
  <c r="U272" i="1"/>
  <c r="U273" i="1"/>
  <c r="U274" i="1"/>
  <c r="U275" i="1"/>
  <c r="U1149" i="1"/>
  <c r="U2744" i="1"/>
  <c r="U2745" i="1"/>
  <c r="U961" i="1"/>
  <c r="U962" i="1"/>
  <c r="U963" i="1"/>
  <c r="U283" i="1"/>
  <c r="U298" i="1"/>
  <c r="U304" i="1"/>
  <c r="U299" i="1"/>
  <c r="U305" i="1"/>
  <c r="U300" i="1"/>
  <c r="U306" i="1"/>
  <c r="U301" i="1"/>
  <c r="U307" i="1"/>
  <c r="U302" i="1"/>
  <c r="U308" i="1"/>
  <c r="U303" i="1"/>
  <c r="U309" i="1"/>
  <c r="U310" i="1"/>
  <c r="U1027" i="1"/>
  <c r="U1028" i="1"/>
  <c r="U2763" i="1"/>
  <c r="U2764" i="1"/>
  <c r="U2765" i="1"/>
  <c r="U2766" i="1"/>
  <c r="U2767" i="1"/>
  <c r="U2768" i="1"/>
  <c r="U1064" i="1"/>
  <c r="U1065" i="1"/>
  <c r="U1066" i="1"/>
  <c r="U1067" i="1"/>
  <c r="U1548" i="1"/>
  <c r="U1549" i="1"/>
  <c r="U2788" i="1"/>
  <c r="U2789" i="1"/>
  <c r="U2790" i="1"/>
  <c r="U2791" i="1"/>
  <c r="U2792" i="1"/>
  <c r="U2793" i="1"/>
  <c r="U2819" i="1"/>
  <c r="U2820" i="1"/>
  <c r="U2821" i="1"/>
  <c r="U2825" i="1"/>
  <c r="U2826" i="1"/>
  <c r="U1174" i="1"/>
  <c r="U2829" i="1"/>
  <c r="U1213" i="1"/>
  <c r="U1175" i="1"/>
  <c r="U1188" i="1"/>
  <c r="U2830" i="1"/>
  <c r="U2831" i="1"/>
  <c r="U814" i="1"/>
  <c r="U813" i="1"/>
  <c r="U1138" i="1"/>
  <c r="U778" i="1"/>
  <c r="U780" i="1"/>
  <c r="U1150" i="1"/>
  <c r="R508" i="1"/>
  <c r="R509" i="1"/>
  <c r="R510" i="1"/>
  <c r="R511" i="1"/>
  <c r="R384" i="1"/>
  <c r="R385" i="1"/>
  <c r="R386" i="1"/>
  <c r="R33" i="1"/>
  <c r="R35" i="1"/>
  <c r="R34" i="1"/>
  <c r="R36" i="1"/>
  <c r="R37" i="1"/>
  <c r="R135" i="1"/>
  <c r="R136" i="1"/>
  <c r="R137" i="1"/>
  <c r="R138" i="1"/>
  <c r="R139" i="1"/>
  <c r="R140" i="1"/>
  <c r="R141" i="1"/>
  <c r="R142" i="1"/>
  <c r="R143" i="1"/>
  <c r="R144" i="1"/>
  <c r="R145" i="1"/>
  <c r="R146" i="1"/>
  <c r="R147" i="1"/>
  <c r="R148" i="1"/>
  <c r="R149" i="1"/>
  <c r="R80" i="1"/>
  <c r="R99" i="1"/>
  <c r="R100" i="1"/>
  <c r="R81" i="1"/>
  <c r="R101" i="1"/>
  <c r="R102" i="1"/>
  <c r="R82" i="1"/>
  <c r="R103" i="1"/>
  <c r="R104" i="1"/>
  <c r="R83" i="1"/>
  <c r="R105" i="1"/>
  <c r="R106" i="1"/>
  <c r="R84" i="1"/>
  <c r="R107" i="1"/>
  <c r="R108" i="1"/>
  <c r="R85" i="1"/>
  <c r="R109" i="1"/>
  <c r="R110" i="1"/>
  <c r="R86" i="1"/>
  <c r="R111" i="1"/>
  <c r="R112" i="1"/>
  <c r="R87" i="1"/>
  <c r="R113" i="1"/>
  <c r="R114" i="1"/>
  <c r="R88" i="1"/>
  <c r="R115" i="1"/>
  <c r="R116" i="1"/>
  <c r="R89" i="1"/>
  <c r="R117" i="1"/>
  <c r="R118" i="1"/>
  <c r="R90" i="1"/>
  <c r="R119" i="1"/>
  <c r="R120" i="1"/>
  <c r="R121" i="1"/>
  <c r="R122" i="1"/>
  <c r="R123" i="1"/>
  <c r="R124" i="1"/>
  <c r="R407" i="1"/>
  <c r="R408" i="1"/>
  <c r="R409" i="1"/>
  <c r="R410" i="1"/>
  <c r="R411" i="1"/>
  <c r="R816" i="1"/>
  <c r="R817" i="1"/>
  <c r="R512" i="1"/>
  <c r="R513" i="1"/>
  <c r="R246" i="1"/>
  <c r="R815" i="1"/>
  <c r="R818" i="1"/>
  <c r="R819" i="1"/>
  <c r="R514" i="1"/>
  <c r="R311" i="1"/>
  <c r="R314" i="1"/>
  <c r="R312" i="1"/>
  <c r="R315" i="1"/>
  <c r="R313" i="1"/>
  <c r="R316" i="1"/>
  <c r="R317" i="1"/>
  <c r="R9" i="1"/>
  <c r="R783" i="1"/>
  <c r="R784" i="1"/>
  <c r="R7" i="1"/>
  <c r="R8" i="1"/>
  <c r="R645" i="1"/>
  <c r="R646" i="1"/>
  <c r="R647" i="1"/>
  <c r="R648" i="1"/>
  <c r="R649" i="1"/>
  <c r="R650" i="1"/>
  <c r="R651" i="1"/>
  <c r="R652" i="1"/>
  <c r="R424" i="1"/>
  <c r="R425" i="1"/>
  <c r="R426" i="1"/>
  <c r="R427" i="1"/>
  <c r="R428" i="1"/>
  <c r="R429" i="1"/>
  <c r="R430" i="1"/>
  <c r="R431" i="1"/>
  <c r="R480" i="1"/>
  <c r="R481" i="1"/>
  <c r="R482" i="1"/>
  <c r="R483" i="1"/>
  <c r="R3" i="1"/>
  <c r="R4" i="1"/>
  <c r="R782" i="1"/>
  <c r="R785" i="1"/>
  <c r="R786" i="1"/>
  <c r="R150" i="1"/>
  <c r="R151" i="1"/>
  <c r="R152" i="1"/>
  <c r="R153" i="1"/>
  <c r="R154" i="1"/>
  <c r="R155" i="1"/>
  <c r="R156" i="1"/>
  <c r="R157" i="1"/>
  <c r="R158" i="1"/>
  <c r="R159" i="1"/>
  <c r="R160" i="1"/>
  <c r="R161" i="1"/>
  <c r="R162" i="1"/>
  <c r="R163" i="1"/>
  <c r="R164" i="1"/>
  <c r="R515" i="1"/>
  <c r="R516" i="1"/>
  <c r="R517" i="1"/>
  <c r="R439" i="1"/>
  <c r="R447" i="1"/>
  <c r="R518" i="1"/>
  <c r="R519" i="1"/>
  <c r="R520" i="1"/>
  <c r="R521" i="1"/>
  <c r="R522" i="1"/>
  <c r="R523" i="1"/>
  <c r="R524" i="1"/>
  <c r="R525" i="1"/>
  <c r="R526" i="1"/>
  <c r="R527" i="1"/>
  <c r="R528" i="1"/>
  <c r="R529" i="1"/>
  <c r="R530" i="1"/>
  <c r="R531" i="1"/>
  <c r="R532" i="1"/>
  <c r="R533" i="1"/>
  <c r="R534" i="1"/>
  <c r="R535" i="1"/>
  <c r="R536" i="1"/>
  <c r="R537" i="1"/>
  <c r="R538" i="1"/>
  <c r="R440" i="1"/>
  <c r="R441" i="1"/>
  <c r="R442" i="1"/>
  <c r="R443" i="1"/>
  <c r="R444" i="1"/>
  <c r="R445" i="1"/>
  <c r="R446" i="1"/>
  <c r="R448" i="1"/>
  <c r="R449" i="1"/>
  <c r="R450" i="1"/>
  <c r="R451" i="1"/>
  <c r="R452" i="1"/>
  <c r="R453" i="1"/>
  <c r="R454" i="1"/>
  <c r="R467" i="1"/>
  <c r="R468" i="1"/>
  <c r="R469" i="1"/>
  <c r="R284" i="1"/>
  <c r="R276" i="1"/>
  <c r="R38" i="1"/>
  <c r="R39" i="1"/>
  <c r="R40" i="1"/>
  <c r="R41" i="1"/>
  <c r="R42" i="1"/>
  <c r="R46" i="1"/>
  <c r="R47" i="1"/>
  <c r="R48" i="1"/>
  <c r="R49" i="1"/>
  <c r="R50" i="1"/>
  <c r="R51" i="1"/>
  <c r="R281" i="1"/>
  <c r="R32" i="1"/>
  <c r="R502" i="1"/>
  <c r="R503" i="1"/>
  <c r="R504" i="1"/>
  <c r="R505" i="1"/>
  <c r="R323" i="1"/>
  <c r="R338" i="1"/>
  <c r="R339" i="1"/>
  <c r="R324" i="1"/>
  <c r="R340" i="1"/>
  <c r="R341" i="1"/>
  <c r="R325" i="1"/>
  <c r="R342" i="1"/>
  <c r="R343" i="1"/>
  <c r="R326" i="1"/>
  <c r="R344" i="1"/>
  <c r="R345" i="1"/>
  <c r="R327" i="1"/>
  <c r="R346" i="1"/>
  <c r="R347" i="1"/>
  <c r="R328" i="1"/>
  <c r="R348" i="1"/>
  <c r="R349" i="1"/>
  <c r="R329" i="1"/>
  <c r="R350" i="1"/>
  <c r="R351" i="1"/>
  <c r="R330" i="1"/>
  <c r="R352" i="1"/>
  <c r="R353" i="1"/>
  <c r="R354" i="1"/>
  <c r="R355" i="1"/>
  <c r="R356" i="1"/>
  <c r="R357" i="1"/>
  <c r="R358" i="1"/>
  <c r="R359" i="1"/>
  <c r="R360" i="1"/>
  <c r="R331" i="1"/>
  <c r="R361" i="1"/>
  <c r="R332" i="1"/>
  <c r="R362" i="1"/>
  <c r="R333" i="1"/>
  <c r="R363" i="1"/>
  <c r="R334" i="1"/>
  <c r="R364" i="1"/>
  <c r="R335" i="1"/>
  <c r="R336" i="1"/>
  <c r="R337" i="1"/>
  <c r="R365" i="1"/>
  <c r="R366" i="1"/>
  <c r="R367" i="1"/>
  <c r="R368" i="1"/>
  <c r="R539" i="1"/>
  <c r="R31" i="1"/>
  <c r="R811" i="1"/>
  <c r="R812" i="1"/>
  <c r="R405" i="1"/>
  <c r="R781" i="1"/>
  <c r="R787" i="1"/>
  <c r="R788" i="1"/>
  <c r="R5" i="1"/>
  <c r="R6" i="1"/>
  <c r="R277" i="1"/>
  <c r="R278" i="1"/>
  <c r="R279" i="1"/>
  <c r="R771" i="1"/>
  <c r="R406" i="1"/>
  <c r="R16" i="1"/>
  <c r="R17" i="1"/>
  <c r="R10" i="1"/>
  <c r="R13" i="1"/>
  <c r="R11" i="1"/>
  <c r="R14" i="1"/>
  <c r="R15" i="1"/>
  <c r="R390" i="1"/>
  <c r="R397" i="1"/>
  <c r="R391" i="1"/>
  <c r="R398" i="1"/>
  <c r="R392" i="1"/>
  <c r="R399" i="1"/>
  <c r="R393" i="1"/>
  <c r="R400" i="1"/>
  <c r="R394" i="1"/>
  <c r="R401" i="1"/>
  <c r="R395" i="1"/>
  <c r="R396" i="1"/>
  <c r="R402" i="1"/>
  <c r="R403" i="1"/>
  <c r="R12" i="1"/>
  <c r="R18" i="1"/>
  <c r="R19" i="1"/>
  <c r="R23" i="1"/>
  <c r="R20" i="1"/>
  <c r="R24" i="1"/>
  <c r="R21" i="1"/>
  <c r="R22" i="1"/>
  <c r="R25" i="1"/>
  <c r="R26" i="1"/>
  <c r="R27" i="1"/>
  <c r="R847" i="1"/>
  <c r="R437" i="1"/>
  <c r="R438" i="1"/>
  <c r="R318" i="1"/>
  <c r="R319"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848" i="1"/>
  <c r="R849" i="1"/>
  <c r="R850" i="1"/>
  <c r="R851" i="1"/>
  <c r="R852" i="1"/>
  <c r="R853" i="1"/>
  <c r="R854" i="1"/>
  <c r="R855" i="1"/>
  <c r="R856" i="1"/>
  <c r="R857" i="1"/>
  <c r="R858" i="1"/>
  <c r="R859" i="1"/>
  <c r="R860" i="1"/>
  <c r="R861" i="1"/>
  <c r="R862" i="1"/>
  <c r="R756" i="1"/>
  <c r="R757" i="1"/>
  <c r="R789" i="1"/>
  <c r="R758" i="1"/>
  <c r="R759" i="1"/>
  <c r="R760" i="1"/>
  <c r="R761" i="1"/>
  <c r="R540" i="1"/>
  <c r="R790" i="1"/>
  <c r="R791" i="1"/>
  <c r="R369" i="1"/>
  <c r="R234" i="1"/>
  <c r="R230" i="1"/>
  <c r="R762" i="1"/>
  <c r="R763" i="1"/>
  <c r="R764" i="1"/>
  <c r="R765" i="1"/>
  <c r="R792" i="1"/>
  <c r="R772" i="1"/>
  <c r="R404" i="1"/>
  <c r="R470" i="1"/>
  <c r="R56" i="1"/>
  <c r="R57" i="1"/>
  <c r="R58" i="1"/>
  <c r="R59" i="1"/>
  <c r="R60" i="1"/>
  <c r="R61" i="1"/>
  <c r="R412" i="1"/>
  <c r="R417" i="1"/>
  <c r="R413" i="1"/>
  <c r="R418" i="1"/>
  <c r="R414" i="1"/>
  <c r="R415" i="1"/>
  <c r="R416" i="1"/>
  <c r="R419" i="1"/>
  <c r="R420" i="1"/>
  <c r="R421" i="1"/>
  <c r="R820" i="1"/>
  <c r="R821" i="1"/>
  <c r="R822" i="1"/>
  <c r="R844" i="1"/>
  <c r="R845" i="1"/>
  <c r="R846" i="1"/>
  <c r="R793" i="1"/>
  <c r="R541" i="1"/>
  <c r="R542" i="1"/>
  <c r="R543" i="1"/>
  <c r="R544" i="1"/>
  <c r="R545" i="1"/>
  <c r="R546" i="1"/>
  <c r="R794" i="1"/>
  <c r="R795" i="1"/>
  <c r="R220" i="1"/>
  <c r="R221" i="1"/>
  <c r="R547" i="1"/>
  <c r="R548" i="1"/>
  <c r="R549" i="1"/>
  <c r="R550" i="1"/>
  <c r="R551" i="1"/>
  <c r="R62" i="1"/>
  <c r="R63" i="1"/>
  <c r="R64" i="1"/>
  <c r="R65" i="1"/>
  <c r="R66" i="1"/>
  <c r="R67" i="1"/>
  <c r="R68" i="1"/>
  <c r="R69" i="1"/>
  <c r="R70" i="1"/>
  <c r="R71" i="1"/>
  <c r="R72" i="1"/>
  <c r="R73" i="1"/>
  <c r="R74" i="1"/>
  <c r="R75" i="1"/>
  <c r="R76" i="1"/>
  <c r="R77" i="1"/>
  <c r="R78" i="1"/>
  <c r="R292" i="1"/>
  <c r="R216" i="1"/>
  <c r="R217" i="1"/>
  <c r="R222" i="1"/>
  <c r="R218" i="1"/>
  <c r="R219" i="1"/>
  <c r="R223" i="1"/>
  <c r="R224" i="1"/>
  <c r="R225" i="1"/>
  <c r="R226" i="1"/>
  <c r="R208" i="1"/>
  <c r="R209" i="1"/>
  <c r="R210" i="1"/>
  <c r="R211" i="1"/>
  <c r="R212" i="1"/>
  <c r="R213" i="1"/>
  <c r="R214" i="1"/>
  <c r="R227" i="1"/>
  <c r="R228" i="1"/>
  <c r="R229" i="1"/>
  <c r="R215" i="1"/>
  <c r="R282" i="1"/>
  <c r="R477" i="1"/>
  <c r="R552" i="1"/>
  <c r="R553" i="1"/>
  <c r="R554" i="1"/>
  <c r="R555" i="1"/>
  <c r="R556" i="1"/>
  <c r="R478" i="1"/>
  <c r="R479" i="1"/>
  <c r="R796" i="1"/>
  <c r="R797" i="1"/>
  <c r="R766" i="1"/>
  <c r="R767" i="1"/>
  <c r="R773" i="1"/>
  <c r="R775" i="1"/>
  <c r="R774" i="1"/>
  <c r="R776" i="1"/>
  <c r="R777" i="1"/>
  <c r="R779" i="1"/>
  <c r="R798" i="1"/>
  <c r="R799" i="1"/>
  <c r="R320" i="1"/>
  <c r="R321" i="1"/>
  <c r="R322" i="1"/>
  <c r="R280" i="1"/>
  <c r="R800" i="1"/>
  <c r="R293" i="1"/>
  <c r="R295" i="1"/>
  <c r="R294" i="1"/>
  <c r="R296" i="1"/>
  <c r="R297" i="1"/>
  <c r="R506" i="1"/>
  <c r="R507" i="1"/>
  <c r="R286" i="1"/>
  <c r="R287" i="1"/>
  <c r="R288" i="1"/>
  <c r="R289" i="1"/>
  <c r="R290" i="1"/>
  <c r="R291" i="1"/>
  <c r="R387" i="1"/>
  <c r="R388" i="1"/>
  <c r="R389" i="1"/>
  <c r="R432" i="1"/>
  <c r="R434" i="1"/>
  <c r="R433" i="1"/>
  <c r="R435" i="1"/>
  <c r="R436" i="1"/>
  <c r="R830" i="1"/>
  <c r="R831" i="1"/>
  <c r="R832" i="1"/>
  <c r="R833" i="1"/>
  <c r="R834" i="1"/>
  <c r="R835" i="1"/>
  <c r="R836" i="1"/>
  <c r="R557" i="1"/>
  <c r="R558" i="1"/>
  <c r="R460" i="1"/>
  <c r="R461" i="1"/>
  <c r="R559" i="1"/>
  <c r="R560" i="1"/>
  <c r="R561" i="1"/>
  <c r="R562" i="1"/>
  <c r="R563" i="1"/>
  <c r="R564" i="1"/>
  <c r="R565" i="1"/>
  <c r="R566" i="1"/>
  <c r="R567" i="1"/>
  <c r="R568" i="1"/>
  <c r="R462" i="1"/>
  <c r="R463" i="1"/>
  <c r="R464" i="1"/>
  <c r="R465" i="1"/>
  <c r="R466" i="1"/>
  <c r="R95" i="1"/>
  <c r="R125" i="1"/>
  <c r="R96" i="1"/>
  <c r="R126" i="1"/>
  <c r="R127" i="1"/>
  <c r="R128" i="1"/>
  <c r="R129" i="1"/>
  <c r="R285" i="1"/>
  <c r="R569" i="1"/>
  <c r="R570" i="1"/>
  <c r="R571" i="1"/>
  <c r="R572" i="1"/>
  <c r="R573" i="1"/>
  <c r="R653" i="1"/>
  <c r="R768" i="1"/>
  <c r="R769" i="1"/>
  <c r="R770" i="1"/>
  <c r="R235" i="1"/>
  <c r="R236" i="1"/>
  <c r="R244" i="1"/>
  <c r="R245" i="1"/>
  <c r="R237" i="1"/>
  <c r="R238" i="1"/>
  <c r="R239" i="1"/>
  <c r="R231" i="1"/>
  <c r="R232" i="1"/>
  <c r="R233" i="1"/>
  <c r="R240" i="1"/>
  <c r="R241" i="1"/>
  <c r="R242" i="1"/>
  <c r="R243" i="1"/>
  <c r="R484" i="1"/>
  <c r="R485" i="1"/>
  <c r="R486" i="1"/>
  <c r="R487" i="1"/>
  <c r="R488" i="1"/>
  <c r="R194" i="1"/>
  <c r="R165" i="1"/>
  <c r="R166" i="1"/>
  <c r="R195" i="1"/>
  <c r="R167" i="1"/>
  <c r="R168" i="1"/>
  <c r="R196" i="1"/>
  <c r="R169" i="1"/>
  <c r="R170" i="1"/>
  <c r="R171" i="1"/>
  <c r="R172" i="1"/>
  <c r="R173" i="1"/>
  <c r="R174" i="1"/>
  <c r="R175" i="1"/>
  <c r="R176" i="1"/>
  <c r="R177" i="1"/>
  <c r="R178" i="1"/>
  <c r="R179" i="1"/>
  <c r="R180" i="1"/>
  <c r="R181" i="1"/>
  <c r="R197" i="1"/>
  <c r="R182" i="1"/>
  <c r="R198" i="1"/>
  <c r="R183" i="1"/>
  <c r="R199" i="1"/>
  <c r="R184" i="1"/>
  <c r="R200" i="1"/>
  <c r="R185" i="1"/>
  <c r="R201" i="1"/>
  <c r="R186" i="1"/>
  <c r="R202" i="1"/>
  <c r="R187" i="1"/>
  <c r="R203" i="1"/>
  <c r="R188" i="1"/>
  <c r="R204" i="1"/>
  <c r="R189" i="1"/>
  <c r="R97" i="1"/>
  <c r="R205" i="1"/>
  <c r="R91" i="1"/>
  <c r="R92" i="1"/>
  <c r="R93" i="1"/>
  <c r="R94" i="1"/>
  <c r="R130" i="1"/>
  <c r="R131" i="1"/>
  <c r="R132" i="1"/>
  <c r="R133" i="1"/>
  <c r="R134" i="1"/>
  <c r="R190" i="1"/>
  <c r="R98" i="1"/>
  <c r="R206" i="1"/>
  <c r="R191" i="1"/>
  <c r="R207" i="1"/>
  <c r="R192" i="1"/>
  <c r="R193" i="1"/>
  <c r="R79" i="1"/>
  <c r="R471" i="1"/>
  <c r="R574" i="1"/>
  <c r="R472" i="1"/>
  <c r="R575" i="1"/>
  <c r="R473" i="1"/>
  <c r="R576" i="1"/>
  <c r="R474" i="1"/>
  <c r="R577" i="1"/>
  <c r="R578" i="1"/>
  <c r="R489" i="1"/>
  <c r="R579" i="1"/>
  <c r="R580" i="1"/>
  <c r="R581" i="1"/>
  <c r="R582" i="1"/>
  <c r="R583" i="1"/>
  <c r="R490" i="1"/>
  <c r="R584" i="1"/>
  <c r="R585" i="1"/>
  <c r="R586" i="1"/>
  <c r="R587" i="1"/>
  <c r="R588" i="1"/>
  <c r="R491" i="1"/>
  <c r="R589" i="1"/>
  <c r="R590" i="1"/>
  <c r="R591" i="1"/>
  <c r="R592" i="1"/>
  <c r="R593" i="1"/>
  <c r="R492" i="1"/>
  <c r="R594" i="1"/>
  <c r="R595" i="1"/>
  <c r="R596" i="1"/>
  <c r="R597" i="1"/>
  <c r="R598" i="1"/>
  <c r="R493" i="1"/>
  <c r="R599" i="1"/>
  <c r="R600" i="1"/>
  <c r="R601" i="1"/>
  <c r="R602" i="1"/>
  <c r="R603" i="1"/>
  <c r="R494" i="1"/>
  <c r="R604" i="1"/>
  <c r="R605" i="1"/>
  <c r="R606" i="1"/>
  <c r="R607" i="1"/>
  <c r="R608" i="1"/>
  <c r="R609" i="1"/>
  <c r="R610" i="1"/>
  <c r="R611" i="1"/>
  <c r="R612" i="1"/>
  <c r="R613" i="1"/>
  <c r="R614" i="1"/>
  <c r="R615" i="1"/>
  <c r="R616" i="1"/>
  <c r="R617" i="1"/>
  <c r="R618" i="1"/>
  <c r="R619" i="1"/>
  <c r="R620" i="1"/>
  <c r="R621" i="1"/>
  <c r="R622" i="1"/>
  <c r="R495" i="1"/>
  <c r="R623" i="1"/>
  <c r="R624" i="1"/>
  <c r="R625" i="1"/>
  <c r="R496" i="1"/>
  <c r="R626" i="1"/>
  <c r="R627" i="1"/>
  <c r="R628" i="1"/>
  <c r="R497" i="1"/>
  <c r="R629" i="1"/>
  <c r="R630" i="1"/>
  <c r="R631" i="1"/>
  <c r="R498" i="1"/>
  <c r="R499" i="1"/>
  <c r="R500" i="1"/>
  <c r="R501" i="1"/>
  <c r="R632" i="1"/>
  <c r="R633" i="1"/>
  <c r="R634" i="1"/>
  <c r="R635" i="1"/>
  <c r="R636" i="1"/>
  <c r="R637" i="1"/>
  <c r="R638" i="1"/>
  <c r="R639" i="1"/>
  <c r="R640" i="1"/>
  <c r="R641" i="1"/>
  <c r="R642" i="1"/>
  <c r="R643" i="1"/>
  <c r="R644" i="1"/>
  <c r="R247" i="1"/>
  <c r="R261" i="1"/>
  <c r="R248" i="1"/>
  <c r="R262" i="1"/>
  <c r="R249" i="1"/>
  <c r="R263" i="1"/>
  <c r="R250" i="1"/>
  <c r="R264" i="1"/>
  <c r="R251" i="1"/>
  <c r="R265" i="1"/>
  <c r="R252" i="1"/>
  <c r="R266" i="1"/>
  <c r="R253" i="1"/>
  <c r="R267" i="1"/>
  <c r="R254" i="1"/>
  <c r="R268" i="1"/>
  <c r="R255" i="1"/>
  <c r="R269" i="1"/>
  <c r="R256" i="1"/>
  <c r="R257" i="1"/>
  <c r="R258" i="1"/>
  <c r="R259" i="1"/>
  <c r="R260" i="1"/>
  <c r="R270" i="1"/>
  <c r="R271" i="1"/>
  <c r="R272" i="1"/>
  <c r="R273" i="1"/>
  <c r="R274" i="1"/>
  <c r="R275" i="1"/>
  <c r="R455" i="1"/>
  <c r="R457" i="1"/>
  <c r="R456" i="1"/>
  <c r="R458" i="1"/>
  <c r="R459" i="1"/>
  <c r="R283" i="1"/>
  <c r="R370" i="1"/>
  <c r="R374" i="1"/>
  <c r="R375" i="1"/>
  <c r="R371" i="1"/>
  <c r="R376" i="1"/>
  <c r="R377" i="1"/>
  <c r="R372" i="1"/>
  <c r="R378" i="1"/>
  <c r="R379" i="1"/>
  <c r="R373" i="1"/>
  <c r="R380" i="1"/>
  <c r="R381" i="1"/>
  <c r="R382" i="1"/>
  <c r="R383" i="1"/>
  <c r="R298" i="1"/>
  <c r="R304" i="1"/>
  <c r="R299" i="1"/>
  <c r="R305" i="1"/>
  <c r="R300" i="1"/>
  <c r="R306" i="1"/>
  <c r="R301" i="1"/>
  <c r="R307" i="1"/>
  <c r="R302" i="1"/>
  <c r="R308" i="1"/>
  <c r="R303" i="1"/>
  <c r="R309" i="1"/>
  <c r="R310" i="1"/>
  <c r="R837" i="1"/>
  <c r="R838" i="1"/>
  <c r="R839" i="1"/>
  <c r="R840" i="1"/>
  <c r="R841" i="1"/>
  <c r="R842" i="1"/>
  <c r="R843" i="1"/>
  <c r="R475" i="1"/>
  <c r="R476" i="1"/>
  <c r="R827" i="1"/>
  <c r="R828" i="1"/>
  <c r="R829" i="1"/>
  <c r="R28" i="1"/>
  <c r="R29" i="1"/>
  <c r="R30" i="1"/>
  <c r="R801" i="1"/>
  <c r="R778" i="1"/>
  <c r="R780"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5" i="7"/>
  <c r="O34" i="7" l="1"/>
  <c r="O35" i="7"/>
  <c r="K34" i="7"/>
  <c r="K35" i="7"/>
  <c r="G34" i="7"/>
  <c r="G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<sst xmlns="http://schemas.openxmlformats.org/spreadsheetml/2006/main" count="50469" uniqueCount="10657">
  <si>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</si>
  <si>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</si>
  <si>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</si>
  <si>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</si>
  <si>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</si>
  <si>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</si>
  <si>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</si>
  <si>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</si>
  <si>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</si>
  <si>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</si>
  <si>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</si>
  <si>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</si>
  <si>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</si>
  <si>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</si>
  <si>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</si>
  <si>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</si>
  <si>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</si>
  <si>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</si>
  <si>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</si>
  <si>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</si>
  <si>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</si>
  <si>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</si>
  <si>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</si>
  <si>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</si>
  <si>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</si>
  <si>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</si>
  <si>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</si>
  <si>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</si>
  <si>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</si>
  <si>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</si>
  <si>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</si>
  <si>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</si>
  <si>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</si>
  <si>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</si>
  <si>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</si>
  <si>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</si>
  <si>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</si>
  <si>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</si>
  <si>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</si>
  <si>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</si>
  <si>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</si>
  <si>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</si>
  <si>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</si>
  <si>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</si>
  <si>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</si>
  <si>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</si>
  <si>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</si>
  <si>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</si>
  <si>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</si>
  <si>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</si>
  <si>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</si>
  <si>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</si>
  <si>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</si>
  <si>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</si>
  <si>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</si>
  <si>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</si>
  <si>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</si>
  <si>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</si>
  <si>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</si>
  <si>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</si>
  <si>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</si>
  <si>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</si>
  <si>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</si>
  <si>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</si>
  <si>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</si>
  <si>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</si>
  <si>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</si>
  <si>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</si>
  <si>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</si>
  <si>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</si>
  <si>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</si>
  <si>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</si>
  <si>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</si>
  <si>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</si>
  <si>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</si>
  <si>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</si>
  <si>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</si>
  <si>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</si>
  <si>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</si>
  <si>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</si>
  <si>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</si>
  <si>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</si>
  <si>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</si>
  <si>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</si>
  <si>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</si>
  <si>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</si>
  <si>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</si>
  <si>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</si>
  <si>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</si>
  <si>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</si>
  <si>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</si>
  <si>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</si>
  <si>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</si>
  <si>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</si>
  <si>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</si>
  <si>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</si>
  <si>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</si>
  <si>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</si>
  <si>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</si>
  <si>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</si>
  <si>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</si>
  <si>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</si>
  <si>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</si>
  <si>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</si>
  <si>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</si>
  <si>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</si>
  <si>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</si>
  <si>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</si>
  <si>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</si>
  <si>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</si>
  <si>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</si>
  <si>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</si>
  <si>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</si>
  <si>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</si>
  <si>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</si>
  <si>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</si>
  <si>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</si>
  <si>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</si>
  <si>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</si>
  <si>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</si>
  <si>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</si>
  <si>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</si>
  <si>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</si>
  <si>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</si>
  <si>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</si>
  <si>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</si>
  <si>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</si>
  <si>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</si>
  <si>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</si>
  <si>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</si>
  <si>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</si>
  <si>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</si>
  <si>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</si>
  <si>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</si>
  <si>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</si>
  <si>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</si>
  <si>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</si>
  <si>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</si>
  <si>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</si>
  <si>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</si>
  <si>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</si>
  <si>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</si>
  <si>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</si>
  <si>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</si>
  <si>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</si>
  <si>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</si>
  <si>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</si>
  <si>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</si>
  <si>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</si>
  <si>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</si>
  <si>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</si>
  <si>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</si>
  <si>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</si>
  <si>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</si>
  <si>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</si>
  <si>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</si>
  <si>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</si>
  <si>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</si>
  <si>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</si>
  <si>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</si>
  <si>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</si>
  <si>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</si>
  <si>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</si>
  <si>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</si>
  <si>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</si>
  <si>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</si>
  <si>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</si>
  <si>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</si>
  <si>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</si>
  <si>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</si>
  <si>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</si>
  <si>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</si>
  <si>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</si>
  <si>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</si>
  <si>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</si>
  <si>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</si>
  <si>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</si>
  <si>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</si>
  <si>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</si>
  <si>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</si>
  <si>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</si>
  <si>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</si>
  <si>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</si>
  <si>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</si>
  <si>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</si>
  <si>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</si>
  <si>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Date</t>
  </si>
  <si>
    <t>Time</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</si>
  <si>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</si>
  <si>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</si>
  <si>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</si>
  <si>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</si>
  <si>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</si>
  <si>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</si>
  <si>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</si>
  <si>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</si>
  <si>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</si>
  <si>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</si>
  <si>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</si>
  <si>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</si>
  <si>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</si>
  <si>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</si>
  <si>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</si>
  <si>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</si>
  <si>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</si>
  <si>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</si>
  <si>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</si>
  <si>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</si>
  <si>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</si>
  <si>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</si>
  <si>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</si>
  <si>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</si>
  <si>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</si>
  <si>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</si>
  <si>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</si>
  <si>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</si>
  <si>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</si>
  <si>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sber2dth</t>
  </si>
  <si>
    <t>flyyestcoopeva</t>
  </si>
  <si>
    <t>dalton_hend</t>
  </si>
  <si>
    <t>4swiin</t>
  </si>
  <si>
    <t>kylala81848300</t>
  </si>
  <si>
    <t>ivicam10</t>
  </si>
  <si>
    <t>jeanne_muenchau</t>
  </si>
  <si>
    <t>wyndstrom1</t>
  </si>
  <si>
    <t>nucicoms</t>
  </si>
  <si>
    <t>mechamelissa</t>
  </si>
  <si>
    <t>oldtehanu</t>
  </si>
  <si>
    <t>heavenlychc9</t>
  </si>
  <si>
    <t>dronexl1</t>
  </si>
  <si>
    <t>dronilabeu</t>
  </si>
  <si>
    <t>procurementstar</t>
  </si>
  <si>
    <t>acrolisx</t>
  </si>
  <si>
    <t>cindyaubrey</t>
  </si>
  <si>
    <t>degen_jordan</t>
  </si>
  <si>
    <t>ponzishorter</t>
  </si>
  <si>
    <t>betamoroney</t>
  </si>
  <si>
    <t>sonu_monika</t>
  </si>
  <si>
    <t>chefkawasaki_</t>
  </si>
  <si>
    <t>ranareno20</t>
  </si>
  <si>
    <t>amie3752</t>
  </si>
  <si>
    <t>bobbik8</t>
  </si>
  <si>
    <t>walmart</t>
  </si>
  <si>
    <t>jeonsleeve</t>
  </si>
  <si>
    <t>cardcomicbeard</t>
  </si>
  <si>
    <t>debbyquashen</t>
  </si>
  <si>
    <t>soupermario</t>
  </si>
  <si>
    <t>rachaelray</t>
  </si>
  <si>
    <t>alexiah14468441</t>
  </si>
  <si>
    <t>mamnga2</t>
  </si>
  <si>
    <t>hopeihave2</t>
  </si>
  <si>
    <t>sourabh78722891</t>
  </si>
  <si>
    <t>tonioillusion</t>
  </si>
  <si>
    <t>digicess</t>
  </si>
  <si>
    <t>alwearydad</t>
  </si>
  <si>
    <t>rufus_the_exile</t>
  </si>
  <si>
    <t>1900_dilara</t>
  </si>
  <si>
    <t>7lakeorenda</t>
  </si>
  <si>
    <t>realqaiqai</t>
  </si>
  <si>
    <t>direct7e</t>
  </si>
  <si>
    <t>wild_fl0w3r_</t>
  </si>
  <si>
    <t>justinzollars</t>
  </si>
  <si>
    <t>garsea108</t>
  </si>
  <si>
    <t>mariamu18729133</t>
  </si>
  <si>
    <t>midgetmoma</t>
  </si>
  <si>
    <t>rossdimattei</t>
  </si>
  <si>
    <t>njknight1436</t>
  </si>
  <si>
    <t>frcdc</t>
  </si>
  <si>
    <t>gkenney</t>
  </si>
  <si>
    <t>andy_bowling_</t>
  </si>
  <si>
    <t>bjsmith120216</t>
  </si>
  <si>
    <t>vickyverenzuela</t>
  </si>
  <si>
    <t>thebuckramadan1</t>
  </si>
  <si>
    <t>mujin_global</t>
  </si>
  <si>
    <t>dbov68</t>
  </si>
  <si>
    <t>jamesvgingerich</t>
  </si>
  <si>
    <t>stephmomof1</t>
  </si>
  <si>
    <t>ts_kiti</t>
  </si>
  <si>
    <t>snowboard_p</t>
  </si>
  <si>
    <t>4ever0range</t>
  </si>
  <si>
    <t>d34nlolol</t>
  </si>
  <si>
    <t>ritchie92174681</t>
  </si>
  <si>
    <t>jngshngmih1</t>
  </si>
  <si>
    <t>salvationarmleb</t>
  </si>
  <si>
    <t>hexidimentional</t>
  </si>
  <si>
    <t>mrmrazek89</t>
  </si>
  <si>
    <t>jg_sbalending</t>
  </si>
  <si>
    <t>jaygoonetilleke</t>
  </si>
  <si>
    <t>wakeuprickm</t>
  </si>
  <si>
    <t>sazzadk13691034</t>
  </si>
  <si>
    <t>19matt73</t>
  </si>
  <si>
    <t>manndowwn</t>
  </si>
  <si>
    <t>heathracela</t>
  </si>
  <si>
    <t>authorkendall</t>
  </si>
  <si>
    <t>resisteringa</t>
  </si>
  <si>
    <t>rdrewyor</t>
  </si>
  <si>
    <t>george_mas</t>
  </si>
  <si>
    <t>chinalionfilm</t>
  </si>
  <si>
    <t>bravocharlie322</t>
  </si>
  <si>
    <t>nickpagliochini</t>
  </si>
  <si>
    <t>15minutefoodie</t>
  </si>
  <si>
    <t>arielalts</t>
  </si>
  <si>
    <t>amerine1000</t>
  </si>
  <si>
    <t>finmktg</t>
  </si>
  <si>
    <t>godhasthis17</t>
  </si>
  <si>
    <t>jsalt3028</t>
  </si>
  <si>
    <t>abdulwa09722526</t>
  </si>
  <si>
    <t>artfan90a</t>
  </si>
  <si>
    <t>stacie1216</t>
  </si>
  <si>
    <t>brianjcano</t>
  </si>
  <si>
    <t>amytassel1</t>
  </si>
  <si>
    <t>sidneygrepke</t>
  </si>
  <si>
    <t>aseem1999</t>
  </si>
  <si>
    <t>damndawrlean</t>
  </si>
  <si>
    <t>beastie904</t>
  </si>
  <si>
    <t>john_nenasai</t>
  </si>
  <si>
    <t>faridajibran</t>
  </si>
  <si>
    <t>rhondajflanagan</t>
  </si>
  <si>
    <t>marinawriter1</t>
  </si>
  <si>
    <t>godlovesohio</t>
  </si>
  <si>
    <t>flossin_eth</t>
  </si>
  <si>
    <t>krysleeskincare</t>
  </si>
  <si>
    <t>suppjules</t>
  </si>
  <si>
    <t>jordimariec</t>
  </si>
  <si>
    <t>mrmrsbatwonder</t>
  </si>
  <si>
    <t>kr__rajesh</t>
  </si>
  <si>
    <t>merr2385</t>
  </si>
  <si>
    <t>thirdacademy_</t>
  </si>
  <si>
    <t>tententen1990</t>
  </si>
  <si>
    <t>earnmoney_now</t>
  </si>
  <si>
    <t>jackkav08431165</t>
  </si>
  <si>
    <t>batman_infinite</t>
  </si>
  <si>
    <t>rafiki_tikigod</t>
  </si>
  <si>
    <t>staceyrosb</t>
  </si>
  <si>
    <t>phineasgregg</t>
  </si>
  <si>
    <t>zearned</t>
  </si>
  <si>
    <t>afqirmourad</t>
  </si>
  <si>
    <t>ladyrdph</t>
  </si>
  <si>
    <t>theagent_z</t>
  </si>
  <si>
    <t>reniismuvaa</t>
  </si>
  <si>
    <t>jayhors</t>
  </si>
  <si>
    <t>sayupy1003</t>
  </si>
  <si>
    <t>nftwanda_43</t>
  </si>
  <si>
    <t>hexx81735504</t>
  </si>
  <si>
    <t>gregor44kris</t>
  </si>
  <si>
    <t>jamalsm61856492</t>
  </si>
  <si>
    <t>lovebymichaeln</t>
  </si>
  <si>
    <t>delimarketnews</t>
  </si>
  <si>
    <t>khriswitta</t>
  </si>
  <si>
    <t>eaglesfan12234</t>
  </si>
  <si>
    <t>yvonneevans411</t>
  </si>
  <si>
    <t>rh_account</t>
  </si>
  <si>
    <t>alottabs_</t>
  </si>
  <si>
    <t>joannethelola</t>
  </si>
  <si>
    <t>christopherjmu6</t>
  </si>
  <si>
    <t>maryluvsmarc</t>
  </si>
  <si>
    <t>rtih_retailtech</t>
  </si>
  <si>
    <t>5h15h</t>
  </si>
  <si>
    <t>scottthomps74</t>
  </si>
  <si>
    <t>spreadthatcheek</t>
  </si>
  <si>
    <t>godoggofishfry1</t>
  </si>
  <si>
    <t>brianasheppar13</t>
  </si>
  <si>
    <t>itzbrittanybih</t>
  </si>
  <si>
    <t>seattledsalabor</t>
  </si>
  <si>
    <t>espnchrislarsen</t>
  </si>
  <si>
    <t>cybersecdive</t>
  </si>
  <si>
    <t>msbutta214</t>
  </si>
  <si>
    <t>mirajwin23</t>
  </si>
  <si>
    <t>mamatygryss</t>
  </si>
  <si>
    <t>tktkustomz</t>
  </si>
  <si>
    <t>pitterhotspitta</t>
  </si>
  <si>
    <t>kyprobassangler</t>
  </si>
  <si>
    <t>brmurf</t>
  </si>
  <si>
    <t>asauceman12</t>
  </si>
  <si>
    <t>youngcurse22</t>
  </si>
  <si>
    <t>sedilloclarissa</t>
  </si>
  <si>
    <t>angelwings_anne</t>
  </si>
  <si>
    <t>pasdempeo</t>
  </si>
  <si>
    <t>missbeaux</t>
  </si>
  <si>
    <t>iiiitsandrea</t>
  </si>
  <si>
    <t>newgiveaway24</t>
  </si>
  <si>
    <t>midnightheartmc</t>
  </si>
  <si>
    <t>mctemru</t>
  </si>
  <si>
    <t>mileyssoap</t>
  </si>
  <si>
    <t>themarkening</t>
  </si>
  <si>
    <t>wreckingball1b</t>
  </si>
  <si>
    <t>forever_rez</t>
  </si>
  <si>
    <t>mcgoldengstring</t>
  </si>
  <si>
    <t>tanugup18204323</t>
  </si>
  <si>
    <t>sjc26138</t>
  </si>
  <si>
    <t>mechag_86</t>
  </si>
  <si>
    <t>azapretty9</t>
  </si>
  <si>
    <t>cafreeman316</t>
  </si>
  <si>
    <t>adielrp23</t>
  </si>
  <si>
    <t>nk76202283</t>
  </si>
  <si>
    <t>kevinnraee</t>
  </si>
  <si>
    <t>kimfamuliner</t>
  </si>
  <si>
    <t>dem_mustangs16</t>
  </si>
  <si>
    <t>fuckkdarneii</t>
  </si>
  <si>
    <t>mileyscmalibu</t>
  </si>
  <si>
    <t>vtechtoys</t>
  </si>
  <si>
    <t>thetoyinsider</t>
  </si>
  <si>
    <t>onemodrankk</t>
  </si>
  <si>
    <t>crowntowncol1</t>
  </si>
  <si>
    <t>michaelgoligh20</t>
  </si>
  <si>
    <t>pbjlady</t>
  </si>
  <si>
    <t>mileyc_fan89</t>
  </si>
  <si>
    <t>gimmewhaiwant</t>
  </si>
  <si>
    <t>jaaayysun</t>
  </si>
  <si>
    <t>eatmagicspoon</t>
  </si>
  <si>
    <t>spacesmiier</t>
  </si>
  <si>
    <t>llopisgenovart</t>
  </si>
  <si>
    <t>cyrusxgrxnde</t>
  </si>
  <si>
    <t>theepinned</t>
  </si>
  <si>
    <t>mileyfiower</t>
  </si>
  <si>
    <t>space_dude3</t>
  </si>
  <si>
    <t>barbielvesmiley</t>
  </si>
  <si>
    <t>livielovelaugh</t>
  </si>
  <si>
    <t>myrus69</t>
  </si>
  <si>
    <t>heyfriends1212</t>
  </si>
  <si>
    <t>mileypersona</t>
  </si>
  <si>
    <t>stefaniraiz</t>
  </si>
  <si>
    <t>mcsmiler18</t>
  </si>
  <si>
    <t>qtea_piez</t>
  </si>
  <si>
    <t>and_there_i_go</t>
  </si>
  <si>
    <t>acopensxl</t>
  </si>
  <si>
    <t>doc_himani12</t>
  </si>
  <si>
    <t>smilervoticat</t>
  </si>
  <si>
    <t>_rachelle_bee</t>
  </si>
  <si>
    <t>alejandr0cyrus</t>
  </si>
  <si>
    <t>smileytude</t>
  </si>
  <si>
    <t>puertoricano4g</t>
  </si>
  <si>
    <t>mileyworldca</t>
  </si>
  <si>
    <t>ichiquisrivera1</t>
  </si>
  <si>
    <t>nagkrish2</t>
  </si>
  <si>
    <t>hileyhearts</t>
  </si>
  <si>
    <t>jussshaunnaa</t>
  </si>
  <si>
    <t>reallilgham</t>
  </si>
  <si>
    <t>micapereyra1813</t>
  </si>
  <si>
    <t>alexanderojasa</t>
  </si>
  <si>
    <t>tash_delellis</t>
  </si>
  <si>
    <t>gonzabear</t>
  </si>
  <si>
    <t>mileyfromws</t>
  </si>
  <si>
    <t>neverbegera</t>
  </si>
  <si>
    <t>elvisrondon_</t>
  </si>
  <si>
    <t>deancentenotv</t>
  </si>
  <si>
    <t>bella5900g</t>
  </si>
  <si>
    <t>themattsedlak</t>
  </si>
  <si>
    <t>citasix</t>
  </si>
  <si>
    <t>queenilamay</t>
  </si>
  <si>
    <t>julietbogen</t>
  </si>
  <si>
    <t>sitemileybrasil</t>
  </si>
  <si>
    <t>azril_nabila4</t>
  </si>
  <si>
    <t>maxxchewning</t>
  </si>
  <si>
    <t>mileyz_smilerz</t>
  </si>
  <si>
    <t>sellercloud</t>
  </si>
  <si>
    <t>5hourenergy</t>
  </si>
  <si>
    <t>obsessedsmiler</t>
  </si>
  <si>
    <t>rodrigo_s1997</t>
  </si>
  <si>
    <t>cakesonmiley</t>
  </si>
  <si>
    <t>betrremedies</t>
  </si>
  <si>
    <t>katzirgaya</t>
  </si>
  <si>
    <t>eddie_tex_tex</t>
  </si>
  <si>
    <t>taylorkirby254</t>
  </si>
  <si>
    <t>1sun_cyrus</t>
  </si>
  <si>
    <t>pauuufvr</t>
  </si>
  <si>
    <t>badiaspices</t>
  </si>
  <si>
    <t>jasonstarr</t>
  </si>
  <si>
    <t>msjennyburns</t>
  </si>
  <si>
    <t>orenmeetsworld</t>
  </si>
  <si>
    <t>phantom_ranger_</t>
  </si>
  <si>
    <t>joeaddict4</t>
  </si>
  <si>
    <t>lostkimber</t>
  </si>
  <si>
    <t>mileyarabicnet</t>
  </si>
  <si>
    <t>karlaatmidnight</t>
  </si>
  <si>
    <t>leonardtasean</t>
  </si>
  <si>
    <t>tweetdowalter</t>
  </si>
  <si>
    <t>ukmileycyrusfan</t>
  </si>
  <si>
    <t>igorferreiracl</t>
  </si>
  <si>
    <t>laadaadidadi</t>
  </si>
  <si>
    <t>nickwaynegames</t>
  </si>
  <si>
    <t>yoitsab</t>
  </si>
  <si>
    <t>youngerbluess</t>
  </si>
  <si>
    <t>ebrundo1</t>
  </si>
  <si>
    <t>budolliff</t>
  </si>
  <si>
    <t>olivia91483183</t>
  </si>
  <si>
    <t>sheiscomingley</t>
  </si>
  <si>
    <t>mileystewwartt</t>
  </si>
  <si>
    <t>superjosh05</t>
  </si>
  <si>
    <t>xxradiatelove</t>
  </si>
  <si>
    <t>gossipmileyray</t>
  </si>
  <si>
    <t>vampire_witchb</t>
  </si>
  <si>
    <t>debsails</t>
  </si>
  <si>
    <t>talkshoplive</t>
  </si>
  <si>
    <t>labordayworx</t>
  </si>
  <si>
    <t>love1wins</t>
  </si>
  <si>
    <t>prolewiki</t>
  </si>
  <si>
    <t>mariia_deleon</t>
  </si>
  <si>
    <t>plasticheartsok</t>
  </si>
  <si>
    <t>belcacyruss</t>
  </si>
  <si>
    <t>titasmakeupbox</t>
  </si>
  <si>
    <t>cosplaymeg</t>
  </si>
  <si>
    <t>rohit_ochani</t>
  </si>
  <si>
    <t>ska_karolina</t>
  </si>
  <si>
    <t>shadmiller13</t>
  </si>
  <si>
    <t>gomezinmalibu</t>
  </si>
  <si>
    <t>francisjared_</t>
  </si>
  <si>
    <t>thestellars</t>
  </si>
  <si>
    <t>freedomcenter</t>
  </si>
  <si>
    <t>veronieray</t>
  </si>
  <si>
    <t>inalittledove</t>
  </si>
  <si>
    <t>summdoja</t>
  </si>
  <si>
    <t>stosspott</t>
  </si>
  <si>
    <t>mutinymanx</t>
  </si>
  <si>
    <t>reformufcw</t>
  </si>
  <si>
    <t>thesportsbubba</t>
  </si>
  <si>
    <t>mcgiftz</t>
  </si>
  <si>
    <t>placer_ai</t>
  </si>
  <si>
    <t>408nate</t>
  </si>
  <si>
    <t>callnit365</t>
  </si>
  <si>
    <t>artistaesoto</t>
  </si>
  <si>
    <t>areusing</t>
  </si>
  <si>
    <t>adayareisanur</t>
  </si>
  <si>
    <t>leftysunite</t>
  </si>
  <si>
    <t>dirtybyrdgames</t>
  </si>
  <si>
    <t>night_crawlingx</t>
  </si>
  <si>
    <t>cyrusonstats</t>
  </si>
  <si>
    <t>dennisrs10</t>
  </si>
  <si>
    <t>bb_legs</t>
  </si>
  <si>
    <t>chibi_nova21</t>
  </si>
  <si>
    <t>kitkato8</t>
  </si>
  <si>
    <t>cristian_merigo</t>
  </si>
  <si>
    <t>pqgrigori</t>
  </si>
  <si>
    <t>mzhydedark</t>
  </si>
  <si>
    <t>liltoot62</t>
  </si>
  <si>
    <t>bornyhear</t>
  </si>
  <si>
    <t>skraaa_h</t>
  </si>
  <si>
    <t>forrespect</t>
  </si>
  <si>
    <t>chicedr</t>
  </si>
  <si>
    <t>dogmaticprior</t>
  </si>
  <si>
    <t>steffi21011</t>
  </si>
  <si>
    <t>functionalflu</t>
  </si>
  <si>
    <t>investdetroitvc</t>
  </si>
  <si>
    <t>mcvertulli</t>
  </si>
  <si>
    <t>alexuhperez</t>
  </si>
  <si>
    <t>lmlj2012</t>
  </si>
  <si>
    <t>taty_marc_blank</t>
  </si>
  <si>
    <t>dypiangco</t>
  </si>
  <si>
    <t>heduardomatz</t>
  </si>
  <si>
    <t>gypsydesert</t>
  </si>
  <si>
    <t>micklite7</t>
  </si>
  <si>
    <t>space_dude93</t>
  </si>
  <si>
    <t>purelyinspired</t>
  </si>
  <si>
    <t>deliciouslyso</t>
  </si>
  <si>
    <t>nexttomileybu</t>
  </si>
  <si>
    <t>mileycyrussf</t>
  </si>
  <si>
    <t>newswest9</t>
  </si>
  <si>
    <t>11alivenews</t>
  </si>
  <si>
    <t>ksdknews</t>
  </si>
  <si>
    <t>13newsnow</t>
  </si>
  <si>
    <t>newscentermaine</t>
  </si>
  <si>
    <t>wfmy</t>
  </si>
  <si>
    <t>wzzm13</t>
  </si>
  <si>
    <t>wltx</t>
  </si>
  <si>
    <t>wkyc</t>
  </si>
  <si>
    <t>wthrcom</t>
  </si>
  <si>
    <t>6newsctx</t>
  </si>
  <si>
    <t>thv11</t>
  </si>
  <si>
    <t>kare11</t>
  </si>
  <si>
    <t>fcn2go</t>
  </si>
  <si>
    <t>fox43</t>
  </si>
  <si>
    <t>wfaa</t>
  </si>
  <si>
    <t>10tampabay</t>
  </si>
  <si>
    <t>fox61news</t>
  </si>
  <si>
    <t>wtol11toledo</t>
  </si>
  <si>
    <t>kiii3news</t>
  </si>
  <si>
    <t>whas11</t>
  </si>
  <si>
    <t>wnep</t>
  </si>
  <si>
    <t>cbs8</t>
  </si>
  <si>
    <t>khou</t>
  </si>
  <si>
    <t>ktvb</t>
  </si>
  <si>
    <t>weareiowa5news</t>
  </si>
  <si>
    <t>abc10</t>
  </si>
  <si>
    <t>foxwesttexas</t>
  </si>
  <si>
    <t>wusa9</t>
  </si>
  <si>
    <t>wqad</t>
  </si>
  <si>
    <t>wcnc</t>
  </si>
  <si>
    <t>13wmaznews</t>
  </si>
  <si>
    <t>9news</t>
  </si>
  <si>
    <t>12news</t>
  </si>
  <si>
    <t>krem2</t>
  </si>
  <si>
    <t>12newsnow</t>
  </si>
  <si>
    <t>kytxcbs19</t>
  </si>
  <si>
    <t>kagsnews</t>
  </si>
  <si>
    <t>wgrz</t>
  </si>
  <si>
    <t>king5seattle</t>
  </si>
  <si>
    <t>wwltv</t>
  </si>
  <si>
    <t>kens5</t>
  </si>
  <si>
    <t>10tv</t>
  </si>
  <si>
    <t>5news</t>
  </si>
  <si>
    <t>fox54news</t>
  </si>
  <si>
    <t>kvue</t>
  </si>
  <si>
    <t>arthurvm_</t>
  </si>
  <si>
    <t>delphicdeb</t>
  </si>
  <si>
    <t>lakeloonatic</t>
  </si>
  <si>
    <t>dramasimmy</t>
  </si>
  <si>
    <t>bjorn501</t>
  </si>
  <si>
    <t>glamorouge</t>
  </si>
  <si>
    <t>snakemannn</t>
  </si>
  <si>
    <t>oregakitaworld</t>
  </si>
  <si>
    <t>dcomcustomized</t>
  </si>
  <si>
    <t>gaygardner420</t>
  </si>
  <si>
    <t>prestonsteger</t>
  </si>
  <si>
    <t>jaydengross7</t>
  </si>
  <si>
    <t>myseattlenews</t>
  </si>
  <si>
    <t>irfancyrus</t>
  </si>
  <si>
    <t>11nightsinjune</t>
  </si>
  <si>
    <t>katrochaacosta1</t>
  </si>
  <si>
    <t>thesmithdeep</t>
  </si>
  <si>
    <t>gabsrayy</t>
  </si>
  <si>
    <t>madonnalovedale</t>
  </si>
  <si>
    <t>aurorastarkey</t>
  </si>
  <si>
    <t>123blarg456</t>
  </si>
  <si>
    <t>crystal4obama</t>
  </si>
  <si>
    <t>natalie74737687</t>
  </si>
  <si>
    <t>dolce11312940</t>
  </si>
  <si>
    <t>juyeonisseur</t>
  </si>
  <si>
    <t>lacolorsusa</t>
  </si>
  <si>
    <t>ariesdevll</t>
  </si>
  <si>
    <t>jennydelbloc</t>
  </si>
  <si>
    <t>kgwnews</t>
  </si>
  <si>
    <t>romyyourock</t>
  </si>
  <si>
    <t>ianhillmedia</t>
  </si>
  <si>
    <t>thiccasz_jay</t>
  </si>
  <si>
    <t>itsalejotinoco</t>
  </si>
  <si>
    <t>bannedb4u</t>
  </si>
  <si>
    <t>thefrontnc</t>
  </si>
  <si>
    <t>delroar</t>
  </si>
  <si>
    <t>its_natalie</t>
  </si>
  <si>
    <t>lauraknitstoys</t>
  </si>
  <si>
    <t>inndstock</t>
  </si>
  <si>
    <t>itsmrmingtoyou</t>
  </si>
  <si>
    <t>jbrames10</t>
  </si>
  <si>
    <t>veebadddieee</t>
  </si>
  <si>
    <t>santi_barross</t>
  </si>
  <si>
    <t>mcyruscuba</t>
  </si>
  <si>
    <t>iedsonsmile</t>
  </si>
  <si>
    <t>drtimcavell</t>
  </si>
  <si>
    <t>gypsyhearttour</t>
  </si>
  <si>
    <t>_xidzelxx</t>
  </si>
  <si>
    <t>stpetemomma</t>
  </si>
  <si>
    <t>justinproctor20</t>
  </si>
  <si>
    <t>getreworked</t>
  </si>
  <si>
    <t>dbrooks2012</t>
  </si>
  <si>
    <t>fruityrolce</t>
  </si>
  <si>
    <t>jeffkagan</t>
  </si>
  <si>
    <t>navgireramdas</t>
  </si>
  <si>
    <t>ibeanewsie</t>
  </si>
  <si>
    <t>ingeniouschi</t>
  </si>
  <si>
    <t>unconsciousi</t>
  </si>
  <si>
    <t>gr8musicvenues</t>
  </si>
  <si>
    <t>birdseyefood</t>
  </si>
  <si>
    <t>theyouthscat1</t>
  </si>
  <si>
    <t>austinuzama</t>
  </si>
  <si>
    <t>eightifact</t>
  </si>
  <si>
    <t>humbleatomicboh</t>
  </si>
  <si>
    <t>danniwoohoo</t>
  </si>
  <si>
    <t>carrie_oh99</t>
  </si>
  <si>
    <t>kyvan82</t>
  </si>
  <si>
    <t>optimusgear</t>
  </si>
  <si>
    <t>whisperamber</t>
  </si>
  <si>
    <t>king____ricky</t>
  </si>
  <si>
    <t>gregwaynewilson</t>
  </si>
  <si>
    <t>saartorijr</t>
  </si>
  <si>
    <t>thecarterfilez</t>
  </si>
  <si>
    <t>jramon23190792</t>
  </si>
  <si>
    <t>dynacraftwheels</t>
  </si>
  <si>
    <t>imchrisenriquez</t>
  </si>
  <si>
    <t>ahoffenbacker</t>
  </si>
  <si>
    <t>motocitypizzaco</t>
  </si>
  <si>
    <t>ann14295260</t>
  </si>
  <si>
    <t>billymcdonald2</t>
  </si>
  <si>
    <t>taillighttv</t>
  </si>
  <si>
    <t>omnitalk</t>
  </si>
  <si>
    <t>mmarsh222</t>
  </si>
  <si>
    <t>cartercheeks</t>
  </si>
  <si>
    <t>sparklezonfire</t>
  </si>
  <si>
    <t>gregggggggggg4</t>
  </si>
  <si>
    <t>mattwroberts</t>
  </si>
  <si>
    <t>_above__average</t>
  </si>
  <si>
    <t>mcbudman</t>
  </si>
  <si>
    <t>anataeasia</t>
  </si>
  <si>
    <t>alyssaottaviani</t>
  </si>
  <si>
    <t>dwaynepinckney5</t>
  </si>
  <si>
    <t>danielbeoni</t>
  </si>
  <si>
    <t>irespectmiley</t>
  </si>
  <si>
    <t>istanmileycyrus</t>
  </si>
  <si>
    <t>mileymutual</t>
  </si>
  <si>
    <t>oyster_bay_golf</t>
  </si>
  <si>
    <t>jollygiant15</t>
  </si>
  <si>
    <t>amyjulissax33</t>
  </si>
  <si>
    <t>uclaanderson</t>
  </si>
  <si>
    <t>_readysetfood</t>
  </si>
  <si>
    <t>samanthapopstar</t>
  </si>
  <si>
    <t>lemongrass_farm</t>
  </si>
  <si>
    <t>kholtonkjd</t>
  </si>
  <si>
    <t>yadayada3857</t>
  </si>
  <si>
    <t>bursigaga</t>
  </si>
  <si>
    <t>onlybmesb</t>
  </si>
  <si>
    <t>chris27678863</t>
  </si>
  <si>
    <t>elisehansen53</t>
  </si>
  <si>
    <t>markthewrid</t>
  </si>
  <si>
    <t>grandnannymom</t>
  </si>
  <si>
    <t>lastchance4l</t>
  </si>
  <si>
    <t>mikebob115</t>
  </si>
  <si>
    <t>beccalyn2002</t>
  </si>
  <si>
    <t>jmesunslave</t>
  </si>
  <si>
    <t>nagitokomaeba</t>
  </si>
  <si>
    <t>envam</t>
  </si>
  <si>
    <t>jiprk99</t>
  </si>
  <si>
    <t>realtatheer</t>
  </si>
  <si>
    <t>falconhorny</t>
  </si>
  <si>
    <t>priscillalpayne</t>
  </si>
  <si>
    <t>93_babybatch</t>
  </si>
  <si>
    <t>airborne8890</t>
  </si>
  <si>
    <t>redrangerchris</t>
  </si>
  <si>
    <t>anjuli_mack</t>
  </si>
  <si>
    <t>waleed51_1</t>
  </si>
  <si>
    <t>getphysicool</t>
  </si>
  <si>
    <t>jill_lammey</t>
  </si>
  <si>
    <t>deirdreja</t>
  </si>
  <si>
    <t>juangota44</t>
  </si>
  <si>
    <t>thomascomputes</t>
  </si>
  <si>
    <t>tallrobbrowne</t>
  </si>
  <si>
    <t>daniel_dennison</t>
  </si>
  <si>
    <t>gisellebaumet</t>
  </si>
  <si>
    <t>lifeofbreee__</t>
  </si>
  <si>
    <t>tonytouch_28</t>
  </si>
  <si>
    <t>cunnygriffin</t>
  </si>
  <si>
    <t>thekid_dex</t>
  </si>
  <si>
    <t>matt_rojas24</t>
  </si>
  <si>
    <t>kahoiwai3</t>
  </si>
  <si>
    <t>elonscumstain</t>
  </si>
  <si>
    <t>rockybrillo</t>
  </si>
  <si>
    <t>dlegg236</t>
  </si>
  <si>
    <t>nickmanly2</t>
  </si>
  <si>
    <t>drkateendocrine</t>
  </si>
  <si>
    <t>dnomyer1234</t>
  </si>
  <si>
    <t>misshydecosplay</t>
  </si>
  <si>
    <t>danlong31416940</t>
  </si>
  <si>
    <t>apmix_yt</t>
  </si>
  <si>
    <t>nfranklin3d</t>
  </si>
  <si>
    <t>atlayton</t>
  </si>
  <si>
    <t>saccharineqq</t>
  </si>
  <si>
    <t>dpghittmann</t>
  </si>
  <si>
    <t>the_movie_guy_</t>
  </si>
  <si>
    <t>andykillingback</t>
  </si>
  <si>
    <t>codjunkiedotcom</t>
  </si>
  <si>
    <t>buchananbunch_4</t>
  </si>
  <si>
    <t>lightofsileence</t>
  </si>
  <si>
    <t>scottolling</t>
  </si>
  <si>
    <t>shoecrazywine</t>
  </si>
  <si>
    <t>deadestpet</t>
  </si>
  <si>
    <t>lashartim</t>
  </si>
  <si>
    <t>younagh2000</t>
  </si>
  <si>
    <t>okx</t>
  </si>
  <si>
    <t>writter48</t>
  </si>
  <si>
    <t>haydenj05329340</t>
  </si>
  <si>
    <t>the_kelvinator_</t>
  </si>
  <si>
    <t>fortnitemidas95</t>
  </si>
  <si>
    <t>jguess12</t>
  </si>
  <si>
    <t>jrwoodwardmsw</t>
  </si>
  <si>
    <t>simpneelix</t>
  </si>
  <si>
    <t>savage_skeletor</t>
  </si>
  <si>
    <t>rmexico11</t>
  </si>
  <si>
    <t>jendaissues</t>
  </si>
  <si>
    <t>summerdonbell</t>
  </si>
  <si>
    <t>giras0ul</t>
  </si>
  <si>
    <t>dethdeelindale</t>
  </si>
  <si>
    <t>tammyha13715584</t>
  </si>
  <si>
    <t>miamigosevrywhr</t>
  </si>
  <si>
    <t>wakingup80film</t>
  </si>
  <si>
    <t>wakingup80</t>
  </si>
  <si>
    <t>beaaar</t>
  </si>
  <si>
    <t>mileyknows</t>
  </si>
  <si>
    <t>jennerjann</t>
  </si>
  <si>
    <t>pdsmith1969</t>
  </si>
  <si>
    <t>94hoo</t>
  </si>
  <si>
    <t>dgarcia_ctw</t>
  </si>
  <si>
    <t>jparker_cisd</t>
  </si>
  <si>
    <t>calitaylorrr</t>
  </si>
  <si>
    <t>mileycyrusmus23</t>
  </si>
  <si>
    <t>lindackbl</t>
  </si>
  <si>
    <t>darcevader66</t>
  </si>
  <si>
    <t>king_voudon</t>
  </si>
  <si>
    <t>endlessmart94</t>
  </si>
  <si>
    <t>juugya1</t>
  </si>
  <si>
    <t>chiefmucker</t>
  </si>
  <si>
    <t>ecclesi41663287</t>
  </si>
  <si>
    <t>mileymorphia</t>
  </si>
  <si>
    <t>battistoni_kyle</t>
  </si>
  <si>
    <t>janabananaky</t>
  </si>
  <si>
    <t>eggswiffyshady</t>
  </si>
  <si>
    <t>mstinamarii</t>
  </si>
  <si>
    <t>kenissupreme</t>
  </si>
  <si>
    <t>amala_flamvell</t>
  </si>
  <si>
    <t>frye1965</t>
  </si>
  <si>
    <t>sebrango_9</t>
  </si>
  <si>
    <t>msangela9111</t>
  </si>
  <si>
    <t>keyannasposts</t>
  </si>
  <si>
    <t>notmachine2</t>
  </si>
  <si>
    <t>donrull</t>
  </si>
  <si>
    <t>daddy_eh30</t>
  </si>
  <si>
    <t>silvrscrnqueen</t>
  </si>
  <si>
    <t>earnmoney2012</t>
  </si>
  <si>
    <t>jcrawfordfsu</t>
  </si>
  <si>
    <t>sqldusty</t>
  </si>
  <si>
    <t>tweakx</t>
  </si>
  <si>
    <t>scrub__zero</t>
  </si>
  <si>
    <t>jaredcruzaedo</t>
  </si>
  <si>
    <t>h3artonf1r3</t>
  </si>
  <si>
    <t>gaynycdad</t>
  </si>
  <si>
    <t>brielleprincess</t>
  </si>
  <si>
    <t>jennifer57</t>
  </si>
  <si>
    <t>sstrode</t>
  </si>
  <si>
    <t>drthomasfalls</t>
  </si>
  <si>
    <t>ericatxrealtor</t>
  </si>
  <si>
    <t>tedbowe</t>
  </si>
  <si>
    <t>billatq</t>
  </si>
  <si>
    <t>thilleshiem__</t>
  </si>
  <si>
    <t>ctwpanthers</t>
  </si>
  <si>
    <t>trwoodauthor</t>
  </si>
  <si>
    <t>vagablondviking</t>
  </si>
  <si>
    <t>mileycardi</t>
  </si>
  <si>
    <t>zekonurlos</t>
  </si>
  <si>
    <t>cattitude_girl</t>
  </si>
  <si>
    <t>asmilersince06</t>
  </si>
  <si>
    <t>killerangelfrog</t>
  </si>
  <si>
    <t>legendcyruss</t>
  </si>
  <si>
    <t>ohspacefool</t>
  </si>
  <si>
    <t>oshes</t>
  </si>
  <si>
    <t>mileybase</t>
  </si>
  <si>
    <t>rickywrldv2</t>
  </si>
  <si>
    <t>prims525</t>
  </si>
  <si>
    <t>woodyfmartin</t>
  </si>
  <si>
    <t>ibe_joh</t>
  </si>
  <si>
    <t>stlfoodbank</t>
  </si>
  <si>
    <t>john1966olsen</t>
  </si>
  <si>
    <t>aquixoticpisces</t>
  </si>
  <si>
    <t>swprvic</t>
  </si>
  <si>
    <t>ohsnap17860397</t>
  </si>
  <si>
    <t>rogel_guerrerog</t>
  </si>
  <si>
    <t>p0pularloner_</t>
  </si>
  <si>
    <t>adamcorbinmusic</t>
  </si>
  <si>
    <t>lindamarcelino3</t>
  </si>
  <si>
    <t>psissy514platt</t>
  </si>
  <si>
    <t>mrghoulishguy</t>
  </si>
  <si>
    <t>aceves_king</t>
  </si>
  <si>
    <t>lolhelppls</t>
  </si>
  <si>
    <t>boneknightmare</t>
  </si>
  <si>
    <t>angedeusrex</t>
  </si>
  <si>
    <t>oldlady12345</t>
  </si>
  <si>
    <t>thetealady574</t>
  </si>
  <si>
    <t>bigassakmoose</t>
  </si>
  <si>
    <t>folklorecory</t>
  </si>
  <si>
    <t>geekgirldiva</t>
  </si>
  <si>
    <t>cognac62</t>
  </si>
  <si>
    <t>artskills</t>
  </si>
  <si>
    <t>vikingirishgod</t>
  </si>
  <si>
    <t>laurenscountych</t>
  </si>
  <si>
    <t>savion2k</t>
  </si>
  <si>
    <t>gregpacknett</t>
  </si>
  <si>
    <t>shoutfactory</t>
  </si>
  <si>
    <t>trinhnguynth18</t>
  </si>
  <si>
    <t>nrfnews</t>
  </si>
  <si>
    <t>scotcase</t>
  </si>
  <si>
    <t>trill_looch</t>
  </si>
  <si>
    <t>mmaryjanerae</t>
  </si>
  <si>
    <t>whoawaitwalmart</t>
  </si>
  <si>
    <t>bettafold</t>
  </si>
  <si>
    <t>autonomymodelx</t>
  </si>
  <si>
    <t>natesart95</t>
  </si>
  <si>
    <t>margaran2</t>
  </si>
  <si>
    <t>echopulse</t>
  </si>
  <si>
    <t>cptngusmccrae</t>
  </si>
  <si>
    <t>stephthegroupie</t>
  </si>
  <si>
    <t>fabulousheathen</t>
  </si>
  <si>
    <t>smtd0</t>
  </si>
  <si>
    <t>sururdarmadi</t>
  </si>
  <si>
    <t>coupleyfit</t>
  </si>
  <si>
    <t>wolfygangg</t>
  </si>
  <si>
    <t>mileylegndcyrus</t>
  </si>
  <si>
    <t>pattyplainjane</t>
  </si>
  <si>
    <t>cornichie</t>
  </si>
  <si>
    <t>illiano938</t>
  </si>
  <si>
    <t>d1v3dd</t>
  </si>
  <si>
    <t>earwaxcandy</t>
  </si>
  <si>
    <t>amonra_stbrown</t>
  </si>
  <si>
    <t>uscallday1</t>
  </si>
  <si>
    <t>wetnwildbeauty</t>
  </si>
  <si>
    <t>o_aidee</t>
  </si>
  <si>
    <t>samkj27</t>
  </si>
  <si>
    <t>jasonpyyc</t>
  </si>
  <si>
    <t>anabm9anabm10</t>
  </si>
  <si>
    <t>rk_theprolific1</t>
  </si>
  <si>
    <t>deanna_helene</t>
  </si>
  <si>
    <t>john_graham19</t>
  </si>
  <si>
    <t>1mmastatistic</t>
  </si>
  <si>
    <t>fanyuksze35355</t>
  </si>
  <si>
    <t>kurtmangum2</t>
  </si>
  <si>
    <t>haideriam5</t>
  </si>
  <si>
    <t>_mileywood</t>
  </si>
  <si>
    <t>angel13224</t>
  </si>
  <si>
    <t>morganjhudson</t>
  </si>
  <si>
    <t>ashgogate</t>
  </si>
  <si>
    <t>susej916777</t>
  </si>
  <si>
    <t>goodadvicepub</t>
  </si>
  <si>
    <t>beardboss20</t>
  </si>
  <si>
    <t>thecremeshop</t>
  </si>
  <si>
    <t>drhorrid</t>
  </si>
  <si>
    <t>frank_butterfly</t>
  </si>
  <si>
    <t>dargonluce</t>
  </si>
  <si>
    <t>ballengee_herb</t>
  </si>
  <si>
    <t>gus37884863</t>
  </si>
  <si>
    <t>queenbrealtor</t>
  </si>
  <si>
    <t>smilingtomiley</t>
  </si>
  <si>
    <t>clarkinfamous</t>
  </si>
  <si>
    <t>chaco661</t>
  </si>
  <si>
    <t>_sara_noh</t>
  </si>
  <si>
    <t>lsfaeth</t>
  </si>
  <si>
    <t>that1tman</t>
  </si>
  <si>
    <t>vgag77</t>
  </si>
  <si>
    <t>jewelnadua</t>
  </si>
  <si>
    <t>luisfgalicia</t>
  </si>
  <si>
    <t>xzr56</t>
  </si>
  <si>
    <t>imdanian</t>
  </si>
  <si>
    <t>schlottgsarah</t>
  </si>
  <si>
    <t>ellydelacruz22</t>
  </si>
  <si>
    <t>beautybybrittn1</t>
  </si>
  <si>
    <t>laura22123010</t>
  </si>
  <si>
    <t>lourdes61179889</t>
  </si>
  <si>
    <t>tiffcavanaugh</t>
  </si>
  <si>
    <t>cryptolung</t>
  </si>
  <si>
    <t>brenman8scott</t>
  </si>
  <si>
    <t>arteinoz</t>
  </si>
  <si>
    <t>ohdangitsnate</t>
  </si>
  <si>
    <t>ny_youth_sports</t>
  </si>
  <si>
    <t>explica_miley</t>
  </si>
  <si>
    <t>ghostpantsdaily</t>
  </si>
  <si>
    <t>justanother_ofc</t>
  </si>
  <si>
    <t>officialmillye</t>
  </si>
  <si>
    <t>ctrapawomen</t>
  </si>
  <si>
    <t>sourabhcjain</t>
  </si>
  <si>
    <t>thomasdbradley</t>
  </si>
  <si>
    <t>rhuntington3</t>
  </si>
  <si>
    <t>pickle_thebeast</t>
  </si>
  <si>
    <t>joyce5775linda</t>
  </si>
  <si>
    <t>noahbarsky</t>
  </si>
  <si>
    <t>cuttertweets</t>
  </si>
  <si>
    <t>banker____</t>
  </si>
  <si>
    <t>gyancita</t>
  </si>
  <si>
    <t>piramgoole</t>
  </si>
  <si>
    <t>boojiemonroe</t>
  </si>
  <si>
    <t>shioma_al3meeri</t>
  </si>
  <si>
    <t>alkulaib</t>
  </si>
  <si>
    <t>trylolli</t>
  </si>
  <si>
    <t>musiqcitywalls</t>
  </si>
  <si>
    <t>amazonmusic</t>
  </si>
  <si>
    <t>shea_jordan</t>
  </si>
  <si>
    <t>piscesmiley32</t>
  </si>
  <si>
    <t>twistedbruvver</t>
  </si>
  <si>
    <t>firestormfox1</t>
  </si>
  <si>
    <t>paxultek</t>
  </si>
  <si>
    <t>monkeyflop</t>
  </si>
  <si>
    <t>redstag92gaming</t>
  </si>
  <si>
    <t>mrcreager</t>
  </si>
  <si>
    <t>tmillinerbbn</t>
  </si>
  <si>
    <t>qam__yasharahla</t>
  </si>
  <si>
    <t>xhaytonn</t>
  </si>
  <si>
    <t>r_hernandez11</t>
  </si>
  <si>
    <t>mikebarnica11</t>
  </si>
  <si>
    <t>seleena6166</t>
  </si>
  <si>
    <t>murjanian</t>
  </si>
  <si>
    <t>danielshire05</t>
  </si>
  <si>
    <t>realshawncyrus</t>
  </si>
  <si>
    <t>blondenevadan</t>
  </si>
  <si>
    <t>arock52</t>
  </si>
  <si>
    <t>gobuxgal</t>
  </si>
  <si>
    <t>rlplnpeaceee</t>
  </si>
  <si>
    <t>ellieburlton</t>
  </si>
  <si>
    <t>sloangallimore</t>
  </si>
  <si>
    <t>kxvelz</t>
  </si>
  <si>
    <t>valhallabckgirl</t>
  </si>
  <si>
    <t>michael_napkins</t>
  </si>
  <si>
    <t>fothunniebee</t>
  </si>
  <si>
    <t>netuserms</t>
  </si>
  <si>
    <t>uninguest</t>
  </si>
  <si>
    <t>laura121953</t>
  </si>
  <si>
    <t>deadpeul</t>
  </si>
  <si>
    <t>optix_c</t>
  </si>
  <si>
    <t>lavishbarbie8</t>
  </si>
  <si>
    <t>eugivola</t>
  </si>
  <si>
    <t>yearlikethis</t>
  </si>
  <si>
    <t>metalashell26</t>
  </si>
  <si>
    <t>nanceeewin</t>
  </si>
  <si>
    <t>souravishwas96</t>
  </si>
  <si>
    <t>verifythis</t>
  </si>
  <si>
    <t>he1fineartist</t>
  </si>
  <si>
    <t>jkmileycyruss</t>
  </si>
  <si>
    <t>mysticalmaven</t>
  </si>
  <si>
    <t>pazagnya</t>
  </si>
  <si>
    <t>taneldanilo</t>
  </si>
  <si>
    <t>amity_alpha</t>
  </si>
  <si>
    <t>guycaveofficial</t>
  </si>
  <si>
    <t>alicesmonkey</t>
  </si>
  <si>
    <t>grimgamingtech</t>
  </si>
  <si>
    <t>shi4tech</t>
  </si>
  <si>
    <t>chboursin</t>
  </si>
  <si>
    <t>procurement2030</t>
  </si>
  <si>
    <t>veniceawong</t>
  </si>
  <si>
    <t>queenie4ever</t>
  </si>
  <si>
    <t>bestmoneyworld</t>
  </si>
  <si>
    <t>fittobe100120</t>
  </si>
  <si>
    <t>chris68946672</t>
  </si>
  <si>
    <t>benbowers5</t>
  </si>
  <si>
    <t>chef_bruce</t>
  </si>
  <si>
    <t>rdd91290</t>
  </si>
  <si>
    <t>evtolinsights</t>
  </si>
  <si>
    <t>nickjonas</t>
  </si>
  <si>
    <t>jobrosfanwis</t>
  </si>
  <si>
    <t>mohammed_saif70</t>
  </si>
  <si>
    <t>bandbajaateraho</t>
  </si>
  <si>
    <t>aapkiawaaz_rk</t>
  </si>
  <si>
    <t>aagupta88</t>
  </si>
  <si>
    <t>abdulwhelan</t>
  </si>
  <si>
    <t>ihateyou677</t>
  </si>
  <si>
    <t>indica_star1</t>
  </si>
  <si>
    <t>sunny33183498</t>
  </si>
  <si>
    <t>twitfbonlyallr1</t>
  </si>
  <si>
    <t>basstard78</t>
  </si>
  <si>
    <t>jlmb0b</t>
  </si>
  <si>
    <t>kicinski_md1</t>
  </si>
  <si>
    <t>honestl21630063</t>
  </si>
  <si>
    <t>yehtutsoe20</t>
  </si>
  <si>
    <t>madfangelo2020</t>
  </si>
  <si>
    <t>joeclark947</t>
  </si>
  <si>
    <t>gfuelenergy</t>
  </si>
  <si>
    <t>reminiscentxc</t>
  </si>
  <si>
    <t>dwntwndwn</t>
  </si>
  <si>
    <t>lrbitisnot</t>
  </si>
  <si>
    <t>rowdy8nation</t>
  </si>
  <si>
    <t>thatgirlhaylz</t>
  </si>
  <si>
    <t>whytmanga</t>
  </si>
  <si>
    <t>hinatauzumakipo</t>
  </si>
  <si>
    <t>niallhwalls</t>
  </si>
  <si>
    <t>derekkage</t>
  </si>
  <si>
    <t>butterflybby333</t>
  </si>
  <si>
    <t>rickandbubba</t>
  </si>
  <si>
    <t>totlinda2</t>
  </si>
  <si>
    <t>iainms</t>
  </si>
  <si>
    <t>jboogiebrown</t>
  </si>
  <si>
    <t>john_piper01</t>
  </si>
  <si>
    <t>rekuuwu</t>
  </si>
  <si>
    <t>ejayarrow</t>
  </si>
  <si>
    <t>fresh248_</t>
  </si>
  <si>
    <t>yourbestlifebiz</t>
  </si>
  <si>
    <t>ninjacart</t>
  </si>
  <si>
    <t>omgpodcast22</t>
  </si>
  <si>
    <t>karonwilson4</t>
  </si>
  <si>
    <t>dannielvb9</t>
  </si>
  <si>
    <t>spaceaur0ras</t>
  </si>
  <si>
    <t>jeremysilbert</t>
  </si>
  <si>
    <t>finksta</t>
  </si>
  <si>
    <t>jeyodin</t>
  </si>
  <si>
    <t>saturday_am</t>
  </si>
  <si>
    <t>sterlingcat1200</t>
  </si>
  <si>
    <t>bmlfowler</t>
  </si>
  <si>
    <t>imrajat1</t>
  </si>
  <si>
    <t>whodo66712820</t>
  </si>
  <si>
    <t>jenneccentric</t>
  </si>
  <si>
    <t>laurelworlds</t>
  </si>
  <si>
    <t>hinataswish</t>
  </si>
  <si>
    <t>richlandrams</t>
  </si>
  <si>
    <t>cxrioxs</t>
  </si>
  <si>
    <t>arielinvests</t>
  </si>
  <si>
    <t>dextercmason</t>
  </si>
  <si>
    <t>garzanil</t>
  </si>
  <si>
    <t>the_og_hipiap</t>
  </si>
  <si>
    <t>yuupisaidthat</t>
  </si>
  <si>
    <t>bluegone</t>
  </si>
  <si>
    <t>whas11hasch</t>
  </si>
  <si>
    <t>jayelucky</t>
  </si>
  <si>
    <t>angel_kidwell</t>
  </si>
  <si>
    <t>francbenphoto</t>
  </si>
  <si>
    <t>artiedraws</t>
  </si>
  <si>
    <t>realneustreet</t>
  </si>
  <si>
    <t>shreyashgupta55</t>
  </si>
  <si>
    <t>elinamaffeo</t>
  </si>
  <si>
    <t>onceatweeter</t>
  </si>
  <si>
    <t>nando052705</t>
  </si>
  <si>
    <t>juanteddoa</t>
  </si>
  <si>
    <t>yahairardz_</t>
  </si>
  <si>
    <t>thepennyhoarder</t>
  </si>
  <si>
    <t>nancykirkbride3</t>
  </si>
  <si>
    <t>uslynnukandrew</t>
  </si>
  <si>
    <t>vizio</t>
  </si>
  <si>
    <t>ghostlifestyle</t>
  </si>
  <si>
    <t>xrockytrejo</t>
  </si>
  <si>
    <t>_kalyan_k</t>
  </si>
  <si>
    <t>flipkart</t>
  </si>
  <si>
    <t>flipkartsupport</t>
  </si>
  <si>
    <t>walmartinc</t>
  </si>
  <si>
    <t>boeing</t>
  </si>
  <si>
    <t>amazon</t>
  </si>
  <si>
    <t>chevron</t>
  </si>
  <si>
    <t>amuse</t>
  </si>
  <si>
    <t>branmci</t>
  </si>
  <si>
    <t>gamestop</t>
  </si>
  <si>
    <t>daltoncroyle</t>
  </si>
  <si>
    <t>socialnature</t>
  </si>
  <si>
    <t>oceanshalo</t>
  </si>
  <si>
    <t>godroneup</t>
  </si>
  <si>
    <t>ravidugh</t>
  </si>
  <si>
    <t>gvalan</t>
  </si>
  <si>
    <t>damien_cabadi</t>
  </si>
  <si>
    <t>mvollmer1</t>
  </si>
  <si>
    <t>curieuxexplorer</t>
  </si>
  <si>
    <t>jblefevre60</t>
  </si>
  <si>
    <t>helene_wpli</t>
  </si>
  <si>
    <t>psb_dc</t>
  </si>
  <si>
    <t>efipm</t>
  </si>
  <si>
    <t>xbond49</t>
  </si>
  <si>
    <t>dis_nari</t>
  </si>
  <si>
    <t>nicochan33</t>
  </si>
  <si>
    <t>sallyeaves</t>
  </si>
  <si>
    <t>mikeflache</t>
  </si>
  <si>
    <t>estelamandela</t>
  </si>
  <si>
    <t>enilev</t>
  </si>
  <si>
    <t>frronconi</t>
  </si>
  <si>
    <t>khulood_almani</t>
  </si>
  <si>
    <t>evasmartai</t>
  </si>
  <si>
    <t>lyakovet</t>
  </si>
  <si>
    <t>ianljones98</t>
  </si>
  <si>
    <t>forbes</t>
  </si>
  <si>
    <t>askplaystation</t>
  </si>
  <si>
    <t>uzlak69</t>
  </si>
  <si>
    <t>sobeys</t>
  </si>
  <si>
    <t>yonifreedhoff</t>
  </si>
  <si>
    <t>loblawco</t>
  </si>
  <si>
    <t>pixiemoncards</t>
  </si>
  <si>
    <t>mannyg93yt</t>
  </si>
  <si>
    <t>clownworld_</t>
  </si>
  <si>
    <t>invsblefriends</t>
  </si>
  <si>
    <t>johnjohngildea</t>
  </si>
  <si>
    <t>profootballtalk</t>
  </si>
  <si>
    <t>wawa</t>
  </si>
  <si>
    <t>bigloud</t>
  </si>
  <si>
    <t>hardymusic</t>
  </si>
  <si>
    <t>keyjayandmax</t>
  </si>
  <si>
    <t>broncos</t>
  </si>
  <si>
    <t>seanpayton</t>
  </si>
  <si>
    <t>fanucamerica</t>
  </si>
  <si>
    <t>geekplusrobot</t>
  </si>
  <si>
    <t>samsclub</t>
  </si>
  <si>
    <t>btoddrichards</t>
  </si>
  <si>
    <t>kprc2amy</t>
  </si>
  <si>
    <t>xboxcanada</t>
  </si>
  <si>
    <t>wolfm</t>
  </si>
  <si>
    <t>wholefoods</t>
  </si>
  <si>
    <t>linkedin</t>
  </si>
  <si>
    <t>mercari_app</t>
  </si>
  <si>
    <t>wishshopping</t>
  </si>
  <si>
    <t>dhgate</t>
  </si>
  <si>
    <t>alibaba</t>
  </si>
  <si>
    <t>counterfeit_rpt</t>
  </si>
  <si>
    <t>ebay</t>
  </si>
  <si>
    <t>tedcruz</t>
  </si>
  <si>
    <t>bookshop_org</t>
  </si>
  <si>
    <t>indiebound</t>
  </si>
  <si>
    <t>familiustalk</t>
  </si>
  <si>
    <t>booksamillion</t>
  </si>
  <si>
    <t>target</t>
  </si>
  <si>
    <t>bnbuzz</t>
  </si>
  <si>
    <t>krogernews</t>
  </si>
  <si>
    <t>kroger_tech</t>
  </si>
  <si>
    <t>kroger</t>
  </si>
  <si>
    <t>pegbundymyhero</t>
  </si>
  <si>
    <t>jpmorgan</t>
  </si>
  <si>
    <t>truistnews</t>
  </si>
  <si>
    <t>synchrony</t>
  </si>
  <si>
    <t>salesforce</t>
  </si>
  <si>
    <t>nuveeninv</t>
  </si>
  <si>
    <t>nexteraenergy</t>
  </si>
  <si>
    <t>merck</t>
  </si>
  <si>
    <t>lowes</t>
  </si>
  <si>
    <t>ballmergroup</t>
  </si>
  <si>
    <t>amgen</t>
  </si>
  <si>
    <t>healthcare_abc</t>
  </si>
  <si>
    <t>sproutsfm</t>
  </si>
  <si>
    <t>albertsons</t>
  </si>
  <si>
    <t>walmarthelp</t>
  </si>
  <si>
    <t>walmartcanada</t>
  </si>
  <si>
    <t>jagograhakjago</t>
  </si>
  <si>
    <t>walmartaction</t>
  </si>
  <si>
    <t>walmartindia</t>
  </si>
  <si>
    <t>walmartworld</t>
  </si>
  <si>
    <t>emrysestilo</t>
  </si>
  <si>
    <t>ra_witya</t>
  </si>
  <si>
    <t>berliyanr</t>
  </si>
  <si>
    <t>loblawson</t>
  </si>
  <si>
    <t>jeffforbes8</t>
  </si>
  <si>
    <t>squishmallows</t>
  </si>
  <si>
    <t>gnclivewell</t>
  </si>
  <si>
    <t>dhsgov</t>
  </si>
  <si>
    <t>penn</t>
  </si>
  <si>
    <t>gucci</t>
  </si>
  <si>
    <t>apple</t>
  </si>
  <si>
    <t>bestbuy</t>
  </si>
  <si>
    <t>bestbuy_deals</t>
  </si>
  <si>
    <t>targetdeals</t>
  </si>
  <si>
    <t>robbyrd604</t>
  </si>
  <si>
    <t>silly_celi</t>
  </si>
  <si>
    <t>bp_america</t>
  </si>
  <si>
    <t>exxonmobil</t>
  </si>
  <si>
    <t>volkwagenkenya</t>
  </si>
  <si>
    <t>chinapetroleumc</t>
  </si>
  <si>
    <t>bayougal86</t>
  </si>
  <si>
    <t>melanie4kids</t>
  </si>
  <si>
    <t>jv5_guy</t>
  </si>
  <si>
    <t>thenamespsi</t>
  </si>
  <si>
    <t>mileycyrus</t>
  </si>
  <si>
    <t>boatpeoplesos</t>
  </si>
  <si>
    <t>rosemeadchamber</t>
  </si>
  <si>
    <t>fcsn</t>
  </si>
  <si>
    <t>ottonomy_io</t>
  </si>
  <si>
    <t>obsessvr</t>
  </si>
  <si>
    <t>tobi</t>
  </si>
  <si>
    <t>volumental</t>
  </si>
  <si>
    <t>teleport__app</t>
  </si>
  <si>
    <t>dlvermeer</t>
  </si>
  <si>
    <t>autostoresystem</t>
  </si>
  <si>
    <t>shopify</t>
  </si>
  <si>
    <t>heb</t>
  </si>
  <si>
    <t>aifiinc</t>
  </si>
  <si>
    <t>zabkapolska</t>
  </si>
  <si>
    <t>trigoretail</t>
  </si>
  <si>
    <t>wakefernfood</t>
  </si>
  <si>
    <t>elonmusk</t>
  </si>
  <si>
    <t>twitter</t>
  </si>
  <si>
    <t>netflix</t>
  </si>
  <si>
    <t>krqe</t>
  </si>
  <si>
    <t>koat7news</t>
  </si>
  <si>
    <t>abqjournal</t>
  </si>
  <si>
    <t>abqnews</t>
  </si>
  <si>
    <t>junglejimsmrkt</t>
  </si>
  <si>
    <t>offlimits</t>
  </si>
  <si>
    <t>hearingassistus</t>
  </si>
  <si>
    <t>welcome2iceland</t>
  </si>
  <si>
    <t>__makeupbysel__</t>
  </si>
  <si>
    <t>todayshow</t>
  </si>
  <si>
    <t>macys</t>
  </si>
  <si>
    <t>joeyfromphilly</t>
  </si>
  <si>
    <t>statefarm</t>
  </si>
  <si>
    <t>u2</t>
  </si>
  <si>
    <t>funko</t>
  </si>
  <si>
    <t>cvspharmacy</t>
  </si>
  <si>
    <t>riteaid</t>
  </si>
  <si>
    <t>walgreens</t>
  </si>
  <si>
    <t>ultabeauty</t>
  </si>
  <si>
    <t>sdmctech</t>
  </si>
  <si>
    <t>androidtv_rumor</t>
  </si>
  <si>
    <t>mileyupdates</t>
  </si>
  <si>
    <t>carolinariceusa</t>
  </si>
  <si>
    <t>_kmisha_</t>
  </si>
  <si>
    <t>cybelesfte</t>
  </si>
  <si>
    <t>preterniadotcom</t>
  </si>
  <si>
    <t>pft_live</t>
  </si>
  <si>
    <t>bourgeoisalien</t>
  </si>
  <si>
    <t>scisocialist</t>
  </si>
  <si>
    <t>sid_rooney</t>
  </si>
  <si>
    <t>openstreetmap</t>
  </si>
  <si>
    <t>buzzfeedindia</t>
  </si>
  <si>
    <t>codyrhodes</t>
  </si>
  <si>
    <t>verizon</t>
  </si>
  <si>
    <t>chevrolet</t>
  </si>
  <si>
    <t>proctergamble</t>
  </si>
  <si>
    <t>malimusic</t>
  </si>
  <si>
    <t>marcmorial</t>
  </si>
  <si>
    <t>fedex</t>
  </si>
  <si>
    <t>xbox</t>
  </si>
  <si>
    <t>ufcw</t>
  </si>
  <si>
    <t>marc_perrone</t>
  </si>
  <si>
    <t>lj_era8</t>
  </si>
  <si>
    <t>cnbc</t>
  </si>
  <si>
    <t>melissa_repko</t>
  </si>
  <si>
    <t>familymobile</t>
  </si>
  <si>
    <t>dailyloud</t>
  </si>
  <si>
    <t>nike</t>
  </si>
  <si>
    <t>michaelnatelli</t>
  </si>
  <si>
    <t>iheartradio</t>
  </si>
  <si>
    <t>nickelodeon</t>
  </si>
  <si>
    <t>vans</t>
  </si>
  <si>
    <t>australianopen</t>
  </si>
  <si>
    <t>marioandretti</t>
  </si>
  <si>
    <t>originalfunko</t>
  </si>
  <si>
    <t>hotstreek718</t>
  </si>
  <si>
    <t>rhino_records</t>
  </si>
  <si>
    <t>madonna</t>
  </si>
  <si>
    <t>sternfbsuperfan</t>
  </si>
  <si>
    <t>sternshow</t>
  </si>
  <si>
    <t>howardstern</t>
  </si>
  <si>
    <t>youtube</t>
  </si>
  <si>
    <t>piercetheveil</t>
  </si>
  <si>
    <t>doncosmetics</t>
  </si>
  <si>
    <t>foxnews</t>
  </si>
  <si>
    <t>veilowo</t>
  </si>
  <si>
    <t>sarahhuckabee</t>
  </si>
  <si>
    <t>gobankingrates</t>
  </si>
  <si>
    <t>abebooks</t>
  </si>
  <si>
    <t>smashwords</t>
  </si>
  <si>
    <t>applebooks</t>
  </si>
  <si>
    <t>chaptersindigo</t>
  </si>
  <si>
    <t>amazonkindle</t>
  </si>
  <si>
    <t>booktopia</t>
  </si>
  <si>
    <t>bookdepository</t>
  </si>
  <si>
    <t>waterstones</t>
  </si>
  <si>
    <t>frysfoodstores</t>
  </si>
  <si>
    <t>clorox</t>
  </si>
  <si>
    <t>shawnjohnson</t>
  </si>
  <si>
    <t>wasteconnection</t>
  </si>
  <si>
    <t>bars</t>
  </si>
  <si>
    <t>ezgo</t>
  </si>
  <si>
    <t>bwwakron</t>
  </si>
  <si>
    <t>cintascorp</t>
  </si>
  <si>
    <t>goodyear</t>
  </si>
  <si>
    <t>trugreen</t>
  </si>
  <si>
    <t>robertirvine</t>
  </si>
  <si>
    <t>tomlin_sense</t>
  </si>
  <si>
    <t>realdonaldtrump</t>
  </si>
  <si>
    <t>hybeofficialtwt</t>
  </si>
  <si>
    <t>bangsupremacy</t>
  </si>
  <si>
    <t>abcsharktank</t>
  </si>
  <si>
    <t>ucla_alumni</t>
  </si>
  <si>
    <t>wellsfargo</t>
  </si>
  <si>
    <t>poshmarksupport</t>
  </si>
  <si>
    <t>poshmarkapp</t>
  </si>
  <si>
    <t>lizcrokin</t>
  </si>
  <si>
    <t>linkneal</t>
  </si>
  <si>
    <t>rhettmc</t>
  </si>
  <si>
    <t>mythical</t>
  </si>
  <si>
    <t>northupwilma</t>
  </si>
  <si>
    <t>mspattipatti</t>
  </si>
  <si>
    <t>smashbox</t>
  </si>
  <si>
    <t>shelleyblodgett</t>
  </si>
  <si>
    <t>chickfila</t>
  </si>
  <si>
    <t>bigdickbarclay</t>
  </si>
  <si>
    <t>nra</t>
  </si>
  <si>
    <t>mls</t>
  </si>
  <si>
    <t>managertactical</t>
  </si>
  <si>
    <t>totalwine</t>
  </si>
  <si>
    <t>foodlion</t>
  </si>
  <si>
    <t>repmtg</t>
  </si>
  <si>
    <t>paulous1975</t>
  </si>
  <si>
    <t>gammalabs</t>
  </si>
  <si>
    <t>publix</t>
  </si>
  <si>
    <t>pokemon</t>
  </si>
  <si>
    <t>ashkickerusa</t>
  </si>
  <si>
    <t>barnesandnoble</t>
  </si>
  <si>
    <t>aldiuk</t>
  </si>
  <si>
    <t>elizapasill</t>
  </si>
  <si>
    <t>mlerma78</t>
  </si>
  <si>
    <t>ctw_library</t>
  </si>
  <si>
    <t>gabrielle_clint</t>
  </si>
  <si>
    <t>tullius_john</t>
  </si>
  <si>
    <t>tristecoach</t>
  </si>
  <si>
    <t>bigloudrock</t>
  </si>
  <si>
    <t>nbcnewyork</t>
  </si>
  <si>
    <t>dbanksy</t>
  </si>
  <si>
    <t>usnavy</t>
  </si>
  <si>
    <t>vickypjward</t>
  </si>
  <si>
    <t>androidauth</t>
  </si>
  <si>
    <t>khouryrt</t>
  </si>
  <si>
    <t>pfffbeep</t>
  </si>
  <si>
    <t>cia</t>
  </si>
  <si>
    <t>plkpauifmtp0zvg</t>
  </si>
  <si>
    <t>djnontario</t>
  </si>
  <si>
    <t>mikhannahsmom</t>
  </si>
  <si>
    <t>tracfone</t>
  </si>
  <si>
    <t>bionicbeauty</t>
  </si>
  <si>
    <t>samsclubhelp</t>
  </si>
  <si>
    <t>zanfelpoisonivy</t>
  </si>
  <si>
    <t>abc</t>
  </si>
  <si>
    <t>planetmoney</t>
  </si>
  <si>
    <t>chase</t>
  </si>
  <si>
    <t>mrt</t>
  </si>
  <si>
    <t>hulkhogan</t>
  </si>
  <si>
    <t>mdmteddibiase</t>
  </si>
  <si>
    <t>biancabelairwwe</t>
  </si>
  <si>
    <t>rhearipley_wwe</t>
  </si>
  <si>
    <t>majorwfpod</t>
  </si>
  <si>
    <t>davoice</t>
  </si>
  <si>
    <t>chilissupport</t>
  </si>
  <si>
    <t>kimkomando</t>
  </si>
  <si>
    <t>hasbro</t>
  </si>
  <si>
    <t>ambermiller86</t>
  </si>
  <si>
    <t>davidhogg111</t>
  </si>
  <si>
    <t>paramountplus</t>
  </si>
  <si>
    <t>remasculate</t>
  </si>
  <si>
    <t>meganmreaves</t>
  </si>
  <si>
    <t>laurens55high</t>
  </si>
  <si>
    <t>aapd</t>
  </si>
  <si>
    <t>restorationhard</t>
  </si>
  <si>
    <t>wincofoods</t>
  </si>
  <si>
    <t>menards</t>
  </si>
  <si>
    <t>hobbylobby</t>
  </si>
  <si>
    <t>nikiasmolina</t>
  </si>
  <si>
    <t>mrclucien</t>
  </si>
  <si>
    <t>jameszaky</t>
  </si>
  <si>
    <t>homedepot</t>
  </si>
  <si>
    <t>_bilaire</t>
  </si>
  <si>
    <t>roblox</t>
  </si>
  <si>
    <t>bryandanielson</t>
  </si>
  <si>
    <t>aew</t>
  </si>
  <si>
    <t>mayanprofit</t>
  </si>
  <si>
    <t>drpepper</t>
  </si>
  <si>
    <t>headshoulders</t>
  </si>
  <si>
    <t>pickett_shaun</t>
  </si>
  <si>
    <t>reallunchables</t>
  </si>
  <si>
    <t>smartsweets</t>
  </si>
  <si>
    <t>toddrokitain</t>
  </si>
  <si>
    <t>ragekage57</t>
  </si>
  <si>
    <t>clevelandkitchn</t>
  </si>
  <si>
    <t>rohitksingh</t>
  </si>
  <si>
    <t>mygovindia</t>
  </si>
  <si>
    <t>pib_india</t>
  </si>
  <si>
    <t>sadhviniranjan</t>
  </si>
  <si>
    <t>ashwinikchoubey</t>
  </si>
  <si>
    <t>piyushgoyal</t>
  </si>
  <si>
    <t>piyushgoyaloffc</t>
  </si>
  <si>
    <t>medium</t>
  </si>
  <si>
    <t>civicscience</t>
  </si>
  <si>
    <t>lastofushbo</t>
  </si>
  <si>
    <t>kyleclark</t>
  </si>
  <si>
    <t>montcoexec</t>
  </si>
  <si>
    <t>manhattanda</t>
  </si>
  <si>
    <t>mantarnyc</t>
  </si>
  <si>
    <t>andi0304</t>
  </si>
  <si>
    <t>makeuprvltn</t>
  </si>
  <si>
    <t>urbanoutfitters</t>
  </si>
  <si>
    <t>lolgeselle</t>
  </si>
  <si>
    <t>southwestair</t>
  </si>
  <si>
    <t>jetblue</t>
  </si>
  <si>
    <t>delta</t>
  </si>
  <si>
    <t>ralphsfamous</t>
  </si>
  <si>
    <t>drinkbodyarmor</t>
  </si>
  <si>
    <t>battle</t>
  </si>
  <si>
    <t>cocacola</t>
  </si>
  <si>
    <t>aarp</t>
  </si>
  <si>
    <t>att</t>
  </si>
  <si>
    <t>adp</t>
  </si>
  <si>
    <t>esteelauder</t>
  </si>
  <si>
    <t>deloitte</t>
  </si>
  <si>
    <t>_sachinbansal</t>
  </si>
  <si>
    <t>nbcdfw</t>
  </si>
  <si>
    <t>nbcdfwweather</t>
  </si>
  <si>
    <t>douglas_laster</t>
  </si>
  <si>
    <t>yuhelenyu</t>
  </si>
  <si>
    <t>aldoceccarelli</t>
  </si>
  <si>
    <t>lakers</t>
  </si>
  <si>
    <t>vandymbb</t>
  </si>
  <si>
    <t>utknoxville</t>
  </si>
  <si>
    <t>nissan</t>
  </si>
  <si>
    <t>secnetwork</t>
  </si>
  <si>
    <t>entearth</t>
  </si>
  <si>
    <t>oldelpaso</t>
  </si>
  <si>
    <t>generalmills</t>
  </si>
  <si>
    <t>bongbongmarcos</t>
  </si>
  <si>
    <t>mrbeast</t>
  </si>
  <si>
    <t>indembmexico</t>
  </si>
  <si>
    <t>wendys</t>
  </si>
  <si>
    <t>fbi</t>
  </si>
  <si>
    <t>twittersupport</t>
  </si>
  <si>
    <t>sweden</t>
  </si>
  <si>
    <t>ukraine</t>
  </si>
  <si>
    <t>mcdonalds</t>
  </si>
  <si>
    <t>ninaturner</t>
  </si>
  <si>
    <t>arbys</t>
  </si>
  <si>
    <t>samaggarwal_</t>
  </si>
  <si>
    <t>potus</t>
  </si>
  <si>
    <t>nordstrom</t>
  </si>
  <si>
    <t>costco</t>
  </si>
  <si>
    <t>bugattigrp</t>
  </si>
  <si>
    <t>leiane1</t>
  </si>
  <si>
    <t>centurylink</t>
  </si>
  <si>
    <t>tmobile</t>
  </si>
  <si>
    <t>janicekapner</t>
  </si>
  <si>
    <t>sozie</t>
  </si>
  <si>
    <t>giftofthegivers</t>
  </si>
  <si>
    <t>cashapp</t>
  </si>
  <si>
    <t>giftcards_com</t>
  </si>
  <si>
    <t>bstokley14</t>
  </si>
  <si>
    <t>jazwares</t>
  </si>
  <si>
    <t>robspopcorn</t>
  </si>
  <si>
    <t>kellyclarkson</t>
  </si>
  <si>
    <t>rashtrapatibhvn</t>
  </si>
  <si>
    <t>barcouncilindia</t>
  </si>
  <si>
    <t>pmoindia</t>
  </si>
  <si>
    <t>flipkar93321588</t>
  </si>
  <si>
    <t>indianews</t>
  </si>
  <si>
    <t>who</t>
  </si>
  <si>
    <t>nmc_ind</t>
  </si>
  <si>
    <t>aajtak</t>
  </si>
  <si>
    <t>ndtv</t>
  </si>
  <si>
    <t>cci_india</t>
  </si>
  <si>
    <t>flipkarthealth</t>
  </si>
  <si>
    <t>prashantjhaveri</t>
  </si>
  <si>
    <t>sonukumar_21</t>
  </si>
  <si>
    <t>whitehouse</t>
  </si>
  <si>
    <t>its_the_dr</t>
  </si>
  <si>
    <t>usmarshalshq</t>
  </si>
  <si>
    <t>business</t>
  </si>
  <si>
    <t>businessinsider</t>
  </si>
  <si>
    <t>fastcompany</t>
  </si>
  <si>
    <t>entrepreneur</t>
  </si>
  <si>
    <t>inc</t>
  </si>
  <si>
    <t>alibabagroup</t>
  </si>
  <si>
    <t>aliexpress_en</t>
  </si>
  <si>
    <t>girlscoutsin</t>
  </si>
  <si>
    <t>wthitv</t>
  </si>
  <si>
    <t>doordash</t>
  </si>
  <si>
    <t>rightstufanime</t>
  </si>
  <si>
    <t>whsmith</t>
  </si>
  <si>
    <t>academy</t>
  </si>
  <si>
    <t>dickssportingss</t>
  </si>
  <si>
    <t>cabelas</t>
  </si>
  <si>
    <t>bassproshops</t>
  </si>
  <si>
    <t>moultrie</t>
  </si>
  <si>
    <t>speakermccarthy</t>
  </si>
  <si>
    <t>awilddoggo_1</t>
  </si>
  <si>
    <t>volzuloof_</t>
  </si>
  <si>
    <t>google</t>
  </si>
  <si>
    <t>stripe</t>
  </si>
  <si>
    <t>mcuban</t>
  </si>
  <si>
    <t>shopifreaks</t>
  </si>
  <si>
    <t>raghugnandan</t>
  </si>
  <si>
    <t>accel_india</t>
  </si>
  <si>
    <t>subratamitra</t>
  </si>
  <si>
    <t>infosys</t>
  </si>
  <si>
    <t>nandannilekani</t>
  </si>
  <si>
    <t>confluentinc</t>
  </si>
  <si>
    <t>moms4libloudoun</t>
  </si>
  <si>
    <t>virginia10gop</t>
  </si>
  <si>
    <t>suv_gop</t>
  </si>
  <si>
    <t>pactstopcrt</t>
  </si>
  <si>
    <t>speakergilbert</t>
  </si>
  <si>
    <t>richlandcinemas</t>
  </si>
  <si>
    <t>starbucks</t>
  </si>
  <si>
    <t>sheetz</t>
  </si>
  <si>
    <t>pbrosjohnstown</t>
  </si>
  <si>
    <t>814games</t>
  </si>
  <si>
    <t>allieduniversal</t>
  </si>
  <si>
    <t>juddlegum</t>
  </si>
  <si>
    <t>wendyc78757</t>
  </si>
  <si>
    <t>rocketprincipal</t>
  </si>
  <si>
    <t>shelbycountysch</t>
  </si>
  <si>
    <t>nocow</t>
  </si>
  <si>
    <t>touchtonegay</t>
  </si>
  <si>
    <t>Replies to</t>
  </si>
  <si>
    <t>Mentions</t>
  </si>
  <si>
    <t>Retweet</t>
  </si>
  <si>
    <t>MentionsInRetweet</t>
  </si>
  <si>
    <t>@Walmart @touchtonegay why didn't u tag me walmart i love u</t>
  </si>
  <si>
    <t>DO NOT buy them expensive ass @VIZIO TVs from @Walmart !!! I repeat do not!!!</t>
  </si>
  <si>
    <t>@xrockytrejo @GhostLifestyle @Walmart They should make ghost singles for like a bottled of water.</t>
  </si>
  <si>
    <t>@flipkartsupport Why are u cheating customers by making fraudulent promises through #Jeeves complete TV Protection Plan; 2 weeks passed since I registered smart tv complaint with Jeeves &amp;amp; the problem has yet to be resolved. 
@Flipkart #flipkart #walmart @Walmart @_Kalyan_K</t>
  </si>
  <si>
    <t>That moment when you want to give away 100 Walmart+ memberships for every save but also want your team to win. 😱 🪦</t>
  </si>
  <si>
    <t>@Walmart @WalmartInc Walmart order your</t>
  </si>
  <si>
    <t>@Chevron @amazon @Boeing @Walmart SERIOUSLY, you can’t be this stupid, can you? https://t.co/OXPLLdevzv</t>
  </si>
  <si>
    <t>@amuse Just another day at your friendly neighborhood @Walmart !  Someone grab me a mop and bucket please! https://t.co/V65E1d8eCU</t>
  </si>
  <si>
    <t>@BranMci @GameStop Facing this problem right now, actually. But with @Walmart because it was the only place that had them "in stock" at the time I got off work. So it's apparently not just gamestop pulling this BS. My "preorder" only just canceled today. I was hoping to play it for my bday :/</t>
  </si>
  <si>
    <t>@valhallabckgirl @Walmart THE SECOND TIRE PIC IM WEAK</t>
  </si>
  <si>
    <t>@daltoncroyle @Walmart Yikes. I will never libe down a two decades old inquiry along those lines that took me by surprise. 
Thankfully without any real consequences.</t>
  </si>
  <si>
    <t>These Organic Dressings are my new fav! Read my full review on @oceanshalo products on @socialnature to learn more #GotItFree available at @walmart https://t.co/qraC2lUVUn</t>
  </si>
  <si>
    <t>Walmart said that with 4,700 stores spread across 90% of the US population, it can now offer “drone delivery at scale” because 90% of the US population lives near at least one of its stores. @walmart @godroneup #drone #drones https://t.co/Pbamm9SRNr</t>
  </si>
  <si>
    <t>.@Walmart #Recession-Proofs #Retail Reign With 3 Rare Moves
https://t.co/jkckgJ5gdo By @NoahBarsky 
v/ @BetaMoroney 
#RetailTech #DigitalTransformation 
@Xbond49 @efipm @psb_dc @helene_wpli @jblefevre60 @CurieuxExplorer @mvollmer1 @Damien_CABADI @chboursin @gvalan @ravidugh https://t.co/Mv5ZbLEsQ1</t>
  </si>
  <si>
    <t>@Walmart were the refund?
Your company tells refund done in 25jan the bank tell don't know what money.
We're is my money?</t>
  </si>
  <si>
    <t>@Dis_Nari @Walmart That’s awful.  I tried the number, gave me updates for Christmas Eve/day hours, and hung up. Called the store, could only leave a voicemail. I get great service at the one in Hamlin area but crap service at the one 5 min from me.</t>
  </si>
  <si>
    <t>@ponzishorter @Walmart Think of the PnL we can do on $EGG</t>
  </si>
  <si>
    <t>@Degen_Jordan @Walmart No funding rates as well. gud</t>
  </si>
  <si>
    <t>@Walmart Recession-Proofs Retail Reign With 3 Rare Moves - @NoahBarsky v. @Forbes 
@IanLJones98 @Shi4Tech @lyakovet @EvaSmartAI @Khulood_Almani @FrRonconi @sonu_monika @enilev @EstelaMandela @mikeflache @sallyeaves @Nicochan33 #DigitalTransformation 
https://t.co/3bmA3IwjL7 https://t.co/TbuEUj2keY</t>
  </si>
  <si>
    <t>@UZlAK69 @Walmart @AskPlayStation Idk did you use self checkout? That happened to me one time with a Google Play card</t>
  </si>
  <si>
    <t>#MondayMotivation 💪 Suresh Kumar
Suresh Kumar, @Walmart's global chief technology officer, is bullish on #crypto as a means of payment. 🔥🔥 https://t.co/r1PWeU2iIo</t>
  </si>
  <si>
    <t>@loblawco @YoniFreedhoff Unfortunately for @loblawco, we can see their profits. They can try and lie all they want. The same goes for @sobeys and @Walmart 
The farmers sure as hell aren’t making more.</t>
  </si>
  <si>
    <t>@jeonsleeve That's awesome, Sunshine! 😋 👍</t>
  </si>
  <si>
    <t>@Walmart i love you almost as much as i love target</t>
  </si>
  <si>
    <t>@MannyG93YT @PixiemonCards @Walmart If I had to do the job of checking myself out (I'm not an anti-self-checker; love that it exists) then I also did the job of checking my receipt and if you need it badly enough it'll be in the trash can up front but I'm not breaking stride</t>
  </si>
  <si>
    <t>@Walmart changed you could  count on being able to contact their customer service when you have a problem you  could also be able to get free shipping on orders over $35 no longer, now you have to be a member. It stinks!</t>
  </si>
  <si>
    <t>If Charlene doesn’t get a raise, @Walmart, we ride at dawn https://t.co/Vje3OdVM8b</t>
  </si>
  <si>
    <t>Mark your 🗓!! Dec 8 @ 4:30P ET 🙌
Going LIVE for the holidays w/ @Walmart + @TalkShopLive. Join to cook, holiday shop + get a signed copy of #ThisMustBeThePlace!
See ya there 👉 https://t.co/r0vbEoL3Jq https://t.co/cUCR8VCpDP</t>
  </si>
  <si>
    <t>@ClownWorld_ Free advertising for @Walmart  they love it…</t>
  </si>
  <si>
    <t>Even after multiple complaints &amp;amp; 10+ returns raised for wrong product @Flipkart delivered, delivery team still cancelling without coming to my house with a lie reason "I want to keep product", @flipkartsupport has not taken any action against these goons till date @Walmart</t>
  </si>
  <si>
    <t>Dropping alpha at your local @Walmart @InvsbleFriends https://t.co/J3FvSuZi2p</t>
  </si>
  <si>
    <t>@ALWearyDad Anything is pawsible, Greg! 🐈</t>
  </si>
  <si>
    <t>Stay the course, @Walmart, avoid abortion controversy. https://t.co/5ELmNPQYpE</t>
  </si>
  <si>
    <t>@ClownWorld_ @JohnJohngildea Why always @Walmart? 🤷🏻‍♂️</t>
  </si>
  <si>
    <t>getting wild in wally world @Walmart! https://t.co/CCY1nt7uYI</t>
  </si>
  <si>
    <t>Charlene better be the new spokesperson for @Walmart https://t.co/ZtIhuqmceV</t>
  </si>
  <si>
    <t>This is actually the way people live. I made the mistake of going to @Walmart in mountain view, and had to do this. https://t.co/7tybdhHhXG</t>
  </si>
  <si>
    <t>@ProFootballTalk Thank you @Walmart shoppers</t>
  </si>
  <si>
    <t>@Walmart iPhone 13 Pro
Step 1: Click The Link Below
Step 2: Complete A Simple Answer question
Click Button and Win your iPhone 13 Pro
This offer is for United Kingdom mobile users only
Click Now &amp;gt;&amp;gt; https://t.co/E0rpAHxErl https://t.co/qSvqNmkjFb</t>
  </si>
  <si>
    <t>@Walmart isn’t too worried about theft, or we’d have cashiers. 🙄</t>
  </si>
  <si>
    <t>These union workers collect and process trash for the city of Camden, as well as Haddonfield and Winslow, NJ, not to mention numerous private businesses in the area including @Wawa and @Walmart. It’s unclear who will pick up the trash at those sites while they’re on strike https://t.co/BHqhe1M0P1</t>
  </si>
  <si>
    <t>@RossDiMattei @Wawa @Walmart Mostly likely non union scab workers</t>
  </si>
  <si>
    <t>@Walmart @WalmartInc 
Can you look into a function for your app that would query all Health Savings Account (HSA) eligible purchases and allow a receipt for those to be exported?</t>
  </si>
  <si>
    <t>Why is not anyone talking much about all the people complaining about not getting their Hardy Exclusive pre-order vinyl we paid for back in December @HardyMusic @BigLoud @Walmart</t>
  </si>
  <si>
    <t>Always at @Walmart  😂🤣 https://t.co/oS530LS7cx</t>
  </si>
  <si>
    <t>@KeyJayandMax that @Walmart money is different. That’s why @SeanPayton is the @Broncos HC</t>
  </si>
  <si>
    <t>Mujin US is hosting a speaking panel called “You Are Ready for Robots in the Warehouse” with guests from @Walmart , @geekplusrobot, and @FANUCAmerica.
Visit the Mujin booth at #Manifest!
https://t.co/lMcmCCaNbF https://t.co/eY5i1uVsSU</t>
  </si>
  <si>
    <t>Edible Garden Greenthumb™ #Agtech Solution Drives #Sustainability Impact for @Walmart Project Gigaton. (Business Insider)  https://t.co/nh5Il7cNrj https://t.co/FGGnIiKw1N</t>
  </si>
  <si>
    <t>@SamsClub @Walmart @WalmartInc  please please please be safe and careful cause we're not prepared for this weather in Bell County. https://t.co/mfvLEb1tub</t>
  </si>
  <si>
    <t>Does anyone in “core snowboarding” remember when @btoddrichards sold Omatic Snowboards at @Walmart 😭😭😭</t>
  </si>
  <si>
    <t>@KPRC2Amy Saw your "price check with the app" report. I had the same experience with @Walmart. They told me if I wanted to buy it online for the low price &amp;amp; wait 2 hrs I could pick it up. It's bc they are pushing a "plus" version on the app for a fee like bed, bath &amp;amp; beyond (1/2)</t>
  </si>
  <si>
    <t>@KPRC2Amy (2/2) So basically, @walmart wants the customer to price chk their own items, check themselves out and bag the items themselves. So... What do the employees do? Shouldn't Walmart be paying the customer?</t>
  </si>
  <si>
    <t>Enter the New Gods universe where Chinese mythology is reimagined in a wildly original, steampunk-inspired world. NEW GODS: YANG JIAN is a visual feast from the creators of WHITE SNAKE. 
Pre-order at @Walmart, initial run includes a limited-edition poster! https://t.co/HfY2zIIf0L https://t.co/FGKSNVNZqx</t>
  </si>
  <si>
    <t>@Walmart PEOPLE NEED TO STOP SHOPPING AT ATORES THAT ARE TAKING JOBS AND USING A.I TO REPLACE HUMANS. BOYCOTT WALMART GO TO NON ESG COMPANIES. USE YOUR LOCAL MOM AND POP STORE AND GROW YOUR OWN FOOD. THESE COMPANIES ARE WORKING FOR WORLD ECONOMIC FORUM.</t>
  </si>
  <si>
    <t>💚Happy Kwanzaa!❤
               🔥
🔥🔥🔥⬛🔥🔥🔥
🟩🟩🟩⬛🟥🟥🟥
🟩🟩🟩⬛🟥🟥🟥
🟩🟩🟩⬛🟥🟥🟥
🟩🟩🟩⬛🟥🟥🟥
            ⬛⬛
            ⬛⬛
       ⬛⬛⬛⬛</t>
  </si>
  <si>
    <t>Need summer clothing?  February 10 Come to the Lebanon Corp and make selections--for FREE!  Walmart has donated PALLETS of clothing to be distributed FREE to the Community . All Sizes. Not available for Re-sale  Thank you @Walmart</t>
  </si>
  <si>
    <t>@Walmart So since the instacart driver made off with my groceries and i already talked to customer service... when the hell is my order going to update so I can get my money back? I've got no groceries for the month and I'm out 500$</t>
  </si>
  <si>
    <t>@Walmart That was my groceries for the month @Walmart now i cant afford more... tick tock, getting hungry https://t.co/sB8InPcZJY</t>
  </si>
  <si>
    <t>@Walmart where's my food walmart? https://t.co/Sf6MKVXT07</t>
  </si>
  <si>
    <t>@wolfm @XboxCanada Hope @Walmart gets them in. Was about to buy a new controller with some gift cards.</t>
  </si>
  <si>
    <t>@WholeFoods ask suppliers to lower prices, the retailer bring prices down on packaged groceries as inflation moderates. 
I like shopping at @Walmart 🙋🏽‍♂️</t>
  </si>
  <si>
    <t>@Walmart  executive vice president and general counsel Karen Roberts said in a @LinkedIn  post that she’s leaving the #retail giant after 27 years.
#lawtwitter #retailers #lawyers #lawyer 
https://t.co/iIgd9jmU1W</t>
  </si>
  <si>
    <t>@Counterfeit_Rpt @amazon @Walmart @eBay @Alibaba @dhgate @WishShopping @mercari_app Hi i will a little treat for you.If you want to shop
with the Alibaba  product ,so still now download
the Alibaba app. Get more info:https://t.co/cgBWSVKg2h</t>
  </si>
  <si>
    <t>@tedcruz @Walmart Ted Cruz wants to cancel you!</t>
  </si>
  <si>
    <t>Y’all Be Stopping For Them Old People @Walmart Who Be Tryna See If You Stealing!?</t>
  </si>
  <si>
    <t>One year anniversary!
ROOKIE FATHER!
90+ solid reviews later, the book remains on sale @: @BNBuzz @amazon @Walmart @Target @familiustalk @indiebound @booksamillion @Bookshop_Org 
Thx for all the support!
https://t.co/Fz1MourZh5
#fatherhood #parentingtips #family #parents #newdad https://t.co/ETdzKbpaoZ</t>
  </si>
  <si>
    <t>We see your hypocrisy @Amazon
@Chevron @Boeing @Walmart https://t.co/9z6krDLV72</t>
  </si>
  <si>
    <t>Where's the bread @Walmart ? 
Where's the bread. 
#Walmart #NoBread</t>
  </si>
  <si>
    <t>@kroger_tech @KrogerNews Yepper I am going bananas trying to order online @kroger Please hire some IT personal from @Walmart My online order from @walmart placed with no issues this morning. https://t.co/HUXsYF7pzP</t>
  </si>
  <si>
    <t>VERY LIMITED STOCK LEFT! @Walmart is out-of-stock, but @amazon still has a few units in stock of the #ZhuYilong #朱一龙 action thriller CLOUDY MOUNTAIN 峰爆 on Bluray! Go grab yours today through this official link: https://t.co/XODIiV4oiC</t>
  </si>
  <si>
    <t>@PegBundyMyHero Was she dressed? I want to party with that chick.  @Target @Walmart Confused?</t>
  </si>
  <si>
    <t>Want to start your morning off deliciously with the crew? Head over to @Walmart, and either order the treats for delivery or pick-up, or head into the store ---&amp;gt; https://t.co/VeKu13VuqB</t>
  </si>
  <si>
    <t>We partnered with @Healthcare_ABC, @Amgen, @BallmerGroup, Hobson/Lucas Family Foundation, @Lowes, @Merck, @nexteraenergy, @NuveenInv, Qatar Investment Authority, @salesforce, @synchrony, @TruistNews, @Walmart and @jpmorgan.</t>
  </si>
  <si>
    <t>🚨Magic Spoon announced launching in almost 7,000 stores across the US —including @walmart @kroger and @Albertsons as company turns 4‼️
last year they landed
in @target and @sproutsfm 
💸 company has raised $100M so far https://t.co/EQqUQOqU9i</t>
  </si>
  <si>
    <t>@Walmart Since we are forced to now do your employees job and check ourselves out, when will you lower your prices?</t>
  </si>
  <si>
    <t>@walmarthelp @Walmart - how is it so hard to issue a refund for items I never received?
27 days on waiting for a refund.
GIVE ME MY FUCKING MONEY BACK.</t>
  </si>
  <si>
    <t>@Flipkart @flipkartsupport @Walmart @WalmartWorld @walmartindia @WalmartAction @WalmartCanada @jagograhakjago
Hi Flipkart fraud please contact me now https://t.co/c7MgfPhnsh</t>
  </si>
  <si>
    <t>@Flipkart @flipkartsupport @Walmart @WalmartWorld @walmartindia @WalmartAction @WalmartCanada @jagograhakjago Walmart please answering please https://t.co/eCuaHAJLVM</t>
  </si>
  <si>
    <t>@Flipkart @flipkartsupport @Walmart @WalmartWorld @walmartindia @WalmartAction @WalmartCanada @jagograhakjago  Kindly Provide Pickup Tracking number and tracking I'd last 14day pending same condition please share pickup tracking number https://t.co/XwXv0RUwHx</t>
  </si>
  <si>
    <t>@Flipkart @flipkartsupport @Walmart @WalmartWorld @walmartindia @WalmartAction @WalmartCanada @jagograhakjago #flipkartfraud hi Flipkart Fraud company Return Request approved time 18january last 14day pickup pending same condition please share Pickup tracking number https://t.co/J5kgEiRGlT</t>
  </si>
  <si>
    <t>@Flipkart @flipkartsupport @Walmart @WalmartWorld @walmartindia @WalmartAction @WalmartCanada @jagograhakjago hi Flipkart fraud your team same Reply last 14day same information same Reply again again #flipkartscam #flipkartfraud https://t.co/2BJzpkOEVm</t>
  </si>
  <si>
    <t>Screw @walmart and their false advertising. Trying to screw customers over.</t>
  </si>
  <si>
    <t>Where do I contact customer service for a @Walmart pick-up order. These apps are ridiculous for hiding this.</t>
  </si>
  <si>
    <t>My vote is clear, but this #PathWednesday, when you're out on the road, where do you navigate towards? #PathWalmart @Walmart https://t.co/XyK3B0rwyc</t>
  </si>
  <si>
    <t>go to @Walmart right now and get these no boundaries flare leggings!! they are $9.49 and the softest material ever 😩🖤 #Walmart #leggings #OOTD https://t.co/QcjDhajlU1</t>
  </si>
  <si>
    <t>@iiiitsandrea @Walmart @kroger @Albertsons @Target @sproutsfm I love how they actually have a magic spoon 🥄 in all their graphics</t>
  </si>
  <si>
    <t>@Walmart @EmrysEstilo why wont my local walmarts sell them. LIFT THE RECALL PLEASE D,:</t>
  </si>
  <si>
    <t>@BerliyanR @ra_witya @okx @john_nenasai @Walmart I've made a lot of ETH using the MEV Bot process, and the link is on my TL - check i^t out!}-.</t>
  </si>
  <si>
    <t>@BerliyanR @ra_witya @okx @john_nenasai @Walmart My TL contain;s t_he lin[k for the MEV Bot process - it made me a lot of ETH!]]'</t>
  </si>
  <si>
    <t>getting grocery list together #SocialServices agreed to bring me to @Walmart today
she told me they r sending a man not sure if I’m comfortable w one after everything—feeling beaten down
finally some sleep hot shower—amazing some basic HUMAN needs does for people
#Homeless https://t.co/Y28pv5yooW</t>
  </si>
  <si>
    <t>Funny how even @Walmart can make a profit selling the same product for a dollar less and doesn’t force you to buy 2 to save money. Not that I’m a huge fan of Walmart but the obvious greed and price-gouging by @LoblawsON/Galen Weston is disgusting! #greed #Loblaws #ripoff https://t.co/iOmPQEAmCJ</t>
  </si>
  <si>
    <t>@jeffForbes8 @Walmart You do the same Jeff</t>
  </si>
  <si>
    <t>Just as I was about to get ready for the day @Walmart text me and says they're going to deliver a little early this morning!! 😲 Threw things off a bit, but I'll take the win!! 👊🏻💥</t>
  </si>
  <si>
    <t>@Walmart isn’t leaving NWA (Northwest Arkansas) 😏 https://t.co/ijQ7RgiAPM</t>
  </si>
  <si>
    <t>Purchase @walmart Kryslee Facial Care https://t.co/qlKZvbROvi</t>
  </si>
  <si>
    <t>Purchase @walmart.com #blackexcellence✊🏾 #brigtheningskin #blackskincare #womenentrepreneur #womensupportingwomen #womaninfluencers https://t.co/sUINF1ivtg</t>
  </si>
  <si>
    <t>@Walmart PLEASE. We need more of these especially at your Kings highway, Murdock &amp;amp; Punta Gorda locations!!!
I will not shop if I don't see any 😅 https://t.co/LpJSWTYIJW</t>
  </si>
  <si>
    <t>@Walmart there were at least five Pikachus out for sale and all were dirty with oil or something that definitely won’t come out. Just found it weird that they are still trying to be sold at full price. @squishmallows https://t.co/6FIFGeE9zz</t>
  </si>
  <si>
    <t>@GNCLiveWell we bought a box of these and the Girl Scout ones. @Walmart  a bit out of date!!! https://t.co/UTpudveEEV</t>
  </si>
  <si>
    <t>@Flipkart @flipkartsupport @Walmart @WalmartInc after a month Ling struggle and fight I finally received refund but my fight will continue till I receive compensation becoz you cannot get away just like that by harassing and torturing customer.  Will see you in consumer court</t>
  </si>
  <si>
    <t>@flipkartsupport @Flipkart @Walmart reminding you that my compensation of amount 165000rs is still pending becoz of harassment and torture occurred due to your negligence</t>
  </si>
  <si>
    <t>@Walmart I have seen a potential child kidnapping occur in @Penn . @DHSgov Please investigate as I do not believe the proper procedures are being followed.</t>
  </si>
  <si>
    <t>@walmart what up now?</t>
  </si>
  <si>
    <t>1/ Overwhlemed by the string of big names entering the #metaverse, like @Apple, @Walmart, and @gucci?
While these movers are driving development of some of the most complex #technologies, many parts of the Metaverse were built by small #startups 💪🧵 https://t.co/7yBUEdBEKd</t>
  </si>
  <si>
    <t>@Walmart @Target @TargetDeals
@BestBuy_Deals @BestBuy $20.00 FREE SHIPPING!! Puma Essentials Long Sleeve Hoodie Big Logo Men&amp;amp;#039;s Pullover Kangaroo Pocket  https://t.co/QoKNdc1CRP</t>
  </si>
  <si>
    <t>@Walmart @Target @TargetDeals ALMOST GONE!! FREE SHIPPING!! Multiple Colors !!  https://t.co/IO27J2GR2P</t>
  </si>
  <si>
    <t>@RobByrd604 @Walmart I have worked for Wal-Mart. I suspect that what has happened is that of their "Secret Shoppers" walked past one of their door greeters with something in their bag that the cashier missed &amp;amp; now some promotion hungry bosses favourite in HQ is trying to exploit the same.</t>
  </si>
  <si>
    <t>@silly_celi @Walmart Man, on more than one occasion I’ve gone to pickup an order, had my kids with me and waited for over an hour. During that hour I saw 2 employees bringing out orders. I could’ve gone inside &amp;amp; shopped my order myself in under 15 minutes.</t>
  </si>
  <si>
    <t>Can we turn this Dystopian society into a Utopian one please..all this 15 min city shit is just another control. Maybe freedom through big companies.@Walmart @ChinapetroleumC @Volkwagenkenya @exxonmobil @bp_America You thought covid was bad, how can you change whats going on??</t>
  </si>
  <si>
    <t>It's #BlackHistoryMonth, which means @Walmart is going to flood us with posts about how they value their Black workers while continuing to:
- pay Black workers less
- pass Black workers up for leadership roles
- &amp;amp; donate to politicians and orgs that marginalize Black communities https://t.co/uPIrlShSSg</t>
  </si>
  <si>
    <t>@bayougal86 @Walmart Math 🤝 Money</t>
  </si>
  <si>
    <t>@Melanie4kids @Walmart Hi. I found this amazing t-shirt🥰 to celebrate Valentine's ❤️Day for teachers, what do you think of it, Should I buy it? https://t.co/2jGViDAJ5q</t>
  </si>
  <si>
    <t>@Walmart please explain what is going on at Brownsburg IN location. Apparently this location has not had HEAT for 2 days. It’s 17 degrees outside. Unacceptable.</t>
  </si>
  <si>
    <t>@Walmart I’ll be waiting to hear if you care about your employees working in a building without heat with outside temps at 17 degrees. Brownsburg IN 46112 location. Is greed more important than your employees warmth?  Get it straight</t>
  </si>
  <si>
    <t>@walmart 's customer service, customer relations, customer complaints dept.. all useless</t>
  </si>
  <si>
    <t>@TheNamesPSI @Jv5_Guy @Walmart To be fair, it is their NYSE ticker symbol $WMT</t>
  </si>
  <si>
    <t>I love my health insurance company. @walmart @unitedhealthcare 💐🏵️💐🏵️ thank you ❤️ #Mailcall @ Providence, Rhode Island https://t.co/gghfsMS5VE</t>
  </si>
  <si>
    <t>@brmurf @asauceman12 @Walmart COACH, I DIDN'T DO THAT, AND I HAVE MY LICENSE THANKS TO YOU</t>
  </si>
  <si>
    <t>@Walmart When will we be able to buy Denver @Broncos gear at all stores nationwide?</t>
  </si>
  <si>
    <t>Yesterday I went to @Walmart and got these valentine's day pens yay😁 https://t.co/vu5F8BQRFK</t>
  </si>
  <si>
    <t>Thank you @Walmart for your response. Due to the number of views and comments on all our social media platforms from the LGBTQ+ community--Thank you.  We decided to post Part 2: Grocery shopping is always an experience.  #walmart #walmartapp #LGBT #LGBTQ #lovebymichael https://t.co/ud7GZOs5FC</t>
  </si>
  <si>
    <t>One of the chain&amp;amp;#039;s most prominent grocery banners announces plans to unveil a slew of upcoming store openings... @Walmart  #Retail https://t.co/NSbEW5sUlz</t>
  </si>
  <si>
    <t>Just a reminder via our girl @MileyCyrus that you can buy yourself flowers this Valentine's Day. 😘💐</t>
  </si>
  <si>
    <t>@Walmart @MileyCyrus omg hi walmart</t>
  </si>
  <si>
    <t>@Walmart @MileyCyrus Or @Walmart could send me some for fun</t>
  </si>
  <si>
    <t>Proud to work closely w/@Walmart stores &amp;amp; associates. Displayed 3 Wish Trees &amp;amp; invited everyone to adorn wish ribbons on the trees of good health, prosperity, etc. Trees were donated to: @fcsn, @RosemeadChamber &amp;amp; @BoatPeopleSOS https://t.co/CUnxVdpQIa</t>
  </si>
  <si>
    <t>@Walmart @WalmartInc @WalmartAction @walmarthelp 
Do you think we can get this resolved in a timely manner. Messages spanning 3 days do not solve anything especially when the issue is your company not responding. https://t.co/MbXb9vFkzn</t>
  </si>
  <si>
    <t>RTIH presents January’s coolest retail technology plays, including @WakefernFood @TrigoRetail @ZabkaPolska  @AiFiInc @5h15h @HEB @AutoStoresystem @DLVermeer @teleport__app @Volumental @Walmart @Shopify @tobi @obsessVR @Ottonomy_IO #retailtech #retailers  https://t.co/tSdk27ZfDY</t>
  </si>
  <si>
    <t>Hey @Walmart , I worked for you for 4 long years back in the day. You absolutely haven't changed for the better.  You're STILL not giving employees a good discount on food?  You made almost 14 billion last year. Time to make some changes. It's 2023. Your greed is unrivaled.</t>
  </si>
  <si>
    <t>@walmart  Sooo something is not available (ok) but Do I want shipping? Sure! Now not available to ship....ummm what?</t>
  </si>
  <si>
    <t>@Walmart @MileyCyrus You all are part of the problem as to why florist businesses are closing. You literally have a monopoly on everything else,  leave the flowers out of it. They die so quick after buying them bc you don't know proper care.  Find something else to advertise for valentines day!!🙄🤬</t>
  </si>
  <si>
    <t>@Walmart @MileyCyrus I really wish @twitter @elonmusk would apply a DISLIKE button!!!!</t>
  </si>
  <si>
    <t>.@Walmart money https://t.co/MA1Efir9ce</t>
  </si>
  <si>
    <t>Take a look inside @Walmart's #infosec operations where security is a priority, even if customers won't notice. https://t.co/9FQq8PANg1 https://t.co/LmjV4lkzsR</t>
  </si>
  <si>
    <t>Omg we hungry so I gotta wait‼️💪🏿😩🥶 #texasicestorm #texas #WinterStorm Thank god yall even open @Walmart 🙏🏿🫶🏿 https://t.co/2Jij34GohI</t>
  </si>
  <si>
    <t>That save might've just scored you free grocery delivery!* #WalmartPlusSaves
First 100 to enter here: https://t.co/UP2sAzoipf score a FREE annual Walmart+ membership. Stnrd text &amp;amp; data rates may apply. No pur nec. 18+ Ends 12/18. Rules: https://t.co/s9qrcnI9Qq #Sweepstakes https://t.co/iuaikiA0qO</t>
  </si>
  <si>
    <t>🙅‍♀️ 🥅  = 100 FREE W+ memberships up for🧤grabs! #WalmartPlusSaves 
First 100 to enter here: https://t.co/vWin2AahSk score a FREE annual Walmart+ membership. Stnrd text &amp;amp; data rates may apply. No pur nec. 18+ Ends 12/18. Rules: https://t.co/s9qrcnZLf0 #Sweepstakes https://t.co/VFVWIVevel</t>
  </si>
  <si>
    <t>@Walmart Can anyone please tell me if the Main Street Walmart in Lewisville, TX is open today? Phoned and pressed ‘0’ to speak to someone, it just goes to dead air with no one actually answering. Checked all over my social media sites to try to figure it out, but came up empty.</t>
  </si>
  <si>
    <t>@Walmart Rather buying it at Amazon still.</t>
  </si>
  <si>
    <t>I’ve lived long enough to watch @netflix become @Walmart. 
I hate it here</t>
  </si>
  <si>
    <t>@kyprobassangler They look delicious, Kaoru!</t>
  </si>
  <si>
    <t>@Walmart Yes they are @walmart the only place I always get them . Hoop on board with me this year in 2023 as a sponsor . Love to have Wakmart on board 😁🎣👊</t>
  </si>
  <si>
    <t>@asauceman12 PLEASE keep teachin and coachin those young drivers up! Just left @Walmart and had 3 near death experiences in parking lot ( 2x almost run over 1x another car coming at me in wrong lane) #driversedprobs</t>
  </si>
  <si>
    <t>@Walmart @MileyCyrus Update: Just a reminder via our girl @MileyCyrus that you can self-checkout flowers, this Valentine's Day. 😘💐😉</t>
  </si>
  <si>
    <t>Can we talk about how much food gets thrown away @Walmart in Los Lunas, New Mexico? @abqnews @ABQJournal @koat7news @krqe Imagine the waste from ALL the Walmarts.. can’t this food be donated?? https://t.co/5IuQVR2U7v</t>
  </si>
  <si>
    <t>We all know what it's like when the...traffic... is a little backed up. 💩 Get things moving again with BETR Stool Softener – available at @Walmart! Plus, isn't it extra satisfying to support a brand that's supporting the community? 🫶 #BETRRemedies https://t.co/f6GzsPyNOC</t>
  </si>
  <si>
    <t>@iiiitsandrea @Walmart @kroger @Albertsons @Target @sproutsfm I need those bowls</t>
  </si>
  <si>
    <t>@missbeaux @Walmart @kroger @Albertsons @Target @sproutsfm they did a perfect job at nailing that intersection of vintage magic spoons 90s nostalgia but with an upgraded vision of it beyond "utensil"</t>
  </si>
  <si>
    <t>@Walmart @MileyCyrus Who needs $100 Walmart gift card today?  Follow me</t>
  </si>
  <si>
    <t>@Walmart @McTemRu @MileyCyrus didn’t y’all fire her?</t>
  </si>
  <si>
    <t>@iiiitsandrea @Walmart @kroger @Albertsons @Target @sproutsfm @offlimits I have not and would love to. These are all brands that I'd love to have here in @JungleJimsMrkt</t>
  </si>
  <si>
    <t>@TheMarkening @Walmart @kroger @Albertsons @Target @sproutsfm Have you tried @offlimits 👀</t>
  </si>
  <si>
    <t>@iiiitsandrea @Walmart @kroger @Albertsons @Target @sproutsfm I LOVE Magic Spoon! We just got them in stores here recently. The Cinnamon Roll one gives me life.</t>
  </si>
  <si>
    <t>@Walmart You guys should really review card-less payment services for your stores. Walmart pay is not reliable enough.</t>
  </si>
  <si>
    <t>@flipkartsupport This tweet thread will also show other customers that your social support services are also pathetic.. So no calls received by me till now... Keep going @flipkartsupport. I think I should tag @Walmart now</t>
  </si>
  <si>
    <t>I'm at @Walmart Supercenter in Baytown, TX https://t.co/2xuypt6ITH</t>
  </si>
  <si>
    <t>$INND @HearingAssistUS Products @Walmart are officially classified as #OTCHearingAids. 
Here is the link to https://t.co/JE0LISGnlO with @HearingAssistUS Products in the OTC Hearing Aid Category:
https://t.co/Fos9t1vn9s https://t.co/1Vdy1DYPPM</t>
  </si>
  <si>
    <t>@Walmart HOW IS THIS FREE SHIPPING? Lying much? https://t.co/WcSapeRAyF</t>
  </si>
  <si>
    <t>@Walmart @MileyCyrus I stole from your store</t>
  </si>
  <si>
    <t>Now here's a deal you'll be sure to love. 💖
The @Walmart-exclusive Pink Glitter Smartwatch DX3 is currently on sale - perfect for gift baskets for Valentine's Day, Easter, or any other occasion! Visit https://t.co/n8wRX1B3Vh for more, while there's still time ✨⌚️✨ https://t.co/KQXIWAQjgI</t>
  </si>
  <si>
    <t>bro why can’t all @Walmart ‘s have the same layout ts get so complicated for no reason</t>
  </si>
  <si>
    <t>I noticed some box blasters at @walmart with extreme discount stickers on them.  However, there were No shelf tags with prices for those items and there are no price check scanners in the Walmart stores I have been to in Northwest Indiana &amp;amp; Chicagoland.</t>
  </si>
  <si>
    <t>we out here mining these streets...@Walmart 😂 $XYO https://t.co/DoNlTt9ZNa</t>
  </si>
  <si>
    <t>@cryptolung @Walmart Get it boy!! #XYO $XYO</t>
  </si>
  <si>
    <t>@Walmart , what's up with this shipping? https://t.co/pPmulLjdQg</t>
  </si>
  <si>
    <t>We're now on (even more) shelves! Come find us at @Target @Walmart @kroger @Albertsons &amp;amp; @sproutsfm 💜🥣 See ya in the cereal aisle! https://t.co/GugiKZ3CJD</t>
  </si>
  <si>
    <t>@Walmart @MileyCyrus Stream flowers and i will buy them 🧐</t>
  </si>
  <si>
    <t>@Walmart @MileyCyrus valentine’s day hit</t>
  </si>
  <si>
    <t>@Walmart @MileyCyrus Tbh, we need another @MileyCyrus collection at Walmart again 👌👀 #2010</t>
  </si>
  <si>
    <t>@IStanMileyCyrus @Walmart @MileyCyrus My thoughts exactly! 🤣</t>
  </si>
  <si>
    <t>Why is it that @Walmart self checkout only accepts card yet allows you to get cash out?</t>
  </si>
  <si>
    <t>@WalmartWorld @Walmart @WalmartAction @WalmartInc  is anyone able to assist me with Store #02962? I called customer support but their options are limited. I have been trying to get in touch with someone at the store for the past 48 hrs</t>
  </si>
  <si>
    <t>@Walmart @MileyCyrus Exactly.
https://t.co/GO8LlPS5tX</t>
  </si>
  <si>
    <t>Go-to lipgloss? Yes, please 😍
@welcome2iceland is wearing our Holographic Iridescent Lipgloss ✨
Available at select @walmart stores! https://t.co/dG5wn6HHwK</t>
  </si>
  <si>
    <t>The perfect nude lips for any makeup look 🤎
@__makeupbysel__ is wearing our Lipliner Pencil in 'Cappuccino 😍
Select shades available at select @walmart stores! https://t.co/qARZEPBimD</t>
  </si>
  <si>
    <t>@walmart put one more expired thing on the self and ima knock all that shit over</t>
  </si>
  <si>
    <t>Just contacted @Walmart for help with a gift card what a waste of time</t>
  </si>
  <si>
    <t>@JoeyFromPhilly Millions of ppl have
fair-medium skin color REGARDLESS of race. Now nobody in commercials looks like the majority of consumers. We’re boycotting companies who discriminate against us fair folk &amp;amp; yes, that includes us fair Hispanics 
@StateFarm @Target @Walmart @Macys @TODAYshow</t>
  </si>
  <si>
    <t>Got this cool @funko set from @shellbell11260 yesterday. 😊 @u2 from the zoo tv tour. A @walmart exclusive. #funko #u2 #walmartexclusive #zootv https://t.co/sEfIMnK0Vj</t>
  </si>
  <si>
    <t>@wetnwildbeauty @Walmart @amazon @Target @ultabeauty @Walgreens @riteaid @cvspharmacy I have tried other $$ to $$$ foundations and the golden beige dewy photo focus is still the only, and I mean ONLY, foundation that matches my skin perfectly and always makes me look flawless. Don't even need concealer if use a little color corrector first ❤️❤️❤️</t>
  </si>
  <si>
    <t>@Walmart raise your prices but lower the amount of cashiers?!?…so we have to do all the work only to have employees stand and do nothing…why??</t>
  </si>
  <si>
    <t>@iiiitsandrea @Walmart @kroger @Albertsons @Target @sproutsfm Dats amazing. Sick branding , well deserved</t>
  </si>
  <si>
    <t>Thank you @Walmart, for shining the spotlight! Find out why Sellercloud is the #1 solution for #Omnichannel #Walmart sellers: 🎇
https://t.co/JazeQhdgHK
#Sellercloud #InventoryManagement #Fulfillment #WalmartMarketplace #EcommerceSuccess https://t.co/nvBlRH7EY0</t>
  </si>
  <si>
    <t>@Walmart @MileyCyrus Don't worry, I'll buy you flowers</t>
  </si>
  <si>
    <t>@valhallabckgirl @Walmart Oh my goodness 🤩 She deserves a raise @Walmart</t>
  </si>
  <si>
    <t>@AndroidTV_Rumor @Walmart @sdmctech Can this work with Onn 2 K android tv stick to update it's firmware and Software if possible?</t>
  </si>
  <si>
    <t>@AndroidTV_Rumor @Walmart @sdmctech Would this effect the one Onn 2 K android tv stick that I have now?</t>
  </si>
  <si>
    <t>@Walmart @MileyUpdates @MileyCyrus And I will</t>
  </si>
  <si>
    <t>@_kmisha_ @Walmart @CarolinaRiceUSA If you need help finding Badia products in your local area, please DM us your zip code and email address and our sales support team will be happy to assist. Thank you for choosing Badia ♥️</t>
  </si>
  <si>
    <t>@iiiitsandrea @orenmeetsworld @Walmart @kroger @Albertsons @Target @sproutsfm I know some emerging brands that do surprisingly well at Walmart, despite being "better for you" and more premium...it can be done
@CybelesFTE for example does AMAZING at Walmart
No reason Magic Spoon can't do same, but TBH it would surprise me, price/value gap just too wide 🤷‍♂️</t>
  </si>
  <si>
    <t>@JasonStarr @iiiitsandrea @orenmeetsworld @Walmart @kroger @Albertsons @Target @sproutsfm @CybelesFTE And Walmart is not a monolith— not all stores are created equal when it comes to premium/emerging brands. I’m sure there’s a subset they’ll crush.</t>
  </si>
  <si>
    <t>@iiiitsandrea @Walmart @kroger @Albertsons @Target @sproutsfm Makes the fundraise make more sense, could crack 9 figures a year (at least mid 8) just in that door count</t>
  </si>
  <si>
    <t>@iiiitsandrea @Walmart @kroger @Albertsons @Target @sproutsfm Curious if the shelf space alone is awareness enough, will be telling if it is</t>
  </si>
  <si>
    <t>@orenmeetsworld @Walmart @kroger @Albertsons @Target @sproutsfm would love to snoop in the cereal aisle at these grocers to see who is converting and what they are replacing it for - they have missed out on selling their smaller format next to these like Off Limits has, makes it easier for people to trial out better</t>
  </si>
  <si>
    <t>@JasonStarr @orenmeetsworld @Walmart @kroger @Albertsons @Target @sproutsfm they officially started appearing in shelves early Jan! agree with you re:target market specially at that price!</t>
  </si>
  <si>
    <t>@orenmeetsworld @iiiitsandrea @Walmart @kroger @Albertsons @Target @sproutsfm Sell in vs. sell through though...anyone know how it is actually turning at Walmart?  Doesn't really seem like the target market, but I'm always ready to be proven wrong... 🤷‍♂️</t>
  </si>
  <si>
    <t>@xrockytrejo @GhostLifestyle @Walmart But where’s the Gf… oh wait, no one gives a damn 😎</t>
  </si>
  <si>
    <t>@lostkimber @preterniadotcom Yeah, but he will arrive in a bag from @Walmart 
Thanks a bunch, I will probably still order him</t>
  </si>
  <si>
    <t>@JoeAddict4 @preterniadotcom @Walmart set him free from his bubble prison and pose him up next to Stalker :D</t>
  </si>
  <si>
    <t>@Walmart imma need y’all to go back to being open 24hrs!! Thanks in advance!</t>
  </si>
  <si>
    <t>@Walmart I didn’t need an entire plant but thanks https://t.co/j3DqYhyhm0</t>
  </si>
  <si>
    <t>@PFT_Live I laughed when you said that negotiations with @nflcoaches and teams isn’t like negotiating at #walmart!  You’ve never negotiated with @Walmart I can tell!  #badtake</t>
  </si>
  <si>
    <t>@Walmart are y’all really charging $1 to use your shopping carts ?</t>
  </si>
  <si>
    <t>@Walmart @MileyCyrus Omg Walmart deal is coming https://t.co/Z6DnMzXBdq</t>
  </si>
  <si>
    <t>@SuperJosh05 @Walmart @MileyCyrus We all know how it ended over 10 years ago. They don't deserve her</t>
  </si>
  <si>
    <t>@Walmart @MileyCyrus hello? https://t.co/aFD396v6pD</t>
  </si>
  <si>
    <t>@Walmart in cedar park Texas, the manager Javier, has told employees “if I can make it to work, you can too” and he is giving points and punishment to people who call in due to the ice storm even tho state officials are telling everyone to stay off the road.</t>
  </si>
  <si>
    <t>@Walmart when are you gonna give a fuck about your employees LIVES???</t>
  </si>
  <si>
    <t>@Walmart @MileyCyrus 👍get the color and variety I like!</t>
  </si>
  <si>
    <t>Did someone say under $50? @Walmart  ❤️ https://t.co/ABQLY5Relp
#TalkShopLive #GiftIdeas #Valentine #ValentinesDay https://t.co/k1SiAtXDfz</t>
  </si>
  <si>
    <t>@SciSocialist @bourgeoisalien We started a petition for increased wages at @Walmart 
https://t.co/y5W8yUoeJA</t>
  </si>
  <si>
    <t>@Sid_Rooney @Walmart Is Walmart a shop in the USA where the criminally insane go to hang out or what is it ?</t>
  </si>
  <si>
    <t>@prolewiki @openstreetmap We started a petition for raising wages for all of us at @Walmart ! #solidarity https://t.co/y5W8yUoeJA</t>
  </si>
  <si>
    <t>High-performing and skin perfecting?! The Photo Focus Foundation is essential for your everyday routine 💛
Get it @walmart @amazon @target @ultabeauty @walgreens
@riteaid @cvspharmacy and shop our #Amazon store at #LinkInBio #wetnwildbeauty https://t.co/O4uypearsb</t>
  </si>
  <si>
    <t>Hey @Walmart , what gives? My order wasn't delivered until half an hour AFTER my delivery window, and I received exactly ZERO updates to let me know why. Really frustrating when you order several hours in advance and it's still late.... 😕</t>
  </si>
  <si>
    <t>@Flipkart no reply on this tweet says it all that  how you are planning to inflate your order numbers. Totally unethical practices being followed @jagograhakjago @Walmart @walmartindia @WalmartInc @BuzzFeedIndia</t>
  </si>
  <si>
    <t>So… @CodyRhodes Funko Pop is sold out… hope I find one in the wild to go with my NJPW one… why a @Walmart exclusive tho?</t>
  </si>
  <si>
    <t>The red carpet premiere of the Black History Honors was held at the @freedomcenter! Hosted by @marcmorial and attended by show host @malimusic and the show's sponsors: @proctergamble @walmart @chevrolet @verizon! For a complete list of airings visit https://t.co/jSG681bJYS https://t.co/qYCuVUfhtW</t>
  </si>
  <si>
    <t>@Walmart @MileyCyrus GET AWAY FROM HER</t>
  </si>
  <si>
    <t>@Walmart @MileyCyrus Okay if You apologize to Miley for what You did to her in 2010 we might consider</t>
  </si>
  <si>
    <t>@Walmart HOW THE FUCK DO I FAIL AN APPLICATION TEST (?????) WITH QUESTIONS PERTAINING TO ME???????? GO TO HELLLLLLL LMFAOOOOOOO</t>
  </si>
  <si>
    <t>Well, shoppers just got kicked out of @Walmart due to power issues.  TX oh TX.</t>
  </si>
  <si>
    <t>@Xbox I need some serious help regarding and XAA purchase. @Walmart isn't helping. Citizens Pay isn't helping. @FedEx was no help. Now I'm stuck paying for console I never received. What is the proper support channel?</t>
  </si>
  <si>
    <t>@Marc_Perrone Why did @ufcw stop helping workers of @Walmart unionize?  You left us all in the dark through COVID and now through the largest labor movement in history. #Retire</t>
  </si>
  <si>
    <t>@Lj_era8 That’s assault and he should be arrested and fired. @Walmart what’s up with this?</t>
  </si>
  <si>
    <t>.@Walmart debuts modern store design in Springdale, AR. 
In Q4 2022, it had 31.2% more visits than the average Walmart and 66.6% more than the average @Target.
Full story from @melissa_repko &amp;amp; @CNBC: https://t.co/UgG22KiyZS</t>
  </si>
  <si>
    <t>@Walmart you think I’m a god damn criminal then maybe you should have people at the check outs don’t ask me for a fucking receipt after I paid and walking out the door your dumbass employ didn’t ask one other person. Ain’t shipping at your shit as store anymore</t>
  </si>
  <si>
    <t>@Walmart I tip my hat to @Walmart for throwing the spot on Shade!  Walmart+ improved its service &amp;amp; I can get the items I was not able to before. I will definitely will be renewing my membership when it is time to renew next year.</t>
  </si>
  <si>
    <t>You can be assured I'm already looking at other companies &amp;amp; will most likely return this phone back to @Walmart @FamilyMobile and move my phone# to another service!  It might cost me more, but at least I'll have service!</t>
  </si>
  <si>
    <t>@DirtyByrdGames We love the new setup! 🤩</t>
  </si>
  <si>
    <t>@DailyLoud Hey @nike what about @Walmart 👮🏾‍♂️ https://t.co/I1OSpf5BFT</t>
  </si>
  <si>
    <t>@bb_legs @DailyLoud @Nike @Walmart DONT WORRY ABOUT IT</t>
  </si>
  <si>
    <t>@Walmart @MileyCyrus our girl?</t>
  </si>
  <si>
    <t>@Walmart @MileyCyrus we don’t forgive nor forget</t>
  </si>
  <si>
    <t>Scoped up a couple dope rides @Walmart today! 🗑️😃🚧
#ScopedUp | #Construction | #Trash https://t.co/kRCoE9PhDY</t>
  </si>
  <si>
    <t>@Walmart 
There is a specific company, apartment building in Miami, that constantly STEALS your $1k+ shopping carts to remove the anti-theft device, in order for them to use it as THEIR cart.
DM me please @Walmart @WalmartInc @WalmartAction https://t.co/VcVaOx5ZPy</t>
  </si>
  <si>
    <t>@MichaelNatelli @Walmart we love this. Keep doing this.</t>
  </si>
  <si>
    <t>We're so excited that @Walmart considered Functional Fluidics as a #BlackHealthHeroes to highlight during #BlackHistoryMonth
 #Walmart #BlackHealthHeroes #BuildingBetterTogether
Watch the video here: https://t.co/dW7jVpg6lM</t>
  </si>
  <si>
    <t>Congratulations @InvestDetroitVC portfolio company @functionalflu for being highlighted as a #BlackHealthHeroes company by @Walmart during #BlackHistoryMonth! 
#Walmart #BuildingBetterTogether #FunctionalFluidics #IDVentures #Startup #SickleCell https://t.co/rZOSQgHb2W</t>
  </si>
  <si>
    <t>@Walmart There’s snow/ice here in Texas. Will they be online?</t>
  </si>
  <si>
    <t>@walmart @walmarthelp where is my damn money!? Walmart's gift card system has been compromised and Walmart is allowing thieves to steal physical gift cards digitally and use them on walmart's website. Walmart knows it is happening and refuses to help customers or stop the theft!</t>
  </si>
  <si>
    <t>14. Catalog Outfit Creator
15. Weapon Fighting Simulator
BRANDS that have integrated other brands into their Roblox Games:
- @AustralianOpen 
- @Walmart 
- @Vans 
- @Nickelodeon 
- @iHeartRadio</t>
  </si>
  <si>
    <t>#CDC warns that a brand of #eyedrops may be linked to #drugresistant #infections ⁦@Walmart⁩ ⁦@WalmartInc⁩  https://t.co/pIdKzlbb04</t>
  </si>
  <si>
    <t>So apparently, if you pay $10 for @Walmart 's auto tire warranty... It just saves you $25 ($95 instead of $120) on getting a new tire to replace the defective one they gave you in the first place, a month ago.</t>
  </si>
  <si>
    <t>@Walmart @MileyCyrus You literally ended her contract for her  fashion line after she was caught smoking salvia 👀</t>
  </si>
  <si>
    <t>@Walmart why are honeypot products are not fsa eligible....pads isn't this the law?</t>
  </si>
  <si>
    <t>No, @Walmart is not charging customers a $1 fee to use shopping carts. Here's where the claim came from: https://t.co/eRUf4iBDWw</t>
  </si>
  <si>
    <t>@DramaSimmy @lakeloonatic @Walmart Did the managers share their rationale? Just curious (as a person who has to deal with my own managers' silly orders from time to time.)</t>
  </si>
  <si>
    <t>@DramaSimmy @DelphicDeb @Walmart It aggravates the customers if you close it and don’t put a sign up.</t>
  </si>
  <si>
    <t>@DelphicDeb @lakeloonatic @Walmart "It makes the store look sloppy if it's closed."
And the poor people with me were all just going "Joanne, listen here, I have had bread thrown at my head over this before. I ain't doing that again."</t>
  </si>
  <si>
    <t>@lakeloonatic @DelphicDeb @Walmart Oh buddy, I had literal slurs thrown at my coworkers and I over it. And she wrote us up for the scene when we just stood there. I still hate that manager after years.</t>
  </si>
  <si>
    <t>@DelphicDeb @lakeloonatic @Walmart Omg she was the whitest, most racist Karen I had ever met. And all my coworkers were black, so she loved putting us in those positions where she knew people would show out. 😑
How does Karen speak to the manager when she is the manager. https://t.co/cye6TW4gZi</t>
  </si>
  <si>
    <t>Day 4 of how @Walmart destroyed my Order &amp;amp; said that my case is closed, I will every day until they actually do something, be posting how they destroyed my @MarioAndretti @OriginalFunko
 #FunkoPop! I do not want a #REFUND! I want what I ordered! I did not order to get a refund! https://t.co/JnRZX228op</t>
  </si>
  <si>
    <t>@VerifyThis @Walmart This is NOT disability friendly! Sometimes it's to much strain to have to walk back to get coin back</t>
  </si>
  <si>
    <t>@Walmart  We got an issue!!!!! I bought your protein shakes on Sunday January 29th 2023 and realized today AFTER DRINKING ONE AND IT BEING CHUNKY ON THE BOTTOM that it expired January 16th!  This shit is a disgrace! Selling old food ! I got receipts and proof!</t>
  </si>
  <si>
    <t>@WalmartInc have been trying to get a refund from @Walmart that I ordered online and returned walmart kokomo  with their "new convenient" curbside returns.  10 to 14 business days. 2 months later, no refund. The manager told me they  have problems with people stealing. Scam!</t>
  </si>
  <si>
    <t>@Hotstreek718 @Walmart 4 queens attacking the one with a job ? Way to rise above .</t>
  </si>
  <si>
    <t>Madonna -Holiday Winston-Salem Walmart Dance Breaks the Internet https://t.co/Lit7xIukjA via @YouTube @HowardStern  @sternshow  @SternFBSuperfan  Watch Me Dancing To @Madonna  Holiday At @Walmart  Let Love ❤️ Shine Holiday! I Had Awesome Time @Rhino_Records</t>
  </si>
  <si>
    <t>@Walmart Sounds really very Cool 😊</t>
  </si>
  <si>
    <t>Preorder the all-new Samsung Galaxy S23 Series today &amp;amp; share the epic!
Save up to $1,430 with qualified purchase &amp;amp; trade-in. Terms &amp;amp; conditions apply. https://t.co/dJssQQ5J90 https://t.co/4GgQBoxJDo</t>
  </si>
  <si>
    <t>@piercetheveil @Walmart I NEED THIS.</t>
  </si>
  <si>
    <t>Happy 2/1! 🫶🏽
Shop @doncosmetics at @Walmart.com 🛒</t>
  </si>
  <si>
    <t>@VerifyThis @KGWNews @Walmart But you still gotta scavenge your own from the parking lot.</t>
  </si>
  <si>
    <t>@Walmart Get VERIFY’s Fast Facts delivered every weekday to your email inbox: https://t.co/eTzATY3hEM</t>
  </si>
  <si>
    <t>Walmart out here texting pple the receipts but still dont have apple pay @Walmart we need answers pls</t>
  </si>
  <si>
    <t>@Walmart probably has the worst Online Ordering experience and customer service I’ve ever dealt with</t>
  </si>
  <si>
    <t>@Walmart probably has the worst Online Ordering and Customer Service experience I have ever dealt with. It’s like they want you to buy from Amazon or something</t>
  </si>
  <si>
    <t>@Walmart @MileyCyrus Just a reminder that @Walmart will put your tires on backwards despite there being a huge rotation arrow on the tire…😞 https://t.co/p8ykI8LdSP</t>
  </si>
  <si>
    <t>@Walmart @FoxNews #inflation hey so I understand eggs are expensive.. I know the stores are 27 miles apart! But does it why does it cost $1.55 more in a poorer neighborhood? https://t.co/yKkEb7r1hO</t>
  </si>
  <si>
    <t>@veilowo glad he could leak he joined @Walmart New Gaming Team!</t>
  </si>
  <si>
    <t>Time to issue a refund @Walmart https://t.co/5uOwC313HW</t>
  </si>
  <si>
    <t>@Walmart The problem is you’re Walmart. Your produce is garbage, the quality of your product is crap. And this reeks of an inferiority complex. If you’re going after Amazon, it means you’re afraid and you acknowledge you’re #2.</t>
  </si>
  <si>
    <t>I applaud @Walmart for their efforts on behalf of Black History Month, and I take particular delight in the fact that Walmart's HQ is in Arkansas, where @SarahHuckabee is governor!
https://t.co/dpRbdoA5IN</t>
  </si>
  <si>
    <t>@Walmart only had two cashiers and the lane wasn't even moving. Had to manually push all the groceries forward for the cashier. Store was hot and stuffy. Cashier said they were remodeling. That explains trailer pottys but not the rest.</t>
  </si>
  <si>
    <t>@Walmart if an item is on the shelf and has a corresponding price tag, it should be for sale even if it’s “discontinued.”</t>
  </si>
  <si>
    <t>In this episode of Get Reworked, Maren Dollwet Waggoner, Ph.D., VP of People, End-to-End Operations, U.S. at @Walmart gives us an inside look at how the company communicates with — and hears from — the 1.2 million associates working in U.S. operations. https://t.co/gDUskLgpyC https://t.co/JYMHrh5gLg</t>
  </si>
  <si>
    <t>@Walmart whats going on with this product?!?! Has it been discontinued? Been out of stock all over for quite some time now https://t.co/R8epku4S0k</t>
  </si>
  <si>
    <t>@Walmart Cheeky</t>
  </si>
  <si>
    <t>How Did Inflation Affect Target Shoppers in 2022? https://t.co/oP4e9BLrv1 @jeffkagan @target #retail #inflation @walmart @GOBankingRates #tech #technology #wireless</t>
  </si>
  <si>
    <t>Knock out your holiday shopping with Rollbacks on gifts for the whole family.
❤️ this tweet to shake up a gift idea for everyone on your list. https://t.co/iNfNBL25A7</t>
  </si>
  <si>
    <t>NEW BOOK released on:
@amazon @BNBuzz @bookdepository @booktopia 
@AmazonKindle @chaptersindigo @AppleBooks @Smashwords 
@Waterstones @AbeBooks @booksamillion 
@Walmart https://t.co/3ckow4sZ5b</t>
  </si>
  <si>
    <t>Look what I found on @Walmart+ App. #TheMostOreo https://t.co/TY7TUCzXzD</t>
  </si>
  <si>
    <t>@Walmart is price gouging. They are completely price gouging.</t>
  </si>
  <si>
    <t>@Walmart @MileyCyrus “Drops flowers trying to walk through the new turnstile thing they didn't explain”</t>
  </si>
  <si>
    <t>STOP PRICE GOUGING MY GROCERIES. @Walmart @FrysFoodStores y’all are now just being greedy.</t>
  </si>
  <si>
    <t>@Walmart let your people that bring our groceries out to us take a tip. Get out of their way. It can earn them a ton more money!!! They deserve that.</t>
  </si>
  <si>
    <t>Thank you to @walmart for including us in the Black &amp;amp; Unlimited.
https://t.co/PXn0C18Y4y #Walmartcom #BHM #BlackHistoryMonth https://t.co/LT1542w4uF</t>
  </si>
  <si>
    <t>Can  Herman Survivors leather lube, that I bought at @Walmart, save my polo sports shoes? No prep, I’m just going to apply it on over the mildew #goodluck #leather #shoes #Challenge https://t.co/vtS7sIRN0N</t>
  </si>
  <si>
    <t>We found some Bum Bumz at @Walmart 
They’re pretty cute! https://t.co/NystV5TqHS</t>
  </si>
  <si>
    <t>…didn’t think that pets were allowed in @Walmart but somebody came out with a dog in a cart…&amp;amp; go in too see a purse left in a cart…very safe!</t>
  </si>
  <si>
    <t>@Walmart @MileyCyrus We don't need fake fan here. Didn't you rip a contract with Miley back 2010? Oh well https://t.co/maUxQyPA10</t>
  </si>
  <si>
    <t>Turns out camouflage serves a purpose in your living room, too! 
Check out the @realtreeoutdoors 6-volt quad at @walmart. 
#FunOnWheels https://t.co/f0SZ9PLJbm</t>
  </si>
  <si>
    <t>I'm at @Walmart Supercenter in Butte, MT https://t.co/DpfFRnOXTX</t>
  </si>
  <si>
    <t>For all your #tailgating needs, @Walmart has you covered, especially when it comes to Motor City Pizza! 😋 Find our Detroit-style pizza in the #frozen aisle for the best price in town. 🙌 https://t.co/fF581qz8Sj</t>
  </si>
  <si>
    <t>@MotoCityPizzaCo @Walmart That looks great. I’ll have to try it</t>
  </si>
  <si>
    <t>@Ann14295260 @MotoCityPizzaCo @Walmart It’s really the best frozen pizza I’ve had. Well worth the price.</t>
  </si>
  <si>
    <t>New work from Taillight’s branded team! It was a joy working with Olympian @shawnjohnson while sharing how easy it can be for busy moms to clean with the new @clorox Bathroom Ultra Foamer from @walmart. 
#nashville #nashvilleproduction #nashvilleproductioncompany #brandedcontent https://t.co/HdyHteNPFN</t>
  </si>
  <si>
    <t>F-ing brilliant! Way to go @Walmart! #Retail https://t.co/lO8ddqbP0r</t>
  </si>
  <si>
    <t>@Walmart @MileyCyrus Walmart sucks</t>
  </si>
  <si>
    <t>@Walmart Walmart sucks</t>
  </si>
  <si>
    <t>@TruGreen @SamsClub @goodyear @CintasCorp @BWWAkron @EzGo @Walmart @BarS @WasteConnection some of the jobs I have applied @ in the past month. I just need a J O B</t>
  </si>
  <si>
    <t>Using the uw madison library computers to photoshop drake deepthroating hot dogs @walmart</t>
  </si>
  <si>
    <t>@RobertIrvine That’s cheaper than on the Costco website. I wonder if @walmart or @SamsClub will run any similar sales. I love the taste of your bars!</t>
  </si>
  <si>
    <t>@Tomlin_Sense @Walmart Those must be from the brady "worn" collection</t>
  </si>
  <si>
    <t>@bangsupremacy @HYBEOFFICIALtwt @realDonaldTrump @Walmart @gucci WALMART SCREAMING 😭😭</t>
  </si>
  <si>
    <t>@Walmart @TargetDeals
@BestBuy_Deals WEDNESDAY DEAL! Nike Hoodie Sportswear Club Fleece Active Graphic Pullover Sweatshirt  https://t.co/eq5yZ8XT0Y</t>
  </si>
  <si>
    <t>@Walmart @TargetDeals
@BestBuy_Deals Adidas Original Trefoil Street Graphic Front Pocket Active Pullover Hoodie  https://t.co/DobAZkbokv</t>
  </si>
  <si>
    <t>@Walmart @MileyCyrus NOT THIS you dropped miley years ago bc she wasn’t the perfect girl you wanted, so this bs is not welcomed now!</t>
  </si>
  <si>
    <t>@Walmart @MileyCyrus Remember when yall couldn't handle her lol she can definitely buy her own flowers</t>
  </si>
  <si>
    <t>@Walmart why is WIC no longer supported at self checkout? But you also only have 1 cashier open. You realize me having a crying toddler makes things much more uncomfortable for everyone else right. I mean Kroger is just around the corner, I'll check them out</t>
  </si>
  <si>
    <t>What happened to Anderson @UCLA_Alumni Daniel Zakowski (’12), CEO @_ReadySetFood after @ABCSharkTank? 
Hint: If you shop at @Target or @Walmart, you may already know the answer.
#longla | #uclaentrepreneurs 
https://t.co/DQY6dDGt7D</t>
  </si>
  <si>
    <t>Plan for anything and Enjoy EVERYTHING!! Stay tuned and follow because we’ll be launching in more stores SOON! Until then, we’re available at your local @walmart or our website. Link in bio!
#trek #trekkids #allnatural #bugrepellent #ecofriendly #skincare #outdoorlife https://t.co/Duy9czWjWN</t>
  </si>
  <si>
    <t>You are OUT OF CONTROL with the lock key @Walmart</t>
  </si>
  <si>
    <t>Happy Birthday @Walmart PHX Central &amp;amp; Dunlap, never heard a special Birthday wish over the intercom before. I just came from @WellsFargo north 7th St as I deposited check. It is suppose to scare me, but now makes me feel sorrow for the peeps who follow stupid instructions, Staff?</t>
  </si>
  <si>
    <t>@Walmart @MileyCyrus Delete this shit asap.</t>
  </si>
  <si>
    <t>@Walmart  just want y’all to know I really love Walmart +</t>
  </si>
  <si>
    <t>@Walmart lol the delivery to my door. Also the fact that I can go in the store and don’t have so wait in line- scan and go!</t>
  </si>
  <si>
    <t>@Walmart I have a good story about walmart. I worked at the benton location and when one of your best older workers took medical leave, the manager said they would wait for him to recover before firing him. I've got more that are ten times worse.</t>
  </si>
  <si>
    <t>@Walmart Oh just in case you didn't figure it out, they waited so they wouldn't get sued. He was an amazing person who took care of our customers.  Next story I'll tell is at 9 30 cst about the pregnant associate and trying to get her to quit through dracat unsafe messaures.</t>
  </si>
  <si>
    <t>@Walmart Story two. A female co worker who was 7 months pregnant was made to be a cart pusher when the Temps outside were 90 to 100 degrees. Either she was going to quit or lose her baby. #walmartcares</t>
  </si>
  <si>
    <t>@Walmart @MileyCyrus Another wmt story. The cart pushers at your store were under 18 and a CSM bullied them into working during a lightning storm. That was the night me and a fellow worker left. Told him he wouldn't be able to work again if he didn't and we just laughed and went home. #walmartcares</t>
  </si>
  <si>
    <t>@Walmart @MileyCyrus I have a good story about walmart. I worked at the benton location and when one of your best older workers took medical leave, the manager said they would wait for him to recover before firing him. I've got more that are ten times worse. #walmartcares</t>
  </si>
  <si>
    <t>@Walmart @MileyCyrus Story three. A female co worker who was 7 months pregnant was made to be a cart pusher when the Temps outside were 90 to 100 degrees. Either she was going to quit or lose her baby. #walmartcares</t>
  </si>
  <si>
    <t>@Walmart @MileyCyrus I watched a disabled member of staff be told they need to stop shoplifters from leaving the store or face discipline. She put her body in front of a cart with 100 pounds in it. Her leg was broke in several places. #walmartcares</t>
  </si>
  <si>
    <t>@Walmart @MileyCyrus The store I worked in also followed black people when they shopped that were younger then 40. I was told they were responsible for a majority of thefts. #walmartcares #BLM</t>
  </si>
  <si>
    <t>@Walmart @MileyCyrus That was store level but here's a story from corporate.  They sign farmers up to buy their good but make sure not to pay for a out a year. That way farmers go bankrupt before they have to pay. Got told that story froma reliable source. #walmartcares</t>
  </si>
  <si>
    <t>@Walmart That was store level but here's a story from corporate.  They sign farmers up to buy their good but make sure not to pay for a out a year. That way farmers go bankrupt before they have to pay. Got told that story from a reliable source. #walmartcares</t>
  </si>
  <si>
    <t>@Walmart My last post of the day. At the main building walmart has a special code. It's called code white for when employees have mental breakdowns and have to be stretcherd out. Learned that from a friend. Happens alot. #walmartcares</t>
  </si>
  <si>
    <t>I am probably going to transfer my meds somewhere, because @Walmart pharmacy always has a problem with a couple of prescriptions of mine and I'm done. My Dr has had to call a few times, because they cancelled my prescription, which is on Walmart. @Walgreens here I come!</t>
  </si>
  <si>
    <t>@Walmart ur awesome for keeping kpop albums &amp;lt;3</t>
  </si>
  <si>
    <t>@Walmart Save $1430!!??  How much does the fool thing cost!!???</t>
  </si>
  <si>
    <t>@LizCrokin @Poshmarkapp @PoshmarkSupport Don't forget @walmart had some high priced kids shoes too</t>
  </si>
  <si>
    <t>@Walmart  your Lincoln County and st. Charles County locations have the worst customer service. I have never been answered by the store operators and all I want is to ask if they have adult neckties. They can't be bothered to pick up a damn phone.</t>
  </si>
  <si>
    <t>When the me@Walmart app won’t let you sign in 🫠 @Walmart</t>
  </si>
  <si>
    <t>A friend just sent me this while she was at @Walmart ! @Mythical @rhettmc @LinkNeal Glad to see it! Congrats guys! https://t.co/ohO7FAH9YZ</t>
  </si>
  <si>
    <t>@Walmart *hug* your customer service is really good too</t>
  </si>
  <si>
    <t>@Walmart I am glad</t>
  </si>
  <si>
    <t>For our environment, our economy and our people, we should install more #SolarOnSuperstores. Walmart’s roofs alone could generate enough solar energy to power 660,000 American homes. Call on @Walmart to #GoSolar by signing our petition: https://t.co/KvDE8rhPMi https://t.co/mE3ujjYJlt</t>
  </si>
  <si>
    <t>@NorthupWilma @Walmart @MsPattiPatti Why are cancelled order any solution ??</t>
  </si>
  <si>
    <t>-Been OBSESSED with creating content with mirrors lately. ✨ This little mirror was from the dollar spot at @Walmart! 
#ugcbeauty #ugc #ugccommunity #ugcmarketing #socialmediamarketing #usergeneratedcontent @Smashbox https://t.co/rA7093sdaN</t>
  </si>
  <si>
    <t>Legendary singer, successful chef &amp;amp; anything @MsPattiPatti decides to share with the world next. 👑 Get to know the icon in our latest #BlackAndUnlimited episode here! ➡️ https://t.co/7iunlIe6NN https://t.co/p2fWQaZIht</t>
  </si>
  <si>
    <t>2023 resolution check-in so far: 
✅ Drinking more water 
✅ Waking up earlier 
🚫 Buying rotisserie chicken &amp;amp; making it past the parking lot before digging in</t>
  </si>
  <si>
    <t>Last minute savings are on! Give the gift of Apple Watch SE (1st Gen), starting at only $199. Order today &amp;amp; get it in time for the big morning.
https://t.co/mR1JjMD09L https://t.co/hXQSzCkvFQ</t>
  </si>
  <si>
    <t>@RedRangerChris Damn, at quick glance I thought they had put the @Walmart logo on his helmet and as his face tattoo… lmfao 🤣 #CHC #Walmart #CollectorsHelpingCollectors https://t.co/gNWa9pyrJS</t>
  </si>
  <si>
    <t>@xrockytrejo @GhostLifestyle @Walmart I hope New Zealand gets the sour patch blue and red here soon 😭 I love them</t>
  </si>
  <si>
    <t>@ShelleyBlodgett @Walmart Nothing surprises me anymore.  No one takes pride in their work.  🙏 your dad will be okay.</t>
  </si>
  <si>
    <t>@ShelleyBlodgett @Walmart That’s concerning. So glad you all were so observant and figured it out. There’s nothing like family! You know your dad. ❤️</t>
  </si>
  <si>
    <t>@Walmart @WalmartInc use to have store security. https://t.co/7224gZE65z</t>
  </si>
  <si>
    <t>@Walmart I was just at Walmart in Vernon hills,illinois, the self check registers all of a sudden would not allow dairy items to be scanned and the registers locked up. The workers were super and did their best to get all working again. Great staff at the front end this afternoon</t>
  </si>
  <si>
    <t>So, a question. Can one buy @ChickfilA sauce on a Sunday at @kroger or @Walmart? Seems odd that one could. Asking for a friend… https://t.co/IIfIn6OtB8</t>
  </si>
  <si>
    <t>And it isn’t exploiting as is? 😂 We have places like @Walmart still not paying living wage. Come on. https://t.co/yNeCV6xwbD</t>
  </si>
  <si>
    <t>Ummm @Walmart why y’all don’t have NOTHING for Black History Month? 🤦🏽‍♀️ @Target here I come ‼️</t>
  </si>
  <si>
    <t>@Walmart Thank you!</t>
  </si>
  <si>
    <t>@BigDickBarclay @Walmart ADDRESS THIS</t>
  </si>
  <si>
    <t>@Walmart store #3741 needs some help with Walmart pick up! They literally letting people get their own groceries and load them in their own car this highly unprofessional!!</t>
  </si>
  <si>
    <t>Omfg @Walmart this is totally unacceptable. Honestly, does your team even look at pre-ordered merchandise before shipping them out? Now I’m gonna have to pry this open and fix his head. 🤬 #Walmart #FunkoPop #StarWars #BobaFett https://t.co/RH5L6CmXvM</t>
  </si>
  <si>
    <t>I don't go shopping @Target or @Walmart or any mall. why? because you can get shot and these companies support @NRA candidates. Amazon prime doesn't shoot https://t.co/j5Fzrp53Gw</t>
  </si>
  <si>
    <t>That everyday low price tho. @Walmart 😮‍💨👌 
📍6360 Lake Worth Blvd, Lake Worth, TX 76135 https://t.co/9ICajumnYC</t>
  </si>
  <si>
    <t>@GFuelEnergy @Walmart Not at my Walmart in South Carolina</t>
  </si>
  <si>
    <t>Arizona BCBS I have a patient who has gone without his long acting insulin for the whole month of January.  First It was @walmart pharmacy who told him just to take his short acting while they worked on it until I was involved 1/23.  Now my office has been trying for a week to</t>
  </si>
  <si>
    <t>@GFuelEnergy @Walmart Me when my Walmart got rid of the cans</t>
  </si>
  <si>
    <t>@GFuelEnergy @Walmart I am so jealous. I am lucky if my Walmart even has a case worth of cans!</t>
  </si>
  <si>
    <t>@GFuelEnergy @Walmart 😮‍💨😮‍💨😮‍💨 I needa find that Pac-Man can …right now I’m just finding the powder for hype sauce Pewdiepie and blueberry 😭😭😭😢</t>
  </si>
  <si>
    <t>@GFuelEnergy @Walmart ...dang... My Walmart doesn't sell cans anymore...</t>
  </si>
  <si>
    <t>💥lets help my book appear on shelves💥
🙏Attention friends and supporters!!!
🙏Thank you for love and support!
📸 Send me pictures reading the book
🙏Retweet and like
🙏Support the dream
🙏God bless you all 
@booksamillion 
@Walmart 
@Target 
@amazon https://t.co/0cm0aIzJaJ</t>
  </si>
  <si>
    <t>@GFuelEnergy @Walmart I have stolen hundreds of GFuel products from multiple Walmart's across the country.</t>
  </si>
  <si>
    <t>@GFuelEnergy @Walmart I can’t wait for those cherry lollipop and Spyro cans to hit the shelves here in Vancouver Washington!</t>
  </si>
  <si>
    <t>@buchananbunch_4 We're glad to hear you're enjoying all our services!</t>
  </si>
  <si>
    <t>@ManagerTactical there is nothing on the line in @MLS - I can go watch the parking lot @Walmart as they take on @Target &amp;amp; get more thrills</t>
  </si>
  <si>
    <t>Get Sweet With your Love this Valentines Day… Purchase Shoe Crazy Wines @FoodLion @TotalWine @Walmart @Target #SCW #Wine #ValentinesDay 👠 🍷 https://t.co/NSjjE8vKEd</t>
  </si>
  <si>
    <t>@Walmart @MileyCyrus give her another clothing line for us to buy pls 🤑</t>
  </si>
  <si>
    <t>@paulous1975 @RepMTG @Walmart Not in CT.</t>
  </si>
  <si>
    <t>@GFuelEnergy @Walmart my local walmart betrayed you guys. They replaced u guys with prime 💀like i was so disappointed</t>
  </si>
  <si>
    <t>@Walmart @MileyCyrus can I? idk I might scan them, pay and try to leave and then get accused of theft at the exit 💁🏻💁🏻</t>
  </si>
  <si>
    <t>@Walmart @GFuelEnergy @GammaLabs We’re all Walmart stans ‘round here</t>
  </si>
  <si>
    <t>@GFuelEnergy @Walmart HEAVEN 😍</t>
  </si>
  <si>
    <t>@Publix @Walmart @cvspharmacy I’m going into my nearest location of your store with GeForce installed and I’m going to redeem a vbuck card while in the bathroom https://t.co/iHvj43F8qO</t>
  </si>
  <si>
    <t>@GFuelEnergy @Walmart And my Walmart in Pittsburgh probably has 2 flavors. Always wanna try the new ones but they’re never here.</t>
  </si>
  <si>
    <t>@BigDickBarclay I also received that racist email from @walmart</t>
  </si>
  <si>
    <t>@SimpNeelix @BigDickBarclay @Walmart They always say it's a deal but tbh inflation has really ruined the appeal of chitlins to me</t>
  </si>
  <si>
    <t>@ClownWorld_ @Walmart what up?</t>
  </si>
  <si>
    <t>@squishmallows @Pokemon My local @Walmart said they aren't selling them yet 😤😤😤😤</t>
  </si>
  <si>
    <t>@AshKickerUSA @Walmart #TheCount 🤵🏻‍♂️ aint not mad up hiz mind yet…I tell em it shud b #HevyWateChamp 🏆 #BigDikDale 🍆 layz pipe 🏗️ n supamodel 🍑 but well c wat he say</t>
  </si>
  <si>
    <t>@GFuelEnergy @Walmart Ahhh, getting close to home.</t>
  </si>
  <si>
    <t>Available as an eBook or Paperback from @amazonpublishing, @waterstones, @barnesandnoble, @walmart and The British Library.
____________
#wakingupeighty #becarefulwhatyouwishfor
•
•
#wakingup80 #wakingup80 #comedy #Sholalawrence
#wakingupeighty #wakingup80 #booktoscreen https://t.co/c6tQQOGCwU</t>
  </si>
  <si>
    <t>Available as an eBook or Paperback from @amazonpublishing, @waterstones, @barnesandnoble, @walmart and The British Library.
____________
#wakingupeighty #becarefulwhatyouwishfor
•
•
#wakingup80 #wakingup80 #comedy #Sholalawrence
#wakingupeighty #wakingup80 #booktoscreen https://t.co/0wANYdYT8D</t>
  </si>
  <si>
    <t>My day at #ogp @Walmart https://t.co/GDaII7QbkH</t>
  </si>
  <si>
    <t>$15 Walmart e-Gift Card Giveaway! @walmart #walmart via @gaynycdad #sweepstakes https://t.co/7SwcX7hW6C</t>
  </si>
  <si>
    <t>So @LoblawsON , @Walmart, time to step up and help those folk that are struggling for groceries. Take a leaf from the book of @AldiUK and offer low cost boxes of expiring food. #TooGoodToGo</t>
  </si>
  <si>
    <t>@Walmart please fix your on line ordering system. Can’t place order now for 2 weeks due to alcohol disclosure box missing. Can only order using mobile phone.</t>
  </si>
  <si>
    <t>@TristeCoach @tullius_john @gabrielle_clint @ctwpanthers @ctw_library @mlerma78 @ElizaPasill Thank you @Walmart Associates for partnering up and sharing the love of reading with our panthers!</t>
  </si>
  <si>
    <t>@ShelleyBlodgett @Walmart Oh no! Glad you all figured it out</t>
  </si>
  <si>
    <t>I ❤ that @HardyMusic Mocking Bird box set was delivered quickly. Conner is going 2 ❤ it! Now, if only @Walmart will ever come thru on the online only exclusive preorder vinyl I placed an order 4 back on December 11. It's really going 2 suck if they don't! @bigloudrock @BigLoud</t>
  </si>
  <si>
    <t>Dear @Walmart (and all other stores that are predominantly self checkout), You are almost exclusively self-checkout now. The last time I was there the lady checking receipts at the exit was stopping everyone. I chose not to participate in that foolishness! Put the cashiers back!</t>
  </si>
  <si>
    <t>@Walmart @MileyCyrus We will never forget... https://t.co/jTEV6WGfUj</t>
  </si>
  <si>
    <t>@plkpauIFMTP0Zvg @pfffbeep @khouryrt @AndroidAuth @CIA @VickyPJWard @Walmart @elonmusk @NBCNewYork Send a henchman</t>
  </si>
  <si>
    <t>@ShelleyBlodgett @Walmart Yikes!  Great fast work figuring out what was causing the changes in your dad.</t>
  </si>
  <si>
    <t>@plkpauIFMTP0Zvg @juugya1 @pfffbeep @khouryrt @AndroidAuth @CIA @VickyPJWard @Walmart @elonmusk @USNavy @DBanksy redhook</t>
  </si>
  <si>
    <t>@juugya1 @pfffbeep @khouryrt @AndroidAuth @CIA @VickyPJWard @Walmart @elonmusk Exactly</t>
  </si>
  <si>
    <t>@Ecclesi41663287 @pfffbeep @khouryrt @AndroidAuth @CIA @VickyPJWard @Walmart @elonmusk Not the going bald way</t>
  </si>
  <si>
    <t>Whoever had Beyoncé announcing her world tour on their bingo card, we bow down. 👑🐝🎶 #RENAISSANCEWorldTour</t>
  </si>
  <si>
    <t>@Walmart I need some money for tickets 😭😭</t>
  </si>
  <si>
    <t>@kenissupreme @Walmart @Walmart Give them a job so they can get the money for the tickets please 😭</t>
  </si>
  <si>
    <t>@Walmart Pay your Associates a living wage.</t>
  </si>
  <si>
    <t>Hey @Walmart - just saw a video of a Cracker Jack employee denying a man and his service dog access to your store in North Bay, Ontario.  How dare your employees ask him the questions he does.  Apologize #ServiceDog @djnontario</t>
  </si>
  <si>
    <t>@mikhannahsmom @Walmart Ellen - these experiences are awful.  In the end the best way to make a point is spending elsewhere.</t>
  </si>
  <si>
    <t>@Walmart Congratulations 😊</t>
  </si>
  <si>
    <t>Why tf does @Walmart not have Apple Pay…what tf is Walmart pay smh</t>
  </si>
  <si>
    <t>@BionicBeauty I've looked at them and have an interest for them, but my brain doesn't let me make purchases like that, so no, I have a POS @Walmart @Tracfone. Worst phone I've ever bought. But I also don't use my phone for much more than Twitter, so...</t>
  </si>
  <si>
    <t>@Walmart @walmarthelp @SamsClub @samsclubhelp isn't it interesting how this horrible experience with a member of Walmart leadership almost matches a similar experience that I had at my local Sam's Club with a member of leadership?  I get extra for being Walmart &amp;amp; Sam's Plus. https://t.co/OSPqzAxCTr</t>
  </si>
  <si>
    <t>@Walmart this is what a typical WalMart employee acts like when providing customer service.  What say you about your employee Isaac Blackhawk?  #WaitItGetsBetter https://t.co/zEzY0A7PUQ</t>
  </si>
  <si>
    <t>I had an employee from @Walmart who is supposed to be a member of leadership reach out to me about a failed delivery order.  This is what the always professional Walmart employee had to contribute after calling me on the telephone and talking to me like a sailor...@walmarthelp https://t.co/XJrvu8fUSR</t>
  </si>
  <si>
    <t>Look at this role model employee who contacted me and was supposed to help resolve an issue with a store delivery...@Walmart why do you staff almost exclusively with individuals like this? @walmarthelp , you call this help? https://t.co/jzspOKaJq8</t>
  </si>
  <si>
    <t>@Walmart @walmarthelp can you please confirm the geographic location, of your member of leadership Mr. Isaac Blackhawk, so I can file a police report after being victimized earlier today? https://t.co/paz1eYns0o</t>
  </si>
  <si>
    <t>The @Walmart approved professional language for managers, according to Walmart manager Isaac Blackhawk of Walmart Customer Support, Social Media Team, who chose to use them with me, includes: "nigga", "old fuck", "bitch ass nigga", "bitch" and "retard"... https://t.co/celLa4v8oI</t>
  </si>
  <si>
    <t>@Walmart @walmarthelp I would like someone on your end to put me in touch with a member of management so that an incident report can be filed and subsequently a police report. You guys have ignored a similar incident at Sam's Club since the 17th of January... Not happy! https://t.co/SHA4Mwly5g</t>
  </si>
  <si>
    <t>@Walmart @walmarthelp why do I have the impression that your lack of response implies that you must support this kind of behavior?  An incident report must be filed immediately along with a police report. Your customer service has been no help. https://t.co/myg0laa2wN</t>
  </si>
  <si>
    <t>@Walmart @walmarthelp I have reached out through chat in order to have someone at Walmart address the level of professionalism that exists within your organization, I've reached out to customer service also by telephone and through social media. No further ahead... https://t.co/7qhrSEVNfG</t>
  </si>
  <si>
    <t>I'm sorry, I'm not sure @Walmart appreciates or deserves any of our business. See what a Walmart manager had to say to me today.  Professional language right? https://t.co/5ubXFXskGJ https://t.co/QgowbCgkZk</t>
  </si>
  <si>
    <t>@walmart wants you to spend $100 becoming Plus like I did...but look what that loyalty got me. ..and I still don't have my home delivery order from Friday of last week. https://t.co/hcZsSA71ta https://t.co/EJTAI8qgUw</t>
  </si>
  <si>
    <t>@Walmart could you had "treat customer like we say we do" to that resolutions list?  It's badly needed considering how I've been treated by Walmart managers recently. The attached image is just from today... https://t.co/gyaPDYT87v https://t.co/jhL8ACCJeO</t>
  </si>
  <si>
    <t>What altered my brain chemistry is what @Walmart now finds as acceptable language for their managers. https://t.co/9XOXmxTThZ https://t.co/Z1wuvUa8qw</t>
  </si>
  <si>
    <t>@Walmart do you bow down, or do you start issuing abuse like your manager dished out to me today? https://t.co/6IW3iBwfup https://t.co/KUs9HuqOem</t>
  </si>
  <si>
    <t>@Walmart @Target @TargetDeals
@BestBuy_Deals @BestBuy 
Nyne NHT5.1RGB 5.1 Channel Home Theater System - Bluetooth, USB, + 8&amp;amp;#034; Subwoofer  https://t.co/oRziDyXh9r</t>
  </si>
  <si>
    <t>@Walmart @TargetDeals
@BestBuy_Deals FREE SHIPPING!! Adidas MenOriginal Trefoil Street Graphic Front Pocket Active Pullover Hoodie  https://t.co/4ozbptRoCB</t>
  </si>
  <si>
    <t>@Walmart @TargetDeals
@BestBuy_Deals Adidas Trefoil Logo Graphic Pouch Pocket Pullover Hoodie  https://t.co/5vPLkxfl6u</t>
  </si>
  <si>
    <t>I  can't hear you. Don't mean to be insensitive, but what are you healing?? @Walmart @ZanfelPoisonIvy #hellaears https://t.co/vUrFUNNgTd</t>
  </si>
  <si>
    <t>⁦@Walmart⁩ Finance standardizes on #PowerBI for #reporting and #analytics #cloud #msbi #azure  https://t.co/07HWXWXDTx</t>
  </si>
  <si>
    <t>@Scrub__Zero @GFuelEnergy @Walmart I work for a local distributor and gfuel we had in the local walmarts and then 3 weeks ago they pulled all flavors out of the system. No reason has been given to me yet from my boss or the stores</t>
  </si>
  <si>
    <t>@TweakX @GFuelEnergy @Walmart I know, I'm a manager at a Neighbordhood Market, which if you didn't know (because I didn't before I worked here) is a just Walmart Grocery store. I oversee the team that sets modulars, and noticed it was removed, I was then sad.</t>
  </si>
  <si>
    <t>@GFuelEnergy @Walmart My Walmart stopped carrying, sad days.</t>
  </si>
  <si>
    <t>Here is my cat who wears his @Walmart sweater when it’s cold https://t.co/8ETASluVGC</t>
  </si>
  <si>
    <t>$15 Walmart e-Gift Card Giveaway! @walmart #walmart via @gaynycdad #sweepstakes https://t.co/Kk6Ls3F9gQ</t>
  </si>
  <si>
    <t>$15 Walmart e-Gift Card Giveaway! @walmart #walmart via @gaynycdad #sweepstakes https://t.co/m390n4ScBG</t>
  </si>
  <si>
    <t>$15 Walmart e-Gift Card Giveaway! @walmart #walmart via @gaynycdad #sweepstakes https://t.co/pMTAUX8PbH</t>
  </si>
  <si>
    <t>$15 Walmart e-Gift Card Giveaway! @walmart #walmart https://t.co/ugp54G8hDh via @gaynycdad</t>
  </si>
  <si>
    <t>So once again unable to use my @Chase debit card at @Walmart and @SamsClub    Apparently a known issue. Ongoing for months. Largest bank and largest retailer in the US and they can’t fix this? Sounds like a good @planetmoney story. Or @ABC story. Incredible corporate incompetence</t>
  </si>
  <si>
    <t>@Walmart Please remove these #Alligator #MardiGras costumes from the Galveston, #Texas location since Nobody is Buying them for $129.00 PLEASE replace it with Mardi Gras door cover panels like you always have over the last several years.(2nd Pic)
PLEASE 🙏🏼 Starts Feb 10th
👑🎉🥳 https://t.co/vOShGEz5Iw</t>
  </si>
  <si>
    <t>@MajorWFPod @OriginalFunko @Walmart @Target @CodyRhodes @RheaRipley_WWE @BiancaBelairWWE @MDMTedDiBiase @HulkHogan @MrT I definitely want that Cody pop!</t>
  </si>
  <si>
    <t>@davoice @Walmart It might depend on where you live, because I’ve had the reverse experience. Walmart pickup and delivery is far from perfect, but it gets the job done most of the time for me.</t>
  </si>
  <si>
    <t>Look what I bought @walmart today pair of stitch pants #nightmarebeforechristmas cup #harrypotter cup and a doggy bed for Ozzy @ Richland Center, Wisconsin https://t.co/wWZi8RorUU</t>
  </si>
  <si>
    <t>Thank you Horizon City Police, @Walmart Associates, Unified Special Olympics El Paso Charter, for sharing the love of reading this morning with our Panthers! https://t.co/Ki76lM7FYe</t>
  </si>
  <si>
    <t>@Walmart You take my money, say my reserve expired. Then you want to hold my money for four days? 
So, a person who has a budget for groceries is stuck waiting 4 days to get their money back so they can get their groceries elsewhere. What do you expect them to do in the meantime?</t>
  </si>
  <si>
    <t>@GFuelEnergy @Walmart Might buy one of these for myself on my birthday on 2/13 for that price (: if it's still that price :D</t>
  </si>
  <si>
    <t>@Walmart @MileyCyrus We don't need fake fan here. Didn't you rip a contract with Miley back 2010? Oh well</t>
  </si>
  <si>
    <t>@Walmart @MileyCyrus If you can't handle Miley in her 2010 era you don't deserve her at her 2023 era.</t>
  </si>
  <si>
    <t>@Walmart @MileyCyrus You guys owe her an written apology https://t.co/si9HeGTsxi</t>
  </si>
  <si>
    <t>@Walmart @MileyCyrus we don’t forgive and forget easily Walmart 😠</t>
  </si>
  <si>
    <t>@Walmart @MileyCyrus i think it’s time to apologise to ‘your girl’ for trying to sabotage her back in the day. . we didn’t forget.</t>
  </si>
  <si>
    <t>@Walmart @MileyCyrus Bitch don’t even</t>
  </si>
  <si>
    <t>@Walmart @MileyCyrus @Walmart just a reminder I think before you tweet like that, you need to apologize to Miley for what you did in 2010.</t>
  </si>
  <si>
    <t>@Walmart @MileyCyrus Yeah we still remember. NEVER FORGET. ✊🏽https://t.co/Roi4VPDCxs</t>
  </si>
  <si>
    <t>@Walmart @MileyCyrus Is Miley your girl now? 🙄🤌
https://t.co/D7qGIWrAyQ</t>
  </si>
  <si>
    <t>@ChilisSupport Y’all had one job… what I ordered vs what I got… guess Ill go cook to @Walmart to get the rest of the items to finish making my salad. Short handed shouldn’t mean lack of customer service or attention to detail. https://t.co/vabRo4IUnE</t>
  </si>
  <si>
    <t>Did you know that every time you shop on https://t.co/Jxj5lWthkb or the @Walmart app, you can round up your change and donate it to the St. Louis Area Foodbank? Learn how small acts can lead to big impact at #WalmartSparkGood 
https://t.co/MrqlvSPfQR. https://t.co/S2B6YQIsp8</t>
  </si>
  <si>
    <t>I just want to know why @Walmart won’t price match to their own website</t>
  </si>
  <si>
    <t>@kimkomando @amazon I’ll stick with @Walmart.</t>
  </si>
  <si>
    <t>😬 Wanna finish off that random #StarWars release of surprise store exclusive Clone teams? Sigh… 🤦🏻‍♂️ This better be available for more than 5min @Walmart @Hasbro coming soon… or maybe later. Who knows 🤷🏻‍♂️ https://t.co/76Y1kDq8ZK</t>
  </si>
  <si>
    <t>for the love of jesus, mary, and joseph, please go back to being 24/7 @Walmart</t>
  </si>
  <si>
    <t>@Walmart @WalmartInc is there an easier way to find a lost receipt that was paid in cash instead of going through 7,000 receipts? Asking for a friend</t>
  </si>
  <si>
    <t>@AmberMiller86 @Walmart Congratulations very lucky indeed!</t>
  </si>
  <si>
    <t>@ShelleyBlodgett @Walmart Thank Goodness 🙌🙏🙏🙏♥️</t>
  </si>
  <si>
    <t>Check your local @Walmart for @Pokemon #Squishmallows https://t.co/VmAJVFA2hX</t>
  </si>
  <si>
    <t>@Walmart yo what is in my great value bacon?!? Am I gonna die if I eat it I literally just bought the pack to day chopped it up and some pieces looked like this https://t.co/IBbOuaVTnS</t>
  </si>
  <si>
    <t>whoever picked out my groceries for my @Walmart delivery order the other day got all nasty fruit 😭</t>
  </si>
  <si>
    <t>-Damn it! @CodyRhodes @OriginalFunko #FunkoPop is sold out on @Walmart! Any more? Seriously?!!</t>
  </si>
  <si>
    <t>@davidhogg111 This IS fking ridiculous. I'll start having groceries delivered. I refuse to be some crazy gun ghoul's collateral dmg. Of course I'll spend LESS @walmart, @publix, @target &amp;amp; any other stores I will no longer go to. No more beach too. The pool will hopefully be safer. And CHEAPER!</t>
  </si>
  <si>
    <t>Is it just me? Or is @paramountplus like the $5 dvd bin @Walmart of movie/tvshow apps?</t>
  </si>
  <si>
    <t>@REMASCULATE Got two boxes in closet from @Walmart</t>
  </si>
  <si>
    <t>This artist used our watercolor paper to bring life to the creatures of the coast! 
Art by: @meganmreaves
Made with: ArtSkills #Watercolor Essentials Pad, available at @Walmart.
Link: https://t.co/nE0dkqqwVk
#ArtSkills #CustomerCreations #ArtOfTheWeek #FunWithArtSkills https://t.co/SLoOLONP6T</t>
  </si>
  <si>
    <t>Anyone get a video of the fight outside the @walmart tonight?  @Laurens55High</t>
  </si>
  <si>
    <t>@Walmart you fucking suck</t>
  </si>
  <si>
    <t>@Walmart @WalmartInc @WalmartAction yall fucking suck. How yall take an order and cant fulfill it and want me to wait 4-10 days? Fuck out of here this why people steal from yall</t>
  </si>
  <si>
    <t>Learn how @Walmart uses teamwork and collaboration to ensure their commitment to regeneration and how #sustainability underpins every aspect of the retailers’ complex #supplychain at #NRFSupplyChain360. https://t.co/2fQlQlTF2u https://t.co/uapqmfQJLR</t>
  </si>
  <si>
    <t>My girlfriends grandma calls n tells us to shop @Walmart every single day. It’s hysterical and we look forward to it. Today she name dropped @Walmart 17 times in 4 minutes and we weren’t even talking about shopping. It’s almost like she’s doing an ad. Everyday!</t>
  </si>
  <si>
    <t>💘Better Homes and Gardens brought back their propagation stations! We all need one of these in our kitchen windows. Under $15 in @walmart stores and online. The link is in our Instagram stories. #home #whoawaitwalmart #propagation #plants #plantlady
https://t.co/sBc7lfsbCd https://t.co/WOoHqyB7QO</t>
  </si>
  <si>
    <t>@Walmart @walmarthelp  is there ever a time at which only self-checkout's are available? i.e. No one to run a register, scan items, assist in bagging, etc...? That gentleman had to be in his 80's... 
...asking for @AAPD  #ADA</t>
  </si>
  <si>
    <t>@Walmart Your store policies regarding your employees and how they profile people needs an upgrade at store 4611 State Highway 29 S Alexandria, Minnesota 56308.
Following people or a person around the store and through checkout is harassment.</t>
  </si>
  <si>
    <t>@Walmart WTLF? You used to be affordable for the avg Joe/Jane. Now your as spendy as DJT.! Where/when did WallyWorld come up w/ the idea that folks that could buy better products wouldn’t &amp;amp; would pee their $ away @ noisy, dirty Walmart??  &amp;amp; THEN go out to find their car looted?</t>
  </si>
  <si>
    <t>@JamesZaky @MrcLucien @NikiasMolina In the US, there are  10 major brands that don't take contactless: @Walmart @Samsclub @Kroger @HomeDepot @Lowes @HobbyLobby @HEB @Menards @WinCoFoods &amp;amp; @restorationhard</t>
  </si>
  <si>
    <t>@Walmart I was one day late to save my photos from being deleted from my account. I apologize. Can you please help me get my old pictures back? 
It's my fault but so many memories in those pictures. I can order prints or whatever is necessary. 
Please help .........</t>
  </si>
  <si>
    <t>@_bilaire I'm so glad I don't buy @Walmart  shit.</t>
  </si>
  <si>
    <t>@Walmart @Roblox Hi Walmart Land on Roblox, a friend of mine didn't get the fruit hat nor the badge today when she passed by the pineapple arch...took the Walmart dollari but at the end no UGC got...please fix this bug!</t>
  </si>
  <si>
    <t>We are thrilled that @Walmart considered @CoupleyFit as Black Health Heroes to highlight during #BlackHistoryMonth 
This week, the focus is on changemakers and nonprofit orgs that have made and are making physical health &amp;amp; wellness a priority for the community #BlackHealthHeroes https://t.co/EP5VltLhjz</t>
  </si>
  <si>
    <t>@kroger and @Walmart lame as fuck for not taking Apple Pay.</t>
  </si>
  <si>
    <t>@Walmart I’ve been getting the run around for months. Someone put a fake gift card in one of your gifts cards at a local Walmart store in Pennsylvania. Apparently this is a big problem lately..anyway I’m out 200 dollars. Haven’t heard back from corporate. Please help! Thank you.</t>
  </si>
  <si>
    <t>@Walmart I’ve been getting the run around for months. Someone put a fake gift card in one of your gifts cards at a local Walmart store in Pennsylvania. Apparently this is a big problem lately..anyway I’m out 200 dollars. Haven’t heard back from corporate yet. Please help! TIA.</t>
  </si>
  <si>
    <t>Watching @AEW, @bryandanielson take on some guy name Thacher who instead of wearing a robe to the ring, he actually came out wearing a @Walmart "housecoat." LLH 🤣😂😅</t>
  </si>
  <si>
    <t>@MayanProfit @drpepper I heard about it today and drove through ice and snow to find it. I grabbed the last 12 pack on the shelf at @Walmart</t>
  </si>
  <si>
    <t>Royal Oils by @Headshoulders has been keeping my hair and scalp fresh, just like how my dad taught my bros and me always to stay fresh. Go cop some at @Walmart. https://t.co/hORMQuBm1s #FathersDay #ad #RoyalOilsPartner https://t.co/fgFPh50W8p</t>
  </si>
  <si>
    <t>OH, ZIT! 👀❤️⚡️our “what acne?” clarifying k-beauty best sellers help ban blemishes &amp;amp; future breakouts. 
NOW AVAILABLE at select @Walmart stores! ✨ run, besties! https://t.co/6IFAwRRDWt</t>
  </si>
  <si>
    <t>@Walmart on a roll with the 10th and 11th cancellations of preorders in the last year. @pickett_shaun u have any luck? Terrible for #chc https://t.co/EyS0sM5Bg5</t>
  </si>
  <si>
    <t>I’m thankful that @Walmart considered us Black Health Heroes to highlight during black history month! https://t.co/3wKXj0bRGB</t>
  </si>
  <si>
    <t>I got me some lunchables at walmart   @RealLunchables  @Walmart https://t.co/hIEXCA588i</t>
  </si>
  <si>
    <t>I went on a walmart run! @smartsweets  @Walmart https://t.co/89gd44QQwq</t>
  </si>
  <si>
    <t>It would be a dream if W+, did a spindown program like @Amazon does for those getting government assistance on a low income. I would have kept @Walmart + had it not been for the rising cost &amp;amp; inflation. I loved my 30-day free trial. I really did. So muchhhhhhh!</t>
  </si>
  <si>
    <t>95% of the ocean is unexplored which means the recipe for Chick-fil-a sauce could be down there 🤐</t>
  </si>
  <si>
    <t>I’m extremely grateful that @Walmart considered us Black Health Heroes to highlight during black history month! https://t.co/7bwVFAb22Q</t>
  </si>
  <si>
    <t>@Walmart 
I live in Sugar Land TX.
During Black Friday sale on 11/07/22 I bought a printer from:
345 Hwy 6
Sugar Land, TX 77478 
The printer isn't compatible with my laptop. On 12/19/ 2022 I went to Walmart to return it but the store manager refused.</t>
  </si>
  <si>
    <t>@Walmart @MileyCyrus “Our girl” lmao fu https://t.co/1808junSpP</t>
  </si>
  <si>
    <t>@Walmart love the bait and switch pricing going on at the South Muncie store.  Totally contacting the #indianaattorneygeneral @ToddRokitaIN</t>
  </si>
  <si>
    <t>No one ever tells you how a weird part about growing up is how you wake up one day and suddenly like sauerkraut….and post about it. 
@Walmart in Fayetteville carries @ClevelandKitchn Kraut and I gotta say… 🔥. 
Should expect nothing less from the city of magic, @RAGEKAGE57. https://t.co/vAiInx9jrW</t>
  </si>
  <si>
    <t>@jagograhakjago @PiyushGoyal @AshwiniKChoubey @SadhviNiranjan @PIB_India @mygovindia @rohitksingh Where are these located? Need to sort out my issue with @Flipkart @flipkartsupport
@Walmart
#countonflipkarttoscrewitup</t>
  </si>
  <si>
    <t>DAY 59! Simply unbelievable!
I'm still trying to buy a new TV using your buyback guarantee commitment @Flipkart @flipkartsupport
@jagograhakjago @PiyushGoyalOffc @PiyushGoyal @WalmartInc @walmartindia @Walmart
#countonflipkarttoscrewitup https://t.co/hFqi3mShpH</t>
  </si>
  <si>
    <t>@Walmart Why you treat your employees like slaves. From the moment they joined this organization they badly treated. Your DC centers are the worst your wages are the lowest and the support for your employees is not existant. #Shame</t>
  </si>
  <si>
    <t>Why the shift to #selfcheckout may be longer than #retailers think. https://t.co/ZqZNzs2m7I #retail #retailers #shop #shopping #tech #technology #consumerbehavior #marketing #management #strategy #advertising #grocery #news @Walmart @Lowes @Target @HomeDepot @CivicScience @Medium</t>
  </si>
  <si>
    <t>In case anybody else hasn’t cried enough from @LastOfUsHBO the Bill and Frank wine is at @Walmart for $15 #LastOfUsHBO #imnotcrying https://t.co/JBdMTMm3QH</t>
  </si>
  <si>
    <t>One minor hiccup tonight. I was diving up the rolls of sausage that we got from @Walmart it smelled rotten. I almost hurled</t>
  </si>
  <si>
    <t>@DargonLuce @Walmart The overlord is going to tomorrow.</t>
  </si>
  <si>
    <t>@Frank_Butterfly @Walmart Take them back!</t>
  </si>
  <si>
    <t>@Frank_Butterfly @Walmart Good.</t>
  </si>
  <si>
    <t>@Walmart I had to pay $104 for membership for WalMart+ and on the Tuesday before Christmas, I placed an order for groceries to be delivered the next day. No delivery on Wednesday, Thursday, Friday and on Saturday WALMART cancelled my order because they said no drivers were available!</t>
  </si>
  <si>
    <t>@Walmart I paid $104 for membership for WalMart+ and on the Tuesday before Christmas, I placed an order for groceries to be delivered the next day. No delivery on Wednesday,  Thursday, or Friday and on Saturday WALMART cancelled my order because they said no drivers were available!</t>
  </si>
  <si>
    <t>@Walmart @MileyCyrus Are you bored Walmart?</t>
  </si>
  <si>
    <t>@Walmart … I sent a tweet last night regarding 2 separate orders that were cancelled by Walmart because I was told my order was out of stock. WHY DID I GO IN THE STORE TODAY AND THE ITEMS I ORDERED WERE THERE ON THE SHELF AND THE EXACT AMOUNT WHAT I ORDERED!!😡 Get it together!!</t>
  </si>
  <si>
    <t>@Walmart @MileyCyrus She’s not your girl until you apologize for what you did to her</t>
  </si>
  <si>
    <t>@Walmart 
Can you please make a Peanut Butter Peanut Butter ONLY Package of the Peanut Butter Dipped Ice Cream Cones Please? 
I buy a 6-Pack of Peanut Butter Cones just to eat 1 or 2 Cones in each box because those are the only ones I enjoy. 
#PeanutButterLovers https://t.co/L2iLqZThs0</t>
  </si>
  <si>
    <t>Delano @Walmart is literally the WORST Walmart I’ve ever been to when it comes to customer service!
Never again.</t>
  </si>
  <si>
    <t>Today was the first and only time I’ve ever placed a @Walmart pickup order &amp;amp; they had every single item in stock. No substitutions. I am favored 😹😹</t>
  </si>
  <si>
    <t>Delicious and gluten-free, these @oceanshalo Organic vegan dressings make the perfect dipping sauce! Want to know more? Read my review @socialnature! #GotItFree available at @walmart https://t.co/yARv34RAwo</t>
  </si>
  <si>
    <t>Hey @KyleClark I have an idea for a story. Seems odd to me that @Walmart could change prices on the exact same product so drastically. It’s happening with many products/brands https://t.co/iywltYZUen</t>
  </si>
  <si>
    <t>@andi0304 @mantarnyc @ManhattanDA @MontCoExec That's why @Walgreens  closed so many of its stores in San Francisco, and @Walmart is now talking of closing stores.  Read the book #WhenMoneyDies.  It's history repeating itself, right now,  here in the good old USA .</t>
  </si>
  <si>
    <t>@Walmart @MileyCyrus I’LL DO IT!💐💐💐</t>
  </si>
  <si>
    <t>@EllyDeLaCruz22 @Walmart The fact that you're using the word "incompetent" when talking about a person with IDD is just mindblowing. If I'm following you, I need to correct the issue now.</t>
  </si>
  <si>
    <t>@EllyDeLaCruz22 @Walmart Yep, I get it. "F*** your feelings" and all that. It's all good. Happy trails. 👋</t>
  </si>
  <si>
    <t>@schlottgsarah @Walmart Did they fire the employee only because they have IDD or because they couldn’t do the job they were hired to do? Big difference in the 2 reasons. If the former they need to be sued for millions of the latter everyone can be fired if they’re incompetent in their job.</t>
  </si>
  <si>
    <t>@schlottgsarah @Walmart Just because someone has IDD doesn’t mean they can’t be incompetent in performing a job and there’s nothing wrong with saying so. I don’t give a care if you’re following me or not. I’ll speak the truth regardless of your opinion. Facts are facts</t>
  </si>
  <si>
    <t>@schlottgsarah @Walmart Happy trails amigo. So regardless if a employee is competent or not a business has no right to fire them? Absolutely insane. I hate it for people with IDD or any disability but if they are hired to do a job then they can’t perform said job the business has a right to fire them</t>
  </si>
  <si>
    <t>Tried the “new” RELOVE by @MakeupRVLTN line found at my local @Walmart &amp;amp; well I’m blown away 😱 check out my two part videos on my tiktok below ⬇️ https://t.co/yO8fNhQx8i https://t.co/8XcMlOfx6t</t>
  </si>
  <si>
    <t>@lolgeselle Same! Hopefully we get ones from @Target @Walmart &amp;amp; @UrbanOutfitters 🤞❤️</t>
  </si>
  <si>
    <t>@Walmart great Roblox event! https://t.co/iPdBEte2JS</t>
  </si>
  <si>
    <t>1st annual "KING OF NEW YORK CIVIL WAR YOUTH ALL STAR SHOWCASE" 
UPSTATE NY VS DOWNSTATE NY 
AGES 8-14 
Actively Looking for #sponsorship 
to have naming rights to event.
@Battle
@DrinkBODYARMOR 
@Walmart 
@RalphsFamous 
@Delta
@JetBlue 
@SouthwestAir 
@Nike https://t.co/K9WpKoL9tQ</t>
  </si>
  <si>
    <t>@Walmart @MileyCyrus Get a Job
Stay away from her https://t.co/pxL2NrTjc8</t>
  </si>
  <si>
    <t>@squishmallows @Pokemon My girlfriend absolutely loves the Gengar Squishmallow, and we were lucky enough to find one in store the other day! Unfortunately, @Walmart literally wouldn't let my girlfriend buy it, which really sucked.</t>
  </si>
  <si>
    <t>@GhostPantsDaily @squishmallows @Pokemon @Walmart Today is the day to go. The system flags if an item is pushed out before street date. They were dated for feburary but now they are on the floor.</t>
  </si>
  <si>
    <t>If you get caught stealing in @Walmart u jus don’t know how to steal !😂😂</t>
  </si>
  <si>
    <t>Join us in Houston, TX on March 9-11 for the Women of Color Conference! 
Register Here:
https://t.co/o5FL21LMbw
@Walmart @Deloitte @StateFarm @ADP @ATT @AARP  @CocaCola https://t.co/rJWBsi7OpU</t>
  </si>
  <si>
    <t>Congratulations to the 2023 Asian Pacific American Women's Leadership Institute (APAWLI) class!
@StateFarm @Walmart @Deloitte @EsteeLauder https://t.co/m3pXMwWW8c</t>
  </si>
  <si>
    <t>Pls read d grievance photos which i hv also filed in consumer forum after been awake all night 4 d harrasment done by u guys @Walmart @walmartindia @_sachinbansal @Flipkart @flipkartsupport help @jagograhakjago Ref# 4233486 (OD427092833000780100)
&amp;amp; 4233475 (OD426988798518054100) https://t.co/UyfLg3yg8O https://t.co/vCOrmXwD5d</t>
  </si>
  <si>
    <t>See the kind of vague harrassing response done by u guys @Walmart @walmartindia @_sachinbansal @Flipkart @flipkartsupport pls help @jagograhakjago Ref# 4233486 (OD427092833000780100)
&amp;amp; 4233475 (OD426988798518054100) https://t.co/avZOSLjl0n https://t.co/LwwBkdKXAB</t>
  </si>
  <si>
    <t>@PiyushGoyalOffc  pls refer tweets photos or only grievance n take stringent action if possible 
#Harrassing #Fraud by @Walmart @walmartindia @_sachinbansal @Flipkart @flipkartsupport help @jagograhakjago Ref# 4233486 (OD427092833000780100)
&amp;amp; 4233475 (OD426988798518054100) https://t.co/XknWOMf7od https://t.co/67epbCpLpW</t>
  </si>
  <si>
    <t>Since morning you are asking me DM , i have DM you since 7am, resulting to no update till now.
@flipkartsupport @Flipkart @Walmart @WalmartInc @walmartindia please help  @jagograhakjago @PiyushGoyalOffc</t>
  </si>
  <si>
    <t>As expected there's very little supplies of bread and eggs at the @Walmart in Hulen area of Fort Worth Texas due to the weather @NBCDFWWeather @NBCDFW. #txwx #dfwwx https://t.co/I9JI5V08nb</t>
  </si>
  <si>
    <t>@ThomasDBradley @Walmart @NBCDFWWeather @NBCDFW Holy Moly!</t>
  </si>
  <si>
    <t>@Walmart tell your CEO to improve the Spark delivery system. I have 15 orders to choose from because none of them are ready due to hour decreases for employees. So the items don’t get picked on time since there are fewer employees there to pick the items. Customer first.</t>
  </si>
  <si>
    <t>@douglas_laster @Walmart Hi handsome</t>
  </si>
  <si>
    <t>Exceptional leadership requires counterintuition, courage &amp;amp; clarity. @Walmart exemplifies how that rare combination accelerates #DigitalTransformation, elevates customer experience &amp;amp; fortifies strategic readiness. @BetaMoroney @aldoceccarelli @YuHelenYu  https://t.co/Gz7x0vaRcb</t>
  </si>
  <si>
    <t>@Walmart consistently has the slowest checkouts at every store. Good job guys 👏</t>
  </si>
  <si>
    <t>@ShelleyBlodgett @Walmart Holy moly, unacceptable! So glad your sis noticed, and you got him help...🙏🏼</t>
  </si>
  <si>
    <t>@Walmart  Cindy Poole @SECNetwork  @Nissan  @UTKnoxville @VandyMBB  @Lakers  ADULT ENTERTAINMENT HIRAM AXEHEAD POOLE HARDSHIP https://t.co/kvlj3bWTpz</t>
  </si>
  <si>
    <t>Make @Walmart 24 hrs again🙄</t>
  </si>
  <si>
    <t>@alkulaib @trylolli @Walmart @BestBuy I’ve been doing this since Nov … thank to you 😆 …</t>
  </si>
  <si>
    <t>@shioma_al3meeri Sign up with @trylolli , buy from @Walmart or @BestBuy and you will get #Bitcoin back.  Soon enough your macbook will be almost free https://t.co/6P280CXZuz</t>
  </si>
  <si>
    <t>@shioma_al3meeri @trylolli @Walmart @BestBuy 😂😂 I love Lolli and i am glad you are on board 🙏🏽💜</t>
  </si>
  <si>
    <t>@shioma_al3meeri @alkulaib @Walmart @BestBuy smart 🫡</t>
  </si>
  <si>
    <t>The wait is over! PRE-ORDER our brand new album “Four Walls” starting Friday, January 27th at @target @walmart and @amazonmusic. Pre-order on all digital streaming platforms starting Friday, February 3rd and album available everywhere on February 24th! https://t.co/rfTTaZ009I</t>
  </si>
  <si>
    <t>@Walmart @MileyCyrus Good idea, @Walmart!</t>
  </si>
  <si>
    <t>@Walmart @MileyCyrus @Walmart no flowers won’t cure my misery and pain that I don’t have a lover companion or friend in a guy</t>
  </si>
  <si>
    <t>@Walmart Thank you for confirming the account is legitimate.
with all due respect,
TEACH YOUR REPRESENTATIVE ON THE @walmarthelp account
TO STOP GHOSTING CUSTOMERS  !
I asked if my information was safe and wasn't gonna be shared
I never received a reply from your help representative.</t>
  </si>
  <si>
    <t>@Walmart @walmarthelp I tried to report a broken claw machine in west Monroe Louisiana, the super center, it has been broken for close to a year now, the claw doesn't close.
But your employees REFUSE to place an out of order sign on it and told me to call the number on the machine.
That's ridiculous</t>
  </si>
  <si>
    <t>@Walmart @walmarthelp The store number is 307
The claw machine has been broken for over 16 months and the store refuses to place an out of order sign on it.
People eventually find out Walmart won't refund the money they loose.
It's a broken piggy bank that's stealing Money from your customers.</t>
  </si>
  <si>
    <t>@walmarthelp So you can ghost me again  !? 
no, no, no, you can read the above message, everything you need @walmarthelp is in the messages to @Walmart 
Store number 307
Claw machine has been broke over 16 months.
You don't need my information, you just need to get something done about it.</t>
  </si>
  <si>
    <t>@walmarthelp @Walmart There's only one claw machine in the store.
You don't need my phone number, you don't need my address, you don't need my email address.
You only need to put 
1 + 1 together
This isn't rocket science, it's a machine Walmart allowed in it's store that's ripping people off.</t>
  </si>
  <si>
    <t>@preterniadotcom I'll pick it up on @EntEarth once @Walmart screws over everyone who preorders it as they have with other exclusives time and time and time again.</t>
  </si>
  <si>
    <t>So @Walmart is price gouging now? @squishmallows @Pokemon are sold out everywhere and only scalpers are reselling for 3x https://t.co/5bU4YK50B4</t>
  </si>
  <si>
    <t>@MonkeyFlop @Walmart @squishmallows @Pokemon Yeah its because of all the sold by *insert company name* on there. It's ridiculous how many times I've found something that's being sold by some super sketchy company on another country. Might as well be eBay</t>
  </si>
  <si>
    <t>@Walmart Your delivery service is in need of serious reform. I am disabled and have no vehicle. I cannot get my order delivered unless I pay 25+ dollars for a tip or the drivers refuse to deliver.</t>
  </si>
  <si>
    <t>@Walmart It says the DM is no longer available. My order sat in the waiting area for 4 hours. I called the store many times and talked to associates online chat several times. I was only offered promo codes instead of a solution.</t>
  </si>
  <si>
    <t>@TMillinerBBN Look at those scores, Trenton! ⚾ 🏀</t>
  </si>
  <si>
    <t>@Walmart when did you start charging fee for $35 minimum for Plus members? I should cancel my membership if I can’t get free delivery from my store anymore.</t>
  </si>
  <si>
    <t>@Walmart @MileyCyrus She can buy herself flowers, LEAVE HER ALONE. 
If you can’t handle her in 2010 , you don’t deserve her in ‘23</t>
  </si>
  <si>
    <t>So, because @Walmart refuses to pay a livable wage, or to have an actual person work the cash register, they're still going to raise prices on the products they're responsible for causing the theft of? 🤔🧐🤨
https://t.co/unEqqdrAFO</t>
  </si>
  <si>
    <t>@GeneralMills @oldelpaso @Walmart soooo, bugles that don’t identify as bugles?</t>
  </si>
  <si>
    <t>And @Target  and @Walmart  I am on yall ass too 😂 because yall stay saying yall hiring and never HIRE NOBODY 😭</t>
  </si>
  <si>
    <t>Just got back from @Walmart. Did you know they now lock up pencils? Yes, phuquing pencils. ✏✏ Needless to say, I'd still be there waiting for someone to unlock the case. They lost out on 79 cent sale, lol.</t>
  </si>
  <si>
    <t>Biggest flop in @Walmart history. The release of the Pokémon squishmallows….</t>
  </si>
  <si>
    <t>Yesterday @Walmart tried to overcharge me $10, I had to insist on a solution, Your team works hard Walmart, give them a POS system up to the task. 
#CustomerService</t>
  </si>
  <si>
    <t>@rlplnpeaceee We hope you're having an awesome jam sesh! 😎 🎵</t>
  </si>
  <si>
    <t>Haven't stopped, but have SEVERELY cut back on buying EGGS. What is going on with eggs @Walmart?!?!?!?!?!?!?! https://t.co/SXH20mnAoT https://t.co/nRyIWABTq4</t>
  </si>
  <si>
    <t>@kxvelz stealer!!!! @Walmart</t>
  </si>
  <si>
    <t>@sloangallimore @Walmart STOP 😭😭🤦🏽‍♀️</t>
  </si>
  <si>
    <t>Thank you so fucking much @Walmart, for underwear that cost more and lasts less than 2 weeks. This shit is thinner than paper. Maybe I should just steal it liel everyone else. You deserve worse.</t>
  </si>
  <si>
    <t>@omgpodcast22 @Walmart I get my deliveries from Meijer, NEVER had a problem! 
If I have to use Walmart, I pick them up!</t>
  </si>
  <si>
    <t>this is a multinational issue!! @elonmusk @Ukraine @Sweden @CIA @TwitterSupport @FBI @McDonalds @Wendys @IndEmbMexico @Walmart @MrBeast @bongbongmarcos</t>
  </si>
  <si>
    <t>@ninaturner Have you told @Walmart?</t>
  </si>
  <si>
    <t>@omgpodcast22 @Walmart Yup. Two of the last three deliveries never showed up after saying "we're on the way". Second one they sent an email 5 hours later saying they were delayed but still coming. No answer at the store. Corporate called and they said they don't have drivers.
So I canceled.</t>
  </si>
  <si>
    <t>@omgpodcast22 @Walmart I'm still wondering if they just decided that it's okay policy to not show up and not tell you, or if the employees just hate doing it. Corporate said they weren't able to get a manager at the store. "They make their own hours".
Either way, got w+ and inhome refunded.</t>
  </si>
  <si>
    <t>Don’t shop ⁦@Walmart⁩ Marketplace it’s a #Scam ⁦@Twitter⁩ https://t.co/hBeMSYvY27</t>
  </si>
  <si>
    <t>@Walmart just a reminder I think before you tweet like that, you need to apologize to Miley for what you did in 2010. https://t.co/9H0zB1GJFk</t>
  </si>
  <si>
    <t>I noticed @Walmart is selling bottles of @Arbys sauce and I'm wondering if anyone's tried that on wings yet</t>
  </si>
  <si>
    <t>@Walmart i ordered something online and it came damaged and with missing product. Can i get a refund? https://t.co/bsccSoIp9G</t>
  </si>
  <si>
    <t>Dear Flipkart,
I'm not getting proper help from you customer care I need my query mixed ASAP...
My order ID :- OD426984820430593100
Complete No:- IN23011917292392571575
@Flipkart @flipkartsupport @Walmart @walmartindia @_Kalyan_K @samaggarwal_</t>
  </si>
  <si>
    <t>Surfing from Flipkart Bad response from last 2 weeks, no one interested in fixing the issue, It's very bad service by Flipkart...
My order ID :- OD426984820430593100
Complete No:- IN23011917292392571575
@Flipkart @flipkartsupport @Walmart @walmartindia @_Kalyan_K</t>
  </si>
  <si>
    <t>@omgpodcast22 @Walmart I've not stepped foot in Walmart, so, no.</t>
  </si>
  <si>
    <t>How Did Inflation Affect Target Shoppers in 2022? https://t.co/oP4e9BKTFt @jeffkagan #shopping #shoppers #inflation @target @walmart #coupon #technology #wireless</t>
  </si>
  <si>
    <t>@POTUS Please @bugattigrp bridges web2 &amp;amp; web3 with  immersive web3 phygital shopping experience, which gives holders access to partner and have a merch line on Major Retail stores like @Walmart @Costco, @Nordstrom &amp;amp; other major retailers. And physical products per NFT https://t.co/WDlIlaHd6J</t>
  </si>
  <si>
    <t>@leiane1 @bugattigrp bridges web2 &amp;amp; web3 with  immersive web3 phygital shopping experience, which gives holders access to partner and have a merch line on Major Retail stores like @Walmart @Costco, @Nordstrom &amp;amp; other major retailers. And physical products per NFT https://t.co/mo6z71cRDn https://t.co/CpnJygosH2</t>
  </si>
  <si>
    <t>Still waiting for @Walmart + to deliver groceries already paid for. Supposed to be here about 9 hours ago. Anyone else having trouble?</t>
  </si>
  <si>
    <t>@JaniceKapner @TMobile Too bad for all the outsourced divisions in Care including Messaging, and how SEGA has been so poorly mismanaged that nearly all the best reps are gone.
Does @Apple, @Walmart, and @CenturyLink know their SEGA reps are probably gonna be outsourced?</t>
  </si>
  <si>
    <t>@ShelleyBlodgett @Walmart Glad you caught it, thanks for the warning</t>
  </si>
  <si>
    <t>@flipkartsupport @Flipkart @Walmart @jagograhakjago 
It's happening a lot, see when chat started for help and what i received as reply after waiting a lot. Customer support is a joke for Flipkart. They don't know compensation system for their activities harming customers https://t.co/b5KQmCk2Fy</t>
  </si>
  <si>
    <t>@Queenie4ever @Walmart @sozie So stylish 👍🥰</t>
  </si>
  <si>
    <t>Thanks @Walmart for the shorts #walmart #tops #dresses https://t.co/wrD4MKtOqM</t>
  </si>
  <si>
    <t>Thanks @Walmart for the dress #shirts #pants #walmart https://t.co/tHkcm19WIH</t>
  </si>
  <si>
    <t>@Walmart Sign Up  and get Money in your wallets , Only 15 users Left, Join Fast.
Only Usa Site: https://t.co/lbzHIkbWfq
Others Country  https://t.co/Ppu03lsCiR
@GiftCards_com @CashApp @GiftoftheGivers https://t.co/bTUGDvy8TN</t>
  </si>
  <si>
    <t>#FitToBeWilliamson Available at all major retailers @Walmart @booksamillion @amazon
Executive Producer: Arminta McKinney
Director: Wayne Polk Jr.
Sound Design: Derrick Davis
Camera Work: PSCM Imagery, LLC
Photographer: Derrick L. Davis 
Cinematic Concierge: Candace Polk https://t.co/0nSzmVz9gc</t>
  </si>
  <si>
    <t>Shoulda done this earlier since I was so aggressive on the complaining about the situation.
@Broncos @Walmart 👏 👏 👏 
I love the approach! 
Keep it up!!
Your aggressive nature when handling this situation was really good to see
We were going to get one of the best candidates👍</t>
  </si>
  <si>
    <t>@bstokley14 @SeanPayton Fired up that our ownership seems fired up!
@Walmart was what 26th best this year?
They aren’t used to losing &amp;amp; I like that.
Nor are we in #BroncosCountry
We gota focus on Draft &amp;amp; Free agency now.
I’m back engaged and pumped to see this engaged ownership!</t>
  </si>
  <si>
    <t>@GFuelEnergy @Walmart The 4 Walmarts near me need a massive over haul desperately lol</t>
  </si>
  <si>
    <t>@omgpodcast22 @Walmart They’re waiting for you to self checkout</t>
  </si>
  <si>
    <t>@Jazwares @squishmallows @Pokemon @Target @Walmart @GameStop all sold out….</t>
  </si>
  <si>
    <t>America: @Walmart to Ramp Up Drone Delivery By Using Multiple 5G Carriers.
https://t.co/dEGnftu28v https://t.co/5IgBINLuDQ</t>
  </si>
  <si>
    <t>A flavor that could’ve only come from the distinguished palate of @kellyclarkson herself! You can grab the newest @robspopcorn flavor Kelly’s Classic Barbecue at your closest @Walmart and @Albertsons now🍿 https://t.co/sr0JhzT9WQ</t>
  </si>
  <si>
    <t>@samaggarwal_ @_Kalyan_K @Flipkart @flipkartsupport @Walmart Why don't we think about our customers pain. Are they not really a human or heart? If we are trust then why ain't by Flipkart towards their customers. @PMOIndia @rashtrapatibhvn I really need help @BandBajaateRaho</t>
  </si>
  <si>
    <t>@Flipkar93321588 @flipkartsupport @samaggarwal_ @_Kalyan_K @Walmart I don't even think how @Flipkart is doing right now. I am chasing them for a long time and they are not interested to assist their customer. It's really pathetic uncultured attitude. 9667864611 @PMOIndia @barcouncilindia @BandBajaateRaho plz help</t>
  </si>
  <si>
    <t>@PrashantJhaveri @_Kalyan_K @FlipkartHealth @Flipkart @CCI_India @PMOIndia @BandBajaateRaho @ndtv @aajtak @NMC_IND @WHO @indianews Another Scam, 1st they pretend do partial refund where credit actually never happens. Great work by @Walmart this is how you planned to grow guys ? https://t.co/BaJbbVFBcx</t>
  </si>
  <si>
    <t>@PrashantJhaveri @_Kalyan_K @FlipkartHealth @Flipkart @CCI_India @PMOIndia @BandBajaateRaho @ndtv @aajtak @NMC_IND @WHO @indianews Another Scam, 1st they pretend do partial refund where credit actually never happens. Great work by @Walmart this is how you planned to grow guys ? https://t.co/BaJbbVFBcx https://t.co/tmr4atsP27</t>
  </si>
  <si>
    <t>@PrashantJhaveri @_Kalyan_K @FlipkartHealth @Flipkart @CCI_India @PMOIndia @BandBajaateRaho @ndtv @aajtak @NMC_IND @WHO @indianews Another Scam, 2nd Im still awaiting for return pickup of Nurokind-LC. Great work by @Walmart this is how you planned to grow guys ? https://t.co/LH9AsaZr3P</t>
  </si>
  <si>
    <t>@GFuelEnergy @Walmart the holy grail of @Walmart Gfuel!!!</t>
  </si>
  <si>
    <t>@WalmartAction @Walmart a worker from one of your Ohio locations is posting nude photos of himself online with his work uniform on doing disgusting things. Highly inappropriate for the standards you set.</t>
  </si>
  <si>
    <t>@Walmart What’s wrong with your app? For two days, everything has been saying “out of stock.” Fix it please!</t>
  </si>
  <si>
    <t>@sonukumar_21 @Flipkart @flipkartsupport @_Kalyan_K @flipkartsupport @Walmart Please work on this issue on priority. Don't let the customer trust  break...</t>
  </si>
  <si>
    <t>@Walmart can you tell me how one month unlimite card for Xbox is on backorder and I get refund before I was even asked for one. This why I dislike ordering online.</t>
  </si>
  <si>
    <t>@Walmart complete utter joke i have to wait for my account to stop hold on a order that was not listed as back order fuck you seriously you guys fucking suck and take up two ten fucking days for refund what fucking joke. how the hell is this on backorder? store don't sell it https://t.co/u9WSD9WSp2</t>
  </si>
  <si>
    <t>@WhiteHouse So @Walmart gets to pay 15%, but my wife and I are required to pay 24%? This is why Republicans want to remove the IRS and abolish income tax.....</t>
  </si>
  <si>
    <t>@its_the_Dr @Walmart lovely. As if self checkout couldn’t get any better</t>
  </si>
  <si>
    <t>@USMarshalsHQ Can I get AIDS from sexual assault by Bin Laden RObert Oneil who said he killed him but forgot his entire ARMY ?
@Walgreens @Walmart YOU BETTER TURN YOUR RADIO OFF WHEN I COME IN YOUR STORE
I AM NOT PAYING SALES TAX TO LISTEN TO FAMOUS BIN LADEN ON YOUR FREE RADIO https://t.co/4mF200XQJB</t>
  </si>
  <si>
    <t>@Walmart can your A.I. count the number of donuts, fruits, and vegetables your self-checkout fraudsters ACTUALLY have in those boxes/produce bags?</t>
  </si>
  <si>
    <t>@amazon @eBay @Shopify @Walmart @Target @AliExpress_EN @AlibabaGroup @BestBuy @Inc @Forbes @Entrepreneur @FastCompany @businessinsider @business 
#onlineshopping #Sales 
30 #Trending #Products to Sell Online on your #ecommerce  &amp;amp; #dropshipping #store
https://t.co/qfIkeiqowQ https://t.co/YD5HGnI9t0</t>
  </si>
  <si>
    <t>Heading out at 6:16 am to Terre Haute for another fun day watching more than 65,000 packages of #GirlScoutCookies roll in to one town! (How do morning radio/TV people do this every day?!) See you in a couple of hours, @Walmart and @WTHITV!
@girlscoutsIN https://t.co/kzj4agZOV1</t>
  </si>
  <si>
    <t>Other #GigEconomy predators exist, like @Walmart with its @WalmartSparkers gigapp. However, @DoorDash is unrivaled by its manic focus upon the never-ending and #BOUNDLESS mission to #Exploit laborers of the world through the "DoorDash - Dasher App" scheme.
https://t.co/FWtjEsBSKn</t>
  </si>
  <si>
    <t>@Rowdy8Nation A perfect addition to any movie night, Kim! 🍿 🎬</t>
  </si>
  <si>
    <t>Today's pick-up from Walmart! Thanks Dad! It was only $7.50!
https://t.co/ndvpZXsmUL
@Walmart https://t.co/reJuDOGZsA</t>
  </si>
  <si>
    <t>We're also in Almost every other store @BNBuzz  Barnes and Noble, @Walmart, @WHSmith , @rightstufanime  and more, go here to see all the stores each books is in, as some stores have sales and discounts! https://t.co/qiBfQzZf7W</t>
  </si>
  <si>
    <t>@Walmart As a W+ member, why was I charged a "Below Minimum Order" fee for adding to a pickup order?!?</t>
  </si>
  <si>
    <t>@Walmart omg thank u walmart!!!&amp;lt;333</t>
  </si>
  <si>
    <t>Black Friday Deals happening now on @Moultrie Products
•NEW Edge Camera - $79.99 (Normally $99.99)
•Mobile Edge 2Pack - $149.99 (Normally $179.99)
•Delta Base - $59.99 (Normally $99.99)
 https://t.co/mlewhV9djA or @BassProShops @Cabelas @dickssportingss @Walmart @Academy https://t.co/UCHnCjeoPn</t>
  </si>
  <si>
    <t>@SpeakerMcCarthy Quit throwing our money away on billionaire tax cuts and subsidizing corporations like .@McDonalds and .@Walmart Stop legalizing medical bankruptcy and childhood poverty. You're the party of greed, selfishness, cruelty, and self importance. You're not conservatives but sadists</t>
  </si>
  <si>
    <t>#morningjoe Wow?😃 #SteveRattner get a #GoldStar🌟for being #correct that #COMPETITION is the reason for @amazon's dip in #profits, &amp;amp; @Walmart is 1, reason without even 1, chart!📊#AndAlsoToo, #HigherWages #dude have given a breather to us #WorkingClass, people who #PAY #TAXES!🤑 https://t.co/KpRWOnGU1b</t>
  </si>
  <si>
    <t>@ClownWorld_ @Walmart had 3 billion in theft 2022
We all pay…</t>
  </si>
  <si>
    <t>@Volzuloof_ Nuh uh, Chia @awilddoggo_1 . You can get yours today @Walmart , @Target , and locally at your own Build-a-Fuuk locations. If you have Complaints, or need any refunds, email me @ buildafuukcorp@chiafuuk.com and we can discuss it more. We pride ourselves with great customer service</t>
  </si>
  <si>
    <t>@Walmart since when y’all started picking and choosing to deliver in residential areas????</t>
  </si>
  <si>
    <t>@shopifreaks @Shopify @Walmart @amazon @mcuban @stripe @Google And the plot thickens...
Shopify just officially added a Native Integration directly into OpenAi right inside Shopify Flow itself?!
Check it out here...
https://t.co/DcZefDlPxk</t>
  </si>
  <si>
    <t>[Thread 2/4]
In the limelight were @NandanNilekani, Co-founder of @Infosys and the driving force behind India's Aadhar; Leigh Hopkins, Regional CEO at @Walmart @subratamitra Investing Partner at @Accel_India and @raghugnandan Co-founder of Taxi For Sure and the Founder of Zolve https://t.co/njhHgAzAQc</t>
  </si>
  <si>
    <t>@omgpodcast22 @Walmart I ordered on Sunday and got some delivered on Monday.</t>
  </si>
  <si>
    <t>@spaceaur0ras @Walmart @MileyCyrus Yeah but
"I forgive every word you said"
                              Flowers, 2023</t>
  </si>
  <si>
    <t>@dannielvb9 @Walmart @MileyCyrus Miley may forgive but I can’t</t>
  </si>
  <si>
    <t>@finksta @Walmart One could argue that your first mistake was ordering a sink grate from Walmart…</t>
  </si>
  <si>
    <t>@JeremySilbert @Walmart True. I blame Google, I was searching for a very specific grate. Still, I never knew companies could take your money because you're a patient customer. Maybe that's the secret behind Walmart's success!</t>
  </si>
  <si>
    <t>OMG. I'm on the phone with @Walmart asking for my money back on a $53 sink grate I bought a year ago that was never delivered bc it wasn't in stock. Now they're telling me they're just gonna keep my $53 because I patiently waited so long to ask for a refund. Is this real life?</t>
  </si>
  <si>
    <t>@Walmart So apparently my request for a refund for a product that the agent acknowledged was never even sent to me must first be reviewed. Did Bernie Madoff write their customer service policy?</t>
  </si>
  <si>
    <t>Go pick up a @Saturday_am title at @Walmart. HAMMER should be next to #SevenDeadlySins https://t.co/y3O3uNwGPU</t>
  </si>
  <si>
    <t>@confluentinc Replenishment? Not, always out of stuff everytime I shop online or at delivery. Thinking about shopping where there are decent managers to keep things stocked.  @Walmart</t>
  </si>
  <si>
    <t>@Walmart so Walmart is banning people for not showing receipts now? Last time I checked this wasn’t sams club</t>
  </si>
  <si>
    <t>Flipkart is a fraud kart, i ordered something from Flipkart and found that the product was used before, so i made a return but somehow my return was cancelled and query shown resolved.. what is this @flipkartsupport @Flipkart @WalmartWorld @Walmart</t>
  </si>
  <si>
    <t>@Walmart opposes #SchoolChoice for their customers and employees in Virginia. Demand @SpeakerGilbert bring it to a floor vote NOW. @PACTstopcrt @SUV_GOP @Virginia10GOP @Moms4LibLoudoun</t>
  </si>
  <si>
    <t>My dog kept staring at that guy on the roof of the @Walmart over there. 1/3 https://t.co/KqaCkmEfqN</t>
  </si>
  <si>
    <t>Why does it take two tries to get a @Walmart delivery anymore?  Second week in a row my order is not arriving and likely will have to try again on another day.</t>
  </si>
  <si>
    <t>Cancelling my @Walmart + subscription cause why they trying to make me pay $35 cause I only want a box of brownies 💀 https://t.co/BPxeuH24eB</t>
  </si>
  <si>
    <t>Congrats to RHS Student of the Month Winners for January.
12-Jenna Rucosky
11-Jillian Fetsko
10-Savannah Artim
9-Spencer Kovalsky
8-Dakota Titus
7-Liam George
Winners receive prizes from @814games, @pbrosjohnstown, @Sheetz, @Starbucks, @Walmart, @RichlandCinemas, and O'Sheas https://t.co/NC8R871Pbx</t>
  </si>
  <si>
    <t>@Walmart @MileyCyrus I sure will!! And a gift as well like every year🙄</t>
  </si>
  <si>
    <t>@wendyc78757 @JuddLegum @kroger @Walmart @HEB @HEB uses @AlliedUniversal Armed Guard at the Plano and Frisco locations.</t>
  </si>
  <si>
    <t>Are @Walmart workers not allowed to talk to customers? Like, is it policy? Because they will look you dead in the eye as they pass you and say NOTHING. 😂 It's almost like rudeness is a qualification.</t>
  </si>
  <si>
    <t>@Walmart why would your associates at the Sandersville store fire a hardworking mother who goes above and beyond, on time, works late when needed who is trying to provide for her family and disabled husband?</t>
  </si>
  <si>
    <t>30 years of smiles: The Walmart employee pushing equal amounts of carts and kindness https://t.co/NECnK392Ty @Walmart Remember Luke? @shelbycountysch @RocketPrincipal</t>
  </si>
  <si>
    <t>That Fresh $150 free delivery minimum is looking pretty stale right about now. 😵‍💫 https://t.co/q8EVmYa6w2</t>
  </si>
  <si>
    <t>@Walmart @MileyCyrus Umm no, this smiler will be going to Target. https://t.co/UZlzGJm96c</t>
  </si>
  <si>
    <t>@Walmart @Walmart  hello?</t>
  </si>
  <si>
    <t>@Walmart hi can I talk to someone ?</t>
  </si>
  <si>
    <t>ALSO, most ecomm platforms like @amazon @eBay and @Walmart are building live commerce
Fanatics has hired Nick Bell, previously Snap's global head of Content and Partnerships, to run Fanatics Live
So can Fanatics compete well in this crowded market?
https://t.co/S0iTdFlIw2</t>
  </si>
  <si>
    <t>@Walmart Oh absolutely! Watched Top Gun on the first day of signing up.</t>
  </si>
  <si>
    <t>The Runway Looks is now available at Walmart! @Walmart https://t.co/4CwH0GKRH2</t>
  </si>
  <si>
    <t>@Walmart FedEx lost a delivery in their warehouse two weeks ago which included a Walmart gift card. How do I find out if and when/where the gift card was used? Please DM. The toll free number doesn’t help. Thanks!</t>
  </si>
  <si>
    <t>@drpepper I would think @Walmart can roll that price back a few bucks! https://t.co/b3FPhpDB5j</t>
  </si>
  <si>
    <t>I really really wanted to try @NoCow &amp;amp; have it be a good alternative to all the protein bars/snacks/etc. out there. I purchased the chocolate chip peanut butter bars from @Walmart.    Unfortunately, they’re awful it’s like eating chalky playdoh. I’m powering through them, but 👎🏼</t>
  </si>
  <si>
    <t>Chasing Sunsets in our Color Vibe Eyeshadow Palette in 'Sunset' ☀️ ⁠
⁠
Available at select @walmart stores ⁠ https://t.co/HWb5YXloDe</t>
  </si>
  <si>
    <t>Starting Feb. 28, @Amazon Prime members will need to spend at least $150 to qualify for free grocery delivery. Is @Walmart Plus a better deal?🤔 https://t.co/NZnmnxPlfH</t>
  </si>
  <si>
    <t>@thepennyhoarder @amazon @Walmart I shop at a grocery store just a few stores down from a Walmart. I do not see as a general rule that Walmart is more than a penny or so less than the grocery store per the items I buy.</t>
  </si>
  <si>
    <t>@Walmart you have an idea how much pain and loss of time you caused me today? Auto renew on Walmart + was awful!!!!!  Auto renew doesn’t mean I have to do stuff!!</t>
  </si>
  <si>
    <t>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t>
  </si>
  <si>
    <t>https://www.thepennyhoarder.com/save-money/walmart-plus-vs-amazon-prime/?aff_id=128&amp;utm_source=twitter&amp;utm_medium=social-organic&amp;utm_campaign=/save-money/walmart-plus-vs-amazon-prime/&amp;utm_content=20230202&amp;aff_sub3=/save-money/walmart-plus-vs-amazon-prime/_20230202_social-organic_twitter</t>
  </si>
  <si>
    <t>https://www.walmart.com/ https://www.walmart.com/browse/health-medicine/otc-hearing-aids/976760_8870874</t>
  </si>
  <si>
    <t>https://www.walmart.com/ https://www.walmart.com/nonprofits/4beab992-c689-4c81-876f-2744fc9c37da/profile</t>
  </si>
  <si>
    <t>http://mygift3.website3.me/ https://filezone.info/mygift~439899r</t>
  </si>
  <si>
    <t>https://walmartplussaves.com/?s=02c71e08-e1d2-4c65-bb4d-36e8b414f49a&amp;utm_source=twitter_game2_post9 https://walmartplussaves.com/officialrules?veh=brs&amp;adid=soc-twfeed_121522&amp;cn=FY23WalmartPlus_saves_promo1_org_soc_GM</t>
  </si>
  <si>
    <t>https://walmartplussaves.com/?s=1536fbe2-eda7-49dc-abfe-511da14f3ea5&amp;utm_source=twitter_game2_post4 https://walmartplussaves.com/officialrules?veh=brs&amp;adid=soc-twfeed_121522&amp;cn=FY23WalmartPlus_saves_promo1_org_soc_GM</t>
  </si>
  <si>
    <t>twitter.com</t>
  </si>
  <si>
    <t>socialnature.com</t>
  </si>
  <si>
    <t>dronexl.co</t>
  </si>
  <si>
    <t>forbes.com</t>
  </si>
  <si>
    <t>talkshop.live</t>
  </si>
  <si>
    <t>washingtonstand.com</t>
  </si>
  <si>
    <t>google.com</t>
  </si>
  <si>
    <t>mujin-corp.com</t>
  </si>
  <si>
    <t>businessinsider.com</t>
  </si>
  <si>
    <t>walmart.com</t>
  </si>
  <si>
    <t>bloomberglaw.com</t>
  </si>
  <si>
    <t>urlis.net</t>
  </si>
  <si>
    <t>therookiefather.com</t>
  </si>
  <si>
    <t>amazon.com</t>
  </si>
  <si>
    <t>instagram.com</t>
  </si>
  <si>
    <t>ebay.com</t>
  </si>
  <si>
    <t>delimarketnews.com</t>
  </si>
  <si>
    <t>retailtechinnovationhub.com</t>
  </si>
  <si>
    <t>cybersecuritydive.com</t>
  </si>
  <si>
    <t>walmartplussaves.com</t>
  </si>
  <si>
    <t>swarmapp.com</t>
  </si>
  <si>
    <t>walmart.com walmart.com</t>
  </si>
  <si>
    <t>apple.com</t>
  </si>
  <si>
    <t>change.org</t>
  </si>
  <si>
    <t>stellartv.com</t>
  </si>
  <si>
    <t>cnbc.com</t>
  </si>
  <si>
    <t>youtu.be</t>
  </si>
  <si>
    <t>nbcnews.com</t>
  </si>
  <si>
    <t>verifythis.com</t>
  </si>
  <si>
    <t>youtube.com</t>
  </si>
  <si>
    <t>reworked.co</t>
  </si>
  <si>
    <t>gobankingrates.com</t>
  </si>
  <si>
    <t>thecinemaholic.com</t>
  </si>
  <si>
    <t>webaction.org</t>
  </si>
  <si>
    <t>gaynycdad.com</t>
  </si>
  <si>
    <t>microsoft.com</t>
  </si>
  <si>
    <t>nrf.com</t>
  </si>
  <si>
    <t>mikmak.tv</t>
  </si>
  <si>
    <t>medium.com</t>
  </si>
  <si>
    <t>tiktok.com</t>
  </si>
  <si>
    <t>whova.com</t>
  </si>
  <si>
    <t>lamansiondelasideas.com</t>
  </si>
  <si>
    <t>website3.me filezone.info</t>
  </si>
  <si>
    <t>evtolinsights.com</t>
  </si>
  <si>
    <t>hostnoc.com</t>
  </si>
  <si>
    <t>saturday-am.com</t>
  </si>
  <si>
    <t>moultriefeeders.com</t>
  </si>
  <si>
    <t>yourbestlifebiz.com</t>
  </si>
  <si>
    <t>whas11.com</t>
  </si>
  <si>
    <t>thepennyhoarder.com</t>
  </si>
  <si>
    <t>walmartplussaves.com walmartplussaves.com</t>
  </si>
  <si>
    <t>jeeves flipkart walmart</t>
  </si>
  <si>
    <t>gotitfree</t>
  </si>
  <si>
    <t>drone drones</t>
  </si>
  <si>
    <t>recession retail</t>
  </si>
  <si>
    <t>digitaltransformation</t>
  </si>
  <si>
    <t>mondaymotivation crypto</t>
  </si>
  <si>
    <t>thismustbetheplace</t>
  </si>
  <si>
    <t>manifest</t>
  </si>
  <si>
    <t>agtech sustainability</t>
  </si>
  <si>
    <t>retail lawtwitter retailers lawyers lawyer</t>
  </si>
  <si>
    <t>fatherhood parentingtips family parents newdad</t>
  </si>
  <si>
    <t>walmart nobread</t>
  </si>
  <si>
    <t>zhuyilong 朱一龙</t>
  </si>
  <si>
    <t>flipkartfraud</t>
  </si>
  <si>
    <t>flipkartscam flipkartfraud</t>
  </si>
  <si>
    <t>pathwednesday pathwalmart</t>
  </si>
  <si>
    <t>walmart leggings ootd</t>
  </si>
  <si>
    <t>socialservices homeless</t>
  </si>
  <si>
    <t>greed loblaws ripoff</t>
  </si>
  <si>
    <t>blackexcellence brigtheningskin blackskincare womenentrepreneur womensupportingwomen womaninfluencers</t>
  </si>
  <si>
    <t>metaverse technologies startups</t>
  </si>
  <si>
    <t>blackhistorymonth</t>
  </si>
  <si>
    <t>mailcall</t>
  </si>
  <si>
    <t>walmart walmartapp lgbt lgbtq lovebymichael</t>
  </si>
  <si>
    <t>retail</t>
  </si>
  <si>
    <t>retailtech retailers</t>
  </si>
  <si>
    <t>infosec</t>
  </si>
  <si>
    <t>texasicestorm texas winterstorm</t>
  </si>
  <si>
    <t>walmartplussaves</t>
  </si>
  <si>
    <t>driversedprobs</t>
  </si>
  <si>
    <t>otchearingaids</t>
  </si>
  <si>
    <t>xyo</t>
  </si>
  <si>
    <t>funko u2 walmartexclusive zootv</t>
  </si>
  <si>
    <t>omnichannel walmart sellercloud inventorymanagement fulfillment walmartmarketplace ecommercesuccess</t>
  </si>
  <si>
    <t>walmart badtake</t>
  </si>
  <si>
    <t>talkshoplive giftideas valentine valentinesday</t>
  </si>
  <si>
    <t>solidarity</t>
  </si>
  <si>
    <t>amazon linkinbio wetnwildbeauty</t>
  </si>
  <si>
    <t>retire</t>
  </si>
  <si>
    <t>scopedup construction trash</t>
  </si>
  <si>
    <t>blackhealthheroes blackhistorymonth walmart blackhealthheroes buildingbettertogether</t>
  </si>
  <si>
    <t>blackhealthheroes blackhistorymonth walmart buildingbettertogether functionalfluidics idventures startup sicklecell</t>
  </si>
  <si>
    <t>cdc eyedrops drugresistant infections</t>
  </si>
  <si>
    <t>funkopop refund</t>
  </si>
  <si>
    <t>inflation</t>
  </si>
  <si>
    <t>retail inflation tech technology wireless</t>
  </si>
  <si>
    <t>retail inflation</t>
  </si>
  <si>
    <t>themostoreo</t>
  </si>
  <si>
    <t>walmartcom bhm blackhistorymonth</t>
  </si>
  <si>
    <t>goodluck leather shoes challenge</t>
  </si>
  <si>
    <t>funonwheels</t>
  </si>
  <si>
    <t>tailgating frozen</t>
  </si>
  <si>
    <t>nashville nashvilleproduction nashvilleproductioncompany brandedcontent</t>
  </si>
  <si>
    <t>longla uclaentrepreneurs</t>
  </si>
  <si>
    <t>trek trekkids allnatural bugrepellent ecofriendly skincare outdoorlife</t>
  </si>
  <si>
    <t>walmartcares</t>
  </si>
  <si>
    <t>walmartcares blm</t>
  </si>
  <si>
    <t>solaronsuperstores gosolar</t>
  </si>
  <si>
    <t>ugcbeauty ugc ugccommunity ugcmarketing socialmediamarketing usergeneratedcontent</t>
  </si>
  <si>
    <t>blackandunlimited</t>
  </si>
  <si>
    <t>chc walmart collectorshelpingcollectors</t>
  </si>
  <si>
    <t>walmart funkopop starwars bobafett</t>
  </si>
  <si>
    <t>scw wine valentinesday</t>
  </si>
  <si>
    <t>thecount hevywatechamp bigdikdale</t>
  </si>
  <si>
    <t>wakingupeighty becarefulwhatyouwishfor wakingup80 wakingup80 comedy sholalawrence wakingupeighty wakingup80 booktoscreen</t>
  </si>
  <si>
    <t>ogp</t>
  </si>
  <si>
    <t>walmart sweepstakes</t>
  </si>
  <si>
    <t>toogoodtogo</t>
  </si>
  <si>
    <t>renaissanceworldtour</t>
  </si>
  <si>
    <t>servicedog</t>
  </si>
  <si>
    <t>waititgetsbetter</t>
  </si>
  <si>
    <t>hellaears</t>
  </si>
  <si>
    <t>powerbi reporting analytics cloud msbi azure</t>
  </si>
  <si>
    <t>alligator mardigras texas</t>
  </si>
  <si>
    <t>nightmarebeforechristmas harrypotter</t>
  </si>
  <si>
    <t>walmartsparkgood</t>
  </si>
  <si>
    <t>starwars</t>
  </si>
  <si>
    <t>funkopop</t>
  </si>
  <si>
    <t>watercolor artskills customercreations artoftheweek funwithartskills</t>
  </si>
  <si>
    <t>sustainability supplychain nrfsupplychain360</t>
  </si>
  <si>
    <t>home whoawaitwalmart propagation plants plantlady</t>
  </si>
  <si>
    <t>ada</t>
  </si>
  <si>
    <t>blackhistorymonth blackhealthheroes</t>
  </si>
  <si>
    <t>fathersday ad royaloilspartner</t>
  </si>
  <si>
    <t>chc</t>
  </si>
  <si>
    <t>indianaattorneygeneral</t>
  </si>
  <si>
    <t>countonflipkarttoscrewitup</t>
  </si>
  <si>
    <t>shame</t>
  </si>
  <si>
    <t>selfcheckout retailers retail retailers shop shopping tech technology consumerbehavior marketing management strategy advertising grocery news</t>
  </si>
  <si>
    <t>lastofushbo imnotcrying</t>
  </si>
  <si>
    <t>peanutbutterlovers</t>
  </si>
  <si>
    <t>whenmoneydies</t>
  </si>
  <si>
    <t>sponsorship</t>
  </si>
  <si>
    <t>harrassing fraud</t>
  </si>
  <si>
    <t>txwx dfwwx</t>
  </si>
  <si>
    <t>bitcoin</t>
  </si>
  <si>
    <t>customerservice</t>
  </si>
  <si>
    <t>scam</t>
  </si>
  <si>
    <t>shopping shoppers inflation coupon technology wireless</t>
  </si>
  <si>
    <t>shopping shoppers inflation</t>
  </si>
  <si>
    <t>recession retail retailtech digitaltransformation</t>
  </si>
  <si>
    <t>walmart tops dresses</t>
  </si>
  <si>
    <t>shirts pants walmart</t>
  </si>
  <si>
    <t>fittobewilliamson</t>
  </si>
  <si>
    <t>broncoscountry</t>
  </si>
  <si>
    <t>onlineshopping sales trending products ecommerce dropshipping store</t>
  </si>
  <si>
    <t>girlscoutcookies</t>
  </si>
  <si>
    <t>gigeconomy boundless exploit</t>
  </si>
  <si>
    <t>morningjoe steverattner goldstar correct competition profits andalsotoo higherwages dude workingclass pay taxes</t>
  </si>
  <si>
    <t>sevendeadlysins</t>
  </si>
  <si>
    <t>schoolchoice</t>
  </si>
  <si>
    <t>walmartplussaves sweepstakes</t>
  </si>
  <si>
    <t>06:42:31</t>
  </si>
  <si>
    <t>06:46:36</t>
  </si>
  <si>
    <t>06:51:43</t>
  </si>
  <si>
    <t>06:52:00</t>
  </si>
  <si>
    <t>07:00:24</t>
  </si>
  <si>
    <t>07:07:53</t>
  </si>
  <si>
    <t>07:11:37</t>
  </si>
  <si>
    <t>07:11:56</t>
  </si>
  <si>
    <t>07:14:25</t>
  </si>
  <si>
    <t>07:15:34</t>
  </si>
  <si>
    <t>07:22:34</t>
  </si>
  <si>
    <t>07:28:18</t>
  </si>
  <si>
    <t>05:00:00</t>
  </si>
  <si>
    <t>07:32:46</t>
  </si>
  <si>
    <t>07:48:34</t>
  </si>
  <si>
    <t>07:50:15</t>
  </si>
  <si>
    <t>08:01:45</t>
  </si>
  <si>
    <t>08:00:46</t>
  </si>
  <si>
    <t>08:03:40</t>
  </si>
  <si>
    <t>15:43:15</t>
  </si>
  <si>
    <t>07:24:25</t>
  </si>
  <si>
    <t>08:15:36</t>
  </si>
  <si>
    <t>08:25:35</t>
  </si>
  <si>
    <t>08:27:30</t>
  </si>
  <si>
    <t>08:46:33</t>
  </si>
  <si>
    <t>09:03:04</t>
  </si>
  <si>
    <t>09:29:11</t>
  </si>
  <si>
    <t>09:30:03</t>
  </si>
  <si>
    <t>09:30:06</t>
  </si>
  <si>
    <t>09:45:11</t>
  </si>
  <si>
    <t>09:45:18</t>
  </si>
  <si>
    <t>09:47:12</t>
  </si>
  <si>
    <t>23:14:42</t>
  </si>
  <si>
    <t>10:09:15</t>
  </si>
  <si>
    <t>10:13:06</t>
  </si>
  <si>
    <t>10:22:05</t>
  </si>
  <si>
    <t>10:26:22</t>
  </si>
  <si>
    <t>04:50:06</t>
  </si>
  <si>
    <t>10:28:51</t>
  </si>
  <si>
    <t>04:20:59</t>
  </si>
  <si>
    <t>10:42:29</t>
  </si>
  <si>
    <t>10:55:05</t>
  </si>
  <si>
    <t>10:56:35</t>
  </si>
  <si>
    <t>11:02:51</t>
  </si>
  <si>
    <t>18:37:00</t>
  </si>
  <si>
    <t>11:08:15</t>
  </si>
  <si>
    <t>11:17:33</t>
  </si>
  <si>
    <t>11:24:28</t>
  </si>
  <si>
    <t>11:26:16</t>
  </si>
  <si>
    <t>11:32:15</t>
  </si>
  <si>
    <t>11:33:16</t>
  </si>
  <si>
    <t>10:17:26</t>
  </si>
  <si>
    <t>11:48:29</t>
  </si>
  <si>
    <t>00:39:56</t>
  </si>
  <si>
    <t>11:48:57</t>
  </si>
  <si>
    <t>11:51:44</t>
  </si>
  <si>
    <t>11:57:05</t>
  </si>
  <si>
    <t>12:20:37</t>
  </si>
  <si>
    <t>12:21:06</t>
  </si>
  <si>
    <t>02:04:42</t>
  </si>
  <si>
    <t>12:23:21</t>
  </si>
  <si>
    <t>12:31:30</t>
  </si>
  <si>
    <t>12:32:47</t>
  </si>
  <si>
    <t>12:34:06</t>
  </si>
  <si>
    <t>12:38:25</t>
  </si>
  <si>
    <t>12:49:51</t>
  </si>
  <si>
    <t>12:51:53</t>
  </si>
  <si>
    <t>12:54:40</t>
  </si>
  <si>
    <t>12:55:59</t>
  </si>
  <si>
    <t>12:59:09</t>
  </si>
  <si>
    <t>13:00:45</t>
  </si>
  <si>
    <t>12:57:37</t>
  </si>
  <si>
    <t>13:04:08</t>
  </si>
  <si>
    <t>13:07:13</t>
  </si>
  <si>
    <t>13:11:31</t>
  </si>
  <si>
    <t>13:15:16</t>
  </si>
  <si>
    <t>13:15:43</t>
  </si>
  <si>
    <t>13:16:19</t>
  </si>
  <si>
    <t>13:16:44</t>
  </si>
  <si>
    <t>13:34:46</t>
  </si>
  <si>
    <t>13:36:51</t>
  </si>
  <si>
    <t>13:38:23</t>
  </si>
  <si>
    <t>13:40:33</t>
  </si>
  <si>
    <t>13:48:54</t>
  </si>
  <si>
    <t>13:56:55</t>
  </si>
  <si>
    <t>13:57:38</t>
  </si>
  <si>
    <t>14:00:02</t>
  </si>
  <si>
    <t>14:01:02</t>
  </si>
  <si>
    <t>14:01:44</t>
  </si>
  <si>
    <t>14:09:08</t>
  </si>
  <si>
    <t>14:15:58</t>
  </si>
  <si>
    <t>14:16:48</t>
  </si>
  <si>
    <t>14:23:09</t>
  </si>
  <si>
    <t>14:23:55</t>
  </si>
  <si>
    <t>14:24:53</t>
  </si>
  <si>
    <t>07:16:25</t>
  </si>
  <si>
    <t>07:31:52</t>
  </si>
  <si>
    <t>10:23:29</t>
  </si>
  <si>
    <t>14:15:48</t>
  </si>
  <si>
    <t>14:25:01</t>
  </si>
  <si>
    <t>14:27:48</t>
  </si>
  <si>
    <t>14:28:25</t>
  </si>
  <si>
    <t>16:18:39</t>
  </si>
  <si>
    <t>14:33:41</t>
  </si>
  <si>
    <t>14:33:56</t>
  </si>
  <si>
    <t>14:35:35</t>
  </si>
  <si>
    <t>14:37:48</t>
  </si>
  <si>
    <t>14:40:34</t>
  </si>
  <si>
    <t>13:37:27</t>
  </si>
  <si>
    <t>14:48:11</t>
  </si>
  <si>
    <t>14:48:52</t>
  </si>
  <si>
    <t>14:50:41</t>
  </si>
  <si>
    <t>14:52:04</t>
  </si>
  <si>
    <t>14:46:07</t>
  </si>
  <si>
    <t>15:06:21</t>
  </si>
  <si>
    <t>14:45:09</t>
  </si>
  <si>
    <t>15:09:33</t>
  </si>
  <si>
    <t>15:10:22</t>
  </si>
  <si>
    <t>15:11:59</t>
  </si>
  <si>
    <t>04:23:21</t>
  </si>
  <si>
    <t>15:12:00</t>
  </si>
  <si>
    <t>15:13:02</t>
  </si>
  <si>
    <t>14:25:23</t>
  </si>
  <si>
    <t>15:14:12</t>
  </si>
  <si>
    <t>13:41:58</t>
  </si>
  <si>
    <t>15:16:13</t>
  </si>
  <si>
    <t>19:57:26</t>
  </si>
  <si>
    <t>16:27:26</t>
  </si>
  <si>
    <t>15:23:41</t>
  </si>
  <si>
    <t>15:23:45</t>
  </si>
  <si>
    <t>15:23:57</t>
  </si>
  <si>
    <t>15:24:32</t>
  </si>
  <si>
    <t>15:25:01</t>
  </si>
  <si>
    <t>15:27:29</t>
  </si>
  <si>
    <t>15:28:20</t>
  </si>
  <si>
    <t>15:30:21</t>
  </si>
  <si>
    <t>15:30:42</t>
  </si>
  <si>
    <t>15:23:12</t>
  </si>
  <si>
    <t>15:33:25</t>
  </si>
  <si>
    <t>15:42:45</t>
  </si>
  <si>
    <t>15:42:48</t>
  </si>
  <si>
    <t>15:43:32</t>
  </si>
  <si>
    <t>15:45:28</t>
  </si>
  <si>
    <t>15:46:33</t>
  </si>
  <si>
    <t>15:51:42</t>
  </si>
  <si>
    <t>15:52:49</t>
  </si>
  <si>
    <t>15:59:12</t>
  </si>
  <si>
    <t>16:01:03</t>
  </si>
  <si>
    <t>16:05:02</t>
  </si>
  <si>
    <t>16:05:21</t>
  </si>
  <si>
    <t>16:05:33</t>
  </si>
  <si>
    <t>16:05:55</t>
  </si>
  <si>
    <t>16:05:56</t>
  </si>
  <si>
    <t>16:07:09</t>
  </si>
  <si>
    <t>16:07:27</t>
  </si>
  <si>
    <t>16:07:33</t>
  </si>
  <si>
    <t>16:08:36</t>
  </si>
  <si>
    <t>15:02:25</t>
  </si>
  <si>
    <t>15:27:11</t>
  </si>
  <si>
    <t>16:09:22</t>
  </si>
  <si>
    <t>16:16:53</t>
  </si>
  <si>
    <t>16:17:03</t>
  </si>
  <si>
    <t>16:18:32</t>
  </si>
  <si>
    <t>16:19:25</t>
  </si>
  <si>
    <t>16:20:47</t>
  </si>
  <si>
    <t>16:21:01</t>
  </si>
  <si>
    <t>16:21:14</t>
  </si>
  <si>
    <t>16:23:02</t>
  </si>
  <si>
    <t>16:24:57</t>
  </si>
  <si>
    <t>16:24:54</t>
  </si>
  <si>
    <t>16:25:49</t>
  </si>
  <si>
    <t>16:26:00</t>
  </si>
  <si>
    <t>16:26:37</t>
  </si>
  <si>
    <t>16:27:05</t>
  </si>
  <si>
    <t>16:26:10</t>
  </si>
  <si>
    <t>16:28:04</t>
  </si>
  <si>
    <t>16:28:07</t>
  </si>
  <si>
    <t>16:28:11</t>
  </si>
  <si>
    <t>15:46:12</t>
  </si>
  <si>
    <t>16:28:28</t>
  </si>
  <si>
    <t>16:30:14</t>
  </si>
  <si>
    <t>16:31:36</t>
  </si>
  <si>
    <t>16:32:28</t>
  </si>
  <si>
    <t>16:33:11</t>
  </si>
  <si>
    <t>15:25:10</t>
  </si>
  <si>
    <t>15:26:21</t>
  </si>
  <si>
    <t>16:35:19</t>
  </si>
  <si>
    <t>16:37:46</t>
  </si>
  <si>
    <t>16:36:38</t>
  </si>
  <si>
    <t>16:39:01</t>
  </si>
  <si>
    <t>16:39:25</t>
  </si>
  <si>
    <t>16:33:56</t>
  </si>
  <si>
    <t>16:12:20</t>
  </si>
  <si>
    <t>16:39:33</t>
  </si>
  <si>
    <t>16:39:59</t>
  </si>
  <si>
    <t>16:41:57</t>
  </si>
  <si>
    <t>16:42:07</t>
  </si>
  <si>
    <t>16:45:15</t>
  </si>
  <si>
    <t>16:45:37</t>
  </si>
  <si>
    <t>16:47:18</t>
  </si>
  <si>
    <t>16:49:50</t>
  </si>
  <si>
    <t>16:50:09</t>
  </si>
  <si>
    <t>16:52:17</t>
  </si>
  <si>
    <t>16:52:21</t>
  </si>
  <si>
    <t>16:52:32</t>
  </si>
  <si>
    <t>16:52:38</t>
  </si>
  <si>
    <t>16:54:38</t>
  </si>
  <si>
    <t>16:55:42</t>
  </si>
  <si>
    <t>12:00:54</t>
  </si>
  <si>
    <t>16:56:15</t>
  </si>
  <si>
    <t>16:56:27</t>
  </si>
  <si>
    <t>16:56:57</t>
  </si>
  <si>
    <t>16:56:46</t>
  </si>
  <si>
    <t>16:57:08</t>
  </si>
  <si>
    <t>16:57:55</t>
  </si>
  <si>
    <t>16:58:38</t>
  </si>
  <si>
    <t>16:59:56</t>
  </si>
  <si>
    <t>17:00:08</t>
  </si>
  <si>
    <t>17:00:55</t>
  </si>
  <si>
    <t>17:01:09</t>
  </si>
  <si>
    <t>17:01:24</t>
  </si>
  <si>
    <t>17:01:30</t>
  </si>
  <si>
    <t>17:02:01</t>
  </si>
  <si>
    <t>17:02:21</t>
  </si>
  <si>
    <t>17:02:34</t>
  </si>
  <si>
    <t>17:03:02</t>
  </si>
  <si>
    <t>17:03:14</t>
  </si>
  <si>
    <t>17:03:52</t>
  </si>
  <si>
    <t>17:04:22</t>
  </si>
  <si>
    <t>17:04:37</t>
  </si>
  <si>
    <t>17:04:38</t>
  </si>
  <si>
    <t>17:04:40</t>
  </si>
  <si>
    <t>17:04:56</t>
  </si>
  <si>
    <t>17:04:58</t>
  </si>
  <si>
    <t>17:05:15</t>
  </si>
  <si>
    <t>17:07:39</t>
  </si>
  <si>
    <t>17:07:56</t>
  </si>
  <si>
    <t>17:08:06</t>
  </si>
  <si>
    <t>17:08:09</t>
  </si>
  <si>
    <t>17:08:16</t>
  </si>
  <si>
    <t>17:08:40</t>
  </si>
  <si>
    <t>17:09:20</t>
  </si>
  <si>
    <t>17:08:55</t>
  </si>
  <si>
    <t>17:10:04</t>
  </si>
  <si>
    <t>17:10:18</t>
  </si>
  <si>
    <t>17:12:29</t>
  </si>
  <si>
    <t>17:12:48</t>
  </si>
  <si>
    <t>17:12:51</t>
  </si>
  <si>
    <t>17:13:55</t>
  </si>
  <si>
    <t>17:13:57</t>
  </si>
  <si>
    <t>17:15:00</t>
  </si>
  <si>
    <t>17:16:25</t>
  </si>
  <si>
    <t>17:17:29</t>
  </si>
  <si>
    <t>17:17:34</t>
  </si>
  <si>
    <t>17:18:39</t>
  </si>
  <si>
    <t>17:18:44</t>
  </si>
  <si>
    <t>17:19:12</t>
  </si>
  <si>
    <t>17:19:32</t>
  </si>
  <si>
    <t>17:19:44</t>
  </si>
  <si>
    <t>17:22:28</t>
  </si>
  <si>
    <t>17:25:27</t>
  </si>
  <si>
    <t>17:25:46</t>
  </si>
  <si>
    <t>17:27:55</t>
  </si>
  <si>
    <t>17:29:08</t>
  </si>
  <si>
    <t>17:30:00</t>
  </si>
  <si>
    <t>17:30:01</t>
  </si>
  <si>
    <t>17:30:31</t>
  </si>
  <si>
    <t>17:31:15</t>
  </si>
  <si>
    <t>17:31:19</t>
  </si>
  <si>
    <t>17:31:45</t>
  </si>
  <si>
    <t>15:32:33</t>
  </si>
  <si>
    <t>17:32:16</t>
  </si>
  <si>
    <t>17:32:56</t>
  </si>
  <si>
    <t>17:32:59</t>
  </si>
  <si>
    <t>17:32:34</t>
  </si>
  <si>
    <t>17:33:18</t>
  </si>
  <si>
    <t>17:33:53</t>
  </si>
  <si>
    <t>17:35:00</t>
  </si>
  <si>
    <t>17:34:52</t>
  </si>
  <si>
    <t>17:37:46</t>
  </si>
  <si>
    <t>16:43:30</t>
  </si>
  <si>
    <t>17:38:45</t>
  </si>
  <si>
    <t>14:54:03</t>
  </si>
  <si>
    <t>15:01:10</t>
  </si>
  <si>
    <t>14:13:29</t>
  </si>
  <si>
    <t>14:58:10</t>
  </si>
  <si>
    <t>15:28:00</t>
  </si>
  <si>
    <t>15:26:43</t>
  </si>
  <si>
    <t>17:39:12</t>
  </si>
  <si>
    <t>17:20:41</t>
  </si>
  <si>
    <t>17:41:00</t>
  </si>
  <si>
    <t>17:41:16</t>
  </si>
  <si>
    <t>17:44:12</t>
  </si>
  <si>
    <t>17:44:15</t>
  </si>
  <si>
    <t>17:46:20</t>
  </si>
  <si>
    <t>17:48:55</t>
  </si>
  <si>
    <t>17:50:05</t>
  </si>
  <si>
    <t>17:50:18</t>
  </si>
  <si>
    <t>17:50:44</t>
  </si>
  <si>
    <t>17:51:03</t>
  </si>
  <si>
    <t>17:53:42</t>
  </si>
  <si>
    <t>17:55:13</t>
  </si>
  <si>
    <t>17:56:03</t>
  </si>
  <si>
    <t>17:57:50</t>
  </si>
  <si>
    <t>17:57:51</t>
  </si>
  <si>
    <t>17:58:04</t>
  </si>
  <si>
    <t>17:11:51</t>
  </si>
  <si>
    <t>17:12:11</t>
  </si>
  <si>
    <t>17:58:21</t>
  </si>
  <si>
    <t>17:58:22</t>
  </si>
  <si>
    <t>17:58:24</t>
  </si>
  <si>
    <t>17:59:08</t>
  </si>
  <si>
    <t>18:00:34</t>
  </si>
  <si>
    <t>18:00:44</t>
  </si>
  <si>
    <t>18:01:39</t>
  </si>
  <si>
    <t>17:40:03</t>
  </si>
  <si>
    <t>18:01:48</t>
  </si>
  <si>
    <t>18:03:21</t>
  </si>
  <si>
    <t>18:04:12</t>
  </si>
  <si>
    <t>18:07:28</t>
  </si>
  <si>
    <t>18:09:37</t>
  </si>
  <si>
    <t>18:10:22</t>
  </si>
  <si>
    <t>18:10:40</t>
  </si>
  <si>
    <t>18:12:03</t>
  </si>
  <si>
    <t>18:14:37</t>
  </si>
  <si>
    <t>18:16:15</t>
  </si>
  <si>
    <t>18:16:25</t>
  </si>
  <si>
    <t>16:46:25</t>
  </si>
  <si>
    <t>18:17:51</t>
  </si>
  <si>
    <t>18:19:18</t>
  </si>
  <si>
    <t>18:20:52</t>
  </si>
  <si>
    <t>18:21:06</t>
  </si>
  <si>
    <t>18:21:46</t>
  </si>
  <si>
    <t>18:24:37</t>
  </si>
  <si>
    <t>18:00:46</t>
  </si>
  <si>
    <t>18:29:27</t>
  </si>
  <si>
    <t>18:30:34</t>
  </si>
  <si>
    <t>18:31:47</t>
  </si>
  <si>
    <t>17:45:00</t>
  </si>
  <si>
    <t>18:32:26</t>
  </si>
  <si>
    <t>18:35:46</t>
  </si>
  <si>
    <t>18:37:13</t>
  </si>
  <si>
    <t>18:43:11</t>
  </si>
  <si>
    <t>18:43:24</t>
  </si>
  <si>
    <t>18:43:54</t>
  </si>
  <si>
    <t>15:35:26</t>
  </si>
  <si>
    <t>18:44:04</t>
  </si>
  <si>
    <t>18:44:16</t>
  </si>
  <si>
    <t>18:44:38</t>
  </si>
  <si>
    <t>18:44:53</t>
  </si>
  <si>
    <t>17:00:04</t>
  </si>
  <si>
    <t>18:45:58</t>
  </si>
  <si>
    <t>18:46:43</t>
  </si>
  <si>
    <t>18:47:19</t>
  </si>
  <si>
    <t>18:48:22</t>
  </si>
  <si>
    <t>18:53:23</t>
  </si>
  <si>
    <t>18:53:31</t>
  </si>
  <si>
    <t>18:55:49</t>
  </si>
  <si>
    <t>18:57:28</t>
  </si>
  <si>
    <t>15:20:07</t>
  </si>
  <si>
    <t>18:59:01</t>
  </si>
  <si>
    <t>19:00:22</t>
  </si>
  <si>
    <t>19:03:47</t>
  </si>
  <si>
    <t>15:46:40</t>
  </si>
  <si>
    <t>19:03:51</t>
  </si>
  <si>
    <t>19:04:08</t>
  </si>
  <si>
    <t>19:04:25</t>
  </si>
  <si>
    <t>19:05:58</t>
  </si>
  <si>
    <t>19:08:32</t>
  </si>
  <si>
    <t>19:08:53</t>
  </si>
  <si>
    <t>19:09:17</t>
  </si>
  <si>
    <t>19:09:44</t>
  </si>
  <si>
    <t>19:10:11</t>
  </si>
  <si>
    <t>19:15:16</t>
  </si>
  <si>
    <t>19:18:28</t>
  </si>
  <si>
    <t>19:19:52</t>
  </si>
  <si>
    <t>19:21:34</t>
  </si>
  <si>
    <t>19:21:40</t>
  </si>
  <si>
    <t>19:22:48</t>
  </si>
  <si>
    <t>19:25:51</t>
  </si>
  <si>
    <t>19:25:55</t>
  </si>
  <si>
    <t>19:25:56</t>
  </si>
  <si>
    <t>11:42:56</t>
  </si>
  <si>
    <t>13:55:53</t>
  </si>
  <si>
    <t>12:21:58</t>
  </si>
  <si>
    <t>19:22:11</t>
  </si>
  <si>
    <t>19:26:04</t>
  </si>
  <si>
    <t>19:27:48</t>
  </si>
  <si>
    <t>19:28:51</t>
  </si>
  <si>
    <t>19:31:06</t>
  </si>
  <si>
    <t>19:33:39</t>
  </si>
  <si>
    <t>19:34:40</t>
  </si>
  <si>
    <t>19:36:03</t>
  </si>
  <si>
    <t>19:39:16</t>
  </si>
  <si>
    <t>19:39:43</t>
  </si>
  <si>
    <t>19:40:49</t>
  </si>
  <si>
    <t>19:40:59</t>
  </si>
  <si>
    <t>19:41:14</t>
  </si>
  <si>
    <t>19:43:21</t>
  </si>
  <si>
    <t>19:44:05</t>
  </si>
  <si>
    <t>19:45:59</t>
  </si>
  <si>
    <t>16:34:36</t>
  </si>
  <si>
    <t>19:46:38</t>
  </si>
  <si>
    <t>19:55:18</t>
  </si>
  <si>
    <t>19:57:42</t>
  </si>
  <si>
    <t>19:59:14</t>
  </si>
  <si>
    <t>20:02:14</t>
  </si>
  <si>
    <t>20:03:40</t>
  </si>
  <si>
    <t>20:04:19</t>
  </si>
  <si>
    <t>20:05:42</t>
  </si>
  <si>
    <t>20:06:00</t>
  </si>
  <si>
    <t>20:06:58</t>
  </si>
  <si>
    <t>20:07:02</t>
  </si>
  <si>
    <t>20:08:25</t>
  </si>
  <si>
    <t>20:06:01</t>
  </si>
  <si>
    <t>20:08:27</t>
  </si>
  <si>
    <t>20:10:43</t>
  </si>
  <si>
    <t>20:10:57</t>
  </si>
  <si>
    <t>20:12:49</t>
  </si>
  <si>
    <t>20:13:18</t>
  </si>
  <si>
    <t>20:14:45</t>
  </si>
  <si>
    <t>20:18:00</t>
  </si>
  <si>
    <t>20:14:56</t>
  </si>
  <si>
    <t>20:21:20</t>
  </si>
  <si>
    <t>20:22:25</t>
  </si>
  <si>
    <t>20:24:01</t>
  </si>
  <si>
    <t>20:27:13</t>
  </si>
  <si>
    <t>20:27:36</t>
  </si>
  <si>
    <t>20:28:23</t>
  </si>
  <si>
    <t>20:28:46</t>
  </si>
  <si>
    <t>20:29:32</t>
  </si>
  <si>
    <t>20:30:07</t>
  </si>
  <si>
    <t>20:30:29</t>
  </si>
  <si>
    <t>20:35:33</t>
  </si>
  <si>
    <t>20:37:38</t>
  </si>
  <si>
    <t>12:14:33</t>
  </si>
  <si>
    <t>20:37:53</t>
  </si>
  <si>
    <t>20:37:58</t>
  </si>
  <si>
    <t>20:39:26</t>
  </si>
  <si>
    <t>12:33:23</t>
  </si>
  <si>
    <t>20:39:30</t>
  </si>
  <si>
    <t>20:40:58</t>
  </si>
  <si>
    <t>20:41:29</t>
  </si>
  <si>
    <t>20:42:49</t>
  </si>
  <si>
    <t>20:43:37</t>
  </si>
  <si>
    <t>20:44:03</t>
  </si>
  <si>
    <t>20:44:11</t>
  </si>
  <si>
    <t>20:45:19</t>
  </si>
  <si>
    <t>20:47:27</t>
  </si>
  <si>
    <t>20:47:38</t>
  </si>
  <si>
    <t>20:48:08</t>
  </si>
  <si>
    <t>20:48:11</t>
  </si>
  <si>
    <t>20:50:27</t>
  </si>
  <si>
    <t>20:51:54</t>
  </si>
  <si>
    <t>20:52:27</t>
  </si>
  <si>
    <t>20:52:53</t>
  </si>
  <si>
    <t>20:55:40</t>
  </si>
  <si>
    <t>20:56:43</t>
  </si>
  <si>
    <t>21:01:13</t>
  </si>
  <si>
    <t>21:02:42</t>
  </si>
  <si>
    <t>17:00:36</t>
  </si>
  <si>
    <t>20:48:22</t>
  </si>
  <si>
    <t>21:02:49</t>
  </si>
  <si>
    <t>21:04:31</t>
  </si>
  <si>
    <t>21:05:12</t>
  </si>
  <si>
    <t>18:39:50</t>
  </si>
  <si>
    <t>21:06:02</t>
  </si>
  <si>
    <t>21:12:09</t>
  </si>
  <si>
    <t>21:12:30</t>
  </si>
  <si>
    <t>21:15:11</t>
  </si>
  <si>
    <t>21:16:53</t>
  </si>
  <si>
    <t>21:17:19</t>
  </si>
  <si>
    <t>21:18:31</t>
  </si>
  <si>
    <t>21:18:44</t>
  </si>
  <si>
    <t>15:30:54</t>
  </si>
  <si>
    <t>21:22:32</t>
  </si>
  <si>
    <t>21:22:49</t>
  </si>
  <si>
    <t>21:23:30</t>
  </si>
  <si>
    <t>21:23:57</t>
  </si>
  <si>
    <t>16:52:52</t>
  </si>
  <si>
    <t>21:24:45</t>
  </si>
  <si>
    <t>21:03:08</t>
  </si>
  <si>
    <t>21:25:16</t>
  </si>
  <si>
    <t>21:25:43</t>
  </si>
  <si>
    <t>21:28:10</t>
  </si>
  <si>
    <t>19:16:22</t>
  </si>
  <si>
    <t>21:28:32</t>
  </si>
  <si>
    <t>21:30:17</t>
  </si>
  <si>
    <t>21:36:45</t>
  </si>
  <si>
    <t>21:38:20</t>
  </si>
  <si>
    <t>21:38:44</t>
  </si>
  <si>
    <t>21:39:17</t>
  </si>
  <si>
    <t>20:07:46</t>
  </si>
  <si>
    <t>21:39:35</t>
  </si>
  <si>
    <t>14:33:29</t>
  </si>
  <si>
    <t>15:00:00</t>
  </si>
  <si>
    <t>15:30:46</t>
  </si>
  <si>
    <t>16:28:34</t>
  </si>
  <si>
    <t>16:29:19</t>
  </si>
  <si>
    <t>16:30:09</t>
  </si>
  <si>
    <t>17:33:49</t>
  </si>
  <si>
    <t>18:31:44</t>
  </si>
  <si>
    <t>19:52:21</t>
  </si>
  <si>
    <t>20:09:01</t>
  </si>
  <si>
    <t>21:40:31</t>
  </si>
  <si>
    <t>21:40:44</t>
  </si>
  <si>
    <t>21:40:55</t>
  </si>
  <si>
    <t>21:41:41</t>
  </si>
  <si>
    <t>21:42:37</t>
  </si>
  <si>
    <t>21:48:44</t>
  </si>
  <si>
    <t>21:50:07</t>
  </si>
  <si>
    <t>21:51:15</t>
  </si>
  <si>
    <t>18:35:43</t>
  </si>
  <si>
    <t>21:52:27</t>
  </si>
  <si>
    <t>16:02:46</t>
  </si>
  <si>
    <t>21:52:56</t>
  </si>
  <si>
    <t>21:53:32</t>
  </si>
  <si>
    <t>21:55:17</t>
  </si>
  <si>
    <t>22:00:32</t>
  </si>
  <si>
    <t>14:05:13</t>
  </si>
  <si>
    <t>22:00:54</t>
  </si>
  <si>
    <t>22:00:45</t>
  </si>
  <si>
    <t>22:00:59</t>
  </si>
  <si>
    <t>21:57:56</t>
  </si>
  <si>
    <t>22:01:33</t>
  </si>
  <si>
    <t>22:04:08</t>
  </si>
  <si>
    <t>22:04:54</t>
  </si>
  <si>
    <t>22:05:01</t>
  </si>
  <si>
    <t>22:05:40</t>
  </si>
  <si>
    <t>22:06:09</t>
  </si>
  <si>
    <t>22:14:58</t>
  </si>
  <si>
    <t>22:15:52</t>
  </si>
  <si>
    <t>20:55:17</t>
  </si>
  <si>
    <t>22:17:48</t>
  </si>
  <si>
    <t>22:21:29</t>
  </si>
  <si>
    <t>22:21:52</t>
  </si>
  <si>
    <t>22:24:22</t>
  </si>
  <si>
    <t>22:29:18</t>
  </si>
  <si>
    <t>22:29:38</t>
  </si>
  <si>
    <t>22:30:08</t>
  </si>
  <si>
    <t>22:30:30</t>
  </si>
  <si>
    <t>22:30:40</t>
  </si>
  <si>
    <t>22:32:14</t>
  </si>
  <si>
    <t>22:32:21</t>
  </si>
  <si>
    <t>22:32:37</t>
  </si>
  <si>
    <t>22:32:46</t>
  </si>
  <si>
    <t>22:33:21</t>
  </si>
  <si>
    <t>22:33:29</t>
  </si>
  <si>
    <t>22:33:51</t>
  </si>
  <si>
    <t>22:33:57</t>
  </si>
  <si>
    <t>20:04:56</t>
  </si>
  <si>
    <t>22:34:51</t>
  </si>
  <si>
    <t>22:35:16</t>
  </si>
  <si>
    <t>22:36:24</t>
  </si>
  <si>
    <t>22:37:48</t>
  </si>
  <si>
    <t>22:39:42</t>
  </si>
  <si>
    <t>22:41:37</t>
  </si>
  <si>
    <t>17:05:02</t>
  </si>
  <si>
    <t>22:42:51</t>
  </si>
  <si>
    <t>22:45:05</t>
  </si>
  <si>
    <t>22:45:16</t>
  </si>
  <si>
    <t>22:45:36</t>
  </si>
  <si>
    <t>22:46:07</t>
  </si>
  <si>
    <t>22:46:46</t>
  </si>
  <si>
    <t>22:47:20</t>
  </si>
  <si>
    <t>22:48:06</t>
  </si>
  <si>
    <t>08:02:01</t>
  </si>
  <si>
    <t>22:51:11</t>
  </si>
  <si>
    <t>22:51:34</t>
  </si>
  <si>
    <t>20:50:35</t>
  </si>
  <si>
    <t>22:52:28</t>
  </si>
  <si>
    <t>22:53:23</t>
  </si>
  <si>
    <t>22:55:48</t>
  </si>
  <si>
    <t>22:55:59</t>
  </si>
  <si>
    <t>21:32:46</t>
  </si>
  <si>
    <t>22:56:51</t>
  </si>
  <si>
    <t>23:01:12</t>
  </si>
  <si>
    <t>23:01:31</t>
  </si>
  <si>
    <t>20:03:23</t>
  </si>
  <si>
    <t>23:02:59</t>
  </si>
  <si>
    <t>23:03:05</t>
  </si>
  <si>
    <t>23:03:44</t>
  </si>
  <si>
    <t>23:05:49</t>
  </si>
  <si>
    <t>23:10:36</t>
  </si>
  <si>
    <t>23:12:33</t>
  </si>
  <si>
    <t>23:13:22</t>
  </si>
  <si>
    <t>23:18:00</t>
  </si>
  <si>
    <t>23:19:27</t>
  </si>
  <si>
    <t>23:19:41</t>
  </si>
  <si>
    <t>23:20:21</t>
  </si>
  <si>
    <t>18:31:18</t>
  </si>
  <si>
    <t>23:21:07</t>
  </si>
  <si>
    <t>23:21:13</t>
  </si>
  <si>
    <t>23:21:50</t>
  </si>
  <si>
    <t>23:22:32</t>
  </si>
  <si>
    <t>23:24:13</t>
  </si>
  <si>
    <t>23:25:21</t>
  </si>
  <si>
    <t>23:26:47</t>
  </si>
  <si>
    <t>22:49:00</t>
  </si>
  <si>
    <t>23:29:02</t>
  </si>
  <si>
    <t>23:30:11</t>
  </si>
  <si>
    <t>22:48:39</t>
  </si>
  <si>
    <t>23:28:28</t>
  </si>
  <si>
    <t>02:21:56</t>
  </si>
  <si>
    <t>23:30:14</t>
  </si>
  <si>
    <t>23:31:17</t>
  </si>
  <si>
    <t>23:31:43</t>
  </si>
  <si>
    <t>23:31:57</t>
  </si>
  <si>
    <t>23:33:31</t>
  </si>
  <si>
    <t>23:31:38</t>
  </si>
  <si>
    <t>23:34:07</t>
  </si>
  <si>
    <t>23:34:09</t>
  </si>
  <si>
    <t>14:10:07</t>
  </si>
  <si>
    <t>23:34:15</t>
  </si>
  <si>
    <t>23:34:51</t>
  </si>
  <si>
    <t>23:37:30</t>
  </si>
  <si>
    <t>23:45:23</t>
  </si>
  <si>
    <t>21:07:23</t>
  </si>
  <si>
    <t>18:48:04</t>
  </si>
  <si>
    <t>18:51:08</t>
  </si>
  <si>
    <t>18:52:01</t>
  </si>
  <si>
    <t>20:43:29</t>
  </si>
  <si>
    <t>22:00:29</t>
  </si>
  <si>
    <t>22:13:23</t>
  </si>
  <si>
    <t>22:15:28</t>
  </si>
  <si>
    <t>22:44:27</t>
  </si>
  <si>
    <t>23:19:48</t>
  </si>
  <si>
    <t>23:21:59</t>
  </si>
  <si>
    <t>23:23:00</t>
  </si>
  <si>
    <t>23:24:15</t>
  </si>
  <si>
    <t>23:46:54</t>
  </si>
  <si>
    <t>23:48:16</t>
  </si>
  <si>
    <t>23:51:55</t>
  </si>
  <si>
    <t>22:00:15</t>
  </si>
  <si>
    <t>15:23:27</t>
  </si>
  <si>
    <t>21:27:04</t>
  </si>
  <si>
    <t>23:53:41</t>
  </si>
  <si>
    <t>23:54:20</t>
  </si>
  <si>
    <t>23:56:46</t>
  </si>
  <si>
    <t>23:01:08</t>
  </si>
  <si>
    <t>23:57:17</t>
  </si>
  <si>
    <t>22:34:40</t>
  </si>
  <si>
    <t>23:58:46</t>
  </si>
  <si>
    <t>15:53:59</t>
  </si>
  <si>
    <t>11:08:45</t>
  </si>
  <si>
    <t>06:54:20</t>
  </si>
  <si>
    <t>14:11:48</t>
  </si>
  <si>
    <t>18:20:01</t>
  </si>
  <si>
    <t>00:00:09</t>
  </si>
  <si>
    <t>21:06:40</t>
  </si>
  <si>
    <t>01:29:26</t>
  </si>
  <si>
    <t>11:08:23</t>
  </si>
  <si>
    <t>00:00:35</t>
  </si>
  <si>
    <t>00:01:31</t>
  </si>
  <si>
    <t>00:05:03</t>
  </si>
  <si>
    <t>00:05:47</t>
  </si>
  <si>
    <t>00:06:35</t>
  </si>
  <si>
    <t>00:06:41</t>
  </si>
  <si>
    <t>19:24:47</t>
  </si>
  <si>
    <t>00:08:21</t>
  </si>
  <si>
    <t>00:08:36</t>
  </si>
  <si>
    <t>00:11:21</t>
  </si>
  <si>
    <t>00:14:09</t>
  </si>
  <si>
    <t>00:14:16</t>
  </si>
  <si>
    <t>18:02:25</t>
  </si>
  <si>
    <t>00:14:14</t>
  </si>
  <si>
    <t>17:57:48</t>
  </si>
  <si>
    <t>00:14:18</t>
  </si>
  <si>
    <t>17:45:14</t>
  </si>
  <si>
    <t>18:22:59</t>
  </si>
  <si>
    <t>00:14:24</t>
  </si>
  <si>
    <t>17:14:29</t>
  </si>
  <si>
    <t>17:15:30</t>
  </si>
  <si>
    <t>00:14:28</t>
  </si>
  <si>
    <t>19:39:54</t>
  </si>
  <si>
    <t>00:14:56</t>
  </si>
  <si>
    <t>20:23:59</t>
  </si>
  <si>
    <t>00:15:01</t>
  </si>
  <si>
    <t>18:16:20</t>
  </si>
  <si>
    <t>00:14:20</t>
  </si>
  <si>
    <t>00:14:51</t>
  </si>
  <si>
    <t>00:16:31</t>
  </si>
  <si>
    <t>00:17:33</t>
  </si>
  <si>
    <t>00:19:27</t>
  </si>
  <si>
    <t>00:20:07</t>
  </si>
  <si>
    <t>00:21:29</t>
  </si>
  <si>
    <t>00:00:14</t>
  </si>
  <si>
    <t>00:25:39</t>
  </si>
  <si>
    <t>00:26:49</t>
  </si>
  <si>
    <t>00:28:07</t>
  </si>
  <si>
    <t>00:29:07</t>
  </si>
  <si>
    <t>00:29:24</t>
  </si>
  <si>
    <t>00:32:21</t>
  </si>
  <si>
    <t>00:32:55</t>
  </si>
  <si>
    <t>00:36:12</t>
  </si>
  <si>
    <t>00:40:03</t>
  </si>
  <si>
    <t>00:40:21</t>
  </si>
  <si>
    <t>00:44:02</t>
  </si>
  <si>
    <t>00:44:55</t>
  </si>
  <si>
    <t>00:46:34</t>
  </si>
  <si>
    <t>00:50:30</t>
  </si>
  <si>
    <t>00:56:51</t>
  </si>
  <si>
    <t>01:00:15</t>
  </si>
  <si>
    <t>01:03:59</t>
  </si>
  <si>
    <t>01:05:06</t>
  </si>
  <si>
    <t>01:10:18</t>
  </si>
  <si>
    <t>01:10:55</t>
  </si>
  <si>
    <t>20:52:25</t>
  </si>
  <si>
    <t>01:16:22</t>
  </si>
  <si>
    <t>01:21:27</t>
  </si>
  <si>
    <t>01:10:43</t>
  </si>
  <si>
    <t>01:23:37</t>
  </si>
  <si>
    <t>01:23:46</t>
  </si>
  <si>
    <t>20:15:12</t>
  </si>
  <si>
    <t>01:28:47</t>
  </si>
  <si>
    <t>19:17:06</t>
  </si>
  <si>
    <t>01:28:57</t>
  </si>
  <si>
    <t>18:31:27</t>
  </si>
  <si>
    <t>01:29:10</t>
  </si>
  <si>
    <t>01:30:02</t>
  </si>
  <si>
    <t>01:30:28</t>
  </si>
  <si>
    <t>01:32:30</t>
  </si>
  <si>
    <t>01:37:03</t>
  </si>
  <si>
    <t>01:38:59</t>
  </si>
  <si>
    <t>01:39:07</t>
  </si>
  <si>
    <t>01:40:37</t>
  </si>
  <si>
    <t>01:41:50</t>
  </si>
  <si>
    <t>01:42:06</t>
  </si>
  <si>
    <t>01:42:16</t>
  </si>
  <si>
    <t>01:44:00</t>
  </si>
  <si>
    <t>01:44:22</t>
  </si>
  <si>
    <t>01:51:28</t>
  </si>
  <si>
    <t>01:51:31</t>
  </si>
  <si>
    <t>01:52:18</t>
  </si>
  <si>
    <t>01:59:55</t>
  </si>
  <si>
    <t>02:00:21</t>
  </si>
  <si>
    <t>02:01:16</t>
  </si>
  <si>
    <t>02:06:56</t>
  </si>
  <si>
    <t>02:07:12</t>
  </si>
  <si>
    <t>14:57:45</t>
  </si>
  <si>
    <t>02:07:43</t>
  </si>
  <si>
    <t>17:04:41</t>
  </si>
  <si>
    <t>02:08:48</t>
  </si>
  <si>
    <t>23:43:12</t>
  </si>
  <si>
    <t>12:25:08</t>
  </si>
  <si>
    <t>02:09:24</t>
  </si>
  <si>
    <t>02:09:40</t>
  </si>
  <si>
    <t>02:11:06</t>
  </si>
  <si>
    <t>02:12:22</t>
  </si>
  <si>
    <t>02:13:45</t>
  </si>
  <si>
    <t>02:15:35</t>
  </si>
  <si>
    <t>02:16:22</t>
  </si>
  <si>
    <t>02:19:21</t>
  </si>
  <si>
    <t>02:22:24</t>
  </si>
  <si>
    <t>02:22:45</t>
  </si>
  <si>
    <t>02:23:47</t>
  </si>
  <si>
    <t>02:29:36</t>
  </si>
  <si>
    <t>02:29:59</t>
  </si>
  <si>
    <t>12:53:55</t>
  </si>
  <si>
    <t>02:30:58</t>
  </si>
  <si>
    <t>02:32:23</t>
  </si>
  <si>
    <t>02:41:53</t>
  </si>
  <si>
    <t>02:42:53</t>
  </si>
  <si>
    <t>23:03:06</t>
  </si>
  <si>
    <t>02:44:30</t>
  </si>
  <si>
    <t>23:05:52</t>
  </si>
  <si>
    <t>02:44:57</t>
  </si>
  <si>
    <t>02:42:44</t>
  </si>
  <si>
    <t>02:46:12</t>
  </si>
  <si>
    <t>02:43:49</t>
  </si>
  <si>
    <t>02:47:00</t>
  </si>
  <si>
    <t>02:58:52</t>
  </si>
  <si>
    <t>02:59:28</t>
  </si>
  <si>
    <t>03:01:58</t>
  </si>
  <si>
    <t>03:02:54</t>
  </si>
  <si>
    <t>03:06:22</t>
  </si>
  <si>
    <t>03:07:11</t>
  </si>
  <si>
    <t>03:09:06</t>
  </si>
  <si>
    <t>03:15:16</t>
  </si>
  <si>
    <t>03:15:42</t>
  </si>
  <si>
    <t>03:21:10</t>
  </si>
  <si>
    <t>03:21:17</t>
  </si>
  <si>
    <t>03:42:14</t>
  </si>
  <si>
    <t>03:43:37</t>
  </si>
  <si>
    <t>03:43:56</t>
  </si>
  <si>
    <t>03:19:23</t>
  </si>
  <si>
    <t>03:43:00</t>
  </si>
  <si>
    <t>03:06:40</t>
  </si>
  <si>
    <t>03:34:21</t>
  </si>
  <si>
    <t>03:48:42</t>
  </si>
  <si>
    <t>19:01:21</t>
  </si>
  <si>
    <t>03:50:50</t>
  </si>
  <si>
    <t>03:53:00</t>
  </si>
  <si>
    <t>04:05:34</t>
  </si>
  <si>
    <t>04:13:33</t>
  </si>
  <si>
    <t>04:06:51</t>
  </si>
  <si>
    <t>04:11:45</t>
  </si>
  <si>
    <t>04:13:46</t>
  </si>
  <si>
    <t>04:17:34</t>
  </si>
  <si>
    <t>04:19:02</t>
  </si>
  <si>
    <t>19:14:17</t>
  </si>
  <si>
    <t>04:24:45</t>
  </si>
  <si>
    <t>04:27:05</t>
  </si>
  <si>
    <t>17:10:14</t>
  </si>
  <si>
    <t>04:33:57</t>
  </si>
  <si>
    <t>22:08:14</t>
  </si>
  <si>
    <t>22:15:00</t>
  </si>
  <si>
    <t>22:19:46</t>
  </si>
  <si>
    <t>04:34:58</t>
  </si>
  <si>
    <t>03:46:06</t>
  </si>
  <si>
    <t>04:37:59</t>
  </si>
  <si>
    <t>04:39:34</t>
  </si>
  <si>
    <t>04:40:14</t>
  </si>
  <si>
    <t>15:01:59</t>
  </si>
  <si>
    <t>04:40:16</t>
  </si>
  <si>
    <t>04:41:16</t>
  </si>
  <si>
    <t>04:52:00</t>
  </si>
  <si>
    <t>04:53:44</t>
  </si>
  <si>
    <t>04:57:31</t>
  </si>
  <si>
    <t>03:43:08</t>
  </si>
  <si>
    <t>03:36:32</t>
  </si>
  <si>
    <t>03:49:53</t>
  </si>
  <si>
    <t>04:59:33</t>
  </si>
  <si>
    <t>19:20:44</t>
  </si>
  <si>
    <t>20:57:34</t>
  </si>
  <si>
    <t>05:05:22</t>
  </si>
  <si>
    <t>19:41:33</t>
  </si>
  <si>
    <t>05:06:33</t>
  </si>
  <si>
    <t>05:09:38</t>
  </si>
  <si>
    <t>01:57:08</t>
  </si>
  <si>
    <t>02:30:00</t>
  </si>
  <si>
    <t>03:18:53</t>
  </si>
  <si>
    <t>05:03:09</t>
  </si>
  <si>
    <t>05:10:26</t>
  </si>
  <si>
    <t>05:10:38</t>
  </si>
  <si>
    <t>04:40:42</t>
  </si>
  <si>
    <t>05:11:01</t>
  </si>
  <si>
    <t>04:57:46</t>
  </si>
  <si>
    <t>05:12:08</t>
  </si>
  <si>
    <t>04:29:48</t>
  </si>
  <si>
    <t>05:14:11</t>
  </si>
  <si>
    <t>05:14:24</t>
  </si>
  <si>
    <t>05:24:10</t>
  </si>
  <si>
    <t>05:27:41</t>
  </si>
  <si>
    <t>05:34:45</t>
  </si>
  <si>
    <t>18:43:59</t>
  </si>
  <si>
    <t>05:34:55</t>
  </si>
  <si>
    <t>05:38:08</t>
  </si>
  <si>
    <t>05:44:28</t>
  </si>
  <si>
    <t>05:49:14</t>
  </si>
  <si>
    <t>05:51:19</t>
  </si>
  <si>
    <t>06:05:37</t>
  </si>
  <si>
    <t>05:53:08</t>
  </si>
  <si>
    <t>06:11:20</t>
  </si>
  <si>
    <t>06:13:04</t>
  </si>
  <si>
    <t>06:17:12</t>
  </si>
  <si>
    <t>06:17:30</t>
  </si>
  <si>
    <t>05:11:09</t>
  </si>
  <si>
    <t>17:49:01</t>
  </si>
  <si>
    <t>06:22:40</t>
  </si>
  <si>
    <t>06:23:33</t>
  </si>
  <si>
    <t>06:23:37</t>
  </si>
  <si>
    <t>06:28:56</t>
  </si>
  <si>
    <t>06:32:48</t>
  </si>
  <si>
    <t>06:39:21</t>
  </si>
  <si>
    <t>06:40:53</t>
  </si>
  <si>
    <t>06:43:09</t>
  </si>
  <si>
    <t>06:45:54</t>
  </si>
  <si>
    <t>17:54:44</t>
  </si>
  <si>
    <t>17:55:19</t>
  </si>
  <si>
    <t>07:04:23</t>
  </si>
  <si>
    <t>07:08:08</t>
  </si>
  <si>
    <t>07:10:21</t>
  </si>
  <si>
    <t>02:54:50</t>
  </si>
  <si>
    <t>07:27:55</t>
  </si>
  <si>
    <t>19:00:08</t>
  </si>
  <si>
    <t>19:24:41</t>
  </si>
  <si>
    <t>07:39:28</t>
  </si>
  <si>
    <t>07:48:59</t>
  </si>
  <si>
    <t>07:50:00</t>
  </si>
  <si>
    <t>22:48:17</t>
  </si>
  <si>
    <t>20:37:12</t>
  </si>
  <si>
    <t>07:56:52</t>
  </si>
  <si>
    <t>21:33:42</t>
  </si>
  <si>
    <t>07:57:58</t>
  </si>
  <si>
    <t>08:20:12</t>
  </si>
  <si>
    <t>08:27:36</t>
  </si>
  <si>
    <t>08:27:55</t>
  </si>
  <si>
    <t>08:45:39</t>
  </si>
  <si>
    <t>16:47:10</t>
  </si>
  <si>
    <t>07:32:03</t>
  </si>
  <si>
    <t>08:47:47</t>
  </si>
  <si>
    <t>15:59:49</t>
  </si>
  <si>
    <t>08:57:21</t>
  </si>
  <si>
    <t>14:45:52</t>
  </si>
  <si>
    <t>06:12:23</t>
  </si>
  <si>
    <t>15:59:28</t>
  </si>
  <si>
    <t>08:57:06</t>
  </si>
  <si>
    <t>09:25:36</t>
  </si>
  <si>
    <t>09:31:12</t>
  </si>
  <si>
    <t>09:10:33</t>
  </si>
  <si>
    <t>09:32:08</t>
  </si>
  <si>
    <t>09:33:14</t>
  </si>
  <si>
    <t>09:36:54</t>
  </si>
  <si>
    <t>09:47:46</t>
  </si>
  <si>
    <t>09:57:13</t>
  </si>
  <si>
    <t>18:02:32</t>
  </si>
  <si>
    <t>10:05:29</t>
  </si>
  <si>
    <t>11:14:18</t>
  </si>
  <si>
    <t>03:26:10</t>
  </si>
  <si>
    <t>07:20:21</t>
  </si>
  <si>
    <t>04:19:08</t>
  </si>
  <si>
    <t>08:13:51</t>
  </si>
  <si>
    <t>10:05:38</t>
  </si>
  <si>
    <t>04:45:29</t>
  </si>
  <si>
    <t>04:47:38</t>
  </si>
  <si>
    <t>04:48:53</t>
  </si>
  <si>
    <t>08:13:37</t>
  </si>
  <si>
    <t>08:13:40</t>
  </si>
  <si>
    <t>10:08:48</t>
  </si>
  <si>
    <t>10:18:46</t>
  </si>
  <si>
    <t>10:25:34</t>
  </si>
  <si>
    <t>10:33:36</t>
  </si>
  <si>
    <t>10:35:16</t>
  </si>
  <si>
    <t>12:28:07</t>
  </si>
  <si>
    <t>10:39:09</t>
  </si>
  <si>
    <t>10:46:33</t>
  </si>
  <si>
    <t>10:50:42</t>
  </si>
  <si>
    <t>10:53:34</t>
  </si>
  <si>
    <t>10:53:46</t>
  </si>
  <si>
    <t>10:58:31</t>
  </si>
  <si>
    <t>11:00:49</t>
  </si>
  <si>
    <t>11:09:01</t>
  </si>
  <si>
    <t>07:11:12</t>
  </si>
  <si>
    <t>11:14:52</t>
  </si>
  <si>
    <t>22:32:05</t>
  </si>
  <si>
    <t>11:17:28</t>
  </si>
  <si>
    <t>11:17:51</t>
  </si>
  <si>
    <t>13:55:22</t>
  </si>
  <si>
    <t>11:24:18</t>
  </si>
  <si>
    <t>11:20:17</t>
  </si>
  <si>
    <t>20:46:57</t>
  </si>
  <si>
    <t>11:37:41</t>
  </si>
  <si>
    <t>11:45:58</t>
  </si>
  <si>
    <t>06:23:45</t>
  </si>
  <si>
    <t>10:14:27</t>
  </si>
  <si>
    <t>11:50:15</t>
  </si>
  <si>
    <t>11:56:31</t>
  </si>
  <si>
    <t>12:00:05</t>
  </si>
  <si>
    <t>12:01:04</t>
  </si>
  <si>
    <t>12:59:29</t>
  </si>
  <si>
    <t>12:08:33</t>
  </si>
  <si>
    <t>12:22:10</t>
  </si>
  <si>
    <t>12:24:43</t>
  </si>
  <si>
    <t>12:28:37</t>
  </si>
  <si>
    <t>12:29:06</t>
  </si>
  <si>
    <t>12:52:26</t>
  </si>
  <si>
    <t>12:52:41</t>
  </si>
  <si>
    <t>12:54:21</t>
  </si>
  <si>
    <t>13:00:49</t>
  </si>
  <si>
    <t>05:23:54</t>
  </si>
  <si>
    <t>13:06:21</t>
  </si>
  <si>
    <t>12:32:59</t>
  </si>
  <si>
    <t>13:12:48</t>
  </si>
  <si>
    <t>17:23:24</t>
  </si>
  <si>
    <t>01:35:50</t>
  </si>
  <si>
    <t>13:13:41</t>
  </si>
  <si>
    <t>20:51:35</t>
  </si>
  <si>
    <t>21:06:28</t>
  </si>
  <si>
    <t>13:21:38</t>
  </si>
  <si>
    <t>13:23:59</t>
  </si>
  <si>
    <t>13:24:56</t>
  </si>
  <si>
    <t>13:27:05</t>
  </si>
  <si>
    <t>13:27:45</t>
  </si>
  <si>
    <t>13:28:40</t>
  </si>
  <si>
    <t>13:31:15</t>
  </si>
  <si>
    <t>13:39:19</t>
  </si>
  <si>
    <t>13:40:08</t>
  </si>
  <si>
    <t>13:43:46</t>
  </si>
  <si>
    <t>13:45:39</t>
  </si>
  <si>
    <t>15:54:26</t>
  </si>
  <si>
    <t>13:46:10</t>
  </si>
  <si>
    <t>13:49:02</t>
  </si>
  <si>
    <t>13:53:20</t>
  </si>
  <si>
    <t>13:56:37</t>
  </si>
  <si>
    <t>13:57:09</t>
  </si>
  <si>
    <t>13:58:49</t>
  </si>
  <si>
    <t>14:02:45</t>
  </si>
  <si>
    <t>16:05:14</t>
  </si>
  <si>
    <t>14:07:06</t>
  </si>
  <si>
    <t>14:10:06</t>
  </si>
  <si>
    <t>14:15:55</t>
  </si>
  <si>
    <t>14:19:10</t>
  </si>
  <si>
    <t>14:20:29</t>
  </si>
  <si>
    <t>14:27:05</t>
  </si>
  <si>
    <t>14:27:32</t>
  </si>
  <si>
    <t>14:27:37</t>
  </si>
  <si>
    <t>14:28:33</t>
  </si>
  <si>
    <t>23:02:06</t>
  </si>
  <si>
    <t>14:31:46</t>
  </si>
  <si>
    <t>20:03:43</t>
  </si>
  <si>
    <t>13:01:28</t>
  </si>
  <si>
    <t>14:31:59</t>
  </si>
  <si>
    <t>17:09:11</t>
  </si>
  <si>
    <t>17:02:18</t>
  </si>
  <si>
    <t>17:43:31</t>
  </si>
  <si>
    <t>16:35:58</t>
  </si>
  <si>
    <t>14:00:07</t>
  </si>
  <si>
    <t>16:05:17</t>
  </si>
  <si>
    <t>18:05:39</t>
  </si>
  <si>
    <t>19:57:25</t>
  </si>
  <si>
    <t>18:05:26</t>
  </si>
  <si>
    <t>23:31:12</t>
  </si>
  <si>
    <t>21:26:01</t>
  </si>
  <si>
    <t>14:35:07</t>
  </si>
  <si>
    <t>1620673936018083840</t>
  </si>
  <si>
    <t>1620674961450082305</t>
  </si>
  <si>
    <t>1620676249013075968</t>
  </si>
  <si>
    <t>1620676319867719681</t>
  </si>
  <si>
    <t>1620678434996514822</t>
  </si>
  <si>
    <t>1620680320210321408</t>
  </si>
  <si>
    <t>1620681256542535681</t>
  </si>
  <si>
    <t>1620681339715612672</t>
  </si>
  <si>
    <t>1620681962414551041</t>
  </si>
  <si>
    <t>1620682251511136258</t>
  </si>
  <si>
    <t>1620684014356172801</t>
  </si>
  <si>
    <t>1620685457289007105</t>
  </si>
  <si>
    <t>1620648137764536321</t>
  </si>
  <si>
    <t>1620686582276820992</t>
  </si>
  <si>
    <t>1620690556430217217</t>
  </si>
  <si>
    <t>1620690982080778243</t>
  </si>
  <si>
    <t>1620693875525304321</t>
  </si>
  <si>
    <t>1620693627579297792</t>
  </si>
  <si>
    <t>1620694356461064192</t>
  </si>
  <si>
    <t>1620447629460267010</t>
  </si>
  <si>
    <t>1620684479747739649</t>
  </si>
  <si>
    <t>1620697359192825858</t>
  </si>
  <si>
    <t>1620699874386915330</t>
  </si>
  <si>
    <t>1620700353397153792</t>
  </si>
  <si>
    <t>1620705148321542144</t>
  </si>
  <si>
    <t>1620709307049189378</t>
  </si>
  <si>
    <t>1620715877422219264</t>
  </si>
  <si>
    <t>1620716097774452736</t>
  </si>
  <si>
    <t>1620716108469923841</t>
  </si>
  <si>
    <t>1620719905397153792</t>
  </si>
  <si>
    <t>1620719935566811137</t>
  </si>
  <si>
    <t>1620720410802397184</t>
  </si>
  <si>
    <t>1466546396333498370</t>
  </si>
  <si>
    <t>1620725961431068672</t>
  </si>
  <si>
    <t>1620726930428362752</t>
  </si>
  <si>
    <t>1620729192915632128</t>
  </si>
  <si>
    <t>1620730270856142852</t>
  </si>
  <si>
    <t>1619196091865645057</t>
  </si>
  <si>
    <t>1620730891944468481</t>
  </si>
  <si>
    <t>1620638318403756032</t>
  </si>
  <si>
    <t>1620734325980545025</t>
  </si>
  <si>
    <t>1620737494257119233</t>
  </si>
  <si>
    <t>1620737874197987330</t>
  </si>
  <si>
    <t>1620739449092214784</t>
  </si>
  <si>
    <t>1547289003606540290</t>
  </si>
  <si>
    <t>1620740807555977217</t>
  </si>
  <si>
    <t>1620743149441388550</t>
  </si>
  <si>
    <t>1620744888999636993</t>
  </si>
  <si>
    <t>1620745342944743425</t>
  </si>
  <si>
    <t>1620746847328555008</t>
  </si>
  <si>
    <t>1620747106297479169</t>
  </si>
  <si>
    <t>1620728022306553857</t>
  </si>
  <si>
    <t>1620750935738970113</t>
  </si>
  <si>
    <t>1620582686376222721</t>
  </si>
  <si>
    <t>1620751050226667522</t>
  </si>
  <si>
    <t>1620751750662868992</t>
  </si>
  <si>
    <t>1620753097432899586</t>
  </si>
  <si>
    <t>1620759021816004609</t>
  </si>
  <si>
    <t>1620759140514791425</t>
  </si>
  <si>
    <t>1620604020695113729</t>
  </si>
  <si>
    <t>1620759709883174912</t>
  </si>
  <si>
    <t>1620761758813114370</t>
  </si>
  <si>
    <t>1620762082265399296</t>
  </si>
  <si>
    <t>1620762412814143488</t>
  </si>
  <si>
    <t>1620763500019879937</t>
  </si>
  <si>
    <t>1620766377467592705</t>
  </si>
  <si>
    <t>1620766891374710785</t>
  </si>
  <si>
    <t>1620767590594543616</t>
  </si>
  <si>
    <t>1620767923001511937</t>
  </si>
  <si>
    <t>1620768717578854400</t>
  </si>
  <si>
    <t>1620769122337411072</t>
  </si>
  <si>
    <t>1620768334399827970</t>
  </si>
  <si>
    <t>1620769971784794113</t>
  </si>
  <si>
    <t>1620770749115170816</t>
  </si>
  <si>
    <t>1620771829878226944</t>
  </si>
  <si>
    <t>1620772774674599941</t>
  </si>
  <si>
    <t>1620772888143097856</t>
  </si>
  <si>
    <t>1620773039955910656</t>
  </si>
  <si>
    <t>1620773142590550016</t>
  </si>
  <si>
    <t>1620777680441602049</t>
  </si>
  <si>
    <t>1620778206067568643</t>
  </si>
  <si>
    <t>1620778592534929408</t>
  </si>
  <si>
    <t>1620779137236602880</t>
  </si>
  <si>
    <t>1620781239165915136</t>
  </si>
  <si>
    <t>1620783256282218496</t>
  </si>
  <si>
    <t>1620783435349639168</t>
  </si>
  <si>
    <t>1620784040331689984</t>
  </si>
  <si>
    <t>1620784293135138818</t>
  </si>
  <si>
    <t>1620422079576424448</t>
  </si>
  <si>
    <t>1620786328375029760</t>
  </si>
  <si>
    <t>1620788050627526657</t>
  </si>
  <si>
    <t>1620788260225298433</t>
  </si>
  <si>
    <t>1620789856510316544</t>
  </si>
  <si>
    <t>1620790051729805319</t>
  </si>
  <si>
    <t>1620790292587876352</t>
  </si>
  <si>
    <t>1620682468356685824</t>
  </si>
  <si>
    <t>1620686353116839937</t>
  </si>
  <si>
    <t>1620729542758498304</t>
  </si>
  <si>
    <t>1620788005920464896</t>
  </si>
  <si>
    <t>1620790326876332035</t>
  </si>
  <si>
    <t>1620791026935033856</t>
  </si>
  <si>
    <t>1620791181318946816</t>
  </si>
  <si>
    <t>1506666745553166343</t>
  </si>
  <si>
    <t>1620792507209781250</t>
  </si>
  <si>
    <t>1620792572087259136</t>
  </si>
  <si>
    <t>1620792988409421824</t>
  </si>
  <si>
    <t>1620793545610383360</t>
  </si>
  <si>
    <t>1620794242179256321</t>
  </si>
  <si>
    <t>1620778357821407233</t>
  </si>
  <si>
    <t>1620796157797756928</t>
  </si>
  <si>
    <t>1620796158728863744</t>
  </si>
  <si>
    <t>1620796330926051328</t>
  </si>
  <si>
    <t>1620796784695205888</t>
  </si>
  <si>
    <t>1620797133132808192</t>
  </si>
  <si>
    <t>1620795638828138497</t>
  </si>
  <si>
    <t>1620800727366127618</t>
  </si>
  <si>
    <t>1620795394870415361</t>
  </si>
  <si>
    <t>1620801533163208704</t>
  </si>
  <si>
    <t>1620801738315034624</t>
  </si>
  <si>
    <t>1620802145506455554</t>
  </si>
  <si>
    <t>1620802146215272448</t>
  </si>
  <si>
    <t>1619914135441113090</t>
  </si>
  <si>
    <t>1620802150095020032</t>
  </si>
  <si>
    <t>1620802409781161985</t>
  </si>
  <si>
    <t>1620790419033587712</t>
  </si>
  <si>
    <t>1620802705106284544</t>
  </si>
  <si>
    <t>1577655339046035456</t>
  </si>
  <si>
    <t>1620803210163388416</t>
  </si>
  <si>
    <t>1620511594970234880</t>
  </si>
  <si>
    <t>1620458747272519682</t>
  </si>
  <si>
    <t>1620805090738311168</t>
  </si>
  <si>
    <t>1620805108329246721</t>
  </si>
  <si>
    <t>1620805156538576896</t>
  </si>
  <si>
    <t>1620805306430414849</t>
  </si>
  <si>
    <t>1620805425376694272</t>
  </si>
  <si>
    <t>1620806047903674368</t>
  </si>
  <si>
    <t>1620806262433742848</t>
  </si>
  <si>
    <t>1620806769470754819</t>
  </si>
  <si>
    <t>1620806857215598593</t>
  </si>
  <si>
    <t>1620804969212563456</t>
  </si>
  <si>
    <t>1620807540920717312</t>
  </si>
  <si>
    <t>1620809891383488517</t>
  </si>
  <si>
    <t>1620809900426432512</t>
  </si>
  <si>
    <t>1620810087269793793</t>
  </si>
  <si>
    <t>1620810572076924928</t>
  </si>
  <si>
    <t>1620810846157918211</t>
  </si>
  <si>
    <t>1620812142059610114</t>
  </si>
  <si>
    <t>1620812422641774593</t>
  </si>
  <si>
    <t>1620814028905009152</t>
  </si>
  <si>
    <t>1620814495839932416</t>
  </si>
  <si>
    <t>1620815497553145856</t>
  </si>
  <si>
    <t>1620815575248404483</t>
  </si>
  <si>
    <t>1620815628000182273</t>
  </si>
  <si>
    <t>1620815719930920960</t>
  </si>
  <si>
    <t>1620815725689737216</t>
  </si>
  <si>
    <t>1620816031190241281</t>
  </si>
  <si>
    <t>1620816104154357763</t>
  </si>
  <si>
    <t>1620816131064987648</t>
  </si>
  <si>
    <t>1620816394203041794</t>
  </si>
  <si>
    <t>1620799740735787008</t>
  </si>
  <si>
    <t>1620805973853237248</t>
  </si>
  <si>
    <t>1620816586071506944</t>
  </si>
  <si>
    <t>1620818479673933828</t>
  </si>
  <si>
    <t>1620818520845205504</t>
  </si>
  <si>
    <t>1620818896390602758</t>
  </si>
  <si>
    <t>1620819118663536641</t>
  </si>
  <si>
    <t>1620819458788044803</t>
  </si>
  <si>
    <t>1620819520066830338</t>
  </si>
  <si>
    <t>1620819573552578560</t>
  </si>
  <si>
    <t>1620820027615154176</t>
  </si>
  <si>
    <t>1620820510350376961</t>
  </si>
  <si>
    <t>1620820497876553730</t>
  </si>
  <si>
    <t>1620820727585988609</t>
  </si>
  <si>
    <t>1620820773152907264</t>
  </si>
  <si>
    <t>1620820930124746753</t>
  </si>
  <si>
    <t>1620821046084665346</t>
  </si>
  <si>
    <t>1620820815431307272</t>
  </si>
  <si>
    <t>1620821295054163984</t>
  </si>
  <si>
    <t>1620821305946947588</t>
  </si>
  <si>
    <t>1620821323395260417</t>
  </si>
  <si>
    <t>1620810756538384384</t>
  </si>
  <si>
    <t>1620821395801505792</t>
  </si>
  <si>
    <t>1620821838791151629</t>
  </si>
  <si>
    <t>1620822184154513409</t>
  </si>
  <si>
    <t>1620822402228969472</t>
  </si>
  <si>
    <t>1620822583376752640</t>
  </si>
  <si>
    <t>1620805462764720128</t>
  </si>
  <si>
    <t>1620805762615496707</t>
  </si>
  <si>
    <t>1620823120369303553</t>
  </si>
  <si>
    <t>1620823736332218368</t>
  </si>
  <si>
    <t>1620823450255507456</t>
  </si>
  <si>
    <t>1620824051475439617</t>
  </si>
  <si>
    <t>1620824150041591810</t>
  </si>
  <si>
    <t>1620822769620623367</t>
  </si>
  <si>
    <t>1620817335912402946</t>
  </si>
  <si>
    <t>1620824183692488707</t>
  </si>
  <si>
    <t>1620824290802438144</t>
  </si>
  <si>
    <t>1620824785969348609</t>
  </si>
  <si>
    <t>1620824828168249345</t>
  </si>
  <si>
    <t>1620825617041358848</t>
  </si>
  <si>
    <t>1620825709869502476</t>
  </si>
  <si>
    <t>1620826132860833792</t>
  </si>
  <si>
    <t>1620826769464107008</t>
  </si>
  <si>
    <t>1620826851240456197</t>
  </si>
  <si>
    <t>1620827389763911683</t>
  </si>
  <si>
    <t>1620827406830555138</t>
  </si>
  <si>
    <t>1620827452250664960</t>
  </si>
  <si>
    <t>1620827478179852288</t>
  </si>
  <si>
    <t>1620827981269581824</t>
  </si>
  <si>
    <t>1620828248593825793</t>
  </si>
  <si>
    <t>1620754058272280579</t>
  </si>
  <si>
    <t>1620828388352221184</t>
  </si>
  <si>
    <t>1620828435668168704</t>
  </si>
  <si>
    <t>1620828561195270144</t>
  </si>
  <si>
    <t>1620828518253998080</t>
  </si>
  <si>
    <t>1620828607001284609</t>
  </si>
  <si>
    <t>1620828806750810112</t>
  </si>
  <si>
    <t>1620828987940548609</t>
  </si>
  <si>
    <t>1620829311896027137</t>
  </si>
  <si>
    <t>1620829361648861188</t>
  </si>
  <si>
    <t>1620829561893326848</t>
  </si>
  <si>
    <t>1620829618730323968</t>
  </si>
  <si>
    <t>1620829683322601473</t>
  </si>
  <si>
    <t>1620829706986848256</t>
  </si>
  <si>
    <t>1620829837656215553</t>
  </si>
  <si>
    <t>1620829923010310146</t>
  </si>
  <si>
    <t>1620829976441540608</t>
  </si>
  <si>
    <t>1620830092133040129</t>
  </si>
  <si>
    <t>1620830143144132608</t>
  </si>
  <si>
    <t>1620830304197046277</t>
  </si>
  <si>
    <t>1620830430332354561</t>
  </si>
  <si>
    <t>1620830490843557890</t>
  </si>
  <si>
    <t>1620830494446469121</t>
  </si>
  <si>
    <t>1620830502839279616</t>
  </si>
  <si>
    <t>1620818478361092098</t>
  </si>
  <si>
    <t>1620830572322131970</t>
  </si>
  <si>
    <t>1620830581847379969</t>
  </si>
  <si>
    <t>1620830652466888705</t>
  </si>
  <si>
    <t>1620831253921685505</t>
  </si>
  <si>
    <t>1620831326848053250</t>
  </si>
  <si>
    <t>1620831368753315840</t>
  </si>
  <si>
    <t>1620831382598713346</t>
  </si>
  <si>
    <t>1620831410897682433</t>
  </si>
  <si>
    <t>1620831511342714890</t>
  </si>
  <si>
    <t>1620831678464925696</t>
  </si>
  <si>
    <t>1620831572831404032</t>
  </si>
  <si>
    <t>1620831863597318145</t>
  </si>
  <si>
    <t>1620831921579376641</t>
  </si>
  <si>
    <t>1620832471343587331</t>
  </si>
  <si>
    <t>1620832553379987456</t>
  </si>
  <si>
    <t>1620832563270139905</t>
  </si>
  <si>
    <t>1620832832108269570</t>
  </si>
  <si>
    <t>1620832839200800770</t>
  </si>
  <si>
    <t>1620833105044205570</t>
  </si>
  <si>
    <t>1620833463292002304</t>
  </si>
  <si>
    <t>1620833730570129414</t>
  </si>
  <si>
    <t>1620833752799903745</t>
  </si>
  <si>
    <t>1620834023592562688</t>
  </si>
  <si>
    <t>1620834042768928768</t>
  </si>
  <si>
    <t>1620834160112984064</t>
  </si>
  <si>
    <t>1620834246196695048</t>
  </si>
  <si>
    <t>1620834296973103107</t>
  </si>
  <si>
    <t>1620834983622627328</t>
  </si>
  <si>
    <t>1620835732733698049</t>
  </si>
  <si>
    <t>1620835813834772480</t>
  </si>
  <si>
    <t>1620836354161774592</t>
  </si>
  <si>
    <t>1620836660685721602</t>
  </si>
  <si>
    <t>1620836877799665664</t>
  </si>
  <si>
    <t>1620836883818225664</t>
  </si>
  <si>
    <t>1620837011585372161</t>
  </si>
  <si>
    <t>1620837194658385920</t>
  </si>
  <si>
    <t>1620837212559675392</t>
  </si>
  <si>
    <t>1620837319233380352</t>
  </si>
  <si>
    <t>1620807324557344789</t>
  </si>
  <si>
    <t>1620837448384401408</t>
  </si>
  <si>
    <t>1620837618459242497</t>
  </si>
  <si>
    <t>1620837629351858183</t>
  </si>
  <si>
    <t>1620837523772805120</t>
  </si>
  <si>
    <t>1620837710503247872</t>
  </si>
  <si>
    <t>1620837857048039424</t>
  </si>
  <si>
    <t>1620838137818910726</t>
  </si>
  <si>
    <t>1620838106386821120</t>
  </si>
  <si>
    <t>1620838833939173377</t>
  </si>
  <si>
    <t>1620825178912751617</t>
  </si>
  <si>
    <t>1620839080245301268</t>
  </si>
  <si>
    <t>1620797631667798018</t>
  </si>
  <si>
    <t>1620799424640483328</t>
  </si>
  <si>
    <t>1620787424539598848</t>
  </si>
  <si>
    <t>1620798669363740673</t>
  </si>
  <si>
    <t>1620806178443005953</t>
  </si>
  <si>
    <t>1620805853287964673</t>
  </si>
  <si>
    <t>1620839194540277761</t>
  </si>
  <si>
    <t>1620834534987292673</t>
  </si>
  <si>
    <t>1620839646883352576</t>
  </si>
  <si>
    <t>1620839716848533504</t>
  </si>
  <si>
    <t>1620840452810473472</t>
  </si>
  <si>
    <t>1620840466597150720</t>
  </si>
  <si>
    <t>1620840988586700806</t>
  </si>
  <si>
    <t>1620841642348642305</t>
  </si>
  <si>
    <t>1620841932116344832</t>
  </si>
  <si>
    <t>1620841990454935553</t>
  </si>
  <si>
    <t>1620842095568384000</t>
  </si>
  <si>
    <t>1620842178665934848</t>
  </si>
  <si>
    <t>1620842846063591424</t>
  </si>
  <si>
    <t>1620843224016486400</t>
  </si>
  <si>
    <t>1620843435908542465</t>
  </si>
  <si>
    <t>1620843886406139905</t>
  </si>
  <si>
    <t>1620843887073042432</t>
  </si>
  <si>
    <t>1620843942471434241</t>
  </si>
  <si>
    <t>1620832311918088193</t>
  </si>
  <si>
    <t>1620832396659798016</t>
  </si>
  <si>
    <t>1620844014189842434</t>
  </si>
  <si>
    <t>1620844020342886401</t>
  </si>
  <si>
    <t>1620844024960790528</t>
  </si>
  <si>
    <t>1620844212412637184</t>
  </si>
  <si>
    <t>1620844572120334344</t>
  </si>
  <si>
    <t>1620844614247645194</t>
  </si>
  <si>
    <t>1620839647806103552</t>
  </si>
  <si>
    <t>1620844846243278852</t>
  </si>
  <si>
    <t>1620839410936971264</t>
  </si>
  <si>
    <t>1620844882452701184</t>
  </si>
  <si>
    <t>1620845273718063105</t>
  </si>
  <si>
    <t>1620845486751219712</t>
  </si>
  <si>
    <t>1620846309770166272</t>
  </si>
  <si>
    <t>1620846848025178113</t>
  </si>
  <si>
    <t>1620847039268667394</t>
  </si>
  <si>
    <t>1620847115558862848</t>
  </si>
  <si>
    <t>1620847461832196096</t>
  </si>
  <si>
    <t>1620848109143343106</t>
  </si>
  <si>
    <t>1620848516963901442</t>
  </si>
  <si>
    <t>1620848562946052096</t>
  </si>
  <si>
    <t>1620825912651517966</t>
  </si>
  <si>
    <t>1620848921735225347</t>
  </si>
  <si>
    <t>1620849286215761939</t>
  </si>
  <si>
    <t>1620849679775969281</t>
  </si>
  <si>
    <t>1620849740207489026</t>
  </si>
  <si>
    <t>1620849905651814401</t>
  </si>
  <si>
    <t>1620850625524432896</t>
  </si>
  <si>
    <t>1620844624259739648</t>
  </si>
  <si>
    <t>1620851840287113217</t>
  </si>
  <si>
    <t>1620852123486547968</t>
  </si>
  <si>
    <t>1620852427070255107</t>
  </si>
  <si>
    <t>1620840655701577728</t>
  </si>
  <si>
    <t>1620852592392941569</t>
  </si>
  <si>
    <t>1620853429957709829</t>
  </si>
  <si>
    <t>1620853795021541377</t>
  </si>
  <si>
    <t>1620855295844155395</t>
  </si>
  <si>
    <t>1620855351611654144</t>
  </si>
  <si>
    <t>1620855478560620544</t>
  </si>
  <si>
    <t>1620808049119137794</t>
  </si>
  <si>
    <t>1620855517655728129</t>
  </si>
  <si>
    <t>1620855570113912832</t>
  </si>
  <si>
    <t>1620855661973372929</t>
  </si>
  <si>
    <t>1620855723927404544</t>
  </si>
  <si>
    <t>1620829346465476609</t>
  </si>
  <si>
    <t>1620855998930886661</t>
  </si>
  <si>
    <t>1620856185749639168</t>
  </si>
  <si>
    <t>1620856338698862613</t>
  </si>
  <si>
    <t>1620856602495488005</t>
  </si>
  <si>
    <t>1620857862712082432</t>
  </si>
  <si>
    <t>1620857897055027202</t>
  </si>
  <si>
    <t>1620858476124868610</t>
  </si>
  <si>
    <t>1620858892623151118</t>
  </si>
  <si>
    <t>1620804195539353612</t>
  </si>
  <si>
    <t>1620859281313796097</t>
  </si>
  <si>
    <t>1620859622600105984</t>
  </si>
  <si>
    <t>1620860480637263872</t>
  </si>
  <si>
    <t>1620810876063289348</t>
  </si>
  <si>
    <t>1620860497187991552</t>
  </si>
  <si>
    <t>1620860569388720128</t>
  </si>
  <si>
    <t>1620860642180886529</t>
  </si>
  <si>
    <t>1620861030133006336</t>
  </si>
  <si>
    <t>1620861675439296515</t>
  </si>
  <si>
    <t>1620861765650350080</t>
  </si>
  <si>
    <t>1620861865176989696</t>
  </si>
  <si>
    <t>1620861978888572948</t>
  </si>
  <si>
    <t>1620862093670088707</t>
  </si>
  <si>
    <t>1620863372681170944</t>
  </si>
  <si>
    <t>1620864175303192576</t>
  </si>
  <si>
    <t>1620864530514612231</t>
  </si>
  <si>
    <t>1620864957314383872</t>
  </si>
  <si>
    <t>1620864981448429569</t>
  </si>
  <si>
    <t>1620865267931947008</t>
  </si>
  <si>
    <t>1620866036080820224</t>
  </si>
  <si>
    <t>1620866036194050049</t>
  </si>
  <si>
    <t>1620866050026782720</t>
  </si>
  <si>
    <t>1620866050756591618</t>
  </si>
  <si>
    <t>1620866050911862785</t>
  </si>
  <si>
    <t>1620866050945433600</t>
  </si>
  <si>
    <t>1620866050949582859</t>
  </si>
  <si>
    <t>1620866050991554560</t>
  </si>
  <si>
    <t>1620866050995757057</t>
  </si>
  <si>
    <t>1620866051050246155</t>
  </si>
  <si>
    <t>1620866051121504258</t>
  </si>
  <si>
    <t>1620866051134132228</t>
  </si>
  <si>
    <t>1620866051138256898</t>
  </si>
  <si>
    <t>1620866051230547968</t>
  </si>
  <si>
    <t>1620866051255799808</t>
  </si>
  <si>
    <t>1620866051264155665</t>
  </si>
  <si>
    <t>1620866051280863233</t>
  </si>
  <si>
    <t>1620866051310293001</t>
  </si>
  <si>
    <t>1620866051343880194</t>
  </si>
  <si>
    <t>1620866051385790471</t>
  </si>
  <si>
    <t>1620866051385819138</t>
  </si>
  <si>
    <t>1620866051389984782</t>
  </si>
  <si>
    <t>1620866051394117634</t>
  </si>
  <si>
    <t>1620866051394211840</t>
  </si>
  <si>
    <t>1620866051406761994</t>
  </si>
  <si>
    <t>1620866051427688448</t>
  </si>
  <si>
    <t>1620866051461287938</t>
  </si>
  <si>
    <t>1620866051511648261</t>
  </si>
  <si>
    <t>1620866051540918272</t>
  </si>
  <si>
    <t>1620866051553607681</t>
  </si>
  <si>
    <t>1620866051557801984</t>
  </si>
  <si>
    <t>1620866051578728452</t>
  </si>
  <si>
    <t>1620866051591311361</t>
  </si>
  <si>
    <t>1620866051599745025</t>
  </si>
  <si>
    <t>1620866051608088583</t>
  </si>
  <si>
    <t>1620866051629088769</t>
  </si>
  <si>
    <t>1620866051645775872</t>
  </si>
  <si>
    <t>1620866051704504321</t>
  </si>
  <si>
    <t>1620866051704590337</t>
  </si>
  <si>
    <t>1620866051738112004</t>
  </si>
  <si>
    <t>1620866051738148866</t>
  </si>
  <si>
    <t>1620866051746500609</t>
  </si>
  <si>
    <t>1620866051771715584</t>
  </si>
  <si>
    <t>1620866051822034944</t>
  </si>
  <si>
    <t>1620866051914317824</t>
  </si>
  <si>
    <t>1620866052119793666</t>
  </si>
  <si>
    <t>1620866055626452993</t>
  </si>
  <si>
    <t>1620749537672568834</t>
  </si>
  <si>
    <t>1620782996851953664</t>
  </si>
  <si>
    <t>1620759359528763395</t>
  </si>
  <si>
    <t>1620865112155516928</t>
  </si>
  <si>
    <t>1620866089554182145</t>
  </si>
  <si>
    <t>1620866526562881542</t>
  </si>
  <si>
    <t>1620866789617070080</t>
  </si>
  <si>
    <t>1620867355101499392</t>
  </si>
  <si>
    <t>1620867998729871361</t>
  </si>
  <si>
    <t>1620868252808404992</t>
  </si>
  <si>
    <t>1620868599643787266</t>
  </si>
  <si>
    <t>1620869410868060161</t>
  </si>
  <si>
    <t>1620869523661529088</t>
  </si>
  <si>
    <t>1620869801089372164</t>
  </si>
  <si>
    <t>1620869843074547713</t>
  </si>
  <si>
    <t>1620869905506787329</t>
  </si>
  <si>
    <t>1620870439697514496</t>
  </si>
  <si>
    <t>1620870623861026816</t>
  </si>
  <si>
    <t>1620871100765966336</t>
  </si>
  <si>
    <t>1620460548793204738</t>
  </si>
  <si>
    <t>1620871264025083904</t>
  </si>
  <si>
    <t>1620873444534661120</t>
  </si>
  <si>
    <t>1620874051416883200</t>
  </si>
  <si>
    <t>1620874435908538382</t>
  </si>
  <si>
    <t>1620875191969808385</t>
  </si>
  <si>
    <t>1620875549840384001</t>
  </si>
  <si>
    <t>1620513328480092162</t>
  </si>
  <si>
    <t>1620876063562960896</t>
  </si>
  <si>
    <t>1620876138326429697</t>
  </si>
  <si>
    <t>1620866050710556672</t>
  </si>
  <si>
    <t>1620876381742862337</t>
  </si>
  <si>
    <t>1620876398972833805</t>
  </si>
  <si>
    <t>1620876746525655045</t>
  </si>
  <si>
    <t>1620876141937717249</t>
  </si>
  <si>
    <t>1620876756378062848</t>
  </si>
  <si>
    <t>1620877327403220992</t>
  </si>
  <si>
    <t>1620877385540448256</t>
  </si>
  <si>
    <t>1620877855185055745</t>
  </si>
  <si>
    <t>1620877977226731528</t>
  </si>
  <si>
    <t>1620878340663164928</t>
  </si>
  <si>
    <t>1619067218691776513</t>
  </si>
  <si>
    <t>1620878341887913986</t>
  </si>
  <si>
    <t>1620878385395240960</t>
  </si>
  <si>
    <t>1620879996389847042</t>
  </si>
  <si>
    <t>1620880268147163136</t>
  </si>
  <si>
    <t>1620880670984912896</t>
  </si>
  <si>
    <t>1620881476513587200</t>
  </si>
  <si>
    <t>1620881574224093185</t>
  </si>
  <si>
    <t>1620881773201883136</t>
  </si>
  <si>
    <t>1620881868420939778</t>
  </si>
  <si>
    <t>1620882062508195840</t>
  </si>
  <si>
    <t>1620882206481850369</t>
  </si>
  <si>
    <t>1620882299947728896</t>
  </si>
  <si>
    <t>1620883575209091075</t>
  </si>
  <si>
    <t>1620884099232841729</t>
  </si>
  <si>
    <t>1608073920258920450</t>
  </si>
  <si>
    <t>1620884164034830339</t>
  </si>
  <si>
    <t>1620884183332835328</t>
  </si>
  <si>
    <t>1620884553849085977</t>
  </si>
  <si>
    <t>1530890045183369217</t>
  </si>
  <si>
    <t>1620884568873271297</t>
  </si>
  <si>
    <t>1620884938907340800</t>
  </si>
  <si>
    <t>1620885068872044545</t>
  </si>
  <si>
    <t>1620885402705092608</t>
  </si>
  <si>
    <t>1620885606892208128</t>
  </si>
  <si>
    <t>1620885712861278209</t>
  </si>
  <si>
    <t>1620885748349284352</t>
  </si>
  <si>
    <t>1620886032660180992</t>
  </si>
  <si>
    <t>1620886570353192960</t>
  </si>
  <si>
    <t>1620886615597158401</t>
  </si>
  <si>
    <t>1620886741099094017</t>
  </si>
  <si>
    <t>1620886754990649344</t>
  </si>
  <si>
    <t>1620887324648411136</t>
  </si>
  <si>
    <t>1620887690387537921</t>
  </si>
  <si>
    <t>1620887826874368000</t>
  </si>
  <si>
    <t>1620887936408637440</t>
  </si>
  <si>
    <t>1620888638455422977</t>
  </si>
  <si>
    <t>1620888903359123458</t>
  </si>
  <si>
    <t>1620890034714079233</t>
  </si>
  <si>
    <t>1620890408912920579</t>
  </si>
  <si>
    <t>1620829482318794772</t>
  </si>
  <si>
    <t>1620886798405898240</t>
  </si>
  <si>
    <t>1620890435463053313</t>
  </si>
  <si>
    <t>1620890865572122625</t>
  </si>
  <si>
    <t>1620891036519383042</t>
  </si>
  <si>
    <t>1620854454995255299</t>
  </si>
  <si>
    <t>1620891244665896961</t>
  </si>
  <si>
    <t>1620892785141506048</t>
  </si>
  <si>
    <t>1620892875121917953</t>
  </si>
  <si>
    <t>1620893549733777408</t>
  </si>
  <si>
    <t>1620893975896014848</t>
  </si>
  <si>
    <t>1620894087208394752</t>
  </si>
  <si>
    <t>1620894387290132480</t>
  </si>
  <si>
    <t>1620894441354534932</t>
  </si>
  <si>
    <t>1620806906142130185</t>
  </si>
  <si>
    <t>1620895400470409217</t>
  </si>
  <si>
    <t>1620895471580643329</t>
  </si>
  <si>
    <t>1620895642288812034</t>
  </si>
  <si>
    <t>1620895753328787457</t>
  </si>
  <si>
    <t>1620827535276900354</t>
  </si>
  <si>
    <t>1620895955938848768</t>
  </si>
  <si>
    <t>1620890515607814144</t>
  </si>
  <si>
    <t>1620896086842908673</t>
  </si>
  <si>
    <t>1620896200332578816</t>
  </si>
  <si>
    <t>1620896815091515393</t>
  </si>
  <si>
    <t>1620501261694148608</t>
  </si>
  <si>
    <t>1620896907068600320</t>
  </si>
  <si>
    <t>1620897350620450816</t>
  </si>
  <si>
    <t>1620898975636398080</t>
  </si>
  <si>
    <t>1620899374871232512</t>
  </si>
  <si>
    <t>1620899477396803585</t>
  </si>
  <si>
    <t>1620899615116791809</t>
  </si>
  <si>
    <t>1620876582503198721</t>
  </si>
  <si>
    <t>1620899687950843905</t>
  </si>
  <si>
    <t>1620792456630644738</t>
  </si>
  <si>
    <t>1620799131295059971</t>
  </si>
  <si>
    <t>1620806874047348741</t>
  </si>
  <si>
    <t>1620821420820566017</t>
  </si>
  <si>
    <t>1620821608691802112</t>
  </si>
  <si>
    <t>1620821819497537536</t>
  </si>
  <si>
    <t>1620837838937026561</t>
  </si>
  <si>
    <t>1620852416584486913</t>
  </si>
  <si>
    <t>1620872701740212225</t>
  </si>
  <si>
    <t>1620876895721242624</t>
  </si>
  <si>
    <t>1620899926447198208</t>
  </si>
  <si>
    <t>1620899978813276161</t>
  </si>
  <si>
    <t>1620900025906733075</t>
  </si>
  <si>
    <t>1620900217284591616</t>
  </si>
  <si>
    <t>1620900451305820160</t>
  </si>
  <si>
    <t>1620901993723330561</t>
  </si>
  <si>
    <t>1620902339308834816</t>
  </si>
  <si>
    <t>1620902626224398336</t>
  </si>
  <si>
    <t>1620853419761348608</t>
  </si>
  <si>
    <t>1620902925538316289</t>
  </si>
  <si>
    <t>1466800086026014721</t>
  </si>
  <si>
    <t>1620903048276250625</t>
  </si>
  <si>
    <t>1620903198897901569</t>
  </si>
  <si>
    <t>1620903638620307456</t>
  </si>
  <si>
    <t>1620904961491058688</t>
  </si>
  <si>
    <t>1606289830220005378</t>
  </si>
  <si>
    <t>1620905054537682944</t>
  </si>
  <si>
    <t>1620905014251372553</t>
  </si>
  <si>
    <t>1620905074343165961</t>
  </si>
  <si>
    <t>1620904307565666304</t>
  </si>
  <si>
    <t>1620905217066938369</t>
  </si>
  <si>
    <t>1620905868278796288</t>
  </si>
  <si>
    <t>1620906059928838144</t>
  </si>
  <si>
    <t>1620906091935670274</t>
  </si>
  <si>
    <t>1620906255115235328</t>
  </si>
  <si>
    <t>1620906374728384514</t>
  </si>
  <si>
    <t>1620908595557842952</t>
  </si>
  <si>
    <t>1620908819638534155</t>
  </si>
  <si>
    <t>1620888540057067520</t>
  </si>
  <si>
    <t>1620909306601422848</t>
  </si>
  <si>
    <t>1620910233072844801</t>
  </si>
  <si>
    <t>1620910328937877505</t>
  </si>
  <si>
    <t>1620910960331395076</t>
  </si>
  <si>
    <t>1620912199865876489</t>
  </si>
  <si>
    <t>1620912284947333130</t>
  </si>
  <si>
    <t>1620912409211977737</t>
  </si>
  <si>
    <t>1620912502644084737</t>
  </si>
  <si>
    <t>1620912545396834310</t>
  </si>
  <si>
    <t>1620912938944204801</t>
  </si>
  <si>
    <t>1620912967402545152</t>
  </si>
  <si>
    <t>1620913037644541953</t>
  </si>
  <si>
    <t>1620913072117518339</t>
  </si>
  <si>
    <t>1620913221224775686</t>
  </si>
  <si>
    <t>1620913252686516225</t>
  </si>
  <si>
    <t>1620913345493889027</t>
  </si>
  <si>
    <t>1620913370810683393</t>
  </si>
  <si>
    <t>1620875871333781504</t>
  </si>
  <si>
    <t>1620913597508628480</t>
  </si>
  <si>
    <t>1620913703339307009</t>
  </si>
  <si>
    <t>1620913988178702336</t>
  </si>
  <si>
    <t>1620914338348564481</t>
  </si>
  <si>
    <t>1620914816419495937</t>
  </si>
  <si>
    <t>1620915300765163520</t>
  </si>
  <si>
    <t>1620830596716007429</t>
  </si>
  <si>
    <t>1620915609822466049</t>
  </si>
  <si>
    <t>1620916174367387648</t>
  </si>
  <si>
    <t>1620916221322600448</t>
  </si>
  <si>
    <t>1620916303077994496</t>
  </si>
  <si>
    <t>1620916432308420608</t>
  </si>
  <si>
    <t>1620916595605340161</t>
  </si>
  <si>
    <t>1620916738241220609</t>
  </si>
  <si>
    <t>1620916931795750912</t>
  </si>
  <si>
    <t>1584455154484379648</t>
  </si>
  <si>
    <t>1620917707209150465</t>
  </si>
  <si>
    <t>1620917805779664896</t>
  </si>
  <si>
    <t>1620887356558708736</t>
  </si>
  <si>
    <t>1620918032943190016</t>
  </si>
  <si>
    <t>1620918262446825473</t>
  </si>
  <si>
    <t>1620918871099064325</t>
  </si>
  <si>
    <t>1620918914120298496</t>
  </si>
  <si>
    <t>1620897973386502145</t>
  </si>
  <si>
    <t>1620919135134695425</t>
  </si>
  <si>
    <t>1620920229051375616</t>
  </si>
  <si>
    <t>1620920307383943168</t>
  </si>
  <si>
    <t>1620875478168137730</t>
  </si>
  <si>
    <t>1620920678097747969</t>
  </si>
  <si>
    <t>1620920703502393345</t>
  </si>
  <si>
    <t>1620920865893552128</t>
  </si>
  <si>
    <t>1620921391553069056</t>
  </si>
  <si>
    <t>1620922595754516481</t>
  </si>
  <si>
    <t>1620923085217202177</t>
  </si>
  <si>
    <t>1620923292197724160</t>
  </si>
  <si>
    <t>1620924455278231553</t>
  </si>
  <si>
    <t>1620924821902344192</t>
  </si>
  <si>
    <t>1620924878864908289</t>
  </si>
  <si>
    <t>1620925047937589248</t>
  </si>
  <si>
    <t>1620852305414463488</t>
  </si>
  <si>
    <t>1620925239587930115</t>
  </si>
  <si>
    <t>1620925266120802306</t>
  </si>
  <si>
    <t>1620925422526672898</t>
  </si>
  <si>
    <t>1620925597349466112</t>
  </si>
  <si>
    <t>1620926022257623042</t>
  </si>
  <si>
    <t>1620926306534973440</t>
  </si>
  <si>
    <t>1620926665965854721</t>
  </si>
  <si>
    <t>1620917159323918337</t>
  </si>
  <si>
    <t>1620927234742816769</t>
  </si>
  <si>
    <t>1620927521553534976</t>
  </si>
  <si>
    <t>1620917070052610049</t>
  </si>
  <si>
    <t>1620927088890118144</t>
  </si>
  <si>
    <t>1601039414704340994</t>
  </si>
  <si>
    <t>1620927534673313793</t>
  </si>
  <si>
    <t>1620927801347149825</t>
  </si>
  <si>
    <t>1620927910717825025</t>
  </si>
  <si>
    <t>1620927966615150593</t>
  </si>
  <si>
    <t>1620928361827803136</t>
  </si>
  <si>
    <t>1620927889880518656</t>
  </si>
  <si>
    <t>1620928510943690753</t>
  </si>
  <si>
    <t>1620928520141836288</t>
  </si>
  <si>
    <t>1620786575901876225</t>
  </si>
  <si>
    <t>1620928546234302465</t>
  </si>
  <si>
    <t>1620928699045482501</t>
  </si>
  <si>
    <t>1620929365851934720</t>
  </si>
  <si>
    <t>1620931349157928960</t>
  </si>
  <si>
    <t>1620891584345808896</t>
  </si>
  <si>
    <t>1620856524741672960</t>
  </si>
  <si>
    <t>1620857299689668609</t>
  </si>
  <si>
    <t>1620857517927702529</t>
  </si>
  <si>
    <t>1620885571467096064</t>
  </si>
  <si>
    <t>1620904949155774469</t>
  </si>
  <si>
    <t>1620908197463871488</t>
  </si>
  <si>
    <t>1620908720246124544</t>
  </si>
  <si>
    <t>1620916013423546368</t>
  </si>
  <si>
    <t>1620924911308120065</t>
  </si>
  <si>
    <t>1620925460254437376</t>
  </si>
  <si>
    <t>1620925717247840257</t>
  </si>
  <si>
    <t>1620926029144506369</t>
  </si>
  <si>
    <t>1620931731347087360</t>
  </si>
  <si>
    <t>1620932074416009217</t>
  </si>
  <si>
    <t>1620932993924878337</t>
  </si>
  <si>
    <t>1620542503161307136</t>
  </si>
  <si>
    <t>1620805034287206400</t>
  </si>
  <si>
    <t>1620896538343149568</t>
  </si>
  <si>
    <t>1620933437535428609</t>
  </si>
  <si>
    <t>1620933598982578177</t>
  </si>
  <si>
    <t>1620934211828858884</t>
  </si>
  <si>
    <t>1620920212764901377</t>
  </si>
  <si>
    <t>1620934342615891968</t>
  </si>
  <si>
    <t>1620913550263996417</t>
  </si>
  <si>
    <t>1620934715103662080</t>
  </si>
  <si>
    <t>1620450330185195522</t>
  </si>
  <si>
    <t>1620740936673423361</t>
  </si>
  <si>
    <t>1620676909880459264</t>
  </si>
  <si>
    <t>1620787001967648770</t>
  </si>
  <si>
    <t>1620849465954557955</t>
  </si>
  <si>
    <t>1620935065533546496</t>
  </si>
  <si>
    <t>1620529015818969088</t>
  </si>
  <si>
    <t>1620232757879382016</t>
  </si>
  <si>
    <t>1620740843660546048</t>
  </si>
  <si>
    <t>1620935174761627649</t>
  </si>
  <si>
    <t>1620935409705586689</t>
  </si>
  <si>
    <t>1620936298604408833</t>
  </si>
  <si>
    <t>1620936482071482369</t>
  </si>
  <si>
    <t>1620936684484558848</t>
  </si>
  <si>
    <t>1620936707183972353</t>
  </si>
  <si>
    <t>1620865764776620033</t>
  </si>
  <si>
    <t>1620937127566647296</t>
  </si>
  <si>
    <t>1620937192645464066</t>
  </si>
  <si>
    <t>1620937882675585024</t>
  </si>
  <si>
    <t>1620938585942933506</t>
  </si>
  <si>
    <t>1620938618570444800</t>
  </si>
  <si>
    <t>1620845035989368832</t>
  </si>
  <si>
    <t>1620938609301004288</t>
  </si>
  <si>
    <t>1620843877493243905</t>
  </si>
  <si>
    <t>1620938623406452737</t>
  </si>
  <si>
    <t>1620840715432636417</t>
  </si>
  <si>
    <t>1620850213169795072</t>
  </si>
  <si>
    <t>1620938652393287680</t>
  </si>
  <si>
    <t>1620832972911038464</t>
  </si>
  <si>
    <t>1620833231305338881</t>
  </si>
  <si>
    <t>1620938666767167491</t>
  </si>
  <si>
    <t>1620869568284725248</t>
  </si>
  <si>
    <t>1620938784060882944</t>
  </si>
  <si>
    <t>1620880663665643577</t>
  </si>
  <si>
    <t>1620938803946090497</t>
  </si>
  <si>
    <t>1620848541232173056</t>
  </si>
  <si>
    <t>1620938635297030144</t>
  </si>
  <si>
    <t>1620938763961778176</t>
  </si>
  <si>
    <t>1620939182289076224</t>
  </si>
  <si>
    <t>1620939442935721984</t>
  </si>
  <si>
    <t>1620939919932936192</t>
  </si>
  <si>
    <t>1620940087034011648</t>
  </si>
  <si>
    <t>1620940432393015297</t>
  </si>
  <si>
    <t>1620935087083618305</t>
  </si>
  <si>
    <t>1620941479693910017</t>
  </si>
  <si>
    <t>1620941774754807808</t>
  </si>
  <si>
    <t>1620942101272723456</t>
  </si>
  <si>
    <t>1620942355271499777</t>
  </si>
  <si>
    <t>1620942425622724611</t>
  </si>
  <si>
    <t>1620943166399746055</t>
  </si>
  <si>
    <t>1620943311451353088</t>
  </si>
  <si>
    <t>1620944137607577600</t>
  </si>
  <si>
    <t>1620945104361132033</t>
  </si>
  <si>
    <t>1620945182245126144</t>
  </si>
  <si>
    <t>1620946108804632577</t>
  </si>
  <si>
    <t>1620946329680879616</t>
  </si>
  <si>
    <t>1620946747299344390</t>
  </si>
  <si>
    <t>1620947734323941376</t>
  </si>
  <si>
    <t>1620949333972586496</t>
  </si>
  <si>
    <t>1620950190491598848</t>
  </si>
  <si>
    <t>1620951128463532032</t>
  </si>
  <si>
    <t>1620951411143098368</t>
  </si>
  <si>
    <t>1620952717421318144</t>
  </si>
  <si>
    <t>1620952874774855680</t>
  </si>
  <si>
    <t>1615814389990363173</t>
  </si>
  <si>
    <t>1620954245217263618</t>
  </si>
  <si>
    <t>1620955525889540097</t>
  </si>
  <si>
    <t>1620952822874349574</t>
  </si>
  <si>
    <t>1620956069622063104</t>
  </si>
  <si>
    <t>1620956105328447488</t>
  </si>
  <si>
    <t>1620516063950831621</t>
  </si>
  <si>
    <t>1620957371022589955</t>
  </si>
  <si>
    <t>1620501443961659430</t>
  </si>
  <si>
    <t>1620957412336504832</t>
  </si>
  <si>
    <t>1619765178815610880</t>
  </si>
  <si>
    <t>1620957465407033345</t>
  </si>
  <si>
    <t>1620957683959349249</t>
  </si>
  <si>
    <t>1620957793124773888</t>
  </si>
  <si>
    <t>1620958304779341826</t>
  </si>
  <si>
    <t>1620959447966433283</t>
  </si>
  <si>
    <t>1620959937407901701</t>
  </si>
  <si>
    <t>1620959970912002050</t>
  </si>
  <si>
    <t>1620960348412026882</t>
  </si>
  <si>
    <t>1620960655376515073</t>
  </si>
  <si>
    <t>1620960722250530816</t>
  </si>
  <si>
    <t>1620960763211833344</t>
  </si>
  <si>
    <t>1620961198064959489</t>
  </si>
  <si>
    <t>1620961289874059264</t>
  </si>
  <si>
    <t>1620963076823732229</t>
  </si>
  <si>
    <t>1620963090002247681</t>
  </si>
  <si>
    <t>1620963285880442882</t>
  </si>
  <si>
    <t>1620965203910483969</t>
  </si>
  <si>
    <t>1620965313818009600</t>
  </si>
  <si>
    <t>1620965544089501696</t>
  </si>
  <si>
    <t>1620966970622459906</t>
  </si>
  <si>
    <t>1620967038528233472</t>
  </si>
  <si>
    <t>1405902560368672769</t>
  </si>
  <si>
    <t>1620967169235517440</t>
  </si>
  <si>
    <t>1620830507666644992</t>
  </si>
  <si>
    <t>1620967441227747328</t>
  </si>
  <si>
    <t>1620930799229976576</t>
  </si>
  <si>
    <t>1620760158740840449</t>
  </si>
  <si>
    <t>1620967592189136900</t>
  </si>
  <si>
    <t>1620967656282279938</t>
  </si>
  <si>
    <t>1620968019588534275</t>
  </si>
  <si>
    <t>1620968336170573824</t>
  </si>
  <si>
    <t>1620968685769981952</t>
  </si>
  <si>
    <t>1620969147097305088</t>
  </si>
  <si>
    <t>1620969342337777665</t>
  </si>
  <si>
    <t>1620970094225686529</t>
  </si>
  <si>
    <t>1620970863083536385</t>
  </si>
  <si>
    <t>1620970949129691136</t>
  </si>
  <si>
    <t>1620971212682977281</t>
  </si>
  <si>
    <t>1620972676348268545</t>
  </si>
  <si>
    <t>1620972771957424129</t>
  </si>
  <si>
    <t>1620767401385299969</t>
  </si>
  <si>
    <t>1620973019488489473</t>
  </si>
  <si>
    <t>1620973375979147264</t>
  </si>
  <si>
    <t>1620975764391997442</t>
  </si>
  <si>
    <t>1620976016058617856</t>
  </si>
  <si>
    <t>1620920708665835521</t>
  </si>
  <si>
    <t>1620976423937908736</t>
  </si>
  <si>
    <t>1620921401912745988</t>
  </si>
  <si>
    <t>1620976539046219776</t>
  </si>
  <si>
    <t>1620975977848504321</t>
  </si>
  <si>
    <t>1620976851333128192</t>
  </si>
  <si>
    <t>1620976251866599425</t>
  </si>
  <si>
    <t>1620977052303388677</t>
  </si>
  <si>
    <t>1620980041114066945</t>
  </si>
  <si>
    <t>1620980191052070912</t>
  </si>
  <si>
    <t>1620980820897923072</t>
  </si>
  <si>
    <t>1620981055804309505</t>
  </si>
  <si>
    <t>1620981926818627584</t>
  </si>
  <si>
    <t>1620982134029848583</t>
  </si>
  <si>
    <t>1620982616534175744</t>
  </si>
  <si>
    <t>1620984165020893185</t>
  </si>
  <si>
    <t>1620984278053167107</t>
  </si>
  <si>
    <t>1620985649997426690</t>
  </si>
  <si>
    <t>1620985682662690818</t>
  </si>
  <si>
    <t>1620990954139451393</t>
  </si>
  <si>
    <t>1620991302933577728</t>
  </si>
  <si>
    <t>1620991381593559042</t>
  </si>
  <si>
    <t>1620985203085950976</t>
  </si>
  <si>
    <t>1620991148096626690</t>
  </si>
  <si>
    <t>1620982004690075649</t>
  </si>
  <si>
    <t>1620988968165863426</t>
  </si>
  <si>
    <t>1620992582061854721</t>
  </si>
  <si>
    <t>1620497481531555840</t>
  </si>
  <si>
    <t>1620993116982460416</t>
  </si>
  <si>
    <t>1620993663781449728</t>
  </si>
  <si>
    <t>1620996824717991939</t>
  </si>
  <si>
    <t>1620636447828250624</t>
  </si>
  <si>
    <t>1620997149453590529</t>
  </si>
  <si>
    <t>1620998381966614529</t>
  </si>
  <si>
    <t>1620998887896121344</t>
  </si>
  <si>
    <t>1620999846139408384</t>
  </si>
  <si>
    <t>1621000213174554624</t>
  </si>
  <si>
    <t>1620863122058928128</t>
  </si>
  <si>
    <t>1621001653867397124</t>
  </si>
  <si>
    <t>1621002238712766464</t>
  </si>
  <si>
    <t>1620831905775259649</t>
  </si>
  <si>
    <t>1621003967701610496</t>
  </si>
  <si>
    <t>1620906898659885057</t>
  </si>
  <si>
    <t>1620908603107590144</t>
  </si>
  <si>
    <t>1620909800002568198</t>
  </si>
  <si>
    <t>1621004222367166464</t>
  </si>
  <si>
    <t>1620991925951283200</t>
  </si>
  <si>
    <t>1621004983507505152</t>
  </si>
  <si>
    <t>1621005381228175362</t>
  </si>
  <si>
    <t>1621005551214956544</t>
  </si>
  <si>
    <t>1620437241406586880</t>
  </si>
  <si>
    <t>1621005558190063616</t>
  </si>
  <si>
    <t>1621005811148550144</t>
  </si>
  <si>
    <t>1621008509646299137</t>
  </si>
  <si>
    <t>1621008947179290625</t>
  </si>
  <si>
    <t>1621009900578181122</t>
  </si>
  <si>
    <t>1620991177947504640</t>
  </si>
  <si>
    <t>1620989520429588484</t>
  </si>
  <si>
    <t>1620992877009719297</t>
  </si>
  <si>
    <t>1621010412836626433</t>
  </si>
  <si>
    <t>1619052805792337920</t>
  </si>
  <si>
    <t>1620889113821085696</t>
  </si>
  <si>
    <t>1621011873461329922</t>
  </si>
  <si>
    <t>1620869983629893632</t>
  </si>
  <si>
    <t>1621012173144354817</t>
  </si>
  <si>
    <t>1621012949069611010</t>
  </si>
  <si>
    <t>1620964504485113856</t>
  </si>
  <si>
    <t>1620972777175126018</t>
  </si>
  <si>
    <t>1620985076841582592</t>
  </si>
  <si>
    <t>1621011316788891649</t>
  </si>
  <si>
    <t>1621013148756221952</t>
  </si>
  <si>
    <t>1621013200455208960</t>
  </si>
  <si>
    <t>1621005669070696450</t>
  </si>
  <si>
    <t>1621013294818668546</t>
  </si>
  <si>
    <t>1621009962217648129</t>
  </si>
  <si>
    <t>1621013575660670976</t>
  </si>
  <si>
    <t>1621002922174697472</t>
  </si>
  <si>
    <t>1621014093980377091</t>
  </si>
  <si>
    <t>1621014145863938048</t>
  </si>
  <si>
    <t>1621016605097447428</t>
  </si>
  <si>
    <t>1621017490213179392</t>
  </si>
  <si>
    <t>1621019268962820096</t>
  </si>
  <si>
    <t>1618681173106110464</t>
  </si>
  <si>
    <t>1621019311673585664</t>
  </si>
  <si>
    <t>1621020119848869888</t>
  </si>
  <si>
    <t>1621021715609387008</t>
  </si>
  <si>
    <t>1621022912999469059</t>
  </si>
  <si>
    <t>1621023438201815040</t>
  </si>
  <si>
    <t>1621027038302982145</t>
  </si>
  <si>
    <t>1621023894684442625</t>
  </si>
  <si>
    <t>1621028475313479680</t>
  </si>
  <si>
    <t>1621028909746900993</t>
  </si>
  <si>
    <t>1621029954086653953</t>
  </si>
  <si>
    <t>1621030026589134848</t>
  </si>
  <si>
    <t>1620650941212139520</t>
  </si>
  <si>
    <t>1620841665966796802</t>
  </si>
  <si>
    <t>1621031326001557505</t>
  </si>
  <si>
    <t>1621031550233219075</t>
  </si>
  <si>
    <t>1621031567245312001</t>
  </si>
  <si>
    <t>1621032903655424002</t>
  </si>
  <si>
    <t>1621033879292510208</t>
  </si>
  <si>
    <t>1621035524835389441</t>
  </si>
  <si>
    <t>1621035914117152769</t>
  </si>
  <si>
    <t>1621036482197700616</t>
  </si>
  <si>
    <t>1621037172601102344</t>
  </si>
  <si>
    <t>1620843103522377728</t>
  </si>
  <si>
    <t>1620843250369314816</t>
  </si>
  <si>
    <t>1621041825174937600</t>
  </si>
  <si>
    <t>1621042771548311552</t>
  </si>
  <si>
    <t>1621043328883265537</t>
  </si>
  <si>
    <t>1620979025903783936</t>
  </si>
  <si>
    <t>1621047746747846656</t>
  </si>
  <si>
    <t>1620859563405606914</t>
  </si>
  <si>
    <t>1620865741137317888</t>
  </si>
  <si>
    <t>1621050655799648257</t>
  </si>
  <si>
    <t>1621053048025120768</t>
  </si>
  <si>
    <t>1621053306297798657</t>
  </si>
  <si>
    <t>1611494894442364928</t>
  </si>
  <si>
    <t>1620883988276736000</t>
  </si>
  <si>
    <t>1621055033415434240</t>
  </si>
  <si>
    <t>1620898210364669954</t>
  </si>
  <si>
    <t>1621055312709967875</t>
  </si>
  <si>
    <t>1621060904963158016</t>
  </si>
  <si>
    <t>1621062766227505159</t>
  </si>
  <si>
    <t>1621062849543155713</t>
  </si>
  <si>
    <t>1621067308713246722</t>
  </si>
  <si>
    <t>1620463710962864128</t>
  </si>
  <si>
    <t>1620686400478928896</t>
  </si>
  <si>
    <t>1621067845559025664</t>
  </si>
  <si>
    <t>1620814183821631489</t>
  </si>
  <si>
    <t>1621070253978718208</t>
  </si>
  <si>
    <t>1620795575846440960</t>
  </si>
  <si>
    <t>1621028738774466560</t>
  </si>
  <si>
    <t>1620814097653837825</t>
  </si>
  <si>
    <t>1621070194188898304</t>
  </si>
  <si>
    <t>1621077364523569153</t>
  </si>
  <si>
    <t>1621078775441297408</t>
  </si>
  <si>
    <t>1621073575724851200</t>
  </si>
  <si>
    <t>1621079008841449472</t>
  </si>
  <si>
    <t>1621079285837479937</t>
  </si>
  <si>
    <t>1621080208286830592</t>
  </si>
  <si>
    <t>1621082942541029377</t>
  </si>
  <si>
    <t>1621085322120687617</t>
  </si>
  <si>
    <t>1613959698579099648</t>
  </si>
  <si>
    <t>1621087399496536066</t>
  </si>
  <si>
    <t>1620742331510194177</t>
  </si>
  <si>
    <t>1620986912055115777</t>
  </si>
  <si>
    <t>1621045842269601792</t>
  </si>
  <si>
    <t>1621000241247047681</t>
  </si>
  <si>
    <t>1621059309160513537</t>
  </si>
  <si>
    <t>1621087440726552576</t>
  </si>
  <si>
    <t>1621006871959330819</t>
  </si>
  <si>
    <t>1621007410604421120</t>
  </si>
  <si>
    <t>1621007725265309698</t>
  </si>
  <si>
    <t>1621059248728993792</t>
  </si>
  <si>
    <t>1621059263740383234</t>
  </si>
  <si>
    <t>1621088236398592001</t>
  </si>
  <si>
    <t>1621090745494167552</t>
  </si>
  <si>
    <t>1621092454102622211</t>
  </si>
  <si>
    <t>1621094477602623488</t>
  </si>
  <si>
    <t>1621094895095283718</t>
  </si>
  <si>
    <t>1620760908854358016</t>
  </si>
  <si>
    <t>1621095871923515394</t>
  </si>
  <si>
    <t>1621097734437732353</t>
  </si>
  <si>
    <t>1621098779930664961</t>
  </si>
  <si>
    <t>1621099500944384005</t>
  </si>
  <si>
    <t>1621099553171673091</t>
  </si>
  <si>
    <t>1621100746337828864</t>
  </si>
  <si>
    <t>1621101326083194883</t>
  </si>
  <si>
    <t>1621103389387137025</t>
  </si>
  <si>
    <t>1320986388255412224</t>
  </si>
  <si>
    <t>1621104863802449921</t>
  </si>
  <si>
    <t>1620912902247948288</t>
  </si>
  <si>
    <t>1621105515274334209</t>
  </si>
  <si>
    <t>1621105615027453952</t>
  </si>
  <si>
    <t>1595053328550985736</t>
  </si>
  <si>
    <t>1621107236356624385</t>
  </si>
  <si>
    <t>1621106226657378305</t>
  </si>
  <si>
    <t>1620886443462905856</t>
  </si>
  <si>
    <t>1621110603132669953</t>
  </si>
  <si>
    <t>1621112690281422850</t>
  </si>
  <si>
    <t>1621031600380346370</t>
  </si>
  <si>
    <t>1621089658812899328</t>
  </si>
  <si>
    <t>1621113765679734785</t>
  </si>
  <si>
    <t>1621115343363276800</t>
  </si>
  <si>
    <t>1621116241208287233</t>
  </si>
  <si>
    <t>1621116489012244480</t>
  </si>
  <si>
    <t>1595039264924110855</t>
  </si>
  <si>
    <t>1621118372330209281</t>
  </si>
  <si>
    <t>1621121800053854209</t>
  </si>
  <si>
    <t>1621122439798480897</t>
  </si>
  <si>
    <t>1621123422041378817</t>
  </si>
  <si>
    <t>1621123543101472769</t>
  </si>
  <si>
    <t>1621129415932481538</t>
  </si>
  <si>
    <t>1621129477618286594</t>
  </si>
  <si>
    <t>1621129897874952192</t>
  </si>
  <si>
    <t>1621131524220538881</t>
  </si>
  <si>
    <t>1621016538261356545</t>
  </si>
  <si>
    <t>1621132919975837701</t>
  </si>
  <si>
    <t>1621124519888027648</t>
  </si>
  <si>
    <t>1621134542038831107</t>
  </si>
  <si>
    <t>1620835217228402703</t>
  </si>
  <si>
    <t>1620959145657765889</t>
  </si>
  <si>
    <t>1621134763145793537</t>
  </si>
  <si>
    <t>1620887610095796227</t>
  </si>
  <si>
    <t>1620891357484138503</t>
  </si>
  <si>
    <t>1621136762721697792</t>
  </si>
  <si>
    <t>1621137354672209923</t>
  </si>
  <si>
    <t>1621137595685277696</t>
  </si>
  <si>
    <t>1621138135584477194</t>
  </si>
  <si>
    <t>1621138302815592448</t>
  </si>
  <si>
    <t>1621138533242085377</t>
  </si>
  <si>
    <t>1621139184269365250</t>
  </si>
  <si>
    <t>1621141215013122051</t>
  </si>
  <si>
    <t>1621141418566914053</t>
  </si>
  <si>
    <t>1621142333768232964</t>
  </si>
  <si>
    <t>1621142806713765889</t>
  </si>
  <si>
    <t>1620812828591661056</t>
  </si>
  <si>
    <t>1621142938423267333</t>
  </si>
  <si>
    <t>1621143658367168514</t>
  </si>
  <si>
    <t>1621144743513030656</t>
  </si>
  <si>
    <t>1621145569245954057</t>
  </si>
  <si>
    <t>1621145702159245312</t>
  </si>
  <si>
    <t>1621146122206220288</t>
  </si>
  <si>
    <t>1621147111923531778</t>
  </si>
  <si>
    <t>1620815549319069697</t>
  </si>
  <si>
    <t>1621148204803964929</t>
  </si>
  <si>
    <t>1621148959854198787</t>
  </si>
  <si>
    <t>1621150426468065281</t>
  </si>
  <si>
    <t>1621151241073197058</t>
  </si>
  <si>
    <t>1621151574889467912</t>
  </si>
  <si>
    <t>1621153236819537921</t>
  </si>
  <si>
    <t>1621153346521563144</t>
  </si>
  <si>
    <t>1621153368470347777</t>
  </si>
  <si>
    <t>1621153603754024967</t>
  </si>
  <si>
    <t>1620195678008889345</t>
  </si>
  <si>
    <t>1621154412604588033</t>
  </si>
  <si>
    <t>1620875563421339659</t>
  </si>
  <si>
    <t>1621131690734239744</t>
  </si>
  <si>
    <t>1621154468241997826</t>
  </si>
  <si>
    <t>1604524188877746178</t>
  </si>
  <si>
    <t>1342878417646219264</t>
  </si>
  <si>
    <t>1604532825687879684</t>
  </si>
  <si>
    <t>1604515828111708160</t>
  </si>
  <si>
    <t>1597953626424721408</t>
  </si>
  <si>
    <t>1615379740935831554</t>
  </si>
  <si>
    <t>1605263171429834753</t>
  </si>
  <si>
    <t>1620873979719258135</t>
  </si>
  <si>
    <t>1549817773433421828</t>
  </si>
  <si>
    <t>1620927779348058114</t>
  </si>
  <si>
    <t>1620533889574780928</t>
  </si>
  <si>
    <t>1621155257148649473</t>
  </si>
  <si>
    <t>1620673198839795712</t>
  </si>
  <si>
    <t>1620546332925792257</t>
  </si>
  <si>
    <t>1620593770898268160</t>
  </si>
  <si>
    <t>1618744655851700225</t>
  </si>
  <si>
    <t>1620580982826082304</t>
  </si>
  <si>
    <t>1620648574714511360</t>
  </si>
  <si>
    <t>1620650466379169794</t>
  </si>
  <si>
    <t>1620209493245325312</t>
  </si>
  <si>
    <t>1620474394282696704</t>
  </si>
  <si>
    <t>1620714639616270336</t>
  </si>
  <si>
    <t>1620113501858697217</t>
  </si>
  <si>
    <t>1620589278458974208</t>
  </si>
  <si>
    <t>1620385759848173569</t>
  </si>
  <si>
    <t>1620744321736773633</t>
  </si>
  <si>
    <t>1620726630904918023</t>
  </si>
  <si>
    <t>1620596662254329857</t>
  </si>
  <si>
    <t>1498714457542828041</t>
  </si>
  <si>
    <t>1620556922037354496</t>
  </si>
  <si>
    <t>1620769307016982530</t>
  </si>
  <si>
    <t>1620422077324083200</t>
  </si>
  <si>
    <t>1620787455145443329</t>
  </si>
  <si>
    <t>1618380840093761537</t>
  </si>
  <si>
    <t>1620769221679480832</t>
  </si>
  <si>
    <t>1620796156153597952</t>
  </si>
  <si>
    <t>1620796157126656001</t>
  </si>
  <si>
    <t>1620796702235189248</t>
  </si>
  <si>
    <t>1620800710052032512</t>
  </si>
  <si>
    <t>1619545435072520192</t>
  </si>
  <si>
    <t>1620128641123520513</t>
  </si>
  <si>
    <t>1620497020724314112</t>
  </si>
  <si>
    <t>1620606568596377601</t>
  </si>
  <si>
    <t>1618947637201506304</t>
  </si>
  <si>
    <t>1620435311968002049</t>
  </si>
  <si>
    <t>1620818870985695232</t>
  </si>
  <si>
    <t>1620605376549851138</t>
  </si>
  <si>
    <t>1620474102879522816</t>
  </si>
  <si>
    <t>1620384076808196096</t>
  </si>
  <si>
    <t>1619844549479927808</t>
  </si>
  <si>
    <t>1620833604116033536</t>
  </si>
  <si>
    <t>1515452849840439309</t>
  </si>
  <si>
    <t>1620808123970899973</t>
  </si>
  <si>
    <t>1537528637053861894</t>
  </si>
  <si>
    <t>1620596811978407938</t>
  </si>
  <si>
    <t>1620618425516302338</t>
  </si>
  <si>
    <t>1620578824663732226</t>
  </si>
  <si>
    <t>1620854513912676352</t>
  </si>
  <si>
    <t>1620806682568785920</t>
  </si>
  <si>
    <t>1620771272975323137</t>
  </si>
  <si>
    <t>1620597478755295232</t>
  </si>
  <si>
    <t>1620857616879452168</t>
  </si>
  <si>
    <t>1620861764241084417</t>
  </si>
  <si>
    <t>1620503462063783938</t>
  </si>
  <si>
    <t>1620760976265216000</t>
  </si>
  <si>
    <t>1610600871699660803</t>
  </si>
  <si>
    <t>1618740593399840768</t>
  </si>
  <si>
    <t>1620857419000860673</t>
  </si>
  <si>
    <t>1620870922860118017</t>
  </si>
  <si>
    <t>1619074420131377153</t>
  </si>
  <si>
    <t>1620888108316205063</t>
  </si>
  <si>
    <t>1620891577664118789</t>
  </si>
  <si>
    <t>1620896864269737996</t>
  </si>
  <si>
    <t>1620310353694556160</t>
  </si>
  <si>
    <t>1620841284691804160</t>
  </si>
  <si>
    <t>1620863731017125912</t>
  </si>
  <si>
    <t>1609014003996528640</t>
  </si>
  <si>
    <t>1620822906384297989</t>
  </si>
  <si>
    <t>1620904537111543808</t>
  </si>
  <si>
    <t>1620890652794920970</t>
  </si>
  <si>
    <t>1620895911412125696</t>
  </si>
  <si>
    <t>1620824487070699522</t>
  </si>
  <si>
    <t>1620827967898394624</t>
  </si>
  <si>
    <t>1604158838340718594</t>
  </si>
  <si>
    <t>1620879387993247764</t>
  </si>
  <si>
    <t>1620813190820139008</t>
  </si>
  <si>
    <t>1620829405361864711</t>
  </si>
  <si>
    <t>1620762965057368064</t>
  </si>
  <si>
    <t>1620922587743125504</t>
  </si>
  <si>
    <t>1620923077914927104</t>
  </si>
  <si>
    <t>1620843373107245057</t>
  </si>
  <si>
    <t>1600840740157812737</t>
  </si>
  <si>
    <t>1620927448866258946</t>
  </si>
  <si>
    <t>1600833934169935872</t>
  </si>
  <si>
    <t>1620915196142428161</t>
  </si>
  <si>
    <t>1620930360950358016</t>
  </si>
  <si>
    <t>1620848138633498626</t>
  </si>
  <si>
    <t>1620600297734430722</t>
  </si>
  <si>
    <t>1620938803207720961</t>
  </si>
  <si>
    <t>1604538175468163072</t>
  </si>
  <si>
    <t>1620568030286675969</t>
  </si>
  <si>
    <t>1620870862747598849</t>
  </si>
  <si>
    <t>1618184091278639105</t>
  </si>
  <si>
    <t>1620923619554754560</t>
  </si>
  <si>
    <t>1599223333123493888</t>
  </si>
  <si>
    <t>1620966653461676032</t>
  </si>
  <si>
    <t>1620759470308753408</t>
  </si>
  <si>
    <t>1620763888588554241</t>
  </si>
  <si>
    <t>1620911862706761728</t>
  </si>
  <si>
    <t>1620981079254654977</t>
  </si>
  <si>
    <t>1620991074834731008</t>
  </si>
  <si>
    <t>1620976277804158978</t>
  </si>
  <si>
    <t>1534297243792064518</t>
  </si>
  <si>
    <t>1620984188399927301</t>
  </si>
  <si>
    <t>1612068556169961473</t>
  </si>
  <si>
    <t>1620988220006596608</t>
  </si>
  <si>
    <t>1620818914795229186</t>
  </si>
  <si>
    <t>1621012850562015234</t>
  </si>
  <si>
    <t>1620848648509882368</t>
  </si>
  <si>
    <t>1583177236739690497</t>
  </si>
  <si>
    <t>1618396052897550338</t>
  </si>
  <si>
    <t>1621020174823608320</t>
  </si>
  <si>
    <t>1621029661055516672</t>
  </si>
  <si>
    <t>1621031578586718208</t>
  </si>
  <si>
    <t>1620825486871113728</t>
  </si>
  <si>
    <t>1620891197186220039</t>
  </si>
  <si>
    <t>1621035609359003649</t>
  </si>
  <si>
    <t>1620792618891481088</t>
  </si>
  <si>
    <t>1620662652623290369</t>
  </si>
  <si>
    <t>1620831846086111233</t>
  </si>
  <si>
    <t>1620657548616671232</t>
  </si>
  <si>
    <t>1620744606865588225</t>
  </si>
  <si>
    <t>1620932048948183041</t>
  </si>
  <si>
    <t>1620859531386290181</t>
  </si>
  <si>
    <t>1620995472600219648</t>
  </si>
  <si>
    <t>1595050938137513984</t>
  </si>
  <si>
    <t>1621031596697735169</t>
  </si>
  <si>
    <t>1621111834773168128</t>
  </si>
  <si>
    <t>1620915437696327680</t>
  </si>
  <si>
    <t>1621115325776384003</t>
  </si>
  <si>
    <t>1620867082345910272</t>
  </si>
  <si>
    <t>1621122439890755586</t>
  </si>
  <si>
    <t>1620190984738082816</t>
  </si>
  <si>
    <t>1621129919131684866</t>
  </si>
  <si>
    <t>1621136753959604225</t>
  </si>
  <si>
    <t>1618405986615574528</t>
  </si>
  <si>
    <t>1620812382305140736</t>
  </si>
  <si>
    <t>1620518985673605122</t>
  </si>
  <si>
    <t>1620595457306275840</t>
  </si>
  <si>
    <t>1621151238078480384</t>
  </si>
  <si>
    <t>1621147504032239617</t>
  </si>
  <si>
    <t>17137891</t>
  </si>
  <si>
    <t/>
  </si>
  <si>
    <t>65243485</t>
  </si>
  <si>
    <t>951522626</t>
  </si>
  <si>
    <t>21021891</t>
  </si>
  <si>
    <t>4239551</t>
  </si>
  <si>
    <t>137894529</t>
  </si>
  <si>
    <t>26886678</t>
  </si>
  <si>
    <t>1551963613941858304</t>
  </si>
  <si>
    <t>564962776</t>
  </si>
  <si>
    <t>1252970407914688519</t>
  </si>
  <si>
    <t>1446121727784742923</t>
  </si>
  <si>
    <t>1326291409587081218</t>
  </si>
  <si>
    <t>2726382246</t>
  </si>
  <si>
    <t>4751172014</t>
  </si>
  <si>
    <t>897260058068762624</t>
  </si>
  <si>
    <t>1446932149148344320</t>
  </si>
  <si>
    <t>1668616542</t>
  </si>
  <si>
    <t>16672159</t>
  </si>
  <si>
    <t>3123512661</t>
  </si>
  <si>
    <t>25355724</t>
  </si>
  <si>
    <t>86089860</t>
  </si>
  <si>
    <t>43424692</t>
  </si>
  <si>
    <t>42376172</t>
  </si>
  <si>
    <t>361443934</t>
  </si>
  <si>
    <t>15131310</t>
  </si>
  <si>
    <t>1705758403</t>
  </si>
  <si>
    <t>23022687</t>
  </si>
  <si>
    <t>989506035781177344</t>
  </si>
  <si>
    <t>1520066723671646221</t>
  </si>
  <si>
    <t>16253021</t>
  </si>
  <si>
    <t>1362074680115351552</t>
  </si>
  <si>
    <t>846708486570479622</t>
  </si>
  <si>
    <t>57947109</t>
  </si>
  <si>
    <t>539234194</t>
  </si>
  <si>
    <t>1642328352</t>
  </si>
  <si>
    <t>1543336515891335168</t>
  </si>
  <si>
    <t>1394412255165489154</t>
  </si>
  <si>
    <t>22482597</t>
  </si>
  <si>
    <t>975745767989174272</t>
  </si>
  <si>
    <t>1322085063836794881</t>
  </si>
  <si>
    <t>34125103</t>
  </si>
  <si>
    <t>38380127</t>
  </si>
  <si>
    <t>914217350882193408</t>
  </si>
  <si>
    <t>560542237</t>
  </si>
  <si>
    <t>33141999</t>
  </si>
  <si>
    <t>458914534</t>
  </si>
  <si>
    <t>4042639395</t>
  </si>
  <si>
    <t>22169548</t>
  </si>
  <si>
    <t>3298226894</t>
  </si>
  <si>
    <t>1364984656479805443</t>
  </si>
  <si>
    <t>113274131</t>
  </si>
  <si>
    <t>93634334</t>
  </si>
  <si>
    <t>46302096</t>
  </si>
  <si>
    <t>28611240</t>
  </si>
  <si>
    <t>879002479463215107</t>
  </si>
  <si>
    <t>2904789429</t>
  </si>
  <si>
    <t>14355611</t>
  </si>
  <si>
    <t>563110056</t>
  </si>
  <si>
    <t>3420708089</t>
  </si>
  <si>
    <t>1579178240694013954</t>
  </si>
  <si>
    <t>801209988</t>
  </si>
  <si>
    <t>1521377026569310208</t>
  </si>
  <si>
    <t>1578573631759728642</t>
  </si>
  <si>
    <t>2186966718</t>
  </si>
  <si>
    <t>497230940</t>
  </si>
  <si>
    <t>1340808694867476480</t>
  </si>
  <si>
    <t>3300881408</t>
  </si>
  <si>
    <t>181683811</t>
  </si>
  <si>
    <t>24742040</t>
  </si>
  <si>
    <t>302881437</t>
  </si>
  <si>
    <t>2157497975</t>
  </si>
  <si>
    <t>2518893955</t>
  </si>
  <si>
    <t>1397653121988370436</t>
  </si>
  <si>
    <t>452540168</t>
  </si>
  <si>
    <t>1317853907679383564</t>
  </si>
  <si>
    <t>403836534</t>
  </si>
  <si>
    <t>23910879</t>
  </si>
  <si>
    <t>1141048279616151553</t>
  </si>
  <si>
    <t>4454691313</t>
  </si>
  <si>
    <t>45212295</t>
  </si>
  <si>
    <t>1328423212041052164</t>
  </si>
  <si>
    <t>39820738</t>
  </si>
  <si>
    <t>1574494902033039373</t>
  </si>
  <si>
    <t>17029287</t>
  </si>
  <si>
    <t>1230292790539624448</t>
  </si>
  <si>
    <t>1287723943860875264</t>
  </si>
  <si>
    <t>1559351149693640705</t>
  </si>
  <si>
    <t>1260643682</t>
  </si>
  <si>
    <t>34396691</t>
  </si>
  <si>
    <t>2839061990</t>
  </si>
  <si>
    <t>1515684718242676737</t>
  </si>
  <si>
    <t>1400487723740319744</t>
  </si>
  <si>
    <t>18279320</t>
  </si>
  <si>
    <t>1030288480964894720</t>
  </si>
  <si>
    <t>950895831313510401</t>
  </si>
  <si>
    <t>796547376</t>
  </si>
  <si>
    <t>1329274712594276353</t>
  </si>
  <si>
    <t>1206216140</t>
  </si>
  <si>
    <t>111203701</t>
  </si>
  <si>
    <t>1291557521023471616</t>
  </si>
  <si>
    <t>815285843606827008</t>
  </si>
  <si>
    <t>14784550</t>
  </si>
  <si>
    <t>1328809595645677570</t>
  </si>
  <si>
    <t>867148263991894016</t>
  </si>
  <si>
    <t>1094703143378653184</t>
  </si>
  <si>
    <t>866704482</t>
  </si>
  <si>
    <t>1363489424777043968</t>
  </si>
  <si>
    <t>1297914349487448064</t>
  </si>
  <si>
    <t>1582305332633767936</t>
  </si>
  <si>
    <t>1573479520174219274</t>
  </si>
  <si>
    <t>1016465864487587840</t>
  </si>
  <si>
    <t>1093354148827934721</t>
  </si>
  <si>
    <t>171108455</t>
  </si>
  <si>
    <t>12625992</t>
  </si>
  <si>
    <t>49846775</t>
  </si>
  <si>
    <t>69092032</t>
  </si>
  <si>
    <t>1032693107115130881</t>
  </si>
  <si>
    <t>14815339</t>
  </si>
  <si>
    <t>751625603191697409</t>
  </si>
  <si>
    <t>22194235</t>
  </si>
  <si>
    <t>21334750</t>
  </si>
  <si>
    <t>1915033663</t>
  </si>
  <si>
    <t>762024240</t>
  </si>
  <si>
    <t>1101974991216799746</t>
  </si>
  <si>
    <t>1451443261655167000</t>
  </si>
  <si>
    <t>36359791</t>
  </si>
  <si>
    <t>777180530735517696</t>
  </si>
  <si>
    <t>19969078</t>
  </si>
  <si>
    <t>772674808878342144</t>
  </si>
  <si>
    <t>1091783914656546818</t>
  </si>
  <si>
    <t>1232329389205065728</t>
  </si>
  <si>
    <t>74463202</t>
  </si>
  <si>
    <t>1562498775155097600</t>
  </si>
  <si>
    <t>822230925333381120</t>
  </si>
  <si>
    <t>4773794576</t>
  </si>
  <si>
    <t>1173465190987390976</t>
  </si>
  <si>
    <t>717686709983424513</t>
  </si>
  <si>
    <t>789781254786969600</t>
  </si>
  <si>
    <t>133784606</t>
  </si>
  <si>
    <t>1444031804118294529</t>
  </si>
  <si>
    <t>74712032</t>
  </si>
  <si>
    <t>227848300</t>
  </si>
  <si>
    <t>1038526962443149313</t>
  </si>
  <si>
    <t>419239307</t>
  </si>
  <si>
    <t>29799187</t>
  </si>
  <si>
    <t>1590366560950124546</t>
  </si>
  <si>
    <t>280557152</t>
  </si>
  <si>
    <t>1222584333803950080</t>
  </si>
  <si>
    <t>768410582</t>
  </si>
  <si>
    <t>1724263200</t>
  </si>
  <si>
    <t>845986512965718016</t>
  </si>
  <si>
    <t>1453746193943629830</t>
  </si>
  <si>
    <t>1325194428831551488</t>
  </si>
  <si>
    <t>188793260</t>
  </si>
  <si>
    <t>888517543899549697</t>
  </si>
  <si>
    <t>1349149096909668363</t>
  </si>
  <si>
    <t>131488891</t>
  </si>
  <si>
    <t>28254911</t>
  </si>
  <si>
    <t>29363964</t>
  </si>
  <si>
    <t>732975066703626240</t>
  </si>
  <si>
    <t>42682694</t>
  </si>
  <si>
    <t>1206981696</t>
  </si>
  <si>
    <t>2203229000</t>
  </si>
  <si>
    <t>42638402</t>
  </si>
  <si>
    <t>1620894754799239168</t>
  </si>
  <si>
    <t>1323730225067339784</t>
  </si>
  <si>
    <t>1318263321745907713</t>
  </si>
  <si>
    <t>843904157081845762</t>
  </si>
  <si>
    <t>20793816</t>
  </si>
  <si>
    <t>785327755214725120</t>
  </si>
  <si>
    <t>2150085458</t>
  </si>
  <si>
    <t>31644477</t>
  </si>
  <si>
    <t>19739126</t>
  </si>
  <si>
    <t>19173563</t>
  </si>
  <si>
    <t>1248894528884477952</t>
  </si>
  <si>
    <t>1363908775032348683</t>
  </si>
  <si>
    <t>3036336061</t>
  </si>
  <si>
    <t>1274274034826518528</t>
  </si>
  <si>
    <t>1398478869959786497</t>
  </si>
  <si>
    <t>16347656</t>
  </si>
  <si>
    <t>223277382</t>
  </si>
  <si>
    <t>452622123</t>
  </si>
  <si>
    <t>2827342884</t>
  </si>
  <si>
    <t>612574787</t>
  </si>
  <si>
    <t>780581888654057474</t>
  </si>
  <si>
    <t>729152176891830272</t>
  </si>
  <si>
    <t>1316113267971051520</t>
  </si>
  <si>
    <t>19720019</t>
  </si>
  <si>
    <t>108701392</t>
  </si>
  <si>
    <t>en</t>
  </si>
  <si>
    <t>1620663295005933570</t>
  </si>
  <si>
    <t>1620514002781765645</t>
  </si>
  <si>
    <t>1620754112819204096</t>
  </si>
  <si>
    <t>1620662177534468096</t>
  </si>
  <si>
    <t>1620788366890471426</t>
  </si>
  <si>
    <t>1506664571624427522</t>
  </si>
  <si>
    <t>1620466526292680724</t>
  </si>
  <si>
    <t>1620809761821437952</t>
  </si>
  <si>
    <t>1620496301896134657</t>
  </si>
  <si>
    <t>1620515377930469377</t>
  </si>
  <si>
    <t>1609222786463207426</t>
  </si>
  <si>
    <t>1620856892066238464</t>
  </si>
  <si>
    <t>1164595246241603584</t>
  </si>
  <si>
    <t>1620900833612410881</t>
  </si>
  <si>
    <t>1620462377748795392</t>
  </si>
  <si>
    <t>1603791283448938498</t>
  </si>
  <si>
    <t>1613902561978863616</t>
  </si>
  <si>
    <t>1615244469405908993</t>
  </si>
  <si>
    <t>1595028729260134400</t>
  </si>
  <si>
    <t>Twitter for iPhone</t>
  </si>
  <si>
    <t>Twitter for Android</t>
  </si>
  <si>
    <t>Twitter Web App</t>
  </si>
  <si>
    <t>Twitter for iPad</t>
  </si>
  <si>
    <t>SocialNature</t>
  </si>
  <si>
    <t>Zoho Social</t>
  </si>
  <si>
    <t>Sprinklr Publishing</t>
  </si>
  <si>
    <t>TweetDeck</t>
  </si>
  <si>
    <t>Hootsuite Inc.</t>
  </si>
  <si>
    <t>Instagram</t>
  </si>
  <si>
    <t>DeliMarket News</t>
  </si>
  <si>
    <t>Buffer</t>
  </si>
  <si>
    <t>Foursquare</t>
  </si>
  <si>
    <t>Meltwater Social</t>
  </si>
  <si>
    <t>HubSpot</t>
  </si>
  <si>
    <t>LaterMedia</t>
  </si>
  <si>
    <t>Sprout Social</t>
  </si>
  <si>
    <t>SocialNewsDesk</t>
  </si>
  <si>
    <t>Oreno Intelligence Agency</t>
  </si>
  <si>
    <t>MySeattleNews</t>
  </si>
  <si>
    <t>Foursquare Swarm</t>
  </si>
  <si>
    <t>Cloud Campaign</t>
  </si>
  <si>
    <t>Loomly</t>
  </si>
  <si>
    <t>QWVR</t>
  </si>
  <si>
    <t>81.092702,20.772981 
81.624789,20.772981 
81.624789,21.543301 
81.092702,21.543301</t>
  </si>
  <si>
    <t>-86.97071,40.013075 
-86.852546,40.013075 
-86.852546,40.082025 
-86.97071,40.082025</t>
  </si>
  <si>
    <t>-75.13285,39.9067507 
-75.066575,39.9067507 
-75.066575,39.96822 
-75.13285,39.96822</t>
  </si>
  <si>
    <t>-73.545122,41.352784 
-73.400835,41.352784 
-73.400835,41.463455 
-73.545122,41.463455</t>
  </si>
  <si>
    <t>-74.026675,40.683935 
-73.910408,40.683935 
-73.910408,40.877483 
-74.026675,40.877483</t>
  </si>
  <si>
    <t>-78.6872114,40.377947 
-78.649519,40.377947 
-78.649519,40.404807 
-78.6872114,40.404807</t>
  </si>
  <si>
    <t>-71.4741855,41.772455 
-71.369479,41.772455 
-71.369479,41.861713 
-71.4741855,41.861713</t>
  </si>
  <si>
    <t>-81.086454,34.8691508 
-80.9430979,34.8691508 
-80.9430979,34.9619861 
-81.086454,34.9619861</t>
  </si>
  <si>
    <t>-95.078859,29.7046854 
-94.874344,29.7046854 
-94.874344,29.831209 
-95.078859,29.831209</t>
  </si>
  <si>
    <t>-80.297884,26.228692 
-80.2016611,26.228692 
-80.2016611,26.31183 
-80.297884,26.31183</t>
  </si>
  <si>
    <t>-90.099191,38.4682 
-89.905307,38.4682 
-89.905307,38.59106 
-90.099191,38.59106</t>
  </si>
  <si>
    <t>-92.2493667,34.863501 
-92.196231,34.863501 
-92.196231,34.903916 
-92.2493667,34.903916</t>
  </si>
  <si>
    <t>-112.3239143,33.29026 
-111.9254391,33.29026 
-111.9254391,33.8154652 
-112.3239143,33.8154652</t>
  </si>
  <si>
    <t>-73.644162,40.776274 
-73.607214,40.776274 
-73.607214,40.812427 
-73.644162,40.812427</t>
  </si>
  <si>
    <t>-79.125303,36.029983 
-79.071661,36.029983 
-79.071661,36.1016559 
-79.125303,36.1016559</t>
  </si>
  <si>
    <t>-87.634643,24.396308 
-79.974307,24.396308 
-79.974307,31.001056 
-87.634643,31.001056</t>
  </si>
  <si>
    <t>-85.784244,30.162708000000002 
-85.784244,30.162708000000002 
-85.784244,30.162708000000002 
-85.784244,30.162708000000002</t>
  </si>
  <si>
    <t>-85.605166,30.355644 
-80.742567,30.355644 
-80.742567,35.000771 
-85.605166,35.000771</t>
  </si>
  <si>
    <t>-87.940033,41.644102 
-87.523993,41.644102 
-87.523993,42.0230669 
-87.940033,42.0230669</t>
  </si>
  <si>
    <t>-155.184552,19.656471 
-154.990994,19.656471 
-154.990994,19.738955 
-155.184552,19.738955</t>
  </si>
  <si>
    <t>74.015218,16.492702 
74.354885,16.492702 
74.354885,16.803148 
74.015218,16.803148</t>
  </si>
  <si>
    <t>-104.832358,40.374596 
-104.638594,40.374596 
-104.638594,40.454395 
-104.832358,40.454395</t>
  </si>
  <si>
    <t>-118.668404,33.704538 
-118.155409,33.704538 
-118.155409,34.337041 
-118.668404,34.337041</t>
  </si>
  <si>
    <t>-85.46202009889394,40.21918345615016 
-85.46202009889394,40.21918345615016 
-85.46202009889394,40.21918345615016 
-85.46202009889394,40.21918345615016</t>
  </si>
  <si>
    <t>-83.3748253,30.762483 
-83.230199,30.762483 
-83.230199,30.9496862 
-83.3748253,30.9496862</t>
  </si>
  <si>
    <t>India</t>
  </si>
  <si>
    <t>United States</t>
  </si>
  <si>
    <t>IN</t>
  </si>
  <si>
    <t>US</t>
  </si>
  <si>
    <t>Bhilai, India</t>
  </si>
  <si>
    <t>Crawfordsville, IN</t>
  </si>
  <si>
    <t>Camden, NJ</t>
  </si>
  <si>
    <t>Danbury, CT</t>
  </si>
  <si>
    <t>Manhattan, NY</t>
  </si>
  <si>
    <t>Portage, PA</t>
  </si>
  <si>
    <t>Providence, RI</t>
  </si>
  <si>
    <t>Rock Hill, SC</t>
  </si>
  <si>
    <t>Baytown, TX</t>
  </si>
  <si>
    <t>Coral Springs, FL</t>
  </si>
  <si>
    <t>Belleville, IL</t>
  </si>
  <si>
    <t>Gibson, AR</t>
  </si>
  <si>
    <t>Phoenix, AZ</t>
  </si>
  <si>
    <t>East Hills, NY</t>
  </si>
  <si>
    <t>Hillsborough, NC</t>
  </si>
  <si>
    <t>Florida, USA</t>
  </si>
  <si>
    <t>La Fruta Beach Getaway</t>
  </si>
  <si>
    <t>Georgia, USA</t>
  </si>
  <si>
    <t>Chicago, IL</t>
  </si>
  <si>
    <t>Hilo, HI</t>
  </si>
  <si>
    <t>Kolhapur, India</t>
  </si>
  <si>
    <t>Greeley, CO</t>
  </si>
  <si>
    <t>Los Angeles, CA</t>
  </si>
  <si>
    <t>Funcie, Indiana</t>
  </si>
  <si>
    <t>Valdosta, GA</t>
  </si>
  <si>
    <t>745c4b5b6ae7b56f</t>
  </si>
  <si>
    <t>e2eb5f0e0fbdb6a7</t>
  </si>
  <si>
    <t>bec68a93372eb249</t>
  </si>
  <si>
    <t>a5b6bdd8008412b1</t>
  </si>
  <si>
    <t>01a9a39529b27f36</t>
  </si>
  <si>
    <t>f48302f1e4c23f59</t>
  </si>
  <si>
    <t>7b93be1d864cedbb</t>
  </si>
  <si>
    <t>00696a56e1f9f443</t>
  </si>
  <si>
    <t>7543692056063d2f</t>
  </si>
  <si>
    <t>6241025d720c4971</t>
  </si>
  <si>
    <t>01d4e7421ef07326</t>
  </si>
  <si>
    <t>6ab4c17d61f00122</t>
  </si>
  <si>
    <t>5c62ffb0f0f3479d</t>
  </si>
  <si>
    <t>ada31b3a48d2b797</t>
  </si>
  <si>
    <t>01b9eb2c198acccb</t>
  </si>
  <si>
    <t>4ec01c9dbc693497</t>
  </si>
  <si>
    <t>07d9de3c3e484000</t>
  </si>
  <si>
    <t>7142eb97ae21e839</t>
  </si>
  <si>
    <t>1d9a5370a355ab0c</t>
  </si>
  <si>
    <t>00430f8519d62c37</t>
  </si>
  <si>
    <t>653ff2b6e50b05a3</t>
  </si>
  <si>
    <t>82dbbc30f11e52f2</t>
  </si>
  <si>
    <t>3b77caf94bfc81fe</t>
  </si>
  <si>
    <t>07d9f62c55086000</t>
  </si>
  <si>
    <t>5e1c91065bc30991</t>
  </si>
  <si>
    <t>Bhilai</t>
  </si>
  <si>
    <t>Crawfordsville</t>
  </si>
  <si>
    <t>Camden</t>
  </si>
  <si>
    <t>Danbury</t>
  </si>
  <si>
    <t>Manhattan</t>
  </si>
  <si>
    <t>Portage</t>
  </si>
  <si>
    <t>Providence</t>
  </si>
  <si>
    <t>Rock Hill</t>
  </si>
  <si>
    <t>Baytown</t>
  </si>
  <si>
    <t>Coral Springs</t>
  </si>
  <si>
    <t>Belleville</t>
  </si>
  <si>
    <t>Gibson</t>
  </si>
  <si>
    <t>Phoenix</t>
  </si>
  <si>
    <t>East Hills</t>
  </si>
  <si>
    <t>Hillsborough</t>
  </si>
  <si>
    <t>Florida</t>
  </si>
  <si>
    <t>Georgia</t>
  </si>
  <si>
    <t>Chicago</t>
  </si>
  <si>
    <t>Hilo</t>
  </si>
  <si>
    <t>Kolhapur</t>
  </si>
  <si>
    <t>Greeley</t>
  </si>
  <si>
    <t>Los Angeles</t>
  </si>
  <si>
    <t>Valdosta</t>
  </si>
  <si>
    <t>city</t>
  </si>
  <si>
    <t>admin</t>
  </si>
  <si>
    <t>poi</t>
  </si>
  <si>
    <t>Name</t>
  </si>
  <si>
    <t>User ID</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</si>
  <si>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</si>
  <si>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</si>
  <si>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</si>
  <si>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</si>
  <si>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</si>
  <si>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</si>
  <si>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</si>
  <si>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</si>
  <si>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</si>
  <si>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</si>
  <si>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</si>
  <si>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</si>
  <si>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</si>
  <si>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</si>
  <si>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</si>
  <si>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</si>
  <si>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</si>
  <si>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</si>
  <si>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</si>
  <si>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</si>
  <si>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mark</t>
  </si>
  <si>
    <t>Walmart</t>
  </si>
  <si>
    <t>Love</t>
  </si>
  <si>
    <t>VIZIO</t>
  </si>
  <si>
    <t>Dalton Henderson</t>
  </si>
  <si>
    <t>GHOST</t>
  </si>
  <si>
    <t>rocky</t>
  </si>
  <si>
    <t>Aswin</t>
  </si>
  <si>
    <t>Kalyan Krishnamurthy</t>
  </si>
  <si>
    <t>Flipkart</t>
  </si>
  <si>
    <t>FlipkartSupport</t>
  </si>
  <si>
    <t>Kylala</t>
  </si>
  <si>
    <t>Ivica M</t>
  </si>
  <si>
    <t>Walmart Inc.</t>
  </si>
  <si>
    <t>Jeanne Muenchau</t>
  </si>
  <si>
    <t>The Boeing Company</t>
  </si>
  <si>
    <t>Amazon</t>
  </si>
  <si>
    <t>Chevron</t>
  </si>
  <si>
    <t>𝐖𝐲𝐧𝐝𝐬𝐭𝐫𝐨𝐦 𝐀𝐩𝐟𝐞𝐥𝐬𝐭𝐫𝐮𝐝𝐞𝐥🥇🔌🐰</t>
  </si>
  <si>
    <t>@amuse</t>
  </si>
  <si>
    <t>Mama Nuci - HIATUS 🔞</t>
  </si>
  <si>
    <t>Brandon McInnis</t>
  </si>
  <si>
    <t>GameStop</t>
  </si>
  <si>
    <t>mk ultra</t>
  </si>
  <si>
    <t>bekka supp</t>
  </si>
  <si>
    <t>Old Tehanu (OT Gilman)</t>
  </si>
  <si>
    <t>Dalton Croyle</t>
  </si>
  <si>
    <t>Danielle</t>
  </si>
  <si>
    <t>Social Nature</t>
  </si>
  <si>
    <t>Ocean's Halo</t>
  </si>
  <si>
    <t>DroneXL</t>
  </si>
  <si>
    <t>DroneUp</t>
  </si>
  <si>
    <t>Dronilab.eu</t>
  </si>
  <si>
    <t>supplychain</t>
  </si>
  <si>
    <t>Ravi Dugh</t>
  </si>
  <si>
    <t>Greg Valancius</t>
  </si>
  <si>
    <t>Christine Boursin 🌐</t>
  </si>
  <si>
    <t>Damien de France 🌍 🕊️🇺🇦</t>
  </si>
  <si>
    <t>Dr. Marcell Vollmer 🇺🇦 #StaySafe #WEF23</t>
  </si>
  <si>
    <t>Dev Khanna</t>
  </si>
  <si>
    <t>Jean-Baptiste Lefevre #MWC2023</t>
  </si>
  <si>
    <t>Helene Li ✨🍀💜</t>
  </si>
  <si>
    <t>Theodora (Theo) Lau - 劉䂀曼 🌻</t>
  </si>
  <si>
    <t>Dr Efi Pylarinou</t>
  </si>
  <si>
    <t>Xavier Gomez</t>
  </si>
  <si>
    <t>Tony Moroney</t>
  </si>
  <si>
    <t>Noah Barsky</t>
  </si>
  <si>
    <t>Shi4Tech 💙 #TechForGood 💙</t>
  </si>
  <si>
    <t>Michael Morales</t>
  </si>
  <si>
    <t>Cindy Aubrey</t>
  </si>
  <si>
    <t>JariBel</t>
  </si>
  <si>
    <t>Dgn j◎rdan 🗺</t>
  </si>
  <si>
    <t>ponzishorter.sol</t>
  </si>
  <si>
    <t>Nicolas Babin</t>
  </si>
  <si>
    <t>Dr. Monika Sonu, CEO Healthinnovationtoolbox 🌍 ⚕️</t>
  </si>
  <si>
    <t>Prof. Sally Eaves #MWC23 #TechForGood</t>
  </si>
  <si>
    <t>Mike Flache</t>
  </si>
  <si>
    <t>Estela Mandela</t>
  </si>
  <si>
    <t>Eveline Ruehlin</t>
  </si>
  <si>
    <t>Franco Ronconi 🇮🇹</t>
  </si>
  <si>
    <t>Dr. Khulood Almani | د.خلود المانع #MWC23</t>
  </si>
  <si>
    <t>Eva 🇺🇦</t>
  </si>
  <si>
    <t>Irene at SaugaTalks🎧🎙</t>
  </si>
  <si>
    <t>Ian Jones</t>
  </si>
  <si>
    <t>Forbes</t>
  </si>
  <si>
    <t>Chef Kawasaki (FB)</t>
  </si>
  <si>
    <t>Ask PlayStation</t>
  </si>
  <si>
    <t>𝔑𝔬𝔠𝔱𝔦𝔰 𝔑𝔢𝔳𝔢𝔯 𝔇𝔢𝔣𝔢𝔞𝔱𝔢𝔡 𝔄𝔤𝔞𝔦ռ</t>
  </si>
  <si>
    <t>🆃🅷🅾🅼🅰🆂</t>
  </si>
  <si>
    <t>OKX</t>
  </si>
  <si>
    <t>Amie L</t>
  </si>
  <si>
    <t>Sobeys</t>
  </si>
  <si>
    <t>Yoni Freedhoff, MD</t>
  </si>
  <si>
    <t>Loblaw Companies</t>
  </si>
  <si>
    <t>😝ɢᴇᴏʀɢᴇ🤨</t>
  </si>
  <si>
    <t>sunshine⁷</t>
  </si>
  <si>
    <t>Cards, Comics &amp; Beards</t>
  </si>
  <si>
    <t>Pixiemon ✿</t>
  </si>
  <si>
    <t>MannyG(EnemyExtinction)PoGoLvl50</t>
  </si>
  <si>
    <t>Debby Quashen</t>
  </si>
  <si>
    <t>Mario Gonzalez</t>
  </si>
  <si>
    <t>Rachael Ray</t>
  </si>
  <si>
    <t>AlexiaHarris</t>
  </si>
  <si>
    <t>𝖂𝖎𝖑𝖑𝖎𝖆𝖒</t>
  </si>
  <si>
    <t>Blake Asbury</t>
  </si>
  <si>
    <t>Clown World ™ 🤡</t>
  </si>
  <si>
    <t>Sourabh Kushwaha</t>
  </si>
  <si>
    <t>T̾o̾n̾i̾o̾</t>
  </si>
  <si>
    <t>Invisible Friends</t>
  </si>
  <si>
    <t>nonfungibabe.eth 🌕🚀</t>
  </si>
  <si>
    <t>Greg</t>
  </si>
  <si>
    <t>Rufus the Exile</t>
  </si>
  <si>
    <t>Family Research Council</t>
  </si>
  <si>
    <t>👾𝙈𝙖𝙧𝙠</t>
  </si>
  <si>
    <t>Vince</t>
  </si>
  <si>
    <t>John Gildea❌❌🇺🇸</t>
  </si>
  <si>
    <t>Qai Qai</t>
  </si>
  <si>
    <t>Direct7</t>
  </si>
  <si>
    <t>Stephanie Michelle</t>
  </si>
  <si>
    <t>Justin Zollars 🍅👾🏴‍☠️</t>
  </si>
  <si>
    <t>Gary</t>
  </si>
  <si>
    <t>ProFootballTalk</t>
  </si>
  <si>
    <t>Maria Munoz</t>
  </si>
  <si>
    <t>Midget Baby Moma (Chas)</t>
  </si>
  <si>
    <t>Ross DiMattei CBS-3</t>
  </si>
  <si>
    <t>Wawa</t>
  </si>
  <si>
    <t>Jack</t>
  </si>
  <si>
    <t>Andy</t>
  </si>
  <si>
    <t>Benjamin Smith</t>
  </si>
  <si>
    <t>Big Loud</t>
  </si>
  <si>
    <t>HARDY</t>
  </si>
  <si>
    <t>Victoria Verenzuela</t>
  </si>
  <si>
    <t>Robert Nesmith Jr</t>
  </si>
  <si>
    <t>Keyshawn, JWill &amp; Max</t>
  </si>
  <si>
    <t>Denver Broncos</t>
  </si>
  <si>
    <t>Sean Payton</t>
  </si>
  <si>
    <t>Mujin</t>
  </si>
  <si>
    <t>FANUC America</t>
  </si>
  <si>
    <t>D. Bovay 🇺🇦🇨🇭🤖</t>
  </si>
  <si>
    <t>Geek+</t>
  </si>
  <si>
    <t>James Gingerich #IndiaEnergyWeek #IoTSWC23</t>
  </si>
  <si>
    <t>Stephanie Eyerly-Lozano</t>
  </si>
  <si>
    <t>Sam’s Club</t>
  </si>
  <si>
    <t>🤘𝘽𝙧𝙞𝙖𝙣🤓</t>
  </si>
  <si>
    <t>🏂</t>
  </si>
  <si>
    <t>toddrichards</t>
  </si>
  <si>
    <t>Wes Orton</t>
  </si>
  <si>
    <t>Amy Davis</t>
  </si>
  <si>
    <t>Dean C</t>
  </si>
  <si>
    <t>Shout! Factory</t>
  </si>
  <si>
    <t>Ritchie</t>
  </si>
  <si>
    <t>井上 美和</t>
  </si>
  <si>
    <t>SalvationArmyLebanon</t>
  </si>
  <si>
    <t>Hexi Hamaski 🐀</t>
  </si>
  <si>
    <t>MrMrazek89</t>
  </si>
  <si>
    <t>Xbox Canada</t>
  </si>
  <si>
    <t>Michael Wolf</t>
  </si>
  <si>
    <t>Jay👨🏽‍💻SBA Adviser ❄️</t>
  </si>
  <si>
    <t>Whole Foods Market</t>
  </si>
  <si>
    <t>👨🏽‍💻 🇺🇸🙏🏽❄️</t>
  </si>
  <si>
    <t>Rick Mitchell</t>
  </si>
  <si>
    <t>LinkedIn</t>
  </si>
  <si>
    <t>sazzad khan</t>
  </si>
  <si>
    <t>Mercari</t>
  </si>
  <si>
    <t>WishShopping</t>
  </si>
  <si>
    <t>DHgate.com</t>
  </si>
  <si>
    <t>Ali Baba</t>
  </si>
  <si>
    <t>Counterfeit Report®</t>
  </si>
  <si>
    <t>eBay</t>
  </si>
  <si>
    <t>Matt</t>
  </si>
  <si>
    <t>Ted Cruz</t>
  </si>
  <si>
    <t>MannDowwn</t>
  </si>
  <si>
    <t>Heath Racela</t>
  </si>
  <si>
    <t>Kendall Smith</t>
  </si>
  <si>
    <t>Bookshop.org US</t>
  </si>
  <si>
    <t>IndieBound</t>
  </si>
  <si>
    <t>Familius</t>
  </si>
  <si>
    <t>Books-A-Million</t>
  </si>
  <si>
    <t>Target</t>
  </si>
  <si>
    <t>Barnes &amp; Noble</t>
  </si>
  <si>
    <t>Resister in GA</t>
  </si>
  <si>
    <t>Richard Drewyor ©</t>
  </si>
  <si>
    <t>George Mason</t>
  </si>
  <si>
    <t>Kroger News</t>
  </si>
  <si>
    <t>Kroger Technology</t>
  </si>
  <si>
    <t>Kroger</t>
  </si>
  <si>
    <t>China Lion Film</t>
  </si>
  <si>
    <t>@BravoCharlie</t>
  </si>
  <si>
    <t>NowWhat</t>
  </si>
  <si>
    <t>Nick Pagliochini (he/him/his)</t>
  </si>
  <si>
    <t>Nick Pagliochini</t>
  </si>
  <si>
    <t>Ariel Alternatives</t>
  </si>
  <si>
    <t>J.P. Morgan</t>
  </si>
  <si>
    <t>Truist</t>
  </si>
  <si>
    <t>Synchrony</t>
  </si>
  <si>
    <t>Salesforce</t>
  </si>
  <si>
    <t>Nuveen, a TIAA company</t>
  </si>
  <si>
    <t>NextEra Energy, Inc.</t>
  </si>
  <si>
    <t>Merck</t>
  </si>
  <si>
    <t>Lowe's</t>
  </si>
  <si>
    <t>Ballmer Group</t>
  </si>
  <si>
    <t>Amgen 🧪🔬🧬</t>
  </si>
  <si>
    <t>AmerisourceBergen</t>
  </si>
  <si>
    <t>eric amerine</t>
  </si>
  <si>
    <t>Sprouts</t>
  </si>
  <si>
    <t>Albertsons</t>
  </si>
  <si>
    <t>Andrea 👁️⃤</t>
  </si>
  <si>
    <t>Nick Bilodeau</t>
  </si>
  <si>
    <t>Lisa Lattea</t>
  </si>
  <si>
    <t>Jake</t>
  </si>
  <si>
    <t>Walmart Help</t>
  </si>
  <si>
    <t>Abdul wahab</t>
  </si>
  <si>
    <t>Walmart Canada</t>
  </si>
  <si>
    <t>Consumer Affairs</t>
  </si>
  <si>
    <t>Walmart Action</t>
  </si>
  <si>
    <t>Walmart India</t>
  </si>
  <si>
    <t>Walmart World</t>
  </si>
  <si>
    <t>Artfan90</t>
  </si>
  <si>
    <t>Stacie Bray</t>
  </si>
  <si>
    <t>Brian J. Cano</t>
  </si>
  <si>
    <t>Amy Van Tassel</t>
  </si>
  <si>
    <t>Sidney</t>
  </si>
  <si>
    <t>Aseem Aggarwal</t>
  </si>
  <si>
    <t>💿🎧</t>
  </si>
  <si>
    <t>📙🔞 Emrys Estilo // 😈 Venerable Villain</t>
  </si>
  <si>
    <t>George😹</t>
  </si>
  <si>
    <t>𝙅𝙤𝙨𝙚𝙥𝙝</t>
  </si>
  <si>
    <t>Bunda farida</t>
  </si>
  <si>
    <t>CITRA SRI WITIANI</t>
  </si>
  <si>
    <t>Berliyan R</t>
  </si>
  <si>
    <t>Rhonda J Flanagan</t>
  </si>
  <si>
    <t>Marina Casey</t>
  </si>
  <si>
    <t>Loblaws</t>
  </si>
  <si>
    <t>Sam Kemp-Jackson🇨🇦🇺🇦</t>
  </si>
  <si>
    <t>Jeremiah Burton ✝️🇺🇸#blessed #MAGA</t>
  </si>
  <si>
    <t>🇺🇲 Patriot Forbes 111%er ✝️</t>
  </si>
  <si>
    <t>🔫🔫🔫.eth</t>
  </si>
  <si>
    <t>sylvia Hackman</t>
  </si>
  <si>
    <t>.</t>
  </si>
  <si>
    <t>Jordan 🤍</t>
  </si>
  <si>
    <t>Squishmallows</t>
  </si>
  <si>
    <t>Steve and Robyn</t>
  </si>
  <si>
    <t>GNC</t>
  </si>
  <si>
    <t>Rajesh kr</t>
  </si>
  <si>
    <t>Lara</t>
  </si>
  <si>
    <t>Homeland Security</t>
  </si>
  <si>
    <t>Penn</t>
  </si>
  <si>
    <t>Third Academy</t>
  </si>
  <si>
    <t>Apple</t>
  </si>
  <si>
    <t>xxy01.eth</t>
  </si>
  <si>
    <t>Vivienne Johnson</t>
  </si>
  <si>
    <t>Best Buy</t>
  </si>
  <si>
    <t>Best Buy Deals</t>
  </si>
  <si>
    <t>Target Deals</t>
  </si>
  <si>
    <t>Jack Kavanagh</t>
  </si>
  <si>
    <t>Rob</t>
  </si>
  <si>
    <t>B.I ADHD ENBY 💢💥💫</t>
  </si>
  <si>
    <t>Kevin Haight</t>
  </si>
  <si>
    <t>AV 💀🖤</t>
  </si>
  <si>
    <t>Stacey</t>
  </si>
  <si>
    <t>bp America</t>
  </si>
  <si>
    <t>ExxonMobil</t>
  </si>
  <si>
    <t>Volkswagen</t>
  </si>
  <si>
    <t>China Petroleum(CPE)</t>
  </si>
  <si>
    <t>Phineas Gregg</t>
  </si>
  <si>
    <t>United for Respect</t>
  </si>
  <si>
    <t>Zearn</t>
  </si>
  <si>
    <t>BayouGal - UNAPOLOGETICALLY BLACK</t>
  </si>
  <si>
    <t>Afqir mourad</t>
  </si>
  <si>
    <t>Mrs. J</t>
  </si>
  <si>
    <t>Lady RDPH</t>
  </si>
  <si>
    <t>James Beyond Thunderdome</t>
  </si>
  <si>
    <t>muva ✨</t>
  </si>
  <si>
    <t>Jay Horsfall</t>
  </si>
  <si>
    <t>Jv5_Guy</t>
  </si>
  <si>
    <t>PSI Ponying On</t>
  </si>
  <si>
    <t>✋Jeff😁</t>
  </si>
  <si>
    <t>Wanda Louise</t>
  </si>
  <si>
    <t>Chemistry-system</t>
  </si>
  <si>
    <t>Sauceman12</t>
  </si>
  <si>
    <t>MURF III</t>
  </si>
  <si>
    <t>KG</t>
  </si>
  <si>
    <t>Jamal Smith</t>
  </si>
  <si>
    <t>Love By Michael</t>
  </si>
  <si>
    <t>DeliMarketNews</t>
  </si>
  <si>
    <t>khris witta k</t>
  </si>
  <si>
    <t>Miley Cyrus</t>
  </si>
  <si>
    <t>Frank Calderone</t>
  </si>
  <si>
    <t>Yvonne</t>
  </si>
  <si>
    <t>RHNewsAccount (READ BIO‼️)</t>
  </si>
  <si>
    <t>Jo®dyn™💫</t>
  </si>
  <si>
    <t>Joanne Tabellija-Murphy</t>
  </si>
  <si>
    <t>BPSOS, Inc.</t>
  </si>
  <si>
    <t>Rosemead Chamber</t>
  </si>
  <si>
    <t>FCSN</t>
  </si>
  <si>
    <t>Christopher J Murphy</t>
  </si>
  <si>
    <t>Mary Ledezma</t>
  </si>
  <si>
    <t>Retail Technology Innovation Hub</t>
  </si>
  <si>
    <t>Ottonomy Inc</t>
  </si>
  <si>
    <t>𝔰𝔥𝔦𝔰𝔥💻🛒⛵🧭📡</t>
  </si>
  <si>
    <t>Scott Thompson</t>
  </si>
  <si>
    <t>Obsess</t>
  </si>
  <si>
    <t>tobi lutke</t>
  </si>
  <si>
    <t>Volumental</t>
  </si>
  <si>
    <t>Teleport</t>
  </si>
  <si>
    <t>Danielle Vermeer | Teleport ✨</t>
  </si>
  <si>
    <t>AutoStore™</t>
  </si>
  <si>
    <t>Shopify</t>
  </si>
  <si>
    <t>H-E-B</t>
  </si>
  <si>
    <t>AiFi</t>
  </si>
  <si>
    <t>Żabka Polska</t>
  </si>
  <si>
    <t>Trigo</t>
  </si>
  <si>
    <t>Wakefern Food Corp.</t>
  </si>
  <si>
    <t>The Outdoors by B and B</t>
  </si>
  <si>
    <t>Are we done yet?</t>
  </si>
  <si>
    <t>Briana Sheppard</t>
  </si>
  <si>
    <t>Brittany H</t>
  </si>
  <si>
    <t>Elon Musk</t>
  </si>
  <si>
    <t>Twitter</t>
  </si>
  <si>
    <t>Seattle DSA Labor Committee</t>
  </si>
  <si>
    <t>Chris(to🅿️her) Larsen 🙈 🙉 🙊</t>
  </si>
  <si>
    <t>Cybersecurity Dive</t>
  </si>
  <si>
    <t>Butta</t>
  </si>
  <si>
    <t>Mjcode.xyz</t>
  </si>
  <si>
    <t>💚Mitch'sHigh😲🤯Avi'sLow🖤</t>
  </si>
  <si>
    <t>Betty Vazquez</t>
  </si>
  <si>
    <t>Project Pat-Ta</t>
  </si>
  <si>
    <t>Netflix</t>
  </si>
  <si>
    <t>Kaoru OBryan Fishing</t>
  </si>
  <si>
    <t>DeAndre</t>
  </si>
  <si>
    <t>Clarissa Sedillo</t>
  </si>
  <si>
    <t>KRQE News 13</t>
  </si>
  <si>
    <t>KOAT.com</t>
  </si>
  <si>
    <t>Albuquerque Journal</t>
  </si>
  <si>
    <t>ABQ News</t>
  </si>
  <si>
    <t>Plastichearts_wings</t>
  </si>
  <si>
    <t>Viih</t>
  </si>
  <si>
    <t>BETR Remedies</t>
  </si>
  <si>
    <t>Natalie Bowman</t>
  </si>
  <si>
    <t>New Giveaway 24</t>
  </si>
  <si>
    <t>FLOWERS💐👑</t>
  </si>
  <si>
    <t>MC Tem Ru</t>
  </si>
  <si>
    <t>Stream Flowers 🌸</t>
  </si>
  <si>
    <t>Mark Borison</t>
  </si>
  <si>
    <t>Jungle Jim's</t>
  </si>
  <si>
    <t>OffLimits™️</t>
  </si>
  <si>
    <t>stream FLOWERS 💐</t>
  </si>
  <si>
    <t>King Rez ♠️</t>
  </si>
  <si>
    <t>Salem</t>
  </si>
  <si>
    <t>tanu gupta</t>
  </si>
  <si>
    <t>SJC26138</t>
  </si>
  <si>
    <t>Stephen Thurmond</t>
  </si>
  <si>
    <t>👽David</t>
  </si>
  <si>
    <t>CLINT FREEMAN</t>
  </si>
  <si>
    <t>Adiel⛱️</t>
  </si>
  <si>
    <t>Nk</t>
  </si>
  <si>
    <t>HearingAssist</t>
  </si>
  <si>
    <t>InnerScope Hearing Technologies (OTC: $INND)</t>
  </si>
  <si>
    <t>Kevin</t>
  </si>
  <si>
    <t>Kim Famuliner</t>
  </si>
  <si>
    <t>Miley Supreme | Fan Account</t>
  </si>
  <si>
    <t>6’15 🎌 ##RR</t>
  </si>
  <si>
    <t>k | STREAM FLOWERS💐</t>
  </si>
  <si>
    <t>VTech Toys USA</t>
  </si>
  <si>
    <t>The Toy Insider</t>
  </si>
  <si>
    <t>Drankk 🌘</t>
  </si>
  <si>
    <t>crowntowncol</t>
  </si>
  <si>
    <t>Michael Golightly</t>
  </si>
  <si>
    <t>professor lung X Y O 💎🙌</t>
  </si>
  <si>
    <t>PB&amp;J Lady</t>
  </si>
  <si>
    <t>flowers 🌺 Lucy</t>
  </si>
  <si>
    <t>Midnight Crawlin</t>
  </si>
  <si>
    <t>Jason ☾</t>
  </si>
  <si>
    <t>Magic Spoon</t>
  </si>
  <si>
    <t>𝕱</t>
  </si>
  <si>
    <t>B I L L Y</t>
  </si>
  <si>
    <t>𝒜𝓂𝓎 🌺</t>
  </si>
  <si>
    <t>ً 🌵</t>
  </si>
  <si>
    <t>john.💐</t>
  </si>
  <si>
    <t>roe 💐</t>
  </si>
  <si>
    <t>𝙇𝙀𝙊</t>
  </si>
  <si>
    <t>michaela</t>
  </si>
  <si>
    <t>Miryus</t>
  </si>
  <si>
    <t>seis e ônibus</t>
  </si>
  <si>
    <t>hector</t>
  </si>
  <si>
    <t>Stefani Raiz (STREAM FLOWERS 13/01)</t>
  </si>
  <si>
    <t>Miley Cyrus ♛</t>
  </si>
  <si>
    <t>𝔖𝔞𝔪𝔞𝔫𝔱𝔥𝔞</t>
  </si>
  <si>
    <t>🖤 💐</t>
  </si>
  <si>
    <t>Jinxi Pooh</t>
  </si>
  <si>
    <t>♡ aco ♡</t>
  </si>
  <si>
    <t>Himani Arora 🇮🇳💐</t>
  </si>
  <si>
    <t>Smilervoticat</t>
  </si>
  <si>
    <t>Rachelle B.</t>
  </si>
  <si>
    <t>⋆</t>
  </si>
  <si>
    <t>marcus</t>
  </si>
  <si>
    <t>Chris T.</t>
  </si>
  <si>
    <t>MileyWorld Canada 🌴🕶️💐</t>
  </si>
  <si>
    <t>bobble™🇺🇸🇲🇽🇸🇻</t>
  </si>
  <si>
    <t>welcome 2iceland</t>
  </si>
  <si>
    <t>L.A. COLORS</t>
  </si>
  <si>
    <t>selena. 🥀</t>
  </si>
  <si>
    <t>nagkrish</t>
  </si>
  <si>
    <t>elle. FLOWERS</t>
  </si>
  <si>
    <t>shaunna</t>
  </si>
  <si>
    <t>mica p</t>
  </si>
  <si>
    <t>Alexander Rojas Agudelo 💐</t>
  </si>
  <si>
    <t>Tashhhh🏳️‍🌈🎈</t>
  </si>
  <si>
    <t>Baby Bear</t>
  </si>
  <si>
    <t>TODAY</t>
  </si>
  <si>
    <t>Macy's</t>
  </si>
  <si>
    <t>Joey M.</t>
  </si>
  <si>
    <t>State Farm</t>
  </si>
  <si>
    <t>jo</t>
  </si>
  <si>
    <t>Gerardo 💐</t>
  </si>
  <si>
    <t>Elvis</t>
  </si>
  <si>
    <t>Dean Centeno</t>
  </si>
  <si>
    <t>Bella Candy</t>
  </si>
  <si>
    <t>Matt Sedlak!!!</t>
  </si>
  <si>
    <t>U2</t>
  </si>
  <si>
    <t>guadalupe</t>
  </si>
  <si>
    <t>Citasix</t>
  </si>
  <si>
    <t>CVS Pharmacy</t>
  </si>
  <si>
    <t>Rite Aid</t>
  </si>
  <si>
    <t>Walgreens</t>
  </si>
  <si>
    <t>Ulta Beauty</t>
  </si>
  <si>
    <t>wet n wild beauty</t>
  </si>
  <si>
    <t>YR</t>
  </si>
  <si>
    <t>Juliet Bogen</t>
  </si>
  <si>
    <t>Miley Brasil</t>
  </si>
  <si>
    <t>𝕶𝖊𝖓𝖓𝖊𝖙𝖍</t>
  </si>
  <si>
    <t>Maxx Chewning</t>
  </si>
  <si>
    <t>Mileyz Smilerz</t>
  </si>
  <si>
    <t>Sellercloud</t>
  </si>
  <si>
    <t>5-hour ENERGY®</t>
  </si>
  <si>
    <t>FlowerLey🌸</t>
  </si>
  <si>
    <t>Miley's Brother</t>
  </si>
  <si>
    <t>𝖆𝖉𝖆𝖒</t>
  </si>
  <si>
    <t>E.l.l.e.n . p.o.m.p.e.o</t>
  </si>
  <si>
    <t>Eddie</t>
  </si>
  <si>
    <t>Kirby Taylor</t>
  </si>
  <si>
    <t>SDMCTECH</t>
  </si>
  <si>
    <t>Android TV Guide</t>
  </si>
  <si>
    <t>Lighter 💐</t>
  </si>
  <si>
    <t>paulis</t>
  </si>
  <si>
    <t>Miley Updates</t>
  </si>
  <si>
    <t>Badia Spices, Inc.</t>
  </si>
  <si>
    <t>Carolina Rice</t>
  </si>
  <si>
    <t>Misha</t>
  </si>
  <si>
    <t>Jason Starr, Founder/GP at Consumer Ventures</t>
  </si>
  <si>
    <t>Cybele's Free-to-Eat</t>
  </si>
  <si>
    <t>Jenny Burns</t>
  </si>
  <si>
    <t>Oren John 🛠,🛠</t>
  </si>
  <si>
    <t>LVI PhantomRanger</t>
  </si>
  <si>
    <t>Joe Addict</t>
  </si>
  <si>
    <t>preternia</t>
  </si>
  <si>
    <t>Jeremy D (parody account of myself)</t>
  </si>
  <si>
    <t>Miley Cyrus | مايلي عرب 💐</t>
  </si>
  <si>
    <t>Karla</t>
  </si>
  <si>
    <t>Tasean Leonard</t>
  </si>
  <si>
    <t>walter 💐</t>
  </si>
  <si>
    <t>Miley Fan</t>
  </si>
  <si>
    <t>Igor Ferreira 🌸💮</t>
  </si>
  <si>
    <t>Caro</t>
  </si>
  <si>
    <t>Darth Leezo</t>
  </si>
  <si>
    <t>Ab</t>
  </si>
  <si>
    <t>mari 💐🎓</t>
  </si>
  <si>
    <t>ebrundo</t>
  </si>
  <si>
    <t>PFT Live</t>
  </si>
  <si>
    <t>floridaboybud6666</t>
  </si>
  <si>
    <t>Smilerforeveralways</t>
  </si>
  <si>
    <t>FLOWERS JAN 13</t>
  </si>
  <si>
    <t>FLOWERS. 🌺</t>
  </si>
  <si>
    <t>STREAM.FLOWERS💐</t>
  </si>
  <si>
    <t>n¡na♚</t>
  </si>
  <si>
    <t>Florido 💐</t>
  </si>
  <si>
    <t>vampire_witch</t>
  </si>
  <si>
    <t>clay lady</t>
  </si>
  <si>
    <t>just me</t>
  </si>
  <si>
    <t>Beth, probably.</t>
  </si>
  <si>
    <t>Scientific Socialist</t>
  </si>
  <si>
    <t>Jayne</t>
  </si>
  <si>
    <t>S_I_D_N_E_Y</t>
  </si>
  <si>
    <t>OpenStreetMap</t>
  </si>
  <si>
    <t>ProleWiki (EN)</t>
  </si>
  <si>
    <t>😗🅴🅳🆆🅰🆁🅳😹</t>
  </si>
  <si>
    <t>NEW MILEY</t>
  </si>
  <si>
    <t>🌺</t>
  </si>
  <si>
    <t>TITA. LA TÍA DE LAS MUCHACHAS</t>
  </si>
  <si>
    <t>Meg 💗💜💙</t>
  </si>
  <si>
    <t>ROHIT OCHANI</t>
  </si>
  <si>
    <t>BuzzFeed India</t>
  </si>
  <si>
    <t>Karolina O-ska</t>
  </si>
  <si>
    <t>Der größte</t>
  </si>
  <si>
    <t>Cody Rhodes</t>
  </si>
  <si>
    <t>marta 🥀</t>
  </si>
  <si>
    <t>Francis Jared 🇩🇴</t>
  </si>
  <si>
    <t>Stellar Awards</t>
  </si>
  <si>
    <t>Verizon</t>
  </si>
  <si>
    <t>National Underground Railroad Freedom Center</t>
  </si>
  <si>
    <t>Chevrolet</t>
  </si>
  <si>
    <t>Procter &amp; Gamble</t>
  </si>
  <si>
    <t>Mali Music</t>
  </si>
  <si>
    <t>Marc Morial</t>
  </si>
  <si>
    <t>stream flowers</t>
  </si>
  <si>
    <t>🌸 María 🧣 #MeetMeAtMidnight 🌸</t>
  </si>
  <si>
    <t>jay</t>
  </si>
  <si>
    <t>The Ole Anderson of CG</t>
  </si>
  <si>
    <t>FedEx</t>
  </si>
  <si>
    <t>Xbox</t>
  </si>
  <si>
    <t>UFCW</t>
  </si>
  <si>
    <t>Reform UFCW</t>
  </si>
  <si>
    <t>Marc Perrone ✊🇺🇦</t>
  </si>
  <si>
    <t>The Sports Bubba</t>
  </si>
  <si>
    <t>Lamar Jackson</t>
  </si>
  <si>
    <t>𝖌𝖆𝖇</t>
  </si>
  <si>
    <t>Placer.ai</t>
  </si>
  <si>
    <t>CNBC</t>
  </si>
  <si>
    <t>408Nate</t>
  </si>
  <si>
    <t>Melissa Repko</t>
  </si>
  <si>
    <t>call’n it</t>
  </si>
  <si>
    <t>BeTheChange</t>
  </si>
  <si>
    <t>A. Reusing</t>
  </si>
  <si>
    <t>Adaya</t>
  </si>
  <si>
    <t>WalmartFamilyMobile</t>
  </si>
  <si>
    <t>OurRevolution</t>
  </si>
  <si>
    <t>A Dirty Byrd</t>
  </si>
  <si>
    <t>Chris</t>
  </si>
  <si>
    <t>Miley Cyrus Charts</t>
  </si>
  <si>
    <t>Dennis</t>
  </si>
  <si>
    <t>🥲</t>
  </si>
  <si>
    <t>Daily Loud</t>
  </si>
  <si>
    <t>Alexio's wave</t>
  </si>
  <si>
    <t>Nike</t>
  </si>
  <si>
    <t>Kye</t>
  </si>
  <si>
    <t>Crish</t>
  </si>
  <si>
    <t>bi</t>
  </si>
  <si>
    <t>raúl ۞💐</t>
  </si>
  <si>
    <t>Lil’ Toot 🌊⛴😲</t>
  </si>
  <si>
    <t>Borny Hear</t>
  </si>
  <si>
    <t>😆James</t>
  </si>
  <si>
    <t>ChiCEDR</t>
  </si>
  <si>
    <t>Jonathan Hersh</t>
  </si>
  <si>
    <t>Michael Natelli</t>
  </si>
  <si>
    <t>Steffi ミ☆ (She/Her)💙💙🦋</t>
  </si>
  <si>
    <t>Functional Fluidics</t>
  </si>
  <si>
    <t>ID Ventures</t>
  </si>
  <si>
    <t>Maria Cecília</t>
  </si>
  <si>
    <t>alexa 💙</t>
  </si>
  <si>
    <t>Ronald Reagan's reanimated head</t>
  </si>
  <si>
    <t>Taty Marc-Blank</t>
  </si>
  <si>
    <t>Stephen Dypiangco</t>
  </si>
  <si>
    <t>iHeartRadio</t>
  </si>
  <si>
    <t>Nickelodeon</t>
  </si>
  <si>
    <t>Vans</t>
  </si>
  <si>
    <t>#AusOpen</t>
  </si>
  <si>
    <t>endless summer vacation</t>
  </si>
  <si>
    <t>GypsyDesert (iTweet)</t>
  </si>
  <si>
    <t>Mickolas</t>
  </si>
  <si>
    <t>#StreamFLOWERS</t>
  </si>
  <si>
    <t>Purely Inspired</t>
  </si>
  <si>
    <t>Morgan</t>
  </si>
  <si>
    <t>JP</t>
  </si>
  <si>
    <t>Miley Cyrus México</t>
  </si>
  <si>
    <t>NewsWest9</t>
  </si>
  <si>
    <t>VERIFY</t>
  </si>
  <si>
    <t>11Alive News</t>
  </si>
  <si>
    <t>KSDK News</t>
  </si>
  <si>
    <t>13News Now</t>
  </si>
  <si>
    <t>NEWS CENTER Maine</t>
  </si>
  <si>
    <t>WFMY News 2</t>
  </si>
  <si>
    <t>13 On Your Side</t>
  </si>
  <si>
    <t>News19 WLTX</t>
  </si>
  <si>
    <t>WKYC 3News</t>
  </si>
  <si>
    <t>WTHR.com</t>
  </si>
  <si>
    <t>KCENNews</t>
  </si>
  <si>
    <t>THV11</t>
  </si>
  <si>
    <t>KARE 11</t>
  </si>
  <si>
    <t>First Coast News</t>
  </si>
  <si>
    <t>WPMT FOX43</t>
  </si>
  <si>
    <t>WFAA</t>
  </si>
  <si>
    <t>10 Tampa Bay</t>
  </si>
  <si>
    <t>FOX61</t>
  </si>
  <si>
    <t>WTOL 11</t>
  </si>
  <si>
    <t>KIII 3 News</t>
  </si>
  <si>
    <t>WHAS11 News</t>
  </si>
  <si>
    <t>WNEP</t>
  </si>
  <si>
    <t>CBS 8 San Diego</t>
  </si>
  <si>
    <t>KHOU 11 News Houston</t>
  </si>
  <si>
    <t>KTVB.COM</t>
  </si>
  <si>
    <t>Local 5 News</t>
  </si>
  <si>
    <t>ABC10</t>
  </si>
  <si>
    <t>FOX West Texas</t>
  </si>
  <si>
    <t>WUSA9</t>
  </si>
  <si>
    <t>WQAD</t>
  </si>
  <si>
    <t>WCNC Charlotte</t>
  </si>
  <si>
    <t>13WMAZ News</t>
  </si>
  <si>
    <t>9NEWS Denver</t>
  </si>
  <si>
    <t>12 News</t>
  </si>
  <si>
    <t>KREM 2 NEWS</t>
  </si>
  <si>
    <t>12NewsNow</t>
  </si>
  <si>
    <t>KYTX CBS19</t>
  </si>
  <si>
    <t>KAGS News</t>
  </si>
  <si>
    <t>WGRZ</t>
  </si>
  <si>
    <t>KING 5 News</t>
  </si>
  <si>
    <t>WWL-TV</t>
  </si>
  <si>
    <t>KENS 5</t>
  </si>
  <si>
    <t>10TV</t>
  </si>
  <si>
    <t>5NEWS</t>
  </si>
  <si>
    <t>FOX54News</t>
  </si>
  <si>
    <t>KVUE News</t>
  </si>
  <si>
    <t>avm || SHAKI DAY 🐺</t>
  </si>
  <si>
    <t>DelphicDeb</t>
  </si>
  <si>
    <t>My name is Alan. 1L 2As</t>
  </si>
  <si>
    <t>SimmyTransy (They/Them)🏳️‍🌈♿️</t>
  </si>
  <si>
    <t>Brian Olson</t>
  </si>
  <si>
    <t>rouge</t>
  </si>
  <si>
    <t>🇺🇸Victor the SnakeMannn™®🇮🇱 (Dude/DUDE!)</t>
  </si>
  <si>
    <t>Mario Andretti</t>
  </si>
  <si>
    <t>Funko</t>
  </si>
  <si>
    <t>俺の観賞</t>
  </si>
  <si>
    <t>With Us Its Safe.</t>
  </si>
  <si>
    <t>Gaygardener89</t>
  </si>
  <si>
    <t>Preston Steger 🌊</t>
  </si>
  <si>
    <t>Jayden Gross</t>
  </si>
  <si>
    <t>My Seattle News</t>
  </si>
  <si>
    <t>Milene</t>
  </si>
  <si>
    <t>StayNiley</t>
  </si>
  <si>
    <t>Kat Rocha-Acosta</t>
  </si>
  <si>
    <t>WorldWarSmith</t>
  </si>
  <si>
    <t>Hotstreek</t>
  </si>
  <si>
    <t>G-ray</t>
  </si>
  <si>
    <t>Dale Crites</t>
  </si>
  <si>
    <t>Rhino Records</t>
  </si>
  <si>
    <t>Aurora Starkey</t>
  </si>
  <si>
    <t>Madonna</t>
  </si>
  <si>
    <t>JMooski</t>
  </si>
  <si>
    <t>Stern Show</t>
  </si>
  <si>
    <t>Howard Stern</t>
  </si>
  <si>
    <t>YouTube</t>
  </si>
  <si>
    <t>Miley is good</t>
  </si>
  <si>
    <t>Crystal4Kamala - Proud Democrat</t>
  </si>
  <si>
    <t>Natalie Engel</t>
  </si>
  <si>
    <t>Dolce</t>
  </si>
  <si>
    <t>Juyomi Month!!!!</t>
  </si>
  <si>
    <t>mel 𖤐</t>
  </si>
  <si>
    <t>Pierce The Veil</t>
  </si>
  <si>
    <t>Kj’s Lil Sister</t>
  </si>
  <si>
    <t>D'on Cosmetics</t>
  </si>
  <si>
    <t>Summer D’on</t>
  </si>
  <si>
    <t>KGW News</t>
  </si>
  <si>
    <t>ROMY YOU ROCK</t>
  </si>
  <si>
    <t>Ian Hill</t>
  </si>
  <si>
    <t>Dont Fuckin Ask🖕🏾</t>
  </si>
  <si>
    <t>Alejo Tinoco</t>
  </si>
  <si>
    <t>Beard Man</t>
  </si>
  <si>
    <t>ThLineFrontNC</t>
  </si>
  <si>
    <t>Fox News</t>
  </si>
  <si>
    <t>Delroar</t>
  </si>
  <si>
    <t>veil</t>
  </si>
  <si>
    <t>Natalie</t>
  </si>
  <si>
    <t>Weeble Wobbles do fall down</t>
  </si>
  <si>
    <t>bermy_boy</t>
  </si>
  <si>
    <t>JelonBrames10</t>
  </si>
  <si>
    <t>Vee🇵🇷</t>
  </si>
  <si>
    <t>Santiago Barros</t>
  </si>
  <si>
    <t>Miley Cyrus Cuba 🇨🇺</t>
  </si>
  <si>
    <t>Edson Marroquin</t>
  </si>
  <si>
    <t>Dr. Tim Cavell (he/him)</t>
  </si>
  <si>
    <t>Sarah Huckabee Sanders</t>
  </si>
  <si>
    <t>New Miley ✨</t>
  </si>
  <si>
    <t>🩷Idzel</t>
  </si>
  <si>
    <t>ST PETE MOMMA 💙 Sunshine &amp; Sarcasm</t>
  </si>
  <si>
    <t>Justin Proctor</t>
  </si>
  <si>
    <t>Reworked</t>
  </si>
  <si>
    <t>Daren Brooks</t>
  </si>
  <si>
    <t>Custiio</t>
  </si>
  <si>
    <t>Jeff KAGAN Technology Industry Analyst, Columnist</t>
  </si>
  <si>
    <t>GOBankingRates</t>
  </si>
  <si>
    <t>RAMDAS NAVGIRE</t>
  </si>
  <si>
    <t>Andrea Clenney</t>
  </si>
  <si>
    <t>IngeniousChiHuaHua</t>
  </si>
  <si>
    <t>AbeBooks</t>
  </si>
  <si>
    <t>Unconscious Intelligence</t>
  </si>
  <si>
    <t>Smashwords</t>
  </si>
  <si>
    <t>Apple Books</t>
  </si>
  <si>
    <t>Indigo</t>
  </si>
  <si>
    <t>Kindle</t>
  </si>
  <si>
    <t>Tell Me What To Read</t>
  </si>
  <si>
    <t>Book Depository</t>
  </si>
  <si>
    <t>Waterstones</t>
  </si>
  <si>
    <t>gr8MusicVenues</t>
  </si>
  <si>
    <t>M</t>
  </si>
  <si>
    <t>The Youth's Cat</t>
  </si>
  <si>
    <t>Austin Uzama PhD.</t>
  </si>
  <si>
    <t>HumbleAtomicBohemian</t>
  </si>
  <si>
    <t>Dannika Wooster</t>
  </si>
  <si>
    <t>Fry's Food Stores</t>
  </si>
  <si>
    <t>Carrie_Oh</t>
  </si>
  <si>
    <t>KYVAN® Foods</t>
  </si>
  <si>
    <t>Robearto</t>
  </si>
  <si>
    <t>Amber Myers</t>
  </si>
  <si>
    <t>Ricardo Nolguen</t>
  </si>
  <si>
    <t>Greg Wilson</t>
  </si>
  <si>
    <t>Junior 🌴🌊</t>
  </si>
  <si>
    <t>TheCarterFilez</t>
  </si>
  <si>
    <t>J.ramon</t>
  </si>
  <si>
    <t>Dynacraft</t>
  </si>
  <si>
    <t>I went to a Miley’s concert</t>
  </si>
  <si>
    <t>Aaron W Hoffenbacker</t>
  </si>
  <si>
    <t>Authentic Motor City Pizza Co.</t>
  </si>
  <si>
    <t>Ann</t>
  </si>
  <si>
    <t>Billy Mac</t>
  </si>
  <si>
    <t>Taillight</t>
  </si>
  <si>
    <t>Clorox</t>
  </si>
  <si>
    <t>Shawn Johnson East</t>
  </si>
  <si>
    <t>Chris Walton</t>
  </si>
  <si>
    <t>Harsh Marshall</t>
  </si>
  <si>
    <t>#BRADYEXPRESS</t>
  </si>
  <si>
    <t>Waste Connections</t>
  </si>
  <si>
    <t>Bars</t>
  </si>
  <si>
    <t>Walter Clark</t>
  </si>
  <si>
    <t>BuffaloWildWings</t>
  </si>
  <si>
    <t>Cintas Corporation</t>
  </si>
  <si>
    <t>Goodyear</t>
  </si>
  <si>
    <t>TruGreen</t>
  </si>
  <si>
    <t>Sparklezonfire 👑</t>
  </si>
  <si>
    <t>NR 1 munch ⁉️</t>
  </si>
  <si>
    <t>Matt Roberts</t>
  </si>
  <si>
    <t>Robert Irvine</t>
  </si>
  <si>
    <t>🤣Anthony</t>
  </si>
  <si>
    <t>mccdaddy</t>
  </si>
  <si>
    <t>Obviously (Not) Tomlin</t>
  </si>
  <si>
    <t>✧kim momo⁷✮ BHM✊🏾</t>
  </si>
  <si>
    <t>Donald J. Trump</t>
  </si>
  <si>
    <t>HYBE OFFICIAL</t>
  </si>
  <si>
    <t>B❦NGTANSTIC⁷</t>
  </si>
  <si>
    <t>Alyssa Ottaviani</t>
  </si>
  <si>
    <t>Dwayne Pinckney</t>
  </si>
  <si>
    <t>Hannah Montada ⭐️</t>
  </si>
  <si>
    <t>Flowers</t>
  </si>
  <si>
    <t>FLOWERS 💐</t>
  </si>
  <si>
    <t>👽𝘽𝙧𝙞𝙖𝙣😛</t>
  </si>
  <si>
    <t>MC——best</t>
  </si>
  <si>
    <t>AmyJay</t>
  </si>
  <si>
    <t>UCLA Anderson School of Management</t>
  </si>
  <si>
    <t>Shark Tank</t>
  </si>
  <si>
    <t>Ready, Set, Food!</t>
  </si>
  <si>
    <t>UCLA Alumni</t>
  </si>
  <si>
    <t>Stan</t>
  </si>
  <si>
    <t>Lemongrass Farms</t>
  </si>
  <si>
    <t>kjd</t>
  </si>
  <si>
    <t>Joseph Thomas Flies-Away</t>
  </si>
  <si>
    <t>Wells Fargo</t>
  </si>
  <si>
    <t>burchi</t>
  </si>
  <si>
    <t>Sweet Jones</t>
  </si>
  <si>
    <t>Elise Hansen</t>
  </si>
  <si>
    <t>ally 🐻‍❄️</t>
  </si>
  <si>
    <t>Donna Hein</t>
  </si>
  <si>
    <t>LastChanceforLiberty</t>
  </si>
  <si>
    <t>Poshmark Support</t>
  </si>
  <si>
    <t>Poshmark</t>
  </si>
  <si>
    <t>LIZ CROKIN</t>
  </si>
  <si>
    <t>Mike Gloyd</t>
  </si>
  <si>
    <t>Becca</t>
  </si>
  <si>
    <t>Jaymie Nunnery |-/</t>
  </si>
  <si>
    <t>Link Neal</t>
  </si>
  <si>
    <t>Rhett McLaughlin | MUSIC: James and the Shame</t>
  </si>
  <si>
    <t>Rhett &amp; Link</t>
  </si>
  <si>
    <t>°⍣~•✡⊹٭✰ 𝕄𝕖𝕝𝕚𝕤𝕤𝕒 ✰.｡ (✿^▽^)</t>
  </si>
  <si>
    <t>Environment America</t>
  </si>
  <si>
    <t>Me</t>
  </si>
  <si>
    <t>تطہیر ابن آدم</t>
  </si>
  <si>
    <t>لطيفة laţīfa</t>
  </si>
  <si>
    <t>Patti LaBelle</t>
  </si>
  <si>
    <t>HookMeUp💐💐</t>
  </si>
  <si>
    <t>Priscilla Payne | UGC Creator ✨</t>
  </si>
  <si>
    <t>Smashbox</t>
  </si>
  <si>
    <t>Rashawn batchelor</t>
  </si>
  <si>
    <t>Steve</t>
  </si>
  <si>
    <t>Red Ranger Chris</t>
  </si>
  <si>
    <t>Anjuli Mack</t>
  </si>
  <si>
    <t>🙂𝐆𝐞𝐨𝐫𝐠𝐞</t>
  </si>
  <si>
    <t>“gui” | fan account</t>
  </si>
  <si>
    <t>Jill Lammey</t>
  </si>
  <si>
    <t>Shelley Blodgett</t>
  </si>
  <si>
    <t>DEIRDRE DUKE</t>
  </si>
  <si>
    <t>J Drop</t>
  </si>
  <si>
    <t>D. Thomas</t>
  </si>
  <si>
    <t>Rob Browne</t>
  </si>
  <si>
    <t>Chick-fil-A, Inc.</t>
  </si>
  <si>
    <t>Daniel Dennison</t>
  </si>
  <si>
    <t>Giselle Baumet</t>
  </si>
  <si>
    <t>hi, im bree 🫶🏽</t>
  </si>
  <si>
    <t>Anthony Stark👨🏾‍💻</t>
  </si>
  <si>
    <t>CEO of Thunder</t>
  </si>
  <si>
    <t>HVAC Barclay</t>
  </si>
  <si>
    <t>DEX©</t>
  </si>
  <si>
    <t>Matthew Rojas</t>
  </si>
  <si>
    <t>Brian</t>
  </si>
  <si>
    <t>NRA</t>
  </si>
  <si>
    <t>Rocky Brillo</t>
  </si>
  <si>
    <t>G FUEL®</t>
  </si>
  <si>
    <t>iCarryOG</t>
  </si>
  <si>
    <t>incredible_Smash</t>
  </si>
  <si>
    <t>Kate Roberts MD</t>
  </si>
  <si>
    <t>Reymond</t>
  </si>
  <si>
    <t>Miss Hyde</t>
  </si>
  <si>
    <t>Daniel Longoria</t>
  </si>
  <si>
    <t>Apmix</t>
  </si>
  <si>
    <t>Devin Franklin</t>
  </si>
  <si>
    <t>taylor ⚜️</t>
  </si>
  <si>
    <t>Sacchi ~ 𝐐</t>
  </si>
  <si>
    <t>DPGhittmann</t>
  </si>
  <si>
    <t>Antonio OBrien</t>
  </si>
  <si>
    <t>andy killingback</t>
  </si>
  <si>
    <t>Sean 🪖CODJunkie™🇺🇸</t>
  </si>
  <si>
    <t>buchananbunch4</t>
  </si>
  <si>
    <t>𝘢𝘣𝘯𝘦𝘳 ⸙͎ 💐</t>
  </si>
  <si>
    <t>scott olling</t>
  </si>
  <si>
    <t>Major League Soccer</t>
  </si>
  <si>
    <t>Tactical Manager</t>
  </si>
  <si>
    <t>Shoe Crazy Wine &amp; Spirits</t>
  </si>
  <si>
    <t>Total Wine &amp; More</t>
  </si>
  <si>
    <t>Food Lion</t>
  </si>
  <si>
    <t>lela ❕</t>
  </si>
  <si>
    <t>Tim Lashar</t>
  </si>
  <si>
    <t>Rep. Marjorie Taylor Greene🇺🇸</t>
  </si>
  <si>
    <t>Paul Hodgkinson</t>
  </si>
  <si>
    <t>Youna</t>
  </si>
  <si>
    <t>🤖𝐁𝐫𝐢𝐚𝐧😁</t>
  </si>
  <si>
    <t>hayden johnson</t>
  </si>
  <si>
    <t>NCR Kelvin 🔥</t>
  </si>
  <si>
    <t>Gamma Labs®</t>
  </si>
  <si>
    <t>The witness</t>
  </si>
  <si>
    <t>Publix</t>
  </si>
  <si>
    <t>Jared</t>
  </si>
  <si>
    <t>John R Woodward</t>
  </si>
  <si>
    <t>Simp Neelix</t>
  </si>
  <si>
    <t>Savage Skeletor</t>
  </si>
  <si>
    <t>RonMexico11</t>
  </si>
  <si>
    <t>jenna 💙💜💗</t>
  </si>
  <si>
    <t>Pokémon</t>
  </si>
  <si>
    <t>🤎</t>
  </si>
  <si>
    <t>Dale 🇺🇸</t>
  </si>
  <si>
    <t>Ash Sweeney</t>
  </si>
  <si>
    <t>Brighter star</t>
  </si>
  <si>
    <t>MyFriendsAreEverywhere</t>
  </si>
  <si>
    <t>Waking Up Eighty Film</t>
  </si>
  <si>
    <t>Waking up Eighty</t>
  </si>
  <si>
    <t>ブライス</t>
  </si>
  <si>
    <t>ıllı miley's touch💐 ıllı</t>
  </si>
  <si>
    <t>Jenn</t>
  </si>
  <si>
    <t>PDS</t>
  </si>
  <si>
    <t>Aldi Stores UK</t>
  </si>
  <si>
    <t>natalie fitzgerald</t>
  </si>
  <si>
    <t>Daisy Garcia</t>
  </si>
  <si>
    <t>Elizabeth</t>
  </si>
  <si>
    <t>Jennifer Parker</t>
  </si>
  <si>
    <t>M. Lerma</t>
  </si>
  <si>
    <t>CTW Library</t>
  </si>
  <si>
    <t>Gabrielle Guerrero</t>
  </si>
  <si>
    <t>John Tullius</t>
  </si>
  <si>
    <t>Coach Triste</t>
  </si>
  <si>
    <t>Carroll T Welch</t>
  </si>
  <si>
    <t>Cali</t>
  </si>
  <si>
    <t>💐 FLOWERS 💐</t>
  </si>
  <si>
    <t>Linda C</t>
  </si>
  <si>
    <t>Darcy Williamson</t>
  </si>
  <si>
    <t>Big Loud Rock</t>
  </si>
  <si>
    <t>realKing.voudon</t>
  </si>
  <si>
    <t>Martin (Ex Tiposaurio)</t>
  </si>
  <si>
    <t>@UMG GIA Studio56</t>
  </si>
  <si>
    <t>NBC New York</t>
  </si>
  <si>
    <t>Mary Smith</t>
  </si>
  <si>
    <t>Instagram/Meta</t>
  </si>
  <si>
    <t>David Banks</t>
  </si>
  <si>
    <t>U.S. Navy</t>
  </si>
  <si>
    <t>Vicky Ward</t>
  </si>
  <si>
    <t>Android Authority</t>
  </si>
  <si>
    <t>Dr. Rita El Khoury</t>
  </si>
  <si>
    <t>PFFFBEEP®</t>
  </si>
  <si>
    <t>CIA</t>
  </si>
  <si>
    <t>#okirus</t>
  </si>
  <si>
    <t>Kyle battistoni</t>
  </si>
  <si>
    <t>Jana</t>
  </si>
  <si>
    <t>✊🏿#OCP4L 🥚#EGGNation🌎CEO</t>
  </si>
  <si>
    <t>Tina Marii</t>
  </si>
  <si>
    <t>Pyramid Song</t>
  </si>
  <si>
    <t>Ops from the Frye Flat</t>
  </si>
  <si>
    <t>Kim Sebrango</t>
  </si>
  <si>
    <t>Disability Justice Network of Ontario</t>
  </si>
  <si>
    <t>Ellen Martin</t>
  </si>
  <si>
    <t>Angela</t>
  </si>
  <si>
    <t>👸🏾REFERRAL QUEEN🤑🖥📱</t>
  </si>
  <si>
    <t>Valhalla Machine⁶</t>
  </si>
  <si>
    <t>Tracfone Wireless</t>
  </si>
  <si>
    <t>BionicB †</t>
  </si>
  <si>
    <t>Donald Rull</t>
  </si>
  <si>
    <t>Sam's Club Help</t>
  </si>
  <si>
    <t>Daddy_Eh30</t>
  </si>
  <si>
    <t>🖤🤍 𝓜𝓻𝓼.𝓒𝓵𝓸𝓬𝓴𝔀𝓸𝓻𝓴 🤍🖤</t>
  </si>
  <si>
    <t>Nadia Lynch</t>
  </si>
  <si>
    <t>Josh Crawford</t>
  </si>
  <si>
    <t>Zanfel Laboratories</t>
  </si>
  <si>
    <t>Dustin Ryan</t>
  </si>
  <si>
    <t>TweakX</t>
  </si>
  <si>
    <t>Scrub Zero</t>
  </si>
  <si>
    <t>Jared Cruz-Aedo</t>
  </si>
  <si>
    <t>Pam</t>
  </si>
  <si>
    <t>Gina Ferrell</t>
  </si>
  <si>
    <t>Jennifer Barr</t>
  </si>
  <si>
    <t>Sherry Strode</t>
  </si>
  <si>
    <t>Thomas Falls</t>
  </si>
  <si>
    <t>ABC News</t>
  </si>
  <si>
    <t>NPR's Planet Money</t>
  </si>
  <si>
    <t>Chase</t>
  </si>
  <si>
    <t>Erica 🎬🎥</t>
  </si>
  <si>
    <t>Ted Bo</t>
  </si>
  <si>
    <t>Mr. T</t>
  </si>
  <si>
    <t>Hulk Hogan</t>
  </si>
  <si>
    <t>Ted DiBiase</t>
  </si>
  <si>
    <t>Bianca Belair</t>
  </si>
  <si>
    <t>RheaRipley_WWE</t>
  </si>
  <si>
    <t>The Major Wrestling Figure Podcast</t>
  </si>
  <si>
    <t>William Reading</t>
  </si>
  <si>
    <t>Daniel Pentecost</t>
  </si>
  <si>
    <t>Tanya Hilleshiem</t>
  </si>
  <si>
    <t>Tonya Ridener Wood, Author</t>
  </si>
  <si>
    <t>JaJa 🏳️‍🌈🇺🇦 Слава Україні!</t>
  </si>
  <si>
    <t>💎Cardi B/Miley Cyrus💎</t>
  </si>
  <si>
    <t>Jordan Rasco</t>
  </si>
  <si>
    <t>💐carina</t>
  </si>
  <si>
    <t>κ α † ™</t>
  </si>
  <si>
    <t>Space Dude ♉👨‍🚀🪐✨☄️</t>
  </si>
  <si>
    <t>angel 💐</t>
  </si>
  <si>
    <t>‎ ‎ .</t>
  </si>
  <si>
    <t>Miss Zac</t>
  </si>
  <si>
    <t>I MET MILEY, FLOWERS 🌸</t>
  </si>
  <si>
    <t>eternalsummermidnightsᱬ⧗💐𝙵𝚕𝚘𝚠𝚎𝚛𝚜💜</t>
  </si>
  <si>
    <t>Miley Cyrus Base</t>
  </si>
  <si>
    <t>リッキー</t>
  </si>
  <si>
    <t>prims 💎💎💎💎💎</t>
  </si>
  <si>
    <t>Woody Martin</t>
  </si>
  <si>
    <t>Chili's Support</t>
  </si>
  <si>
    <t>Ibe ☠☠☠</t>
  </si>
  <si>
    <t>St. Louis Area Foodbank</t>
  </si>
  <si>
    <t>John Olsen</t>
  </si>
  <si>
    <t>𝚒𝚣𝚣𝚢</t>
  </si>
  <si>
    <t>Kim Komando</t>
  </si>
  <si>
    <t>OhSnap!</t>
  </si>
  <si>
    <t>Hasbro</t>
  </si>
  <si>
    <t>Rogel Gallegos</t>
  </si>
  <si>
    <t>that betch.</t>
  </si>
  <si>
    <t>Adam Corbin</t>
  </si>
  <si>
    <t>linda marcelino</t>
  </si>
  <si>
    <t>Amber Miller</t>
  </si>
  <si>
    <t>Sissy Platt.</t>
  </si>
  <si>
    <t>Mr Ghoulish Guy</t>
  </si>
  <si>
    <t>The gangster of love</t>
  </si>
  <si>
    <t>🎄Mercvdez🎄</t>
  </si>
  <si>
    <t>#TheResistance</t>
  </si>
  <si>
    <t>Angel Rosario Jr.</t>
  </si>
  <si>
    <t>Jean M. O'Brien☮️</t>
  </si>
  <si>
    <t>SubversiveGrandma</t>
  </si>
  <si>
    <t>David Hogg ☮️</t>
  </si>
  <si>
    <t>Marvin Parent</t>
  </si>
  <si>
    <t>Paramount+</t>
  </si>
  <si>
    <t>nicole (taylor's version) ミ☆ |-/</t>
  </si>
  <si>
    <t>Geek Girl Diva</t>
  </si>
  <si>
    <t>Southern Doc</t>
  </si>
  <si>
    <t>Steve Mudflap McGrew’s 🔨 REMASCULATE podcast</t>
  </si>
  <si>
    <t>ArtSkills</t>
  </si>
  <si>
    <t>Megan Masser Reaves</t>
  </si>
  <si>
    <t>✨The 1 &amp; Only✨</t>
  </si>
  <si>
    <t>Lauren’s Court House</t>
  </si>
  <si>
    <t>LDHS</t>
  </si>
  <si>
    <t>Savion 2K</t>
  </si>
  <si>
    <t>Greg Packnett</t>
  </si>
  <si>
    <t>Trinh Nguyễn Thị</t>
  </si>
  <si>
    <t>National Retail Federation</t>
  </si>
  <si>
    <t>Scot Case</t>
  </si>
  <si>
    <t>Cuh</t>
  </si>
  <si>
    <t>AHARONA</t>
  </si>
  <si>
    <t>Whoa, wait. Walmart?</t>
  </si>
  <si>
    <t>Kile</t>
  </si>
  <si>
    <t>AAPD</t>
  </si>
  <si>
    <t>MatterTechnologies</t>
  </si>
  <si>
    <t>Infinite_life/Art🖋️📸🎥🎨🌎</t>
  </si>
  <si>
    <t>margaran</t>
  </si>
  <si>
    <t>Josh</t>
  </si>
  <si>
    <t>Restoration Hardware</t>
  </si>
  <si>
    <t>WinCo Foods</t>
  </si>
  <si>
    <t>Menards</t>
  </si>
  <si>
    <t>Official Hobby Lobby</t>
  </si>
  <si>
    <t>Nikias Molina 🍋</t>
  </si>
  <si>
    <t>Mrc Lucien</t>
  </si>
  <si>
    <t>JTS 👨‍🏫➕👨‍🔬✖️🇮🇹➕🇲🇨 = 🇬🇧🏳️‍🌈</t>
  </si>
  <si>
    <t>The Home Depot</t>
  </si>
  <si>
    <t>Gus</t>
  </si>
  <si>
    <t>🖤 Stephanie 🖤 Saw colson 12/3</t>
  </si>
  <si>
    <t>Fabulous Abomination 🏳️‍🌈</t>
  </si>
  <si>
    <t>atra 🕊</t>
  </si>
  <si>
    <t>Sim0</t>
  </si>
  <si>
    <t>Roblox</t>
  </si>
  <si>
    <t>I CAN BUY MYSELF FLOWERS</t>
  </si>
  <si>
    <t>CoupleyFit™️</t>
  </si>
  <si>
    <t>wolfgangg</t>
  </si>
  <si>
    <t>FLOWERS JAN 13 💐</t>
  </si>
  <si>
    <t>tara ♒️</t>
  </si>
  <si>
    <t>Corey Lynne Pazak</t>
  </si>
  <si>
    <t>$imone illiano</t>
  </si>
  <si>
    <t>Min. David Dillard</t>
  </si>
  <si>
    <t>Bryan Danielson</t>
  </si>
  <si>
    <t>All Elite Wrestling</t>
  </si>
  <si>
    <t>EarWaxCandy</t>
  </si>
  <si>
    <t>Daddio</t>
  </si>
  <si>
    <t>Dr Pepper</t>
  </si>
  <si>
    <t>Amon-Ra</t>
  </si>
  <si>
    <t>Head &amp; Shoulders</t>
  </si>
  <si>
    <t>USC GANG</t>
  </si>
  <si>
    <t>Aideé O</t>
  </si>
  <si>
    <t>The Crème Shop</t>
  </si>
  <si>
    <t>Jason P.</t>
  </si>
  <si>
    <t>mc</t>
  </si>
  <si>
    <t>RKNooo</t>
  </si>
  <si>
    <t>PICKETT PRIDE! ✊🏽</t>
  </si>
  <si>
    <t>De Anna Mangum</t>
  </si>
  <si>
    <t>John Graham☯</t>
  </si>
  <si>
    <t>The Real Lunchables</t>
  </si>
  <si>
    <t>SmartSweets</t>
  </si>
  <si>
    <t>Amanda Rogers</t>
  </si>
  <si>
    <t>范旭斯</t>
  </si>
  <si>
    <t>Kurt Mangum II</t>
  </si>
  <si>
    <t>Haideriam</t>
  </si>
  <si>
    <t>𝗔𝗹𝗲𝘅💐</t>
  </si>
  <si>
    <t>Rebecca</t>
  </si>
  <si>
    <t>Todd Rokita</t>
  </si>
  <si>
    <t>Morgan Hudson</t>
  </si>
  <si>
    <t>Cindy Zheng</t>
  </si>
  <si>
    <t>Cleveland Kitchen</t>
  </si>
  <si>
    <t>Ashgogate</t>
  </si>
  <si>
    <t>Rohit Kumar Singh</t>
  </si>
  <si>
    <t>MyGovIndia</t>
  </si>
  <si>
    <t>PIB India</t>
  </si>
  <si>
    <t>Sadhvi Niranjan Jyoti</t>
  </si>
  <si>
    <t>Ashwini Kr. Choubey</t>
  </si>
  <si>
    <t>Piyush Goyal</t>
  </si>
  <si>
    <t>Piyush Goyal Office</t>
  </si>
  <si>
    <t>Susej</t>
  </si>
  <si>
    <t>GoodAdvicePublishing</t>
  </si>
  <si>
    <t>Medium</t>
  </si>
  <si>
    <t>CivicScience</t>
  </si>
  <si>
    <t>Ben Lawson</t>
  </si>
  <si>
    <t>The Last Of Us</t>
  </si>
  <si>
    <t>ಠ_ಠ</t>
  </si>
  <si>
    <t>Frank the Friendly Writing Butterfly 🦋🏳️‍🌈💜</t>
  </si>
  <si>
    <t>Stephanie Dargon Luce</t>
  </si>
  <si>
    <t>Herb ballengee</t>
  </si>
  <si>
    <t>Floyd Danley</t>
  </si>
  <si>
    <t>The Queen B</t>
  </si>
  <si>
    <t>flowers 💐</t>
  </si>
  <si>
    <t>Infamous Clark</t>
  </si>
  <si>
    <t>Marcos</t>
  </si>
  <si>
    <t>سارا</t>
  </si>
  <si>
    <t>Laura Faeth</t>
  </si>
  <si>
    <t>Taylor</t>
  </si>
  <si>
    <t>Kyle Clark</t>
  </si>
  <si>
    <t>Vishal</t>
  </si>
  <si>
    <t>jewel 💐</t>
  </si>
  <si>
    <t>Luis Galicia</t>
  </si>
  <si>
    <t>Positive Reforms 4 Private Health Insurance</t>
  </si>
  <si>
    <t>County Exec Marc Elrich</t>
  </si>
  <si>
    <t>Alvin Bragg</t>
  </si>
  <si>
    <t>Matt Antar</t>
  </si>
  <si>
    <t>Andi</t>
  </si>
  <si>
    <t>Dani ʕ•́ᴥ•̀ʔっ</t>
  </si>
  <si>
    <t>Sarah Schlott</t>
  </si>
  <si>
    <t>Elly Da Le Cruz #1 Fan</t>
  </si>
  <si>
    <t>beautybybrittney_xo</t>
  </si>
  <si>
    <t>Makeup Revolution</t>
  </si>
  <si>
    <t>Laura</t>
  </si>
  <si>
    <t>Lourdes ❌ Flowers</t>
  </si>
  <si>
    <t>Tiffany // THE ALBUM IS COMING</t>
  </si>
  <si>
    <t>Urban Outfitters</t>
  </si>
  <si>
    <t>Brenman.XYO</t>
  </si>
  <si>
    <t>EINOZ Art</t>
  </si>
  <si>
    <t>Nate_PanikFan</t>
  </si>
  <si>
    <t>NY STATE YOUTH SPORTS NETWORK</t>
  </si>
  <si>
    <t>Southwest Airlines</t>
  </si>
  <si>
    <t>JetBlue</t>
  </si>
  <si>
    <t>Delta</t>
  </si>
  <si>
    <t>Ralph's Famous Italian Ices</t>
  </si>
  <si>
    <t>BODYARMOR</t>
  </si>
  <si>
    <t>Battle Sports</t>
  </si>
  <si>
    <t>Explico Tweets de Miley</t>
  </si>
  <si>
    <t>Ken</t>
  </si>
  <si>
    <t>justanother_tweet</t>
  </si>
  <si>
    <t>MILLYE</t>
  </si>
  <si>
    <t>CAPAW #AANHPI2022</t>
  </si>
  <si>
    <t>Coca-Cola</t>
  </si>
  <si>
    <t>AARP</t>
  </si>
  <si>
    <t>AT&amp;T</t>
  </si>
  <si>
    <t>ADP</t>
  </si>
  <si>
    <t>Estée Lauder</t>
  </si>
  <si>
    <t>Deloitte</t>
  </si>
  <si>
    <t>Sourabh Chopra</t>
  </si>
  <si>
    <t>Sachin Bansal</t>
  </si>
  <si>
    <t>ThomasDBradley</t>
  </si>
  <si>
    <t>NBC DFW</t>
  </si>
  <si>
    <t>Richard Huntington</t>
  </si>
  <si>
    <t>NBCDFW Weather</t>
  </si>
  <si>
    <t>Benny The Jet Rodriguez</t>
  </si>
  <si>
    <t>Joyce Linda</t>
  </si>
  <si>
    <t>Douglas Laster</t>
  </si>
  <si>
    <t>Helen Yu</t>
  </si>
  <si>
    <t>Cutter Consortium, an Arthur D. Little community</t>
  </si>
  <si>
    <t>Aldo Ceccarelli</t>
  </si>
  <si>
    <t>Banker</t>
  </si>
  <si>
    <t>Indie 🐾🥀🐾</t>
  </si>
  <si>
    <t>Goole Piram</t>
  </si>
  <si>
    <t>Los Angeles Lakers</t>
  </si>
  <si>
    <t>Vanderbilt Men's Basketball</t>
  </si>
  <si>
    <t>UT Knoxville</t>
  </si>
  <si>
    <t>Nissan</t>
  </si>
  <si>
    <t>SEC Network</t>
  </si>
  <si>
    <t>Falon Kylons</t>
  </si>
  <si>
    <t>They Call Me Professor …</t>
  </si>
  <si>
    <t>Khal≡d🇺🇸</t>
  </si>
  <si>
    <t>Lolli 🍭</t>
  </si>
  <si>
    <t>Darrel Walls</t>
  </si>
  <si>
    <t>Amazon Music</t>
  </si>
  <si>
    <t>Shea Jordan Smith</t>
  </si>
  <si>
    <t>Katie</t>
  </si>
  <si>
    <t>alexis</t>
  </si>
  <si>
    <t>Fire Storm Fox</t>
  </si>
  <si>
    <t>Entertainment Earth</t>
  </si>
  <si>
    <t>MonkeyFlop</t>
  </si>
  <si>
    <t>🎮🕹️ RedStag92 🕹️🎮</t>
  </si>
  <si>
    <t>The Taternater</t>
  </si>
  <si>
    <t>Trenton Milliner</t>
  </si>
  <si>
    <t>qam yasharahla</t>
  </si>
  <si>
    <t>xhayton(Taylor’s Version)</t>
  </si>
  <si>
    <t>Ricardo Hernandez</t>
  </si>
  <si>
    <t>Mike Galyen</t>
  </si>
  <si>
    <t>Old El Paso</t>
  </si>
  <si>
    <t>General Mills</t>
  </si>
  <si>
    <t>seleena 🏳️‍🌈</t>
  </si>
  <si>
    <t>Murjani Tiffany</t>
  </si>
  <si>
    <t>Xx Leo Del Rey xX</t>
  </si>
  <si>
    <t>Shawn Cyrus</t>
  </si>
  <si>
    <t>Dot Jones 🔮</t>
  </si>
  <si>
    <t>Alan Rock</t>
  </si>
  <si>
    <t>Sandra Pro-Democracy🗽Pro-Choice</t>
  </si>
  <si>
    <t>😌❤️‍🔥</t>
  </si>
  <si>
    <t>Ellie Burlton</t>
  </si>
  <si>
    <t>sloany</t>
  </si>
  <si>
    <t>KENNADI 🍄</t>
  </si>
  <si>
    <t>whoa it's Michael Napkins</t>
  </si>
  <si>
    <t>Hunniebee</t>
  </si>
  <si>
    <t>Netuserms</t>
  </si>
  <si>
    <t>Servant of 🌎 🙏🧘💜😇</t>
  </si>
  <si>
    <t>Sailor Chibi Silk！❤︎</t>
  </si>
  <si>
    <t>Bongbong Marcos</t>
  </si>
  <si>
    <t>MrBeast</t>
  </si>
  <si>
    <t>India in Mexico</t>
  </si>
  <si>
    <t>Wendy’s</t>
  </si>
  <si>
    <t>FBI</t>
  </si>
  <si>
    <t>Twitter Support</t>
  </si>
  <si>
    <t>Sweden</t>
  </si>
  <si>
    <t>Ukraine / Україна</t>
  </si>
  <si>
    <t>McDonald's</t>
  </si>
  <si>
    <t>Nina Turner</t>
  </si>
  <si>
    <t>Blue Wave 🌊</t>
  </si>
  <si>
    <t>C.T.</t>
  </si>
  <si>
    <t>Blame It On Barbie🌪🦄</t>
  </si>
  <si>
    <t>prince | THIS TIME NEXT YEAR OUT NOW! ❥ ҉</t>
  </si>
  <si>
    <t>Sams_fishing_adventures</t>
  </si>
  <si>
    <t>Arby's</t>
  </si>
  <si>
    <t>sourav vishwas</t>
  </si>
  <si>
    <t>Sameer Aggarwal</t>
  </si>
  <si>
    <t>Raymond P Rangel 🔥🗡</t>
  </si>
  <si>
    <t>Fanny Adams' Ghost</t>
  </si>
  <si>
    <t>Pazagnya</t>
  </si>
  <si>
    <t>Danube Eindhoven</t>
  </si>
  <si>
    <t>President Biden</t>
  </si>
  <si>
    <t>Nordstrom</t>
  </si>
  <si>
    <t>Costco</t>
  </si>
  <si>
    <t>Bugattigroup.eth MINT SOLD OUT</t>
  </si>
  <si>
    <t>Leiane.eth  MY ONLY ACCOUNT</t>
  </si>
  <si>
    <t>Amity Bronwen</t>
  </si>
  <si>
    <t>Tim the Nutty History Instructor</t>
  </si>
  <si>
    <t>CenturyLink</t>
  </si>
  <si>
    <t>T-Mobile</t>
  </si>
  <si>
    <t>Janice V. Kapner</t>
  </si>
  <si>
    <t>alice cyberland</t>
  </si>
  <si>
    <t>GRIM GAMING TECH</t>
  </si>
  <si>
    <t>Procurement 2030</t>
  </si>
  <si>
    <t>Venice Wong</t>
  </si>
  <si>
    <t>Sozie</t>
  </si>
  <si>
    <t>Tatiana McLane</t>
  </si>
  <si>
    <t>Make Money Offered</t>
  </si>
  <si>
    <t>Gift of the Givers</t>
  </si>
  <si>
    <t>Cash App</t>
  </si>
  <si>
    <t>Giftcards.com</t>
  </si>
  <si>
    <t>Tiffany Williamson</t>
  </si>
  <si>
    <t>Hub</t>
  </si>
  <si>
    <t>Brandon Stokley</t>
  </si>
  <si>
    <t>KeystoneSaint 𓆏</t>
  </si>
  <si>
    <t>Bruce Allen</t>
  </si>
  <si>
    <t>✨Rdd91290✨ LV 45</t>
  </si>
  <si>
    <t>Jazwares</t>
  </si>
  <si>
    <t>eVTOL Insights</t>
  </si>
  <si>
    <t>Nick Jonas</t>
  </si>
  <si>
    <t>JoJo</t>
  </si>
  <si>
    <t>Rob’s Backstage Popcorn</t>
  </si>
  <si>
    <t>Kelly Clarkson</t>
  </si>
  <si>
    <t>Mohammed Saif Ali</t>
  </si>
  <si>
    <t>President of India</t>
  </si>
  <si>
    <t>Band Bajaate Raho (BBR)</t>
  </si>
  <si>
    <t>Rakesh Kumar Sood</t>
  </si>
  <si>
    <t>Bar Council of India</t>
  </si>
  <si>
    <t>PMO India</t>
  </si>
  <si>
    <t>Flipkart Support</t>
  </si>
  <si>
    <t>Abhishek Gupta</t>
  </si>
  <si>
    <t>India News</t>
  </si>
  <si>
    <t>World Health Organization (WHO)</t>
  </si>
  <si>
    <t>National Medical Commission</t>
  </si>
  <si>
    <t>AajTak</t>
  </si>
  <si>
    <t>NDTV</t>
  </si>
  <si>
    <t>CCI</t>
  </si>
  <si>
    <t>Flipkart Health+</t>
  </si>
  <si>
    <t>Prashant Jhaveri</t>
  </si>
  <si>
    <t>Abdul Whelan</t>
  </si>
  <si>
    <t>I hate you</t>
  </si>
  <si>
    <t>Liz</t>
  </si>
  <si>
    <t>Sunny</t>
  </si>
  <si>
    <t>Sonu Kumar</t>
  </si>
  <si>
    <t>Twitfbonlyallrichpeopletogetawaywithtos</t>
  </si>
  <si>
    <t>Basstard78</t>
  </si>
  <si>
    <t>The White House</t>
  </si>
  <si>
    <t>Pedro22</t>
  </si>
  <si>
    <t>Johnny Midnight ⚡️</t>
  </si>
  <si>
    <t>Kelly Kicinski MD</t>
  </si>
  <si>
    <t>U.S. Marshals</t>
  </si>
  <si>
    <t>Honestly</t>
  </si>
  <si>
    <t>Ye Htut Soe</t>
  </si>
  <si>
    <t>💙 Alex Angelo Fanpage 💙 Stuck Out Now!</t>
  </si>
  <si>
    <t>Joe Clark</t>
  </si>
  <si>
    <t>Bloomberg</t>
  </si>
  <si>
    <t>Insider Business</t>
  </si>
  <si>
    <t>Fast Company</t>
  </si>
  <si>
    <t>Entrepreneur</t>
  </si>
  <si>
    <t>Inc.</t>
  </si>
  <si>
    <t>Alibaba Group</t>
  </si>
  <si>
    <t>AliExpress</t>
  </si>
  <si>
    <t>imperfect replica</t>
  </si>
  <si>
    <t>Dawn Brand Funcie</t>
  </si>
  <si>
    <t>Girl Scouts of Central Indiana</t>
  </si>
  <si>
    <t>WTHI News10</t>
  </si>
  <si>
    <t>Jeff Thomas Black</t>
  </si>
  <si>
    <t>DoorDash</t>
  </si>
  <si>
    <t>ⓚⓘⓜ ⓐⓢⓗⓒ®ⓐⓕⓣ 🏁🏆</t>
  </si>
  <si>
    <t>haylz</t>
  </si>
  <si>
    <t>Whyt Manga Odunze</t>
  </si>
  <si>
    <t>Right Stuf Anime</t>
  </si>
  <si>
    <t>Jordi Wolff</t>
  </si>
  <si>
    <t>WHSmith</t>
  </si>
  <si>
    <t>Augustė Payne Horan</t>
  </si>
  <si>
    <t>Kage</t>
  </si>
  <si>
    <t>⋆*･ﾟ:⋆*･ﾟ:✧*⋆.*:･ﾟ✧.: ⋆*･ﾟ: .⋆</t>
  </si>
  <si>
    <t>Rick &amp; Bubba Show</t>
  </si>
  <si>
    <t>Academy Sports + Outdoors</t>
  </si>
  <si>
    <t>TotLinda</t>
  </si>
  <si>
    <t>Dicks Sporting Goods</t>
  </si>
  <si>
    <t>Cabela's</t>
  </si>
  <si>
    <t>Bass Pro Shops</t>
  </si>
  <si>
    <t>Moultrie Products</t>
  </si>
  <si>
    <t>PROSECUTE ALL GOV JAN 6 SUPPORTERS</t>
  </si>
  <si>
    <t>Kevin McCarthy</t>
  </si>
  <si>
    <t>Janice Brown</t>
  </si>
  <si>
    <t>John Piper</t>
  </si>
  <si>
    <t>🌌 Luma 🌌</t>
  </si>
  <si>
    <t>Fuuk</t>
  </si>
  <si>
    <t>Ring Of The Funnywoman</t>
  </si>
  <si>
    <t>ĒJ</t>
  </si>
  <si>
    <t>the chosen one☝🏾</t>
  </si>
  <si>
    <t>Your Best Life Biz</t>
  </si>
  <si>
    <t>Google</t>
  </si>
  <si>
    <t>Stripe</t>
  </si>
  <si>
    <t>Mark Cuban</t>
  </si>
  <si>
    <t>Paul Drecksler | Shopifreaks</t>
  </si>
  <si>
    <t>Raghunandan G</t>
  </si>
  <si>
    <t>Accel in India</t>
  </si>
  <si>
    <t>Subrata</t>
  </si>
  <si>
    <t>Infosys</t>
  </si>
  <si>
    <t>Nandan Nilekani</t>
  </si>
  <si>
    <t>Many Rivers 19</t>
  </si>
  <si>
    <t>๑Danonino Macareno๑</t>
  </si>
  <si>
    <t>Steve Fink</t>
  </si>
  <si>
    <t>JeyOdin</t>
  </si>
  <si>
    <t>Saturday AM</t>
  </si>
  <si>
    <t>(((( John U-N-M Gee )))) 💯 🇺🇸</t>
  </si>
  <si>
    <t>Confluent</t>
  </si>
  <si>
    <t>Brandon Fowler</t>
  </si>
  <si>
    <t>Rajat Gakhar</t>
  </si>
  <si>
    <t>Whodo</t>
  </si>
  <si>
    <t>Moms For Liberty Loudoun Family Friendly🇺🇸</t>
  </si>
  <si>
    <t>Virginia's 10th District Republican Committee</t>
  </si>
  <si>
    <t>Suburban Virginia Republican Coalition</t>
  </si>
  <si>
    <t>PACT - Parents Against Critical Theory</t>
  </si>
  <si>
    <t>Speaker Todd Gilbert</t>
  </si>
  <si>
    <t>Jenneccentric </t>
  </si>
  <si>
    <t>Laurel A Rockefeller</t>
  </si>
  <si>
    <t>Hina 希望 </t>
  </si>
  <si>
    <t>Richland High School</t>
  </si>
  <si>
    <t>Richland Cinemas</t>
  </si>
  <si>
    <t>Starbucks Coffee</t>
  </si>
  <si>
    <t>SHEETZ</t>
  </si>
  <si>
    <t>Primanti Bros. Johnstown</t>
  </si>
  <si>
    <t>814 Lanes &amp; Games</t>
  </si>
  <si>
    <t>Multifandom | Oral and Maxillofacial Surgery PGY3</t>
  </si>
  <si>
    <t>Ariel Investments</t>
  </si>
  <si>
    <t>DC〽️</t>
  </si>
  <si>
    <t>Nil Garza</t>
  </si>
  <si>
    <t>Drew Petersen: Antifa Fleet Admiral (humour)</t>
  </si>
  <si>
    <t>Allied Universal</t>
  </si>
  <si>
    <t>Judd Legum</t>
  </si>
  <si>
    <t>Wendy 💙🦋</t>
  </si>
  <si>
    <t>🖤❣️💀 Love Bandit 💀❣️🖤</t>
  </si>
  <si>
    <t>Jeffrey Blue</t>
  </si>
  <si>
    <t>Brooke Hasch</t>
  </si>
  <si>
    <t>SCHS Rockets</t>
  </si>
  <si>
    <t>Shelby Co Schools Ky</t>
  </si>
  <si>
    <t>2023 Baby Dad Of The Year Nominee</t>
  </si>
  <si>
    <t>𝚂𝙼𝙸𝙻𝙴𝚁🥀</t>
  </si>
  <si>
    <t>Jess♡</t>
  </si>
  <si>
    <t>Neustreet</t>
  </si>
  <si>
    <t>Shreyash Gupta</t>
  </si>
  <si>
    <t>Elina Maffeo</t>
  </si>
  <si>
    <t>DIANNE</t>
  </si>
  <si>
    <t>Fernando Landeros</t>
  </si>
  <si>
    <t>Juan M. Perez</t>
  </si>
  <si>
    <t>No Cow</t>
  </si>
  <si>
    <t>𝒴𝒶𝒽𝒶𝒾𝓇𝒶</t>
  </si>
  <si>
    <t>The Penny Hoarder</t>
  </si>
  <si>
    <t>Nancy Kirkbride</t>
  </si>
  <si>
    <t>A person</t>
  </si>
  <si>
    <t>billy</t>
  </si>
  <si>
    <t>1549948414191964161</t>
  </si>
  <si>
    <t>68864478</t>
  </si>
  <si>
    <t>18970145</t>
  </si>
  <si>
    <t>1400588838</t>
  </si>
  <si>
    <t>3420117072</t>
  </si>
  <si>
    <t>611724427</t>
  </si>
  <si>
    <t>793313140733726720</t>
  </si>
  <si>
    <t>1547233520372043777</t>
  </si>
  <si>
    <t>1602970226320105473</t>
  </si>
  <si>
    <t>2467379556</t>
  </si>
  <si>
    <t>25103967</t>
  </si>
  <si>
    <t>1091141903083397120</t>
  </si>
  <si>
    <t>1253981779901313025</t>
  </si>
  <si>
    <t>22258315</t>
  </si>
  <si>
    <t>18197399</t>
  </si>
  <si>
    <t>2587554037</t>
  </si>
  <si>
    <t>189744203</t>
  </si>
  <si>
    <t>88011228</t>
  </si>
  <si>
    <t>1535197357</t>
  </si>
  <si>
    <t>1245108164556722177</t>
  </si>
  <si>
    <t>750343626908135424</t>
  </si>
  <si>
    <t>3385558594</t>
  </si>
  <si>
    <t>868538540782735360</t>
  </si>
  <si>
    <t>1017816919980769280</t>
  </si>
  <si>
    <t>115991458</t>
  </si>
  <si>
    <t>3169916217</t>
  </si>
  <si>
    <t>739752670752346112</t>
  </si>
  <si>
    <t>99674560</t>
  </si>
  <si>
    <t>1249601030502756353</t>
  </si>
  <si>
    <t>4374719908</t>
  </si>
  <si>
    <t>736185001457287169</t>
  </si>
  <si>
    <t>2908107542</t>
  </si>
  <si>
    <t>117780256</t>
  </si>
  <si>
    <t>235684766</t>
  </si>
  <si>
    <t>1175377309676781568</t>
  </si>
  <si>
    <t>4706191229</t>
  </si>
  <si>
    <t>16476911</t>
  </si>
  <si>
    <t>203574953</t>
  </si>
  <si>
    <t>53684405</t>
  </si>
  <si>
    <t>19284888</t>
  </si>
  <si>
    <t>1025638818068590592</t>
  </si>
  <si>
    <t>3131243261</t>
  </si>
  <si>
    <t>184020744</t>
  </si>
  <si>
    <t>1202551645470638080</t>
  </si>
  <si>
    <t>130344472</t>
  </si>
  <si>
    <t>1409726425</t>
  </si>
  <si>
    <t>1403861754808049666</t>
  </si>
  <si>
    <t>1186144637012074497</t>
  </si>
  <si>
    <t>563020869</t>
  </si>
  <si>
    <t>55230288</t>
  </si>
  <si>
    <t>91478624</t>
  </si>
  <si>
    <t>1491414830112288768</t>
  </si>
  <si>
    <t>146540920</t>
  </si>
  <si>
    <t>2932191840</t>
  </si>
  <si>
    <t>867617849208037377</t>
  </si>
  <si>
    <t>1309116411416129545</t>
  </si>
  <si>
    <t>17172820</t>
  </si>
  <si>
    <t>17385685</t>
  </si>
  <si>
    <t>2712760040</t>
  </si>
  <si>
    <t>1570994810143621120</t>
  </si>
  <si>
    <t>1499467262981550080</t>
  </si>
  <si>
    <t>473464710</t>
  </si>
  <si>
    <t>84207213</t>
  </si>
  <si>
    <t>28164096</t>
  </si>
  <si>
    <t>865195013998772226</t>
  </si>
  <si>
    <t>1531313628875481098</t>
  </si>
  <si>
    <t>2755648668</t>
  </si>
  <si>
    <t>837976136</t>
  </si>
  <si>
    <t>1301426962737455104</t>
  </si>
  <si>
    <t>333604107</t>
  </si>
  <si>
    <t>1457443615542636545</t>
  </si>
  <si>
    <t>1520305657144287233</t>
  </si>
  <si>
    <t>1193291393311137793</t>
  </si>
  <si>
    <t>18163042</t>
  </si>
  <si>
    <t>2339670904</t>
  </si>
  <si>
    <t>1183036381</t>
  </si>
  <si>
    <t>2895146151</t>
  </si>
  <si>
    <t>1029463214088744961</t>
  </si>
  <si>
    <t>895526008828252160</t>
  </si>
  <si>
    <t>35125460</t>
  </si>
  <si>
    <t>1393315828838199297</t>
  </si>
  <si>
    <t>918061603</t>
  </si>
  <si>
    <t>1575552233739288576</t>
  </si>
  <si>
    <t>26182484</t>
  </si>
  <si>
    <t>356866129</t>
  </si>
  <si>
    <t>261416995</t>
  </si>
  <si>
    <t>14323788</t>
  </si>
  <si>
    <t>1294625087681966081</t>
  </si>
  <si>
    <t>503108386</t>
  </si>
  <si>
    <t>888146566405648386</t>
  </si>
  <si>
    <t>1031665988977258496</t>
  </si>
  <si>
    <t>112260076</t>
  </si>
  <si>
    <t>872158714454839296</t>
  </si>
  <si>
    <t>18734310</t>
  </si>
  <si>
    <t>1459758564</t>
  </si>
  <si>
    <t>1310766030654824448</t>
  </si>
  <si>
    <t>37930797</t>
  </si>
  <si>
    <t>2309947872</t>
  </si>
  <si>
    <t>944117101177872384</t>
  </si>
  <si>
    <t>15221598</t>
  </si>
  <si>
    <t>25857541</t>
  </si>
  <si>
    <t>2828973200</t>
  </si>
  <si>
    <t>28252556</t>
  </si>
  <si>
    <t>14710300</t>
  </si>
  <si>
    <t>2344244082</t>
  </si>
  <si>
    <t>1615802764189114368</t>
  </si>
  <si>
    <t>19549042</t>
  </si>
  <si>
    <t>1616264123544739840</t>
  </si>
  <si>
    <t>1564911650943053824</t>
  </si>
  <si>
    <t>1572586393112641539</t>
  </si>
  <si>
    <t>3416812332</t>
  </si>
  <si>
    <t>991322275</t>
  </si>
  <si>
    <t>932799466846990336</t>
  </si>
  <si>
    <t>940344632</t>
  </si>
  <si>
    <t>823927145475035136</t>
  </si>
  <si>
    <t>13058772</t>
  </si>
  <si>
    <t>1600461941167644672</t>
  </si>
  <si>
    <t>2468378420</t>
  </si>
  <si>
    <t>2551259005</t>
  </si>
  <si>
    <t>17440782</t>
  </si>
  <si>
    <t>2458195952</t>
  </si>
  <si>
    <t>19709040</t>
  </si>
  <si>
    <t>390442251</t>
  </si>
  <si>
    <t>1574398192879296513</t>
  </si>
  <si>
    <t>944595452</t>
  </si>
  <si>
    <t>3067396006</t>
  </si>
  <si>
    <t>1163834708104556544</t>
  </si>
  <si>
    <t>512296241</t>
  </si>
  <si>
    <t>594189300</t>
  </si>
  <si>
    <t>17248079</t>
  </si>
  <si>
    <t>89084561</t>
  </si>
  <si>
    <t>32166535</t>
  </si>
  <si>
    <t>1354493694515294210</t>
  </si>
  <si>
    <t>32603696</t>
  </si>
  <si>
    <t>1189252200331206657</t>
  </si>
  <si>
    <t>2350241137</t>
  </si>
  <si>
    <t>213765069</t>
  </si>
  <si>
    <t>1408409460339474438</t>
  </si>
  <si>
    <t>865224658680819718</t>
  </si>
  <si>
    <t>1155522630</t>
  </si>
  <si>
    <t>1138469361944014850</t>
  </si>
  <si>
    <t>16366375</t>
  </si>
  <si>
    <t>33612317</t>
  </si>
  <si>
    <t>33539627</t>
  </si>
  <si>
    <t>94190179</t>
  </si>
  <si>
    <t>35961145</t>
  </si>
  <si>
    <t>19336500</t>
  </si>
  <si>
    <t>897578104301826048</t>
  </si>
  <si>
    <t>28436760</t>
  </si>
  <si>
    <t>288863891</t>
  </si>
  <si>
    <t>27383742</t>
  </si>
  <si>
    <t>23333355</t>
  </si>
  <si>
    <t>135932373</t>
  </si>
  <si>
    <t>1337085834</t>
  </si>
  <si>
    <t>897945243529695233</t>
  </si>
  <si>
    <t>1184622009919135744</t>
  </si>
  <si>
    <t>1617015249600761856</t>
  </si>
  <si>
    <t>143528416</t>
  </si>
  <si>
    <t>4905238458</t>
  </si>
  <si>
    <t>1590416037559894022</t>
  </si>
  <si>
    <t>86890025</t>
  </si>
  <si>
    <t>305279650</t>
  </si>
  <si>
    <t>844576913481854976</t>
  </si>
  <si>
    <t>1458861518838190085</t>
  </si>
  <si>
    <t>2322028135</t>
  </si>
  <si>
    <t>717686078</t>
  </si>
  <si>
    <t>1458577540193427457</t>
  </si>
  <si>
    <t>2389632276</t>
  </si>
  <si>
    <t>2406839101</t>
  </si>
  <si>
    <t>1721842376</t>
  </si>
  <si>
    <t>1373809398</t>
  </si>
  <si>
    <t>289573362</t>
  </si>
  <si>
    <t>262143333</t>
  </si>
  <si>
    <t>599512903</t>
  </si>
  <si>
    <t>1509003032662626305</t>
  </si>
  <si>
    <t>3224714377</t>
  </si>
  <si>
    <t>128962768</t>
  </si>
  <si>
    <t>1193571418048532480</t>
  </si>
  <si>
    <t>1053759650129174528</t>
  </si>
  <si>
    <t>1548292949045153796</t>
  </si>
  <si>
    <t>15647676</t>
  </si>
  <si>
    <t>24894213</t>
  </si>
  <si>
    <t>1493961270915178502</t>
  </si>
  <si>
    <t>16913418</t>
  </si>
  <si>
    <t>380749300</t>
  </si>
  <si>
    <t>585441543</t>
  </si>
  <si>
    <t>117215243</t>
  </si>
  <si>
    <t>17475575</t>
  </si>
  <si>
    <t>20291907</t>
  </si>
  <si>
    <t>63737212</t>
  </si>
  <si>
    <t>1255630496278753280</t>
  </si>
  <si>
    <t>37529237</t>
  </si>
  <si>
    <t>1592300611252506626</t>
  </si>
  <si>
    <t>61907087</t>
  </si>
  <si>
    <t>15829003</t>
  </si>
  <si>
    <t>36665547</t>
  </si>
  <si>
    <t>2682381190</t>
  </si>
  <si>
    <t>754989921836859392</t>
  </si>
  <si>
    <t>1578372259164688384</t>
  </si>
  <si>
    <t>201864200</t>
  </si>
  <si>
    <t>3105690532</t>
  </si>
  <si>
    <t>1607786155704975361</t>
  </si>
  <si>
    <t>16206492</t>
  </si>
  <si>
    <t>315044264</t>
  </si>
  <si>
    <t>2742915226</t>
  </si>
  <si>
    <t>2520558428</t>
  </si>
  <si>
    <t>745379682762129409</t>
  </si>
  <si>
    <t>2392726458</t>
  </si>
  <si>
    <t>1492776345105010688</t>
  </si>
  <si>
    <t>1404225091714625537</t>
  </si>
  <si>
    <t>1582020971191537666</t>
  </si>
  <si>
    <t>1307078548637786112</t>
  </si>
  <si>
    <t>1586473538051096577</t>
  </si>
  <si>
    <t>601195695</t>
  </si>
  <si>
    <t>1326084096460730368</t>
  </si>
  <si>
    <t>268414482</t>
  </si>
  <si>
    <t>1442300204758147073</t>
  </si>
  <si>
    <t>3885146233</t>
  </si>
  <si>
    <t>1409612797353283586</t>
  </si>
  <si>
    <t>4838878467</t>
  </si>
  <si>
    <t>2930121516</t>
  </si>
  <si>
    <t>257534367</t>
  </si>
  <si>
    <t>296431399</t>
  </si>
  <si>
    <t>67632514</t>
  </si>
  <si>
    <t>1166148942494621697</t>
  </si>
  <si>
    <t>34084965</t>
  </si>
  <si>
    <t>841901016320737281</t>
  </si>
  <si>
    <t>833912184807817216</t>
  </si>
  <si>
    <t>8567932</t>
  </si>
  <si>
    <t>282212265</t>
  </si>
  <si>
    <t>747618607727779840</t>
  </si>
  <si>
    <t>676573</t>
  </si>
  <si>
    <t>966178621</t>
  </si>
  <si>
    <t>1610671970009350148</t>
  </si>
  <si>
    <t>611792468</t>
  </si>
  <si>
    <t>891251992575844352</t>
  </si>
  <si>
    <t>17136315</t>
  </si>
  <si>
    <t>23967651</t>
  </si>
  <si>
    <t>1113921063849607168</t>
  </si>
  <si>
    <t>4794049353</t>
  </si>
  <si>
    <t>1283330410236305408</t>
  </si>
  <si>
    <t>31181070</t>
  </si>
  <si>
    <t>1618052698707836928</t>
  </si>
  <si>
    <t>424284015</t>
  </si>
  <si>
    <t>1145901073292546050</t>
  </si>
  <si>
    <t>1473834467273936900</t>
  </si>
  <si>
    <t>44196397</t>
  </si>
  <si>
    <t>783214</t>
  </si>
  <si>
    <t>1353935438671581184</t>
  </si>
  <si>
    <t>89471731</t>
  </si>
  <si>
    <t>1301564852188704768</t>
  </si>
  <si>
    <t>2471123214</t>
  </si>
  <si>
    <t>1606285637547888645</t>
  </si>
  <si>
    <t>121220255</t>
  </si>
  <si>
    <t>80115699</t>
  </si>
  <si>
    <t>103786793</t>
  </si>
  <si>
    <t>16573941</t>
  </si>
  <si>
    <t>600604340</t>
  </si>
  <si>
    <t>1070798611137478656</t>
  </si>
  <si>
    <t>16957784</t>
  </si>
  <si>
    <t>6842112</t>
  </si>
  <si>
    <t>14385076</t>
  </si>
  <si>
    <t>36870005</t>
  </si>
  <si>
    <t>1583909742</t>
  </si>
  <si>
    <t>1448138076442677249</t>
  </si>
  <si>
    <t>1121568265749196800</t>
  </si>
  <si>
    <t>1556128373210230785</t>
  </si>
  <si>
    <t>2379761076</t>
  </si>
  <si>
    <t>1362113468904701953</t>
  </si>
  <si>
    <t>92693685</t>
  </si>
  <si>
    <t>97958611</t>
  </si>
  <si>
    <t>1109083536483594240</t>
  </si>
  <si>
    <t>723405109124702208</t>
  </si>
  <si>
    <t>358948476</t>
  </si>
  <si>
    <t>1580188163326320641</t>
  </si>
  <si>
    <t>1310818001462026241</t>
  </si>
  <si>
    <t>1453417165852401665</t>
  </si>
  <si>
    <t>89723199</t>
  </si>
  <si>
    <t>3159409495</t>
  </si>
  <si>
    <t>1605615802744446977</t>
  </si>
  <si>
    <t>2818264372</t>
  </si>
  <si>
    <t>1359964575551156230</t>
  </si>
  <si>
    <t>1492310426968752128</t>
  </si>
  <si>
    <t>1028083959190585345</t>
  </si>
  <si>
    <t>1330375023429906432</t>
  </si>
  <si>
    <t>512234285</t>
  </si>
  <si>
    <t>2625337434</t>
  </si>
  <si>
    <t>1329189889863266304</t>
  </si>
  <si>
    <t>952061260647903232</t>
  </si>
  <si>
    <t>21702940</t>
  </si>
  <si>
    <t>190705586</t>
  </si>
  <si>
    <t>3384311899</t>
  </si>
  <si>
    <t>4760994072</t>
  </si>
  <si>
    <t>1449749412939395072</t>
  </si>
  <si>
    <t>299336375</t>
  </si>
  <si>
    <t>45625001</t>
  </si>
  <si>
    <t>1215854470388748289</t>
  </si>
  <si>
    <t>2570112714</t>
  </si>
  <si>
    <t>1116004460914970624</t>
  </si>
  <si>
    <t>1293178015526948865</t>
  </si>
  <si>
    <t>1367586187</t>
  </si>
  <si>
    <t>243754256</t>
  </si>
  <si>
    <t>1388459385555456002</t>
  </si>
  <si>
    <t>1242516085397532672</t>
  </si>
  <si>
    <t>1308558077168414721</t>
  </si>
  <si>
    <t>1017133460127932416</t>
  </si>
  <si>
    <t>1336092289362513920</t>
  </si>
  <si>
    <t>955888376405782529</t>
  </si>
  <si>
    <t>1576573716972113921</t>
  </si>
  <si>
    <t>631469053</t>
  </si>
  <si>
    <t>92124497</t>
  </si>
  <si>
    <t>900805963346784256</t>
  </si>
  <si>
    <t>936156625995554816</t>
  </si>
  <si>
    <t>3382532872</t>
  </si>
  <si>
    <t>1420521049091891202</t>
  </si>
  <si>
    <t>1478291893330984963</t>
  </si>
  <si>
    <t>998027392663859200</t>
  </si>
  <si>
    <t>47658087</t>
  </si>
  <si>
    <t>2311464206</t>
  </si>
  <si>
    <t>4378145113</t>
  </si>
  <si>
    <t>47250793</t>
  </si>
  <si>
    <t>3081049186</t>
  </si>
  <si>
    <t>780833634194366464</t>
  </si>
  <si>
    <t>151570720</t>
  </si>
  <si>
    <t>140871379</t>
  </si>
  <si>
    <t>1539099399741231104</t>
  </si>
  <si>
    <t>1104863599720226816</t>
  </si>
  <si>
    <t>1009565373094604803</t>
  </si>
  <si>
    <t>3006079599</t>
  </si>
  <si>
    <t>932711566214139905</t>
  </si>
  <si>
    <t>1049102149840457728</t>
  </si>
  <si>
    <t>1414605590115008515</t>
  </si>
  <si>
    <t>1302762349183594496</t>
  </si>
  <si>
    <t>2951541496</t>
  </si>
  <si>
    <t>7744592</t>
  </si>
  <si>
    <t>50687788</t>
  </si>
  <si>
    <t>15091022</t>
  </si>
  <si>
    <t>1849665883</t>
  </si>
  <si>
    <t>1317837736397672448</t>
  </si>
  <si>
    <t>147981058</t>
  </si>
  <si>
    <t>3049240724</t>
  </si>
  <si>
    <t>1555665866544582656</t>
  </si>
  <si>
    <t>368586735</t>
  </si>
  <si>
    <t>18847632</t>
  </si>
  <si>
    <t>3023107278</t>
  </si>
  <si>
    <t>980900141967257602</t>
  </si>
  <si>
    <t>110775353</t>
  </si>
  <si>
    <t>133865373</t>
  </si>
  <si>
    <t>46177695</t>
  </si>
  <si>
    <t>28134825</t>
  </si>
  <si>
    <t>1489546598</t>
  </si>
  <si>
    <t>29453316</t>
  </si>
  <si>
    <t>222312118</t>
  </si>
  <si>
    <t>3524057239</t>
  </si>
  <si>
    <t>359053462</t>
  </si>
  <si>
    <t>852153954796523523</t>
  </si>
  <si>
    <t>110227898</t>
  </si>
  <si>
    <t>33666177</t>
  </si>
  <si>
    <t>149991076</t>
  </si>
  <si>
    <t>1053640920023908352</t>
  </si>
  <si>
    <t>1550086951</t>
  </si>
  <si>
    <t>1482881970233352193</t>
  </si>
  <si>
    <t>1471190560841031685</t>
  </si>
  <si>
    <t>1485080771480240131</t>
  </si>
  <si>
    <t>1450423866</t>
  </si>
  <si>
    <t>909495683916365824</t>
  </si>
  <si>
    <t>943732784475992064</t>
  </si>
  <si>
    <t>196371325</t>
  </si>
  <si>
    <t>216725800</t>
  </si>
  <si>
    <t>2437220370</t>
  </si>
  <si>
    <t>480645245</t>
  </si>
  <si>
    <t>214590014</t>
  </si>
  <si>
    <t>41485956</t>
  </si>
  <si>
    <t>1359591730648141824</t>
  </si>
  <si>
    <t>1505387110878089216</t>
  </si>
  <si>
    <t>1250614691392622592</t>
  </si>
  <si>
    <t>1046102863880114177</t>
  </si>
  <si>
    <t>403730198</t>
  </si>
  <si>
    <t>802247515324219393</t>
  </si>
  <si>
    <t>25139927</t>
  </si>
  <si>
    <t>1386535600967360512</t>
  </si>
  <si>
    <t>2732864715</t>
  </si>
  <si>
    <t>4828694644</t>
  </si>
  <si>
    <t>1007260879832797184</t>
  </si>
  <si>
    <t>2378102622</t>
  </si>
  <si>
    <t>547036903</t>
  </si>
  <si>
    <t>1073363912391843841</t>
  </si>
  <si>
    <t>1467888586754301957</t>
  </si>
  <si>
    <t>574691084</t>
  </si>
  <si>
    <t>1292026162793910272</t>
  </si>
  <si>
    <t>40778162</t>
  </si>
  <si>
    <t>1529289932648357888</t>
  </si>
  <si>
    <t>2396910715</t>
  </si>
  <si>
    <t>1458864685059645444</t>
  </si>
  <si>
    <t>17925320</t>
  </si>
  <si>
    <t>3448231098</t>
  </si>
  <si>
    <t>1402984334697455623</t>
  </si>
  <si>
    <t>1194230097504542720</t>
  </si>
  <si>
    <t>3192678182</t>
  </si>
  <si>
    <t>2218274526</t>
  </si>
  <si>
    <t>1500628816326180864</t>
  </si>
  <si>
    <t>100822668</t>
  </si>
  <si>
    <t>516771605</t>
  </si>
  <si>
    <t>1528776800</t>
  </si>
  <si>
    <t>420728856</t>
  </si>
  <si>
    <t>372334970</t>
  </si>
  <si>
    <t>59889953</t>
  </si>
  <si>
    <t>14964670</t>
  </si>
  <si>
    <t>66395780</t>
  </si>
  <si>
    <t>27025414</t>
  </si>
  <si>
    <t>21155533</t>
  </si>
  <si>
    <t>56828100</t>
  </si>
  <si>
    <t>1248867375065075712</t>
  </si>
  <si>
    <t>71863852</t>
  </si>
  <si>
    <t>1303680861607546882</t>
  </si>
  <si>
    <t>1415717837637787650</t>
  </si>
  <si>
    <t>102495854</t>
  </si>
  <si>
    <t>134887156</t>
  </si>
  <si>
    <t>16000856</t>
  </si>
  <si>
    <t>1540165861717069824</t>
  </si>
  <si>
    <t>483029712</t>
  </si>
  <si>
    <t>1030587644177252352</t>
  </si>
  <si>
    <t>1054861710849302528</t>
  </si>
  <si>
    <t>20402945</t>
  </si>
  <si>
    <t>772979035164975106</t>
  </si>
  <si>
    <t>546461238</t>
  </si>
  <si>
    <t>1360707304077852672</t>
  </si>
  <si>
    <t>1558820450</t>
  </si>
  <si>
    <t>95317712</t>
  </si>
  <si>
    <t>2575690472</t>
  </si>
  <si>
    <t>14377702</t>
  </si>
  <si>
    <t>1416915012552114183</t>
  </si>
  <si>
    <t>4773571872</t>
  </si>
  <si>
    <t>1353091937365061633</t>
  </si>
  <si>
    <t>701241147532836864</t>
  </si>
  <si>
    <t>415859364</t>
  </si>
  <si>
    <t>1178056174035296257</t>
  </si>
  <si>
    <t>964971054</t>
  </si>
  <si>
    <t>987232368</t>
  </si>
  <si>
    <t>563759273</t>
  </si>
  <si>
    <t>1437371123465818125</t>
  </si>
  <si>
    <t>1588503154991267840</t>
  </si>
  <si>
    <t>3187741549</t>
  </si>
  <si>
    <t>1519996327765159937</t>
  </si>
  <si>
    <t>17761923</t>
  </si>
  <si>
    <t>1930972668</t>
  </si>
  <si>
    <t>807276911848226817</t>
  </si>
  <si>
    <t>1898050458</t>
  </si>
  <si>
    <t>56562780</t>
  </si>
  <si>
    <t>1393198064064663554</t>
  </si>
  <si>
    <t>264597798</t>
  </si>
  <si>
    <t>1509998622171181057</t>
  </si>
  <si>
    <t>46116615</t>
  </si>
  <si>
    <t>58309829</t>
  </si>
  <si>
    <t>15383636</t>
  </si>
  <si>
    <t>17329538</t>
  </si>
  <si>
    <t>182234724</t>
  </si>
  <si>
    <t>63366408</t>
  </si>
  <si>
    <t>26387188</t>
  </si>
  <si>
    <t>66229463</t>
  </si>
  <si>
    <t>3472989323</t>
  </si>
  <si>
    <t>592878508</t>
  </si>
  <si>
    <t>312326987</t>
  </si>
  <si>
    <t>335072080</t>
  </si>
  <si>
    <t>17588130</t>
  </si>
  <si>
    <t>14268564</t>
  </si>
  <si>
    <t>42921216</t>
  </si>
  <si>
    <t>12413892</t>
  </si>
  <si>
    <t>16538186</t>
  </si>
  <si>
    <t>14361260</t>
  </si>
  <si>
    <t>15917758</t>
  </si>
  <si>
    <t>17387823</t>
  </si>
  <si>
    <t>14296548</t>
  </si>
  <si>
    <t>16640775</t>
  </si>
  <si>
    <t>56470183</t>
  </si>
  <si>
    <t>15823826</t>
  </si>
  <si>
    <t>13001192</t>
  </si>
  <si>
    <t>18736950</t>
  </si>
  <si>
    <t>9544952</t>
  </si>
  <si>
    <t>15694286</t>
  </si>
  <si>
    <t>16743886</t>
  </si>
  <si>
    <t>9627102</t>
  </si>
  <si>
    <t>16356226</t>
  </si>
  <si>
    <t>54329062</t>
  </si>
  <si>
    <t>20563513</t>
  </si>
  <si>
    <t>15019344</t>
  </si>
  <si>
    <t>27745484</t>
  </si>
  <si>
    <t>15791186</t>
  </si>
  <si>
    <t>14859642</t>
  </si>
  <si>
    <t>17862527</t>
  </si>
  <si>
    <t>18655359</t>
  </si>
  <si>
    <t>2559535657</t>
  </si>
  <si>
    <t>15391102</t>
  </si>
  <si>
    <t>23981681</t>
  </si>
  <si>
    <t>12738892</t>
  </si>
  <si>
    <t>18527874</t>
  </si>
  <si>
    <t>19032473</t>
  </si>
  <si>
    <t>17187236</t>
  </si>
  <si>
    <t>15756056</t>
  </si>
  <si>
    <t>28123142</t>
  </si>
  <si>
    <t>30002837</t>
  </si>
  <si>
    <t>390277164</t>
  </si>
  <si>
    <t>15308015</t>
  </si>
  <si>
    <t>19430999</t>
  </si>
  <si>
    <t>14269771</t>
  </si>
  <si>
    <t>46326721</t>
  </si>
  <si>
    <t>15304100</t>
  </si>
  <si>
    <t>24778454</t>
  </si>
  <si>
    <t>144894262</t>
  </si>
  <si>
    <t>15232635</t>
  </si>
  <si>
    <t>1565486356515758081</t>
  </si>
  <si>
    <t>36100798</t>
  </si>
  <si>
    <t>1556032144698392578</t>
  </si>
  <si>
    <t>15976691</t>
  </si>
  <si>
    <t>55353207</t>
  </si>
  <si>
    <t>1378000488</t>
  </si>
  <si>
    <t>1152412524966371329</t>
  </si>
  <si>
    <t>183488012</t>
  </si>
  <si>
    <t>1324865356742193153</t>
  </si>
  <si>
    <t>961688574822363136</t>
  </si>
  <si>
    <t>1510928323190398981</t>
  </si>
  <si>
    <t>816313821883146240</t>
  </si>
  <si>
    <t>517881256</t>
  </si>
  <si>
    <t>128068150</t>
  </si>
  <si>
    <t>1620865573608427521</t>
  </si>
  <si>
    <t>631314605</t>
  </si>
  <si>
    <t>1134838027</t>
  </si>
  <si>
    <t>300204824</t>
  </si>
  <si>
    <t>19301925</t>
  </si>
  <si>
    <t>743462205635571712</t>
  </si>
  <si>
    <t>512700138</t>
  </si>
  <si>
    <t>18942944</t>
  </si>
  <si>
    <t>28562317</t>
  </si>
  <si>
    <t>246481013</t>
  </si>
  <si>
    <t>10228272</t>
  </si>
  <si>
    <t>2743189827</t>
  </si>
  <si>
    <t>16843450</t>
  </si>
  <si>
    <t>1452495496921038849</t>
  </si>
  <si>
    <t>1058011098186682368</t>
  </si>
  <si>
    <t>1460437541174263813</t>
  </si>
  <si>
    <t>807203917239087104</t>
  </si>
  <si>
    <t>1329460418012704772</t>
  </si>
  <si>
    <t>892291986186752000</t>
  </si>
  <si>
    <t>395982514</t>
  </si>
  <si>
    <t>14185814</t>
  </si>
  <si>
    <t>224393966</t>
  </si>
  <si>
    <t>14558825</t>
  </si>
  <si>
    <t>4725646153</t>
  </si>
  <si>
    <t>144300887</t>
  </si>
  <si>
    <t>1578435074189508608</t>
  </si>
  <si>
    <t>1617503213246201857</t>
  </si>
  <si>
    <t>1367531</t>
  </si>
  <si>
    <t>1414104457386905600</t>
  </si>
  <si>
    <t>1452405099817545733</t>
  </si>
  <si>
    <t>1080049006531805185</t>
  </si>
  <si>
    <t>1360607317155344385</t>
  </si>
  <si>
    <t>1532014368187109379</t>
  </si>
  <si>
    <t>1289635181922414592</t>
  </si>
  <si>
    <t>949025615990153217</t>
  </si>
  <si>
    <t>449962936</t>
  </si>
  <si>
    <t>487108289</t>
  </si>
  <si>
    <t>327131924</t>
  </si>
  <si>
    <t>5509762</t>
  </si>
  <si>
    <t>2575845943</t>
  </si>
  <si>
    <t>998024450019766272</t>
  </si>
  <si>
    <t>1107787104170508288</t>
  </si>
  <si>
    <t>857274805615300608</t>
  </si>
  <si>
    <t>1245711540214431745</t>
  </si>
  <si>
    <t>451947131</t>
  </si>
  <si>
    <t>2851914713</t>
  </si>
  <si>
    <t>16707004</t>
  </si>
  <si>
    <t>21001013</t>
  </si>
  <si>
    <t>1576672303202680833</t>
  </si>
  <si>
    <t>176705076</t>
  </si>
  <si>
    <t>702242578754838530</t>
  </si>
  <si>
    <t>19781414</t>
  </si>
  <si>
    <t>1000053945937682433</t>
  </si>
  <si>
    <t>15828966</t>
  </si>
  <si>
    <t>318571154</t>
  </si>
  <si>
    <t>7130402</t>
  </si>
  <si>
    <t>84249568</t>
  </si>
  <si>
    <t>16431335</t>
  </si>
  <si>
    <t>6572712</t>
  </si>
  <si>
    <t>17310934</t>
  </si>
  <si>
    <t>81275526</t>
  </si>
  <si>
    <t>1607917349394325505</t>
  </si>
  <si>
    <t>1487852874826661894</t>
  </si>
  <si>
    <t>131472870</t>
  </si>
  <si>
    <t>1552140943171719168</t>
  </si>
  <si>
    <t>776554075013931008</t>
  </si>
  <si>
    <t>1490404955974295555</t>
  </si>
  <si>
    <t>133403692</t>
  </si>
  <si>
    <t>1599963632573480960</t>
  </si>
  <si>
    <t>617476052</t>
  </si>
  <si>
    <t>854826589632245760</t>
  </si>
  <si>
    <t>18279861</t>
  </si>
  <si>
    <t>1605664417839841280</t>
  </si>
  <si>
    <t>2729215249</t>
  </si>
  <si>
    <t>172135297</t>
  </si>
  <si>
    <t>1048294088</t>
  </si>
  <si>
    <t>1053303666545840129</t>
  </si>
  <si>
    <t>3191379004</t>
  </si>
  <si>
    <t>86380977</t>
  </si>
  <si>
    <t>443116220</t>
  </si>
  <si>
    <t>30810153</t>
  </si>
  <si>
    <t>2480693664</t>
  </si>
  <si>
    <t>76430569</t>
  </si>
  <si>
    <t>30395398</t>
  </si>
  <si>
    <t>1438409804</t>
  </si>
  <si>
    <t>1603828942556758043</t>
  </si>
  <si>
    <t>2954307905</t>
  </si>
  <si>
    <t>304216267</t>
  </si>
  <si>
    <t>2492071</t>
  </si>
  <si>
    <t>26025775</t>
  </si>
  <si>
    <t>724618734774685696</t>
  </si>
  <si>
    <t>17908262</t>
  </si>
  <si>
    <t>1578583062</t>
  </si>
  <si>
    <t>716050755241713664</t>
  </si>
  <si>
    <t>1566246998054952961</t>
  </si>
  <si>
    <t>23719780</t>
  </si>
  <si>
    <t>3113803973</t>
  </si>
  <si>
    <t>2263881368</t>
  </si>
  <si>
    <t>1320759406355763206</t>
  </si>
  <si>
    <t>25073877</t>
  </si>
  <si>
    <t>1377043537452146688</t>
  </si>
  <si>
    <t>587624628</t>
  </si>
  <si>
    <t>1459244049551052800</t>
  </si>
  <si>
    <t>1403136164358414337</t>
  </si>
  <si>
    <t>283818290</t>
  </si>
  <si>
    <t>863030088605945856</t>
  </si>
  <si>
    <t>3057917303</t>
  </si>
  <si>
    <t>943854641426595848</t>
  </si>
  <si>
    <t>408795345</t>
  </si>
  <si>
    <t>15668539</t>
  </si>
  <si>
    <t>468583731</t>
  </si>
  <si>
    <t>1054885725059989509</t>
  </si>
  <si>
    <t>118837238</t>
  </si>
  <si>
    <t>352425500</t>
  </si>
  <si>
    <t>1587490082994413572</t>
  </si>
  <si>
    <t>619741762</t>
  </si>
  <si>
    <t>467782200</t>
  </si>
  <si>
    <t>1178011</t>
  </si>
  <si>
    <t>44536340</t>
  </si>
  <si>
    <t>43262751</t>
  </si>
  <si>
    <t>1012261507</t>
  </si>
  <si>
    <t>770702904441212928</t>
  </si>
  <si>
    <t>1532905357785600000</t>
  </si>
  <si>
    <t>388696706</t>
  </si>
  <si>
    <t>1270461495764152320</t>
  </si>
  <si>
    <t>357211620</t>
  </si>
  <si>
    <t>3287772392</t>
  </si>
  <si>
    <t>1164997531509637122</t>
  </si>
  <si>
    <t>2646699187</t>
  </si>
  <si>
    <t>14163748</t>
  </si>
  <si>
    <t>10505322</t>
  </si>
  <si>
    <t>14163722</t>
  </si>
  <si>
    <t>24011405</t>
  </si>
  <si>
    <t>16721621</t>
  </si>
  <si>
    <t>2159623766</t>
  </si>
  <si>
    <t>1114525235095773185</t>
  </si>
  <si>
    <t>129838205</t>
  </si>
  <si>
    <t>1577403289079058443</t>
  </si>
  <si>
    <t>1541626085829378048</t>
  </si>
  <si>
    <t>15613133</t>
  </si>
  <si>
    <t>1523091473067032576</t>
  </si>
  <si>
    <t>2894219155</t>
  </si>
  <si>
    <t>935854494</t>
  </si>
  <si>
    <t>3312800437</t>
  </si>
  <si>
    <t>3418954934</t>
  </si>
  <si>
    <t>336247731</t>
  </si>
  <si>
    <t>63292856</t>
  </si>
  <si>
    <t>3710639954</t>
  </si>
  <si>
    <t>275094663</t>
  </si>
  <si>
    <t>142412360</t>
  </si>
  <si>
    <t>16043308</t>
  </si>
  <si>
    <t>454209866</t>
  </si>
  <si>
    <t>1613958427033874432</t>
  </si>
  <si>
    <t>126572459</t>
  </si>
  <si>
    <t>17298940</t>
  </si>
  <si>
    <t>1222412466090598400</t>
  </si>
  <si>
    <t>220984673</t>
  </si>
  <si>
    <t>1727127552</t>
  </si>
  <si>
    <t>4035047112</t>
  </si>
  <si>
    <t>1603885632677371911</t>
  </si>
  <si>
    <t>21829541</t>
  </si>
  <si>
    <t>3191596225</t>
  </si>
  <si>
    <t>1326258080355659776</t>
  </si>
  <si>
    <t>1316214623880835072</t>
  </si>
  <si>
    <t>1320088107946041344</t>
  </si>
  <si>
    <t>1002994418901815296</t>
  </si>
  <si>
    <t>997485984420958208</t>
  </si>
  <si>
    <t>742250514700632064</t>
  </si>
  <si>
    <t>1125516071241494528</t>
  </si>
  <si>
    <t>3009499028</t>
  </si>
  <si>
    <t>1265831149923962883</t>
  </si>
  <si>
    <t>1148255241185312768</t>
  </si>
  <si>
    <t>2562912917</t>
  </si>
  <si>
    <t>1180701632117428224</t>
  </si>
  <si>
    <t>508065943</t>
  </si>
  <si>
    <t>2858345257</t>
  </si>
  <si>
    <t>1700760433</t>
  </si>
  <si>
    <t>2830269648</t>
  </si>
  <si>
    <t>107146095</t>
  </si>
  <si>
    <t>1931717738</t>
  </si>
  <si>
    <t>19766494</t>
  </si>
  <si>
    <t>70979930</t>
  </si>
  <si>
    <t>1263910907928870915</t>
  </si>
  <si>
    <t>1512183981462151170</t>
  </si>
  <si>
    <t>1344356576786866176</t>
  </si>
  <si>
    <t>1028544889728819200</t>
  </si>
  <si>
    <t>3103091047</t>
  </si>
  <si>
    <t>1615872249411649537</t>
  </si>
  <si>
    <t>1323604556</t>
  </si>
  <si>
    <t>121207255</t>
  </si>
  <si>
    <t>1592663444502740992</t>
  </si>
  <si>
    <t>307020474</t>
  </si>
  <si>
    <t>348781581</t>
  </si>
  <si>
    <t>3771614412</t>
  </si>
  <si>
    <t>1220113135346094080</t>
  </si>
  <si>
    <t>66038872</t>
  </si>
  <si>
    <t>96879107</t>
  </si>
  <si>
    <t>2541977675</t>
  </si>
  <si>
    <t>1473398995548581904</t>
  </si>
  <si>
    <t>1237176276621852675</t>
  </si>
  <si>
    <t>3096915248</t>
  </si>
  <si>
    <t>14419321</t>
  </si>
  <si>
    <t>217621023</t>
  </si>
  <si>
    <t>950707436402257920</t>
  </si>
  <si>
    <t>4583026399</t>
  </si>
  <si>
    <t>109604578</t>
  </si>
  <si>
    <t>1864630292</t>
  </si>
  <si>
    <t>28596803</t>
  </si>
  <si>
    <t>43386992</t>
  </si>
  <si>
    <t>3289092259</t>
  </si>
  <si>
    <t>839498366128009216</t>
  </si>
  <si>
    <t>2817454538</t>
  </si>
  <si>
    <t>3102507318</t>
  </si>
  <si>
    <t>793204761361129472</t>
  </si>
  <si>
    <t>894922143619842048</t>
  </si>
  <si>
    <t>1550316340296171520</t>
  </si>
  <si>
    <t>789158678498713601</t>
  </si>
  <si>
    <t>1216460821</t>
  </si>
  <si>
    <t>357451246</t>
  </si>
  <si>
    <t>134909162</t>
  </si>
  <si>
    <t>369857771</t>
  </si>
  <si>
    <t>1274888003928948741</t>
  </si>
  <si>
    <t>1491257757051224070</t>
  </si>
  <si>
    <t>1212749865668624386</t>
  </si>
  <si>
    <t>15864446</t>
  </si>
  <si>
    <t>244748519</t>
  </si>
  <si>
    <t>43183310</t>
  </si>
  <si>
    <t>54885400</t>
  </si>
  <si>
    <t>21765161</t>
  </si>
  <si>
    <t>95438524</t>
  </si>
  <si>
    <t>14077490</t>
  </si>
  <si>
    <t>3022477576</t>
  </si>
  <si>
    <t>2359926157</t>
  </si>
  <si>
    <t>580034856</t>
  </si>
  <si>
    <t>1361352147099660291</t>
  </si>
  <si>
    <t>1285131757</t>
  </si>
  <si>
    <t>1442796679</t>
  </si>
  <si>
    <t>146511861</t>
  </si>
  <si>
    <t>1380332594097717249</t>
  </si>
  <si>
    <t>362734251</t>
  </si>
  <si>
    <t>787778744287191041</t>
  </si>
  <si>
    <t>1021737944200171525</t>
  </si>
  <si>
    <t>1482306291976519683</t>
  </si>
  <si>
    <t>18686148</t>
  </si>
  <si>
    <t>1491233742215651328</t>
  </si>
  <si>
    <t>64719796</t>
  </si>
  <si>
    <t>21914360</t>
  </si>
  <si>
    <t>1333826721473236993</t>
  </si>
  <si>
    <t>1484915294388817925</t>
  </si>
  <si>
    <t>877609009771155456</t>
  </si>
  <si>
    <t>113880992</t>
  </si>
  <si>
    <t>180551697</t>
  </si>
  <si>
    <t>1198486266</t>
  </si>
  <si>
    <t>268575250</t>
  </si>
  <si>
    <t>289105306</t>
  </si>
  <si>
    <t>230486712</t>
  </si>
  <si>
    <t>127063826</t>
  </si>
  <si>
    <t>14372259</t>
  </si>
  <si>
    <t>341018943</t>
  </si>
  <si>
    <t>1064921993085181955</t>
  </si>
  <si>
    <t>28785486</t>
  </si>
  <si>
    <t>15905103</t>
  </si>
  <si>
    <t>274673392</t>
  </si>
  <si>
    <t>2559946634</t>
  </si>
  <si>
    <t>217008738</t>
  </si>
  <si>
    <t>472872558</t>
  </si>
  <si>
    <t>179932936</t>
  </si>
  <si>
    <t>39547342</t>
  </si>
  <si>
    <t>245174002</t>
  </si>
  <si>
    <t>1958028342</t>
  </si>
  <si>
    <t>3229390196</t>
  </si>
  <si>
    <t>1394701974281539589</t>
  </si>
  <si>
    <t>1614041734228443138</t>
  </si>
  <si>
    <t>1075516455289004033</t>
  </si>
  <si>
    <t>1239757057441452038</t>
  </si>
  <si>
    <t>776882982</t>
  </si>
  <si>
    <t>2472606763</t>
  </si>
  <si>
    <t>746186591039688706</t>
  </si>
  <si>
    <t>1977952837</t>
  </si>
  <si>
    <t>1378924730753769474</t>
  </si>
  <si>
    <t>1604038495621767171</t>
  </si>
  <si>
    <t>20560450</t>
  </si>
  <si>
    <t>636367711</t>
  </si>
  <si>
    <t>1385693797984743426</t>
  </si>
  <si>
    <t>3197883606</t>
  </si>
  <si>
    <t>1006849558310092800</t>
  </si>
  <si>
    <t>140342841</t>
  </si>
  <si>
    <t>3221767619</t>
  </si>
  <si>
    <t>24232415</t>
  </si>
  <si>
    <t>513051520</t>
  </si>
  <si>
    <t>1637386086</t>
  </si>
  <si>
    <t>174699413</t>
  </si>
  <si>
    <t>1597826310264479746</t>
  </si>
  <si>
    <t>78482616</t>
  </si>
  <si>
    <t>1436314267687522305</t>
  </si>
  <si>
    <t>91150503</t>
  </si>
  <si>
    <t>53818486</t>
  </si>
  <si>
    <t>1324382285140025345</t>
  </si>
  <si>
    <t>719998146898706434</t>
  </si>
  <si>
    <t>77885866</t>
  </si>
  <si>
    <t>3311851651</t>
  </si>
  <si>
    <t>1143088477</t>
  </si>
  <si>
    <t>20572543</t>
  </si>
  <si>
    <t>894376429152063488</t>
  </si>
  <si>
    <t>834672494</t>
  </si>
  <si>
    <t>1318779505855598592</t>
  </si>
  <si>
    <t>1501033703039909888</t>
  </si>
  <si>
    <t>922928836836130816</t>
  </si>
  <si>
    <t>715184263310786560</t>
  </si>
  <si>
    <t>15853073</t>
  </si>
  <si>
    <t>22296680</t>
  </si>
  <si>
    <t>51212088</t>
  </si>
  <si>
    <t>247075714</t>
  </si>
  <si>
    <t>1082202837407416321</t>
  </si>
  <si>
    <t>1539284307759583233</t>
  </si>
  <si>
    <t>752171354</t>
  </si>
  <si>
    <t>3234421064</t>
  </si>
  <si>
    <t>3068783406</t>
  </si>
  <si>
    <t>1586608446459514882</t>
  </si>
  <si>
    <t>63787812</t>
  </si>
  <si>
    <t>421887811</t>
  </si>
  <si>
    <t>540364148</t>
  </si>
  <si>
    <t>1586459054</t>
  </si>
  <si>
    <t>1576683102</t>
  </si>
  <si>
    <t>298196823</t>
  </si>
  <si>
    <t>16026940</t>
  </si>
  <si>
    <t>1535717252</t>
  </si>
  <si>
    <t>1444545212165107717</t>
  </si>
  <si>
    <t>524364687</t>
  </si>
  <si>
    <t>19783509</t>
  </si>
  <si>
    <t>2916807823</t>
  </si>
  <si>
    <t>53218512</t>
  </si>
  <si>
    <t>161788632</t>
  </si>
  <si>
    <t>53201278</t>
  </si>
  <si>
    <t>712432254987976706</t>
  </si>
  <si>
    <t>48397862</t>
  </si>
  <si>
    <t>14791918</t>
  </si>
  <si>
    <t>950018976645636098</t>
  </si>
  <si>
    <t>479809449</t>
  </si>
  <si>
    <t>1296128387111682049</t>
  </si>
  <si>
    <t>1554053345953955841</t>
  </si>
  <si>
    <t>16745055</t>
  </si>
  <si>
    <t>115022492</t>
  </si>
  <si>
    <t>1004381974524395520</t>
  </si>
  <si>
    <t>715643846508421120</t>
  </si>
  <si>
    <t>196996720</t>
  </si>
  <si>
    <t>93460590</t>
  </si>
  <si>
    <t>252904785</t>
  </si>
  <si>
    <t>1590592934</t>
  </si>
  <si>
    <t>361379450</t>
  </si>
  <si>
    <t>115682368</t>
  </si>
  <si>
    <t>1054863627029598208</t>
  </si>
  <si>
    <t>3021771052</t>
  </si>
  <si>
    <t>935804371</t>
  </si>
  <si>
    <t>309176758</t>
  </si>
  <si>
    <t>822377592409833472</t>
  </si>
  <si>
    <t>2890326945</t>
  </si>
  <si>
    <t>2263221146</t>
  </si>
  <si>
    <t>1164896419699757056</t>
  </si>
  <si>
    <t>776925450589339648</t>
  </si>
  <si>
    <t>151724048</t>
  </si>
  <si>
    <t>1536647767</t>
  </si>
  <si>
    <t>758170570576068612</t>
  </si>
  <si>
    <t>1437141265</t>
  </si>
  <si>
    <t>75056974</t>
  </si>
  <si>
    <t>4037584213</t>
  </si>
  <si>
    <t>1311325045504040962</t>
  </si>
  <si>
    <t>1594728665627009031</t>
  </si>
  <si>
    <t>758169422536245248</t>
  </si>
  <si>
    <t>1578916523695013895</t>
  </si>
  <si>
    <t>1252514921125994496</t>
  </si>
  <si>
    <t>266416324</t>
  </si>
  <si>
    <t>110456022</t>
  </si>
  <si>
    <t>370433822</t>
  </si>
  <si>
    <t>260117600</t>
  </si>
  <si>
    <t>1971886148</t>
  </si>
  <si>
    <t>14053954</t>
  </si>
  <si>
    <t>29221432</t>
  </si>
  <si>
    <t>2686834802</t>
  </si>
  <si>
    <t>231033118</t>
  </si>
  <si>
    <t>3310394966</t>
  </si>
  <si>
    <t>706963995</t>
  </si>
  <si>
    <t>1324334436</t>
  </si>
  <si>
    <t>1542558816826302464</t>
  </si>
  <si>
    <t>2347292334</t>
  </si>
  <si>
    <t>571202103</t>
  </si>
  <si>
    <t>18339274</t>
  </si>
  <si>
    <t>159754749</t>
  </si>
  <si>
    <t>1331935307227230210</t>
  </si>
  <si>
    <t>132296007</t>
  </si>
  <si>
    <t>1620974896078589954</t>
  </si>
  <si>
    <t>1384988147407261700</t>
  </si>
  <si>
    <t>38672597</t>
  </si>
  <si>
    <t>221238241</t>
  </si>
  <si>
    <t>1268189411809861639</t>
  </si>
  <si>
    <t>99042536</t>
  </si>
  <si>
    <t>88496976</t>
  </si>
  <si>
    <t>15791452</t>
  </si>
  <si>
    <t>1586020116155846658</t>
  </si>
  <si>
    <t>15614141</t>
  </si>
  <si>
    <t>1286491840926175232</t>
  </si>
  <si>
    <t>38815335</t>
  </si>
  <si>
    <t>1551431775275978754</t>
  </si>
  <si>
    <t>783713485465214976</t>
  </si>
  <si>
    <t>1319001143649992707</t>
  </si>
  <si>
    <t>66368876</t>
  </si>
  <si>
    <t>492664920</t>
  </si>
  <si>
    <t>1366230693651472388</t>
  </si>
  <si>
    <t>1169711631250731009</t>
  </si>
  <si>
    <t>2186116027</t>
  </si>
  <si>
    <t>1241764035533713409</t>
  </si>
  <si>
    <t>1324739391819055104</t>
  </si>
  <si>
    <t>2871542861</t>
  </si>
  <si>
    <t>15515919</t>
  </si>
  <si>
    <t>1204210688333434882</t>
  </si>
  <si>
    <t>1583178614815789090</t>
  </si>
  <si>
    <t>1489384820274872325</t>
  </si>
  <si>
    <t>1613586828094836739</t>
  </si>
  <si>
    <t>7212562</t>
  </si>
  <si>
    <t>6449282</t>
  </si>
  <si>
    <t>5920532</t>
  </si>
  <si>
    <t>1528355600</t>
  </si>
  <si>
    <t>340596866</t>
  </si>
  <si>
    <t>567314680</t>
  </si>
  <si>
    <t>1452702849650106370</t>
  </si>
  <si>
    <t>1456713957545238530</t>
  </si>
  <si>
    <t>1481186215</t>
  </si>
  <si>
    <t>912512352</t>
  </si>
  <si>
    <t>26787673</t>
  </si>
  <si>
    <t>80628196</t>
  </si>
  <si>
    <t>14620190</t>
  </si>
  <si>
    <t>19992977</t>
  </si>
  <si>
    <t>290081566</t>
  </si>
  <si>
    <t>8457092</t>
  </si>
  <si>
    <t>14162012</t>
  </si>
  <si>
    <t>15933690</t>
  </si>
  <si>
    <t>2342381</t>
  </si>
  <si>
    <t>236336591</t>
  </si>
  <si>
    <t>1377631045</t>
  </si>
  <si>
    <t>1617515347732566016</t>
  </si>
  <si>
    <t>839338759330152453</t>
  </si>
  <si>
    <t>17513500</t>
  </si>
  <si>
    <t>419951447</t>
  </si>
  <si>
    <t>602047624</t>
  </si>
  <si>
    <t>1735550358</t>
  </si>
  <si>
    <t>1593688137775079428</t>
  </si>
  <si>
    <t>20346956</t>
  </si>
  <si>
    <t>22025083</t>
  </si>
  <si>
    <t>19773627</t>
  </si>
  <si>
    <t>258730549</t>
  </si>
  <si>
    <t>42258864</t>
  </si>
  <si>
    <t>482090980</t>
  </si>
  <si>
    <t>971046392872521730</t>
  </si>
  <si>
    <t>63316602</t>
  </si>
  <si>
    <t>14740219</t>
  </si>
  <si>
    <t>527963192</t>
  </si>
  <si>
    <t>78716743</t>
  </si>
  <si>
    <t>622503616</t>
  </si>
  <si>
    <t>91574295</t>
  </si>
  <si>
    <t>9113072</t>
  </si>
  <si>
    <t>732024648733499392</t>
  </si>
  <si>
    <t>1366243443295543298</t>
  </si>
  <si>
    <t>1488288218625753089</t>
  </si>
  <si>
    <t>1013634457893564416</t>
  </si>
  <si>
    <t>423601970</t>
  </si>
  <si>
    <t>1607598971505049602</t>
  </si>
  <si>
    <t>1261722422</t>
  </si>
  <si>
    <t>264429757</t>
  </si>
  <si>
    <t>2161956229</t>
  </si>
  <si>
    <t>797306237943771136</t>
  </si>
  <si>
    <t>34171538</t>
  </si>
  <si>
    <t>2632325633</t>
  </si>
  <si>
    <t>488979103</t>
  </si>
  <si>
    <t>1583969181363478528</t>
  </si>
  <si>
    <t>176914401</t>
  </si>
  <si>
    <t>263653420</t>
  </si>
  <si>
    <t>34642297</t>
  </si>
  <si>
    <t>40204534</t>
  </si>
  <si>
    <t>2455740283</t>
  </si>
  <si>
    <t>3128208109</t>
  </si>
  <si>
    <t>59553554</t>
  </si>
  <si>
    <t>17629860</t>
  </si>
  <si>
    <t>17874544</t>
  </si>
  <si>
    <t>20927633</t>
  </si>
  <si>
    <t>732521058507620356</t>
  </si>
  <si>
    <t>71026122</t>
  </si>
  <si>
    <t>1567196340144455680</t>
  </si>
  <si>
    <t>912814730</t>
  </si>
  <si>
    <t>1598156243402637312</t>
  </si>
  <si>
    <t>1565046449439756290</t>
  </si>
  <si>
    <t>1162085272781316097</t>
  </si>
  <si>
    <t>155544257</t>
  </si>
  <si>
    <t>46161683</t>
  </si>
  <si>
    <t>1569303266995089408</t>
  </si>
  <si>
    <t>777653689</t>
  </si>
  <si>
    <t>714926235</t>
  </si>
  <si>
    <t>1586820008956645377</t>
  </si>
  <si>
    <t>1279863694365622272</t>
  </si>
  <si>
    <t>2324446151</t>
  </si>
  <si>
    <t>3100293970</t>
  </si>
  <si>
    <t>15162193</t>
  </si>
  <si>
    <t>1056152593</t>
  </si>
  <si>
    <t>1524459506142527495</t>
  </si>
  <si>
    <t>1512188333509824516</t>
  </si>
  <si>
    <t>3081119030</t>
  </si>
  <si>
    <t>44182242</t>
  </si>
  <si>
    <t>17338082</t>
  </si>
  <si>
    <t>28693265</t>
  </si>
  <si>
    <t>1512122178015309830</t>
  </si>
  <si>
    <t>924146540687577088</t>
  </si>
  <si>
    <t>733422487862579200</t>
  </si>
  <si>
    <t>947205125772402689</t>
  </si>
  <si>
    <t>1614281412903047171</t>
  </si>
  <si>
    <t>148683630</t>
  </si>
  <si>
    <t>1445650784</t>
  </si>
  <si>
    <t>45999747</t>
  </si>
  <si>
    <t>1359590290466693122</t>
  </si>
  <si>
    <t>1023089647335796736</t>
  </si>
  <si>
    <t>766269156</t>
  </si>
  <si>
    <t>47166182</t>
  </si>
  <si>
    <t>2976811224</t>
  </si>
  <si>
    <t>1245050402946650117</t>
  </si>
  <si>
    <t>56783491</t>
  </si>
  <si>
    <t>1209356272551772160</t>
  </si>
  <si>
    <t>1428159990049640448</t>
  </si>
  <si>
    <t>23690344</t>
  </si>
  <si>
    <t>885487044243238912</t>
  </si>
  <si>
    <t>956370899753566209</t>
  </si>
  <si>
    <t>1964875220</t>
  </si>
  <si>
    <t>914467641783226373</t>
  </si>
  <si>
    <t>471741741</t>
  </si>
  <si>
    <t>1607285813838221313</t>
  </si>
  <si>
    <t>220096873</t>
  </si>
  <si>
    <t>5544032</t>
  </si>
  <si>
    <t>14499829</t>
  </si>
  <si>
    <t>1315714001268080640</t>
  </si>
  <si>
    <t>42606652</t>
  </si>
  <si>
    <t>37034483</t>
  </si>
  <si>
    <t>3168915814</t>
  </si>
  <si>
    <t>1966184364</t>
  </si>
  <si>
    <t>1457907753066930186</t>
  </si>
  <si>
    <t>1509075627021905924</t>
  </si>
  <si>
    <t>1372196963001716737</t>
  </si>
  <si>
    <t>1392682758799978498</t>
  </si>
  <si>
    <t>1346288127946739716</t>
  </si>
  <si>
    <t>1392120793027522566</t>
  </si>
  <si>
    <t>1604118545285238786</t>
  </si>
  <si>
    <t>1597698623550234624</t>
  </si>
  <si>
    <t>1228541000748015617</t>
  </si>
  <si>
    <t>1496700207127760898</t>
  </si>
  <si>
    <t>1300493775509295104</t>
  </si>
  <si>
    <t>857456154976280578</t>
  </si>
  <si>
    <t>34713362</t>
  </si>
  <si>
    <t>20562637</t>
  </si>
  <si>
    <t>2735591</t>
  </si>
  <si>
    <t>19407053</t>
  </si>
  <si>
    <t>16896485</t>
  </si>
  <si>
    <t>2694564780</t>
  </si>
  <si>
    <t>745918133148524544</t>
  </si>
  <si>
    <t>4700469321</t>
  </si>
  <si>
    <t>40283751</t>
  </si>
  <si>
    <t>78621564</t>
  </si>
  <si>
    <t>16932240</t>
  </si>
  <si>
    <t>1531669496</t>
  </si>
  <si>
    <t>1141446471792955392</t>
  </si>
  <si>
    <t>14572574</t>
  </si>
  <si>
    <t>3304211182</t>
  </si>
  <si>
    <t>25273394</t>
  </si>
  <si>
    <t>1365382218680532993</t>
  </si>
  <si>
    <t>158772288</t>
  </si>
  <si>
    <t>1480758198181183490</t>
  </si>
  <si>
    <t>19352525</t>
  </si>
  <si>
    <t>95520415</t>
  </si>
  <si>
    <t>1549527665195253760</t>
  </si>
  <si>
    <t>28139118</t>
  </si>
  <si>
    <t>22553169</t>
  </si>
  <si>
    <t>22695018</t>
  </si>
  <si>
    <t>14517981</t>
  </si>
  <si>
    <t>14588072</t>
  </si>
  <si>
    <t>1077384091</t>
  </si>
  <si>
    <t>938484688997433344</t>
  </si>
  <si>
    <t>1265530390472728576</t>
  </si>
  <si>
    <t>420347827</t>
  </si>
  <si>
    <t>398234228</t>
  </si>
  <si>
    <t>1258656944157491200</t>
  </si>
  <si>
    <t>20536157</t>
  </si>
  <si>
    <t>102812444</t>
  </si>
  <si>
    <t>16228398</t>
  </si>
  <si>
    <t>148675709</t>
  </si>
  <si>
    <t>2217277746</t>
  </si>
  <si>
    <t>46276833</t>
  </si>
  <si>
    <t>14462907</t>
  </si>
  <si>
    <t>1867843520</t>
  </si>
  <si>
    <t>1334237348679192576</t>
  </si>
  <si>
    <t>1977486132</t>
  </si>
  <si>
    <t>34477627</t>
  </si>
  <si>
    <t>763470035901964288</t>
  </si>
  <si>
    <t>3247468358</t>
  </si>
  <si>
    <t>1528971385783078912</t>
  </si>
  <si>
    <t>1468785905381134342</t>
  </si>
  <si>
    <t>1507767689124749319</t>
  </si>
  <si>
    <t>983294602953265152</t>
  </si>
  <si>
    <t>37976637</t>
  </si>
  <si>
    <t>1482408127588880391</t>
  </si>
  <si>
    <t>1352372561443758082</t>
  </si>
  <si>
    <t>44413866</t>
  </si>
  <si>
    <t>735152660979060736</t>
  </si>
  <si>
    <t>26994938</t>
  </si>
  <si>
    <t>76390781</t>
  </si>
  <si>
    <t>30973</t>
  </si>
  <si>
    <t>14813584</t>
  </si>
  <si>
    <t>1199417317056294914</t>
  </si>
  <si>
    <t>1386804550590414849</t>
  </si>
  <si>
    <t>156702284</t>
  </si>
  <si>
    <t>115478138</t>
  </si>
  <si>
    <t>1584204814644400129</t>
  </si>
  <si>
    <t>1420915076211650565</t>
  </si>
  <si>
    <t>752917870598848512</t>
  </si>
  <si>
    <t>15464697</t>
  </si>
  <si>
    <t>1454769719186272261</t>
  </si>
  <si>
    <t>54718822</t>
  </si>
  <si>
    <t>2203346064</t>
  </si>
  <si>
    <t>3389654692</t>
  </si>
  <si>
    <t>987087277</t>
  </si>
  <si>
    <t>91955944</t>
  </si>
  <si>
    <t>118108066</t>
  </si>
  <si>
    <t>1615416582993285128</t>
  </si>
  <si>
    <t>897089196</t>
  </si>
  <si>
    <t>1576325577555968001</t>
  </si>
  <si>
    <t>30166471</t>
  </si>
  <si>
    <t>220198517</t>
  </si>
  <si>
    <t>16599074</t>
  </si>
  <si>
    <t>891065327060230144</t>
  </si>
  <si>
    <t>3279075378</t>
  </si>
  <si>
    <t>1587398179573665792</t>
  </si>
  <si>
    <t>27739166</t>
  </si>
  <si>
    <t>1487261847401209858</t>
  </si>
  <si>
    <t>sorry for making you listen to my playlists do you still love me</t>
  </si>
  <si>
    <t>If you Walmart, you know you'll leave with a full cart &amp; wallet. 😉 #IYWYK
Customer support questions? @WalmartHelp</t>
  </si>
  <si>
    <t>GOD's CHILD. Thoroughbred. A free spirited scientist in pursuit of my dreams &amp; goals. GOD Made. DOCTOR ME #Author #ChiefDesignHer #Owner Idc about your feelings</t>
  </si>
  <si>
    <t>VIZIO elevates your entertainment with smart TVs, award-winning sound bars, and other intuitively designed products at great prices. For Support: @VIZIOSupport</t>
  </si>
  <si>
    <t>Apple Nerd  | he/him | 23</t>
  </si>
  <si>
    <t>rebel against the status quo</t>
  </si>
  <si>
    <t>ig: rockytrejo// @ghostlifestyle takeover// nasm cpt online fitness coach</t>
  </si>
  <si>
    <t>|Lawyer|
🖖🏻dif-tor heh smusma🖖🏻</t>
  </si>
  <si>
    <t>CEO, @Flipkart Group
Transforming e-commerce in India</t>
  </si>
  <si>
    <t>If online shopping was like eating a toast, we'd be butter 'cause we make it smooth 🤭 For customer support connect with @flipkartsupport</t>
  </si>
  <si>
    <t>Welcome to the official Flipkart support page. We're here to provide 24*7 Twitter support for all your Flipkart related queries. Ask away!</t>
  </si>
  <si>
    <t>Producer. Creator of @feltfellas. Mint yours now at https://t.co/U7bxN2BEyZ wob. tdn. tweak. todl. dfc. hj. bvg. goop. mems. gevols. loser. basemint gang.</t>
  </si>
  <si>
    <t>News, innovation and sparks of inspiration from Walmart and its family of brands.</t>
  </si>
  <si>
    <t>Books, Snorkeling, Education, Environment, Harry Potter, Dominion, Family, Potential, Immigration, Mentoring, Hawaii</t>
  </si>
  <si>
    <t>Boeing is dedicated to advancing aerospace technology by investing in our people’s careers and encouraging innovation at every turn.</t>
  </si>
  <si>
    <t>Delivering smiles one box at a time 📦🧡. Use @AmazonHelp for customer support and @AmazonNews for the latest.</t>
  </si>
  <si>
    <t>Our greatest resource is our people. Their ingenuity and creativity have met the complex challenges of energy’s past. Together, we’ll take on the future.</t>
  </si>
  <si>
    <t>“I’m a man of a million talents &amp; the consolation prizes to prove it!” Follow me and I’ll be your BEST fair weather friend!</t>
  </si>
  <si>
    <t>𝗣𝗼𝗹𝗶𝘁𝗶𝗾𝘂𝗲 𝗥𝗲𝗽𝘂𝗯𝗹𝗶𝗰 • Top Conservatives on Twitter Vet #TCOT
Follow &amp; Click 🔔 Notify for Updates • Lover of #Satire, #Parody, &amp; 🧵s</t>
  </si>
  <si>
    <t>{ Commission Artist :: SFW &amp; NSFW Commissions }
Friendly neighborhood Mama-senpai &amp; crazy cat lady... that draws lewds and shows feet! Retweets art stuffs too!</t>
  </si>
  <si>
    <t>Voice Actor. Alear (#FEEngage), Gyutaro (#DemonSlayer), Sir Nighteye (#MyHeroAcademia), Finral (#BlackClover), etc. Rep:@deanpanarovo, Cons:@PTAppearances</t>
  </si>
  <si>
    <t>↑↑↓↓←→←→B A START</t>
  </si>
  <si>
    <t>game designer. 🎮 currently: ux on silent hill.  prev: minecraft/halo infinite/TFR. miniaturist. creates art + words about art. lives deliciously. she/her</t>
  </si>
  <si>
    <t>Distrusting of Most Birds, But Respects the Crow. Questionable Taste Maker #BlackLivesMatter</t>
  </si>
  <si>
    <t>She/Her
Writer, editor 
Science to science fiction
BA MS &amp; MEd
She's Not there She's on on https://t.co/lSVjC9hj3s
Follow me on Post!
https://t.co/0Tn0jXqjzm</t>
  </si>
  <si>
    <t>|| Father || husband || writer || Buddhist || nerd ||</t>
  </si>
  <si>
    <t>Discover better-for-you products. Join the #TryNatural movement https://t.co/SNVubYl9ju</t>
  </si>
  <si>
    <t>Swim Against the Tide. Eat Seaweed.</t>
  </si>
  <si>
    <t>DroneXL covers drone news, reviews and rumors.</t>
  </si>
  <si>
    <t>Harnessing the power of autonomous
drone flight to make people’s lives better.</t>
  </si>
  <si>
    <t>Evrybady</t>
  </si>
  <si>
    <t>Tweets and news on #Procurement #SupplyChain #Sourcing</t>
  </si>
  <si>
    <t>I help companies unlock data value and innovate in the digital age
#DataScience #DigitalTransformation  #Strategy #FinTech #CX #Management #leadership #AI #ML</t>
  </si>
  <si>
    <t>A seeker of knowledge, truth and justice. 
Lover of tech, startups, futurism, social trends, politics and animals.  Proud Resister!</t>
  </si>
  <si>
    <t>Top 10 #CES2023 French influencer 🇫🇷 Vice-Présidente @fondationface44 #numerique #RSE #AI #metaverse #CES2023 #Vivatech #Bretagne Personal account</t>
  </si>
  <si>
    <t>Create value through #growth #CFO #finance #Fintech #SaaS #payment #banking #CLV #cashflow #funding #stocks @INSEAD @HECParis</t>
  </si>
  <si>
    <t>CEO Prospitalia Group. Passionate about life &amp; coffee. PhD &amp; MBA in Economics. Social Media enthusiast and curious to continuously learn &amp; grow. Carpe Diem</t>
  </si>
  <si>
    <t>Digital Storyteller l Reimagining #brand #communication l #Technology Enthusiast l #Metaverse #AR #VR #XR #SDGs #HealthTech #IoT #Sustainability #AI #ML</t>
  </si>
  <si>
    <t>Head of Digital &amp; Socialmedia, CDO, Influencer, Growth-Hacker, #VivaTech #AI #MachineLearning #Robotics #fintech #Cloud #5G #CyberSecurity #CES2023</t>
  </si>
  <si>
    <t>Purpose is the new profit 🎯🔝2🏆#Influencer on #Sustainability #fintech Co-Founder GoImpact @jpmorgan @bnpparibas alum &amp; best role of all: Mom (views my own)</t>
  </si>
  <si>
    <t>Founder @UnconventionVc | 📚 Author — Beyond Good 🛒 https://t.co/BFQrcH2e48 | #OneVision Podcast | Advisor | Speaker | #Fintech | #AI | Longevity | #BeyondGood</t>
  </si>
  <si>
    <t>Author, Video host, Global Fintech &amp; Tech Influencer
No.1 woman Finance #RefinitivSocial100 
Top #Onalytica Fintech
Top 50 #Engati Digital Futurists</t>
  </si>
  <si>
    <t>Thought Leader Speaker #Fintech #AI #Crypto #Bigdata #Data |#VC #Metaverse #Web3 #PrivateEquity | @invyo_ |Ex @CreditSuisse | @MITFinTech</t>
  </si>
  <si>
    <t>Founder &amp; Managing Partner @BetaDigitalLtd | Director #Digital #Leadership @IMI_Ireland | Co-founder @DTLabUCC | #DigitalTransformation #Metaverse #FinTech</t>
  </si>
  <si>
    <t>Graduate Business and Executive Education Faculty, Villanova University (USA)        ◈ Cutter Consortium Fellow ◈ Forbes Contributor</t>
  </si>
  <si>
    <t>Tech Influencer. Minimalist. What you do in this life matters. 
#SDGs #AI #TechForGood #Innovation #CyberSecurity #FutureOfWork 
NO Direct Messages, Pls 🇳🇴</t>
  </si>
  <si>
    <t>✨ To Live Will Be An Awfully Big Adventure ✨</t>
  </si>
  <si>
    <t>Learning to love life, one day at a time Ops Lead @Colosseum_so Good vibes maxi 🎶 | Web3 | Gaming | Vibes | @MonkeDAO @ARCThecommunity</t>
  </si>
  <si>
    <t>Building @LPFinance_</t>
  </si>
  <si>
    <t>Key Opinion Leader #KOL, author, consultant &amp; speaker on #AI, #5G, #digital #digitaltransformation, #ehealth, #gamification #sustainability RT # endorsement</t>
  </si>
  <si>
    <t>HIMSSFUTURE50-INNOVATION LEADER  https://t.co/qvxobl1Ksi I Doctor+Entrepreneur I #Healthtech I #digitalhealth I #AI I #Innovation I #healthcare I #Metaverse #Blockchain</t>
  </si>
  <si>
    <t>Innovating #tech #education #business CEO CTO Advisor Prof #AI #Cloud #IoT #5G #TechForGood #FinTech #SDGs #STEM #STEAM #Sustainability</t>
  </si>
  <si>
    <t>Advisor, mentor, former entrepreneur and angel investor. Together with talented teams, I build digital businesses worldwide. Sustainability advocate.</t>
  </si>
  <si>
    <t>World Citizen, Healthcare Professional #HealthTech
/Enfermera, planteo cambios en el SPS con #liderazgogestionprofesional+ #dinamicalateral,
#SubeArte #Humanism</t>
  </si>
  <si>
    <t>Top #Influencer #Tech #AI #ML #VR #AR #Blockchain #Neuro #Energy #Metaverse #Web3 #FashionTech #SDGs #renewables #DX, #5G #cyber advocate. Tweets are my own.</t>
  </si>
  <si>
    <t>Husband, Dad of 2, Business Operations Manager in fast-paced, #Technology driven industries.
#AI #Robotics #FutureOfWork #Leadership #Mobility #HealthTech #SDGs</t>
  </si>
  <si>
    <t>Top 1️⃣st Global #Tech Thought #Leader #AI #Metaverse #innovation #SmartCities @getengati 📌 https://t.co/zsd5tx3QmJ📌 |Founder &amp; CEO of KM Tech|#CES2023 #MWC2023</t>
  </si>
  <si>
    <t>Founder / Builder #VegaLMS 
#AI #MachineLearning #Marketing  
Marketer / Coder / Lecturer
Building the Internet of Knowledge ❤ 
@taylorswift13, #Robots, Cycling</t>
  </si>
  <si>
    <t>#SaugaTalks Host - Chats With Fascinating People In Tech 📣  https://t.co/TeRvVwcHI4 #AI #ArtificialIntelligence #IntelligentAutomation #metaverse #tech #podcast</t>
  </si>
  <si>
    <t>Company Director, publisher, producer &amp; content curator. Ageing sportsman; the older you get the better you were! People, Innovation &amp; HealthTech</t>
  </si>
  <si>
    <t>Official account of Forbes, the world’s leading voice for entrepreneurial success and free enterprise, and home to breaking news, business, money and more.</t>
  </si>
  <si>
    <t>It's me the best chef in town! (I still get no customers 😢) I will follow you back if you follow me and your account is not NSFW.</t>
  </si>
  <si>
    <t>Official NA Twitter Support. You can connect with PlayStation Support for assistance with your PlayStation product or service here: https://t.co/4yVwXYcZIE</t>
  </si>
  <si>
    <t>Never took an L | never been ratioed | my opinion = fact | I have over 9 jobs | IFB | parody | #EtikaForever | best rapper out rn &amp; single (interested)</t>
  </si>
  <si>
    <t>#polygon
22 years</t>
  </si>
  <si>
    <t>Discover crypto, on top of one of the world's most reliable crypto trading &amp; web3 apps. Partners: @McLarenF1 @ManCity @Tribeca. PoR out. Support: @OKXHelpDesk</t>
  </si>
  <si>
    <t>Proud Canadian (AB/SK) | Farm girl | Sick of the corruption plaguing Canada | ❤️🇨🇦O&amp;G</t>
  </si>
  <si>
    <t>Official Tweets from the Sobeys Team. We're focused on food, driven by fresh and superior customer service.</t>
  </si>
  <si>
    <t>Assoc Prof Fam Med U of Ottawa/Dad/Jew/Author of The Diet Fix/Co-founder Bariatric Medical Institute &amp; Constant Health/(He/Him)/@yonifreedhoff@med-mastodon.com</t>
  </si>
  <si>
    <t>Canada's food and pharmacy leader with more than 2,400 corporate, franchised and Associate-owned locations.</t>
  </si>
  <si>
    <t>Knowing is not enough we must apply. Wishing is not enough, we must do.
#modernart</t>
  </si>
  <si>
    <t>#JUNGKOOK: my everything ♡ | fem/they 23 | D♡</t>
  </si>
  <si>
    <t>pokemon, waifu and other TCG collector and seller. 
🔞: @elladonella 
https://t.co/Mh7ssMIkhI</t>
  </si>
  <si>
    <t>Hi there i'm Manny G i'm a small Pokemon TCG/PokemonGO Content Creator,Twitch streamer &amp; (retired)airbrush artist #vaccinated
https://t.co/sqC3QA5SAm</t>
  </si>
  <si>
    <t>Fan of football and basketball. Sci-fi/fantasy nerd. Trump administration hater. Democrat.</t>
  </si>
  <si>
    <t>TV Personality, author, and cook</t>
  </si>
  <si>
    <t>The live streaming, social selling online network for anyone, anywhere, to sell almost anything!</t>
  </si>
  <si>
    <t>NFT holder
#nftartists</t>
  </si>
  <si>
    <t>“Never regret. If it's good, it's wonderful. If it's bad, it's experience.” -V.Holt. I’m working out this next phase.</t>
  </si>
  <si>
    <t>Official #ClownWorld ™ 🤡 #NoCaptionNeeded ** DM us for removals or submissions</t>
  </si>
  <si>
    <t>Aimless!</t>
  </si>
  <si>
    <t>| ᴛʜᴇ ᴏꜰꜰɪᴄɪᴀʟ ɪꜰ ꜱʜᴏᴡ | @RNDMCHARACTERS Cᴏᴍᴍᴜɴɪᴛʏ Lᴇᴀᴅᴇʀ | ɪɴᴠɪꜱɪʙʟᴇ ꜰʀɪᴇɴᴅs #₁₀₆₄3D₄₃₉₅,₂₀₈₈,₄₈₁₆,₄₀₁₆ | ™Team© 👔 | LᴇᴅɢᴇʀAꜰꜰɪʟɪᴀᴛᴇ ↙️“LINK” | #spaceshost🎙️</t>
  </si>
  <si>
    <t>✏️ The official account of Invisible Friends 🤝 3D with @nguyenhut_art out now! 🙂 a @RNDMCHARACTERS project https://t.co/ogjbMNwsQH</t>
  </si>
  <si>
    <t>This is my only twitter, pls dont fall for impersonators! #Cryptotrader #BTC #BNB #ETH #QNT #ATOM NonFungibabe got banned💔 DC: DigiCess#1471 | TG: DigiCess</t>
  </si>
  <si>
    <t>Miscellaneous ramblings. Husband &amp; proud father. Taking it outside whenever possible. Screw cancer.</t>
  </si>
  <si>
    <t>A husband and a father of daughters. An exceptionally mediocre collection of unique experiences with no original thoughts of his own.</t>
  </si>
  <si>
    <t>Our mission is to advance faith, family, and freedom in public policy and the culture from a biblical worldview. Led by @tperkins.</t>
  </si>
  <si>
    <t>#raredigitalart
🏊‍Swimming lover</t>
  </si>
  <si>
    <t>I will not apologize for being a 🏳️#LGB🏳️‍🌈(only) #BlueBlood 👮🏻‍♂️🕵️🏻‍♂️. God &amp; Country FIRST. #VoterID https://t.co/GBBGuhTzrx #TermLimits4Congress</t>
  </si>
  <si>
    <t>love usa hate clinton hate obama retired leo junior nation deplorable</t>
  </si>
  <si>
    <t>preorder “The Adventures of Qai Qai” today❤️👇🏾</t>
  </si>
  <si>
    <t>Everything HORROR, You love me you just don’t know it yet…</t>
  </si>
  <si>
    <t>Go engineer. #Logistics. I like cooking, computers, and cultural problems. 🍅👾👩🏻‍🌾 🇺🇸🇨🇦🇲🇽🇨🇭🇮🇹🇫🇷🇲🇨🇩🇪🇪🇨🇨🇳🇹🇼</t>
  </si>
  <si>
    <t>Somewhere in the swamps of Jersey . Let's go Rangers !</t>
  </si>
  <si>
    <t>We cover the NFL with honesty, candor, authenticity, and transparency, in order to enhance fan enjoyment and understanding. © 2023 Football Talk LLC.</t>
  </si>
  <si>
    <t>Hello, I'm Maria. will find all health and fitness offers in my profile. Please check my profile.Thanks everyone. #health #fitness #dite</t>
  </si>
  <si>
    <t>Married @420goat #Vote #GunReformNow #mybodymychoice #NoHate Born &amp; raised in https://t.co/zSOCwy9qqG of Twins + 1 #Beauty</t>
  </si>
  <si>
    <t>Award-winning reporter @CBSPhilly. Boston-born, #Templemade News junkie, sports fan, hip hop listener, movie critic, oh and I can grill</t>
  </si>
  <si>
    <t>You're never alone on Valentine's Day if you have coffee</t>
  </si>
  <si>
    <t>Management | Records | Publishing | Capital</t>
  </si>
  <si>
    <t>the mockingbird &amp; THE CROW album out now</t>
  </si>
  <si>
    <t>Baseball lover! ⚾️💗 Born in the country with the name of a woman 🇻🇪  Proud Army Wife 🇺🇸</t>
  </si>
  <si>
    <t>رمضان</t>
  </si>
  <si>
    <t>6-10 AM/ET Weekday Mornings on ESPN Radio &amp; ESPN 2/ESPNU with Keyshawn Johnson, Jay Williams &amp; Max Kellerman</t>
  </si>
  <si>
    <t>Twitter home of the three-time Super Bowl champions: XXXII, XXXIII and #SB50</t>
  </si>
  <si>
    <t>Mujin is a software company making #industrialrobot intelligent and realizing industrial #automation 
Japanese(日本語): @mujin</t>
  </si>
  <si>
    <t>At FANUC America, our innovative technologies &amp; expertise in #robotics, #CNC &amp; machining centers helps manufacturers be more efficient, reliable &amp; profitable.</t>
  </si>
  <si>
    <t>Bandes dessinées, photos, livres, bon vin, Edition de livres et bandes dessinées voir sur https://t.co/vebG4RLnj0</t>
  </si>
  <si>
    <t>Geek+ leads the technology revolution by applying advanced robotics and AI technologies to realize high-flexibility and intelligent logistics solutions.</t>
  </si>
  <si>
    <t>@Expeflow helping IMEs and #Insurance firms automate their #Claims workflow. #ChangeAgent following #DigitalTransformation #InsurTech #BigData #IoT #IoTPL #IoTT</t>
  </si>
  <si>
    <t>Avon Rep, PaperPie consultant, wife to Carlos, mom to Samantha and 2 dogs Tiki and Kima. #Blessedbeyondmeasure</t>
  </si>
  <si>
    <t>We are a membership wholesale club, offering superior products and services at outstanding values to our members. Tweet @SamsClub.</t>
  </si>
  <si>
    <t>⛳️Golf lover
📲Front-end Developer</t>
  </si>
  <si>
    <t>Professional snowboarder since before you were born/ Outcold Barry /NBC Olympic Commentator / Dad / Nerd / Skater</t>
  </si>
  <si>
    <t>Consumer Investigative Reporter working to save you money, time and your sanity dealing with Houston businesses.</t>
  </si>
  <si>
    <t>Baller~Hunter</t>
  </si>
  <si>
    <t>Your home for award-winning original films, cult classics, horror, sci-fi, anime, MST3K, and so much more. We put pop culture on a pedestal!</t>
  </si>
  <si>
    <t>Non Profit Organization that is Doing The Most Good</t>
  </si>
  <si>
    <t>unlikeable, unlovable, and sick of everyone pretending otherwise.</t>
  </si>
  <si>
    <t>Catholic. Teacher. UofR graduate. Bachelor of Education, BA Sociology, BA Honours Religious Studies. Promoting a fun and responsible use of social media.</t>
  </si>
  <si>
    <t>The official Twitter profile of Xbox Canada. For all Technical Support issues, please reach out to @XboxSupport</t>
  </si>
  <si>
    <t>Pundit in #SBA Lending 504/7(a) #Cashflow: #Franchise: #stockpurchase 🙋🏽‍♂fmr #Rugby ref/ #NYC🏆🥊:@USArmy Vet 🇰🇷DMZ line #VFW #GirlsDad</t>
  </si>
  <si>
    <t>We’re the place to discover new flavors, new favorites and new ideas, whatever those might be. Tag your food obsession of the moment with #WholeFoodsMarket.</t>
  </si>
  <si>
    <t>I dig financial for living: @USArmy Vet DMZ🇰🇷:Fmr #GOP S.B candidate in #PGH Suburb: fmr #NYC🏆🥊&amp; #Rugby ref: @Yankees fan: #Veterans #KAG🇺🇸#GirlsDad</t>
  </si>
  <si>
    <t>Since 2015, I compile/write the @BLaw @BigLawBiz Wake Up Call column. Retweets are not endorsements. Mastodon https://t.co/ArLYFMkuHR</t>
  </si>
  <si>
    <t>With your community by your side, there’s no telling where your next small steps could lead. #InItTogether (@LinkedInHelp for customer service)</t>
  </si>
  <si>
    <t>Shop the marketplace at the link below. Need help? Reach out to our Help Center in-app or through the Mercari website.</t>
  </si>
  <si>
    <t>Shopping made fun! Download the app: https://t.co/ykVyFfeEYq
For any customer service-related questions, please reach us at @AskWishShopping or https://t.co/ud6rWFnmqV</t>
  </si>
  <si>
    <t>A Leading e-commerce platform that provides direct access to wholesale China products for businesses and consumers worldwide. 
DM now to join affiliate program!</t>
  </si>
  <si>
    <t>Promote your tweet on @alibaba. Email us at alibabatweets@gmail.com
10746bf06d6ad4c62ce4</t>
  </si>
  <si>
    <t>Don't be deceived by a fake, check  https://t.co/ey1FVoaxyw before you buy.</t>
  </si>
  <si>
    <t>Our Authenticity Guarantee service includes select ⌚️, 👟, 👛, 🃏 and now 💍. Just 👀  for the blue checkmark. Questions? @AskeBay is here to help</t>
  </si>
  <si>
    <t>Father of two, @heidiscruz's husband, fighter for liberty. Representing the great state of Texas in the U.S. Senate.</t>
  </si>
  <si>
    <t>Husband &amp; Father! #TwitchAffiliate TlkHvy Gang TTikTok:MannDownn Positive Vibes Only 💪🏽✊🏽MannDowwnMaafia https://t.co/y9jwHF4t2Y</t>
  </si>
  <si>
    <t>I make lots of things: food, wood stuff, TV shows, podcasts...
Write Willoughby Hills newsletter on @substack. Used to make @asktoh, won some @daytimeemmys.</t>
  </si>
  <si>
    <t>I'm the author of the new book, Rookie Father, and invite you to check out the work - https://t.co/OJADYZRb4n…</t>
  </si>
  <si>
    <t>A better way to buy books online 📚 Every purchase supports local, independent bookstores ☀️</t>
  </si>
  <si>
    <t>We ❤️ indie bookstores. Support your neighbors, community, and the economy when you shop local. Your choices matter.</t>
  </si>
  <si>
    <t>Publishing books, articles, and videos to help families be happy.</t>
  </si>
  <si>
    <t>One of the nation's leading book retailers, with 200+ stores nationwide. #BooksAMillion 📚
For customer service questions, please message us on Facebook.</t>
  </si>
  <si>
    <t>When you go to Target for 280 characters or less... Have a question? @AskTarget</t>
  </si>
  <si>
    <t>You are what you read. (For Customer Service, please contact @BN_care. Instagram/Facebook/YouTube: barnesandnoble 📚)</t>
  </si>
  <si>
    <t>#NeverForgetJan6th
No Unity Without Accountability
Independent who will NEVER vote Repub while the #GOP stays in the Trump* rabbit hole. #NeverForgetJan6th</t>
  </si>
  <si>
    <t>-=+ ARTIST +=- 
Creative Innovative. 
Hidden Messages. 
Not Invisible. 
3121. 
#Repetition #Art #Artist #Writer 
#MFA #PhDmaybe
#Former #Professor</t>
  </si>
  <si>
    <t>Corp. Announcements, Breaking News, Sustainability and Community Updates from The Kroger Co. and our Family of Stores. Visit @Kroger for Customer Service.</t>
  </si>
  <si>
    <t>As technology advances, so does the need for the talent to support it. Kroger Technology’s vision is to become the most valued technology organization in retail</t>
  </si>
  <si>
    <t>Rolling the freshness in daily! 🥬🍔🍎🥑🥐🧁🥒🛒</t>
  </si>
  <si>
    <t>Add February 17th to your calendar! Deng Chao's PING PONG: THE TRIUMPH 《中国乒乓之绝地反击》opens in select theaters in the US &amp; Canada! Follow us for updates!</t>
  </si>
  <si>
    <t>Take responsibility for your actions. #TrudeauMustGo</t>
  </si>
  <si>
    <t>**Pronounciation: NOW Whut????**  
Stiletto heel aficionado and lover of Strong Coffee, Chardonnay and Ironic Sarcasm.</t>
  </si>
  <si>
    <t>@TotalTrafficLA/@iHeartRadio (5a to 11a PST) 
@15MinuteFoodie @AViewFromTheHub
@ThisWeekendNick (Fridays @ 8p PST on @KFIAM640)
All opinions are my own.</t>
  </si>
  <si>
    <t>Coming soon! Something tasty!</t>
  </si>
  <si>
    <t>A patient approach to private equity built on the four-decade-old foundation of @ArielInvests.</t>
  </si>
  <si>
    <t>Official account for the latest company news and updates from Asset Management, Private Banking, Commercial Banking, and the Corporate and Investment Bank.</t>
  </si>
  <si>
    <t>Our purpose is to inspire and build better lives and communities. We do this through real, unwavering care. https://t.co/DgMhDxCxor Truist Bank, Member FDIC</t>
  </si>
  <si>
    <t>We’re changing what’s possible for people &amp; businesses in all sorts of ways. For acct support: @AskSynchrony Sun 8a-9p, M/T 8a-10p, W/T 8a-8p, F/S 8a-10p EST</t>
  </si>
  <si>
    <t>We bring companies and customers together on the world's #​1 CRM. Sharing the inspiration you need to change the world for good. Support: @asksalesforce</t>
  </si>
  <si>
    <t>Nuveen is a global investment leader, dedicated to keeping you informed. Follow us for news and insights across asset classes. Disclosures: https://t.co/dgkNSG2ipR</t>
  </si>
  <si>
    <t>Leading clean energy company ranked No. 1 in the electric and gas utilities industry on Fortune’s 2021 list of “World’s Most Admired Companies."</t>
  </si>
  <si>
    <t>We aspire to be the premier research-intensive biopharmaceutical company. Intended for U.S. residents only. FLS: https://t.co/20VS9JL2y9</t>
  </si>
  <si>
    <t>Home to any budget. Home to any possibility. Share your DIY wins with us using #LowesGoals.</t>
  </si>
  <si>
    <t>Ballmer Group is committed to improving economic mobility and reducing systemic inequities for children and families in America.</t>
  </si>
  <si>
    <t>Patients. They're why we develop and manufacture innovative human therapeutics to treat serious diseases. Community Guidelines: https://t.co/YlIOJSHFPG</t>
  </si>
  <si>
    <t>AB, soon to become Cencora, fosters a positive impact on healthcare around the world by advancing the development &amp; delivery of pharma &amp; healthcare products.</t>
  </si>
  <si>
    <t>real estate agent  . law. travel . t’OSU Alum . sports. politics .creative. journalism Bylines Lantern sports . Love and serve no god complex. OH/FLA/ NY</t>
  </si>
  <si>
    <t>Delight in the goodness of fresh, healthy foods and good-for-you supplements.</t>
  </si>
  <si>
    <t>Fresh tweets arriving daily here on the OFFICIAL ALBERTSONS® Twitter account.</t>
  </si>
  <si>
    <t>Subsidiary of @thesnaxshot 💫🔮</t>
  </si>
  <si>
    <t>#Financial exec. #Marketing, #Innovation &amp; #Strategy. Author &amp; one of the most followed #fintech influencers on Twitter. @ThomsonReuters Top 40</t>
  </si>
  <si>
    <t>Saved by the blood of Jesus! Love the Constitution and my country!</t>
  </si>
  <si>
    <t>Minnesota sports lover, rent-a-musician, wannabe world traveler</t>
  </si>
  <si>
    <t>We are here to help! Tweet us 24/7 when you need assistance or have a question.  Follow us on @walmart for everything else Walmart.</t>
  </si>
  <si>
    <t>Walmart Canada official account. Save money. Live better. Compte Twitter officiel de Walmart Canada. Économisez plus. Vivez mieux.</t>
  </si>
  <si>
    <t>This account is an official Twitter Handle of the Department of Consumer Affairs, Government of India</t>
  </si>
  <si>
    <t>Making an impact in communities to help you live better. More: @WalmartInc @WalmartOrg @WalmartWorld @WalmartTech @WalmartLabs</t>
  </si>
  <si>
    <t>Walmart India's official Twitter account. We operate 29 Best Price Modern Wholesale Stores in India. Website: https://t.co/0ZIvhjUXoG</t>
  </si>
  <si>
    <t>Inspiration, entertainment and innovation from Walmart and Sam's associates around the world | Home of Walmart and Sam's Radio 🎙️ #TeamWalmart #TeamSamsClub</t>
  </si>
  <si>
    <t>1a 2a America First. The way it should be. No commies.</t>
  </si>
  <si>
    <t>Purveyor of wisdom, jack of all trades, scientist extraordinaire, RN.</t>
  </si>
  <si>
    <t>International speaker, paranormal researcher and author best known for #HauntedCollector and #ParanormalCaughtOnCamera. My new book "Grains of Sand" is out now!</t>
  </si>
  <si>
    <t>Leverage Redemption, Supernatural, Walking of Dead, Big Sky, Walker, Winchester, AEW &amp; NWA Wrestling, Monsters Jam, Wahlburgers, Paranormal Caught On Camera</t>
  </si>
  <si>
    <t>hockey, concert, wicca, and horror enthusiast | in a band | aspiring substance abuse treatment specialist | prob staring at stars | 19 (she,her)</t>
  </si>
  <si>
    <t>Creating and chasing a lifestyle 🏝️ Interested in health &amp; wellness 🥦🏃‍♂️ pop culture 🎬🍿 startups 🚀🎯 and the universe 🌏🪐.</t>
  </si>
  <si>
    <t>Ain't no game, sucka.
#goodthingshappentothosewhohustle</t>
  </si>
  <si>
    <t>🐕》35 | Golden Retriever Oni Thaddy with Unseiso Gremlin Energy
🏳️‍🌈》LGBTQIA+ Safe Space 
👹》TTV Affiliate 
💃》model - yoruhare 
💫》pfp - fairuzhasna</t>
  </si>
  <si>
    <t>🖌Art Photographer
🥎Tennis lover</t>
  </si>
  <si>
    <t>🛹Skateboard fan
🌐 🇦🇺Sydney</t>
  </si>
  <si>
    <t>The kinda perfect guy you love in your books.</t>
  </si>
  <si>
    <t>Crypto mining difficulty adjusts to maintain network security.</t>
  </si>
  <si>
    <t>Don’t check my grammar because my money speaks.</t>
  </si>
  <si>
    <t>“dreams writes bleeds across the page photographing the rest”—communications manager fine artist graphic designer writing visual journalist on the road.</t>
  </si>
  <si>
    <t>My friends call me Mina. Always concerned how Ministry of Ed. and School Boards are so far out of reality about student's needs and teacher's workload.</t>
  </si>
  <si>
    <t>Whether you love it or hate it, if you have strong feelings about food, you must be a food lover.</t>
  </si>
  <si>
    <t>She/Her|Ma|Nana|Words: @torontostar @cbc @globeandmail @lonelyplanet +|Talk: @ctv @cbc +|Teaches @UofTSCS @SenecaCollege.Proudly blocked by Maxime Bernier #GenX</t>
  </si>
  <si>
    <t>God #1✝️, Patriot,1A,2A, FATHER,  4 years sober, Saved by God's Grace, America First Deplorable Conservative! 🚫Porn 🚫DM</t>
  </si>
  <si>
    <t>Insurrectionist,No Quarter,🐕‍🦺🐕‍🦺lover,Pro Life,2A 1A,✝️ FW Baptist ✝️, #PatriotsAssemble #ThreePercenter,#SonsofLiberty,#PatriotWarrior
    ❤️Cecilia Ann❤️</t>
  </si>
  <si>
    <t>🎙️Host of Emoji💊 | 💪💪💪💪.eth 🧑🏻‍🤝‍🧑🏻.eth @emojipill_eth ✍️ 📑 🧵</t>
  </si>
  <si>
    <t>tired.</t>
  </si>
  <si>
    <t>Squishmallows are the softest, cuddliest, most huggable plush toys out there. Join the #SquishmallowsSquad today!</t>
  </si>
  <si>
    <t>MrMrsBatwonder on .. Series X/Switch/PS5..Be The Energy You Want to Receive.. @OpTic #GreenWall   @GhostLifestyle @GhostGamer</t>
  </si>
  <si>
    <t>Welcome to the global source of performance, wellness &amp; diet solutions for every goal. #GNCLiveWell</t>
  </si>
  <si>
    <t>#Fitness Enthusiastic..#Aspiring Entrepreneur..#Techie #Indian #Economy Analyst #Developer #Advisor #Sprituality Views and tweets are personal</t>
  </si>
  <si>
    <t>Sometimes engineer, sometimes other things 🧘‍♀️✍️📷🎧</t>
  </si>
  <si>
    <t>With honor and integrity, we will safeguard the American people, our homeland, and our values. #WeAreDHS, led by @SecMayorkas and @DepSecTien.</t>
  </si>
  <si>
    <t>Official page for news, events and interesting updates from the University of Pennsylvania. Account managed by University Communications.</t>
  </si>
  <si>
    <t>Want to break into Web3? Our courses are designed to onboard the next generation of professionals. 🚀</t>
  </si>
  <si>
    <t>Welcome to the world of Gucci</t>
  </si>
  <si>
    <t>Single &amp; proud dad of 3 | #CyberSecurity | #NuclearEnergy | #Crypto | #NFTs | #ProjectConsultant | Co-founder of @ApeFathersNFT | Security for @QuitBitchingCo</t>
  </si>
  <si>
    <t>Only because many people said it, doesn't mean it's true. You don't always have to follow the crowd.</t>
  </si>
  <si>
    <t>We’ve got the tech to help you achieve life’s little (and big) wins. Contact @BestBuySupport with customer service questions.</t>
  </si>
  <si>
    <t>This is where the deals happen. Get price breaks, see our weekly ad and learn more about our products. Need support? Tweet @BestBuySupport.</t>
  </si>
  <si>
    <t>All the deals from @Target in one place.</t>
  </si>
  <si>
    <t>North West Kent NOT South East London</t>
  </si>
  <si>
    <t>I'm usually thinking. About you, probably.
he/him/hims
Bots are people too. Just ask R2D2 *beep boop*</t>
  </si>
  <si>
    <t>🦇
Bisexual ❤💜💙
Non-Binary 💛🤍💜🖤 -
ENFJ -
Bad Company -
Habitually Defiant -
You're Gonna Go Far, Kid 🦇</t>
  </si>
  <si>
    <t>I’m just here for the shit show</t>
  </si>
  <si>
    <t>Luka’s mama 🤍 Medical Social Worker 💚✨ annoying Laker fan 💜💛</t>
  </si>
  <si>
    <t>lesbian, lovable, nice, funny, crafty</t>
  </si>
  <si>
    <t>Reimagining energy for people and our planet. #bpNetZero 
Official Twitter account for bp America.</t>
  </si>
  <si>
    <t>Committed to responsibly meeting the world's energy needs. https://t.co/7gVWgClpKv</t>
  </si>
  <si>
    <t>Used to be H.D.. Queer Catholic socialist and anti-fascist. Registered nurse. Immigration and labor activist. Not a Democrat. Recovering Texan. @HDGregg@zirk.us</t>
  </si>
  <si>
    <t>We are a movement of people working at Walmart, Amazon and Wall Street owned retail companies fighting to live with dignity and respect.</t>
  </si>
  <si>
    <t>Supporting students in believing they can do math is a whole mood around here. (We're also on instagram! https://t.co/K7ugFQiBGV) #MathFam</t>
  </si>
  <si>
    <t>GOD, FAMILY, FRIENDS, FOES - In Order! LOVE CHIHUAHUAS! Louisiana Independent Voter. Opinions are my own. Retweets ARE NOT endorsements.</t>
  </si>
  <si>
    <t>Faith Strong|Mother of 4|Wife|Lifelong Teacher🍎|Proud Latinx|Lover of Literature📚|Tutor of Public School Children|Educational Content Creator| $Melanie4Kids</t>
  </si>
  <si>
    <t>Ever been weird for a living? Disclaimer: I will RT cat jokes.</t>
  </si>
  <si>
    <t>Reni’s Mommy 💕 IG: @reniismuvaa Nail Page: @brooklynsbrushes_</t>
  </si>
  <si>
    <t>He/They
Pokemon Professor and TCG Player
RIT NMID</t>
  </si>
  <si>
    <t>I stream video games often on Twitch watch me play them ( ͡° ͜ʖ ͡°) 
twitch affiliate | Retired S3 TO | Sob Squad|Vtuber https://t.co/EpMfR2RquN|</t>
  </si>
  <si>
    <t>Get up and get what you want. #BLM #Pride</t>
  </si>
  <si>
    <t>Sales are contingent upon attitude of the salesman. Not the attitude of the prospect.
🌐Madrid</t>
  </si>
  <si>
    <t>🏳️‍🌈 Amazon Wishlist: https://t.co/gDW4ns3Dxq</t>
  </si>
  <si>
    <t>she/her. Level 17, lgbtq+</t>
  </si>
  <si>
    <t>Drivers Ed teacher/Baseball coach/Sports Historian at WGHS. Changing lives one drive at a time.</t>
  </si>
  <si>
    <t>Retired drivers ed teacher with a sense of humor! Oh and I USED to coach HS football</t>
  </si>
  <si>
    <t>relax, it’s not that serious. you’re allowed to have a sense of humor. USAF Retired. #Cuse #Broncoscountry Texas Country Music. Good Bourbon &amp; Tequila</t>
  </si>
  <si>
    <t>I make playing cards, question and game books my hometown born and raised is Chicago Illinois but lived in Lawrenceburg since December 2016</t>
  </si>
  <si>
    <t>LGBTQ+ Relationship Coach and Wedding Officiant strengthening love, dating, relationships, marriages, communities, and health globally.</t>
  </si>
  <si>
    <t>Daily Dairy, Bakery, Meat, and Retail News. Follow us or subscribe to our email newsletter for the latest updates. #delinews</t>
  </si>
  <si>
    <t>ENDLESS SUMMER VACATION. THE ALBUM. MARCH 10. FLOWERS OUT NOW.</t>
  </si>
  <si>
    <t>Welcome to a totally 100% legitimate news account for the top Roblox experience Royale High! 🤪🤭
(This is a joke account, nothing's true unless it's stated.)</t>
  </si>
  <si>
    <t>#FreedBritney 11/12/2021 🌹🚀🦋𝙱𝚛𝚒𝚝𝚗𝚎𝚢 𝚂𝚝𝚊𝚗 𝚂𝚒𝚗𝚌𝚎 𝟷𝟿𝟿𝟾🦋 〰️$jordashianner 〰🎵𝚊𝚍𝚍𝚒𝚌𝚝𝚎𝚍 | BritneySpearsAsghari 💍 6/9/22</t>
  </si>
  <si>
    <t>On #SparktheFuture, I dive into meaningful conversations with individuals who are working to spark a more equitable future.
Tweets are my own...</t>
  </si>
  <si>
    <t>We are a national Vietnamese-American organization working to empower, organize, and equip Vietnamese individuals and communities.</t>
  </si>
  <si>
    <t>The Rosemead Chamber of Commerce, working hand-in-hand with the City of Rosemead, primarily serves as the voice of the business community as well as the public.</t>
  </si>
  <si>
    <t>FCSN provides MA families of children with special needs (&amp; their professional partners) with information, training, and support.</t>
  </si>
  <si>
    <t>The leading news website for the global omnichannel #retailtechnology community. Organiser of @AwardsRtih. Contact the Editor @ScottThomps74 #retailtech</t>
  </si>
  <si>
    <t>#AutonomousDeliveryRobots #Ottobots #DeliveryRobots</t>
  </si>
  <si>
    <t>mononymous humanist &amp; thalassophile/passionate about #AI #IoT #startups #retail #sailing #hamradio #psychology/25years @ #Microsoft, opinions my own</t>
  </si>
  <si>
    <t>Founder and Editor @RTIH_RetailTech #retailtech #retailtechnology #retail #retailsystems #payments #onlineshopping #ecommerce</t>
  </si>
  <si>
    <t>Reinventing the E-commerce interface. Enabling brands to create immersive, discovery-driven shopping experiences.</t>
  </si>
  <si>
    <t>@Shopify CEO by day, Dad in evening, hacker at night. Aspiring comprehensivist. (tweets auto delete) retweet/like=noteworthy share, not endorsement</t>
  </si>
  <si>
    <t>Volumental is the world’s leading FitTech company</t>
  </si>
  <si>
    <t>Teleport is a social commerce app to share &amp; shop outfit videos ✨ join our positive fashion &amp; thrifting community ✨ download iOS app👇</t>
  </si>
  <si>
    <t>co-founder &amp; ceo of @teleport__app // building a social app to share &amp; shop outfits // 11+ years of no new clothes // curating resale finds @ Goodwill Hunting</t>
  </si>
  <si>
    <t>The SaaSy entrepreneurship company.</t>
  </si>
  <si>
    <t>Official handle of H-E-B. Follow us for the latest from Texas’ favorite grocery store.</t>
  </si>
  <si>
    <t>Automating the world's stores with AiFi</t>
  </si>
  <si>
    <t>Trigo provides an AI &amp; Computer vision-powered frictionless shopping experience and automates in-store processes for grocery retailers.</t>
  </si>
  <si>
    <t>The largest independent retailer-owned cooperative in the US which owns and operates 257 supermarkets under the ShopRite and PriceRite banner.</t>
  </si>
  <si>
    <t>I live for music. it literally breathed life into me 3 times</t>
  </si>
  <si>
    <t>Those who fly solo have the strongest wings...History may not repeat but it sure rhymes #cleanyourgear #wearyourair</t>
  </si>
  <si>
    <t>It's a good life.</t>
  </si>
  <si>
    <t>Mom-Florist-Solar Consultant- Homesteader-Couponer</t>
  </si>
  <si>
    <t>What's happening?!</t>
  </si>
  <si>
    <t>Promoting workers' power through organizing and advocacy.</t>
  </si>
  <si>
    <t>94.5 @espnmilwaukee📻🎙- Professional at everything - Not from earth - Banned for too much fun - Based &amp; bankrupt - Trying to find destiny - Don't own a TikTok</t>
  </si>
  <si>
    <t>We provide business journalism into the most impactful news and trends shaping cybersecurity.</t>
  </si>
  <si>
    <t>Mother.Leo.Independent Woman.Realist</t>
  </si>
  <si>
    <t>#PTXForever 😱 I was Avi's Beanbag Babe 😵 #AviKaplan4Life #Avrielites4Ever</t>
  </si>
  <si>
    <t>Don't you ever let a soul tell you 
That you can't be exactly who you are!</t>
  </si>
  <si>
    <t>catch me in the projects with a ratchet bitch her house lookin like a crash site</t>
  </si>
  <si>
    <t>I would watch 100 movies where Nia Long &amp; Lauren London play mother &amp; daughter</t>
  </si>
  <si>
    <t>, ABT 100 Pro Team Trail /FLW/BFL / FLW Toyota Series , Ky Federation, Youtube Kaoru OBryan Tournment Angler USABassin</t>
  </si>
  <si>
    <t>Real Estate Investor | Tech Blogger |Niketalker and more..</t>
  </si>
  <si>
    <t>Albuquerque &amp; New Mexico News and Weather from https://t.co/IYCgBkdqYN
Local Reporting You Can Trust.</t>
  </si>
  <si>
    <t>Breaking news and real-time updates for New Mexico</t>
  </si>
  <si>
    <t>Breaking news, politics, sports &amp; arts from New Mexico's largest news source.</t>
  </si>
  <si>
    <t>ABQ News Bureau™ Interactive news distribution and media information service.</t>
  </si>
  <si>
    <t>Dream chaser and Miley Cyrus stan! :-)</t>
  </si>
  <si>
    <t>Ellen Pompeo ☀
Patrick Dempsey 🏎
Vivianne Pasmanter 🧚‍♀</t>
  </si>
  <si>
    <t>Same relief, bigger impact.
Over-the-counter drugs working to solve medical inequity in 🇺🇸.
Seen on: Good Morning America, Insider, The Strategist</t>
  </si>
  <si>
    <t>MD Digital/Design @alaskaair, boss at Oh Happy Day Shop, Board @thinknw @historymuseum Prev MSFT, Neiman Marcus, Land Rover, Ogilvy.</t>
  </si>
  <si>
    <t>Get New Giveaways. It is easy to sign up and it only takes 30 seconds. Participate Actively 🙃💯
Stay connected 
 ⬇️</t>
  </si>
  <si>
    <t>Stream “FLOWERS”</t>
  </si>
  <si>
    <t>miley cyrus stan. jessica sanchez stan. alicia keys stan. mariah carey stan. taylor hale stan.</t>
  </si>
  <si>
    <t>Actor. Director. Podcaster. Generally likeable. Host of the top 100 food show, the @JungleJimsMrkt Podcast.</t>
  </si>
  <si>
    <t>An adventure in grocery shopping, your senses will be stretched to the limit at Jungle Jim's. The best selection, highest quality &amp; more fun than you'd imagine!</t>
  </si>
  <si>
    <t>Best cereal in the metaverse! Vegan, GF, &amp; offensively delicious. 🥣</t>
  </si>
  <si>
    <t>I can buy myself flowers</t>
  </si>
  <si>
    <t>2022 will be better! The world will grow from these trials.</t>
  </si>
  <si>
    <t>Miley Cyrus defender. Marzo 10</t>
  </si>
  <si>
    <t>Live the life you love.</t>
  </si>
  <si>
    <t>A cat person.</t>
  </si>
  <si>
    <t>📌 🇺🇸New York
Digital artist</t>
  </si>
  <si>
    <t>Omnitechnician / Stocks /
Scorpion Medic / Locksmithing / Restoration / Customizing / Collector / Artist / Intelligence / Musician / Inventor / Wizard</t>
  </si>
  <si>
    <t>ENDLESS SUMMER VACATION</t>
  </si>
  <si>
    <t>Private investor, psychologist,</t>
  </si>
  <si>
    <t>America's #1 Affordable Hearing Aid Brand</t>
  </si>
  <si>
    <t>OTC $INND InnerScope Hearing Offers OTC Hearing Aids thru wholly-owned subsidiaries @HearingAssistUS &amp; @ihear_direct Tweets contain "forward-looking statements”</t>
  </si>
  <si>
    <t>Miley Cyrus Stan. 🔥</t>
  </si>
  <si>
    <t>Fan Account for Miley Cyrus. Not affiliated with Miley Cyrus or anyone from her team</t>
  </si>
  <si>
    <t>imma Tokyo nigga</t>
  </si>
  <si>
    <t>ENDLESS SUMMER VACATION • mileycyrus • twentyønepiløts • fan account.</t>
  </si>
  <si>
    <t>Join us for all the VTech news and exclusives. Questions? We're here to help. Watch the Emmy-winning GO! GO! CORY CARSON, now streaming on @Netflix!</t>
  </si>
  <si>
    <t>The Toy Insider™ is THE source for the hottest toys &amp; gifts for kids. Follow for reviews, parenting tips &amp; toy company sponsored giveaways! #weknowplay</t>
  </si>
  <si>
    <t>1•M•D</t>
  </si>
  <si>
    <t>I buy &amp; sell sports cards.  I usually like the business of sports cards.  Sometimes I hate watch AEW Wrestling  All movies are the same.</t>
  </si>
  <si>
    <t>Mechanic at a winery
Love anything with an engine
And crypto makes me motivated.</t>
  </si>
  <si>
    <t>Mining COIN for $XYO since March 2020, memes, good vibes, crypto, I talk about #XYO alot, lets be friends! creator of #XYOEYES #FLEXYO I'm also cool af!</t>
  </si>
  <si>
    <t>@PBJLady on Post. Where there's despair in life, let me bring hope. Immunodeficient lefty Evangelical. MSTie. Gracie's mom.</t>
  </si>
  <si>
    <t>I love animals especially cats, dogs, tigers and horses. I love Miley Cyrus and Adele. I support Arsenal FC! I generally enjoy life. ;D</t>
  </si>
  <si>
    <t>I love @mileycyrus &amp; what about it</t>
  </si>
  <si>
    <t>Childlike Cereal for Grown-Ups
High Protein 🏋️‍♀️
Low Sugar 💥
Magically Tasty 🥄
Spoon with us #MagicSpoonCereal</t>
  </si>
  <si>
    <t>fan account.</t>
  </si>
  <si>
    <t>illustration ✍️🎨 mclgts</t>
  </si>
  <si>
    <t>𝐼𝑛 𝑡ℎ𝑖𝑠 ℎ𝑜𝑢𝑠𝑒 𝑤𝑒 𝑠𝑢𝑝𝑝𝑜𝑟𝑡 𝑡𝑎𝑙𝑒𝑛𝑡𝑒𝑑 𝑤𝑜𝑚𝑒𝑛 | 𝑴𝑰𝑳𝑬𝒀, 𝑨𝑹𝑰𝑨𝑵𝑨 &amp; 𝑻𝑨𝒀𝑳𝑶𝑹 𝒔𝒕𝒂𝒏 | (𝐹𝑎𝑛 𝑎𝑐𝑐𝑜𝑢𝑛𝑡)</t>
  </si>
  <si>
    <t>☪ 𝗟𝗜𝗩𝗘 𝗛𝗢𝗪𝗘𝗩𝗘𝗥, 𝗗𝗜𝗘 𝗥𝗘𝗚𝗔𝗥𝗗𝗟𝗘𝗦𝗦⋆✶⋆</t>
  </si>
  <si>
    <t>Miley Cyrus Defense Attorney | fan account + parody</t>
  </si>
  <si>
    <t>Miley, Lana, SZA and Dua stan 4 life 👑 he/him</t>
  </si>
  <si>
    <t>FLOWERS OUT NOOOOOOW 
ENDLESS SUMMER VACATION album, March 10th</t>
  </si>
  <si>
    <t>i come to this app when i need a good laugh</t>
  </si>
  <si>
    <t>fan account/fudanshi</t>
  </si>
  <si>
    <t>1️⃣3️⃣ Perfil paródia</t>
  </si>
  <si>
    <t>miley cyrus 24 hours</t>
  </si>
  <si>
    <t>America's billion-dollar Girl</t>
  </si>
  <si>
    <t>🪐🗡️🖥️🐍
 I like beef jerky and video games</t>
  </si>
  <si>
    <t>Fan Account ..  *  ✨  .🌙        🌍*      .     .</t>
  </si>
  <si>
    <t>i could be a better boyfriend than him / / please pretty pretty please follow my main account @acopensal thank u
* no copyrights intended *</t>
  </si>
  <si>
    <t>God's timing, not mine 🙏🏻☺️ | 
Future physio doc 👩🏻‍⚕️♥️| art bro 🎨 |
12th April 🎂</t>
  </si>
  <si>
    <t>Flowers January 13th 💐                  Endless Summer Vacation March 10th ☀️</t>
  </si>
  <si>
    <t>Living every moment and enjoying it!</t>
  </si>
  <si>
    <t>miley x harry x taylor</t>
  </si>
  <si>
    <t>🇵🇷🏳️‍🌈If I could have Miley Cyrus in one hand, and a double cheeseburger in the other, my life would be complete. ❤️ IG/SC: puertoricano4g</t>
  </si>
  <si>
    <t>THE OFFICIAL CANADA @MileyCyrus FAN CLUB 🇨🇦 ENDLESS SUMMER VACATION 🌴🕶️ OUT 10.03.23 #FLOWERS 💐🕶️ OUT NOW</t>
  </si>
  <si>
    <t>#teamchiquis #pumpkinboo #porquesoyabejareina #90squeen #catmom #misioncumplida (H.O.E)🐱🐱🐱🐱👩🏽#unstoppable #bossbee</t>
  </si>
  <si>
    <t>All you'll ever need, at a price you just can't resist! Proudly cruelty-free and designed in the U.S.A.! Hashtag #LACOLORScosmetics to be featured!</t>
  </si>
  <si>
    <t>TikTok/IG: @__makeupbysel__</t>
  </si>
  <si>
    <t>he/him</t>
  </si>
  <si>
    <t>MC X HS 💙</t>
  </si>
  <si>
    <t>#24 || ♓ || Técnica Química || kiss the👩🏻‍🍳 || #MileyIsComing || ☕📚⛈ || Slytherin🐍 || River Plate || lol ur not Travis Maddox ||🎾 🏊🏻‍♀️ || ⚜️🏕</t>
  </si>
  <si>
    <t>❤️☕🤍</t>
  </si>
  <si>
    <t>Be your own reason to smile✌🏻|| Smiler since 2006🥰</t>
  </si>
  <si>
    <t>Your day starts here. ☀️</t>
  </si>
  <si>
    <t>Must-have fashion &amp; exciting events. Share your fave finds with #macyslove. Need help? DM us.</t>
  </si>
  <si>
    <t>Political Strategist | BS in Communications | MS in International Marketing | Former Co-Host YourVoice America | Former Radio Host Heat100 | Pronouns: Shut/Up</t>
  </si>
  <si>
    <t>Official State Farm Twitter account, run by your favorite neighbors. Like a good neighbor, State Farm is there.®</t>
  </si>
  <si>
    <t>born to run</t>
  </si>
  <si>
    <t>| | alt er love | |</t>
  </si>
  <si>
    <t>Streams a las 6pm (MÉXICO) ✨ DEANCENTENO en la tienda de Fortnite #ad</t>
  </si>
  <si>
    <t>bass player for neostem, energy drink enthusiast, creator of the web cartoon sixth street kidz, retired bmx racer / announcer. https://t.co/r2yHs0PEKb</t>
  </si>
  <si>
    <t>Songs Of Surrender. March 17, 2023. Pre-order the album and listen to 'Pride' and ‘With Or Without You’ now. 'Surrender: 40 Songs, One Story' by Bono. Out Now.</t>
  </si>
  <si>
    <t>Bringing heart. Prioritizing health. Getting there together.</t>
  </si>
  <si>
    <t>We're here to give you the support you need to achieve whole health through alternative remedies &amp; traditional medicine</t>
  </si>
  <si>
    <t>We champion the health and well-being of every community in America.</t>
  </si>
  <si>
    <t>The Possibilities Are Beautiful.✨</t>
  </si>
  <si>
    <t>SHOP #wetnwildbeauty for the widest selection of makeup, paint pots, make up brushes, stencils + other new ideas.</t>
  </si>
  <si>
    <t>$queenyamalii</t>
  </si>
  <si>
    <t>This is the Official Juliet Bogen Twitter! Host of Craze Tv</t>
  </si>
  <si>
    <t>Seu melhor fã-clube sobre a atriz e cantora @MileyCyrus! | Your best fan-source about Miley Cyrus! (FAN ACCOUNT)</t>
  </si>
  <si>
    <t>💻Front-end Developer
⚽️Football lover</t>
  </si>
  <si>
    <t>Owner/Founder @sourstripscandy. I make really cool YouTube videos and have a cute Goldendoodle</t>
  </si>
  <si>
    <t>🌴Fashion,News,and EVERYTHING Miley Cyrus🌴</t>
  </si>
  <si>
    <t>E-commerce platform dedicated to helping online retailers meet the challenges of omnichannel selling.</t>
  </si>
  <si>
    <t>Welcome to the Official 5-hour ENERGY® Twitter Page! Follow us on Instagram and TikTok (5hourenergy) or Snapchat (fivehourenergy)!</t>
  </si>
  <si>
    <t>𝕀 𝕕𝕠𝕟'𝕥 𝕟𝕖𝕖𝕕 𝕥𝕠 𝕓𝕖 𝕝𝕠𝕧𝕖𝕕 𝕓𝕪 𝕪𝕠𝕦 👽</t>
  </si>
  <si>
    <t>Love all animals, be vegan!</t>
  </si>
  <si>
    <t>iggy follows</t>
  </si>
  <si>
    <t>Ellen Pompeo is my favourite actor at all time!</t>
  </si>
  <si>
    <t>Just looking</t>
  </si>
  <si>
    <t>Because I am unique and special needs in God's eyes.</t>
  </si>
  <si>
    <t>The leading solution provider of Digital Video, Smart Connection, and Cloud Services. Contact us or request a demo at info@sdmctech.com
#androidtv #STB #OTT</t>
  </si>
  <si>
    <t>Find the latest Android TV news, rumors, leaks and exclusives from around the web. Visit my website and find all the certified Android TV devices available.</t>
  </si>
  <si>
    <t>Your best source for the latest and most reliable news on Miley Cyrus since 2010 | Miley Cyrus follows / Fan Account.</t>
  </si>
  <si>
    <t>Badia Spices is committed to delivering the finest quality spices, marinades, sauces, baking and specialty items at the most competitive prices.</t>
  </si>
  <si>
    <t>Bringing you great rice and recipes since 1928. Available in extra long grain, parboiled, Brown, Jasmine, Basmati and 9 delicious rice mixes!</t>
  </si>
  <si>
    <t>Coffee•Scrubs•Rubber Gloves Life
•
•
•
•
•
•
•
•
•
•
•</t>
  </si>
  <si>
    <t>Founder/GP, @ConsumerVenture. Proud to play a small role in helping build great consumer-focused companies. jason@consumer.vc https://t.co/8SWZCTeMT8</t>
  </si>
  <si>
    <t>Gluten-Free, allergy-friendly cookies &amp; Superfood Veggie Pastas. Enjoy your favorite foods without compromise. Free From the Top 8 Allergens, NonGMO &amp; Vegan.</t>
  </si>
  <si>
    <t>Brand Equity @ Applegate. Tweets my own, mostly nonsense.</t>
  </si>
  <si>
    <t>Stories and insights from 10 years of building ecommerce brands in luxury &amp; CPG. My email on bringing products to life 👇</t>
  </si>
  <si>
    <t>Father | 💍 @MrsPhantmRanger | Streamer for @VegasInferno | @GamerAdvantage @ADVANCEDgg Partnered | https://t.co/uRwcw2mj8O |</t>
  </si>
  <si>
    <t>Just a  G.I. Joe fan</t>
  </si>
  <si>
    <t>I’ll post toy news, deals, and preorders that may contain affiliate links. As an Amazon Associate I earn from qualifying purchases. DM or jon@preternia.com</t>
  </si>
  <si>
    <t>Cash App $JeremyKimberlin proud “snowflake” proud “libtard” #BLM #DoBetter</t>
  </si>
  <si>
    <t>The Official &amp; biggest Arab(Fan-base) on IG for the one &amp; only Miley Cyrus. 🟠 | تحديثات الفنانة العالمية مايلي سايرس | #EndlessSummerVacation out March 10 ⏳</t>
  </si>
  <si>
    <t>meet me at midnight ✨</t>
  </si>
  <si>
    <t>turn on the fuck and enjoy ✌🏻🔥💥</t>
  </si>
  <si>
    <t>Fan account dedicated to my idol @MileyCyrus. Female Smiler from the UK</t>
  </si>
  <si>
    <t>Flowers  🌸💮</t>
  </si>
  <si>
    <t>IDK what I’m trying to do but I feel like I’m doing it… NickWayneGames on everything for Gaming &amp; other ventures coming soon!!!!</t>
  </si>
  <si>
    <t>“yeah, i can love me better than you can...” • fan account: @mileycyrus, @maroon5, @gildovigor, tv shows, doramas &amp; music 🤍</t>
  </si>
  <si>
    <t>IndyCar NFL NASCAR MLB NCAAF Politics Made in the USA</t>
  </si>
  <si>
    <t>PFT Live w/ @ProFootballTalk &amp; @CSimmsQB airs M-F 7-9 AM ET on @PeacockTV &amp; 9-11 AM ET on @NBCSN.</t>
  </si>
  <si>
    <t>ENDLESS SUMMER VACATION 3/10</t>
  </si>
  <si>
    <t>you’re just mad cause your hair is flat</t>
  </si>
  <si>
    <t>ENDLESS SUMMER VACATION. THE ALBUM. MARCH 10.</t>
  </si>
  <si>
    <t>"you dare going where nobody dares to go" - "as usual" - Miley</t>
  </si>
  <si>
    <t>MC is my religion</t>
  </si>
  <si>
    <t>Loves pets, rescue organizations, funnies involving animals; follows sports and loves competition!</t>
  </si>
  <si>
    <t>I work at Walmart.  I respect my fellow Walmart workers.  We all deserve better.  It's up to us.  #solidarityforever</t>
  </si>
  <si>
    <t>sometimes i write things  https://t.co/iWRtxWQRGq</t>
  </si>
  <si>
    <t>🇵🇷 Democratic Socialist #FreePalestine  #GreenNewDeal Trans Rights are Human Rights @nycDSA
Website Design: DM for info</t>
  </si>
  <si>
    <t>Saved by Grace ,💓 live by faith🙏, seek the truth while it can be found,  don't let those of this world decieve you ,they are doing that right now. 👨‍💻👩‍💻</t>
  </si>
  <si>
    <t>Husband, dad, granddad, business owner. Nice guy until you wrong me. Not one to shy away from a little confrontation.</t>
  </si>
  <si>
    <t>OpenStreetMap is the free editable map of the whole world.
It is made by people like you!
@openstreetmap@en.osm.town</t>
  </si>
  <si>
    <t>https://t.co/V1GXJwtFy8 | 🇨🇳️🇰🇵️🇻🇳️🇨🇺️🇱🇦️ Free collaborative proletarian encyclopedia for Marxist-Leninist education. Contribute now comrades! Shared account</t>
  </si>
  <si>
    <t>🌎 🇺🇸New York
Digital consultant</t>
  </si>
  <si>
    <t>NEW YEAR, NEW MILEY.</t>
  </si>
  <si>
    <t>Stream „ Flowers „ 🌺</t>
  </si>
  <si>
    <t>#family #sports #chivahermana #movies #comics #goodmusic #homedecor #poetry for a happy life and #makeup because why not💄🥰</t>
  </si>
  <si>
    <t>Verd ori'shya beskar'gam. Cosplayer. Computer fixer. Bounty hunter. She/her. Yes, this is what I'm doing with my Master's degree. Team HAP 💚</t>
  </si>
  <si>
    <t>@BuzzFeed in India! Download our app: https://t.co/HFGlQRXY1r 
send essay/article pitches to buzzfeedindiapitches@buzzfeed.com</t>
  </si>
  <si>
    <t>“Holy Cannoli, this is crazy.” @theuncoolurban @anonsourcespod</t>
  </si>
  <si>
    <t>🌹🥀yeah, i can love me better than you can 🥀🌹 | mc sg ag lm bts tp dc mcu⍟ hp ASTRO BLACKPINK | fan account</t>
  </si>
  <si>
    <t>🇩🇴 • IG : Francisjared_</t>
  </si>
  <si>
    <t>The Stellar Awards honors Gospel Music Artists &amp; writers for their contributions to the Gospel Music Industry.</t>
  </si>
  <si>
    <t>From can't-misses to must-shares, Verizon is #TheNetworkAmericaReliesOn</t>
  </si>
  <si>
    <t>We pursue inclusive freedom by promoting social justice for all, building on the principles of the Underground Railroad.</t>
  </si>
  <si>
    <t>Talking Chevrolet one tweet at a time. #FindNewRoads Privacy Statement: https://t.co/fmF0VX48X9…</t>
  </si>
  <si>
    <t>Improving everyday life through #PGInnovation since 1837. #GreatPlaceToWork</t>
  </si>
  <si>
    <t>New Album ‘The Book of Mali’ Available NOW!</t>
  </si>
  <si>
    <t>President &amp; CEO of @NatUrbanLeague - nation's largest historic civil rights and urban advocacy organization. Former mayor of New Orleans</t>
  </si>
  <si>
    <t>Miley Cyrus fan account 🌸Love to Lorde, Taylor, Blackpink and all women in music</t>
  </si>
  <si>
    <t>33/ Traductora / Profe de inglés/ Slytherin / Me gusta escribir sobre series, cine, libros y anime / Moonie and Chocolate trash/ #FreeBritney</t>
  </si>
  <si>
    <t>i tweet</t>
  </si>
  <si>
    <t>Too many books and too much damn money thrown at CG, a movement with high hopes,  low quality and backers are treated like bowl floaters.</t>
  </si>
  <si>
    <t>wubba lubba dub dub</t>
  </si>
  <si>
    <t>Where now meets next. Looking for help? Tweet @FedExHelp.</t>
  </si>
  <si>
    <t>Be on in 5</t>
  </si>
  <si>
    <t>The United Food and Commercial Workers is a family of hard-working people building a better life together, serving their communities. #union #retail</t>
  </si>
  <si>
    <t>Essential workers need a UFCW that is accountable to members and ORGANIZES; Account managed by a group of UFCW members committed to democratic reform. #1M1V</t>
  </si>
  <si>
    <t>President of 1.3 million member United Food &amp; Commercial Workers International Union @UFCW. Progressive Motorcycle Rider — #Texas #1u #UnionStrong @AFLCIO</t>
  </si>
  <si>
    <t>Business Inquiries - info@Lamarjacksonenterprises.com @forever8dreame1 @LJwrites2 @era8apparel @LJentertainmen3 @playactionsoul1</t>
  </si>
  <si>
    <t>📍The most advanced location analytics platform for anyone with a stake in the physical world. #retailrealestate #foottraffic Learn more @ https://t.co/3qZRG2F6eI</t>
  </si>
  <si>
    <t>First in business worldwide.</t>
  </si>
  <si>
    <t>Economic development person for @sjeconomy. Former local, #CRE &amp; business reporter. Tweets about SJ stuff, retail, &amp; retro tech. Views are my own.</t>
  </si>
  <si>
    <t>Retail reporter @CNBC. Alumna of @DallasNews + @ColumbiaSpec. Reach me at melissa.repko@nbcuni.com.</t>
  </si>
  <si>
    <t>Life is like toilet paper. You’re either on a roll, or taking shit from someone.</t>
  </si>
  <si>
    <t>Complicated, flawed human and okay with it, because every day above ground is a good day.</t>
  </si>
  <si>
    <t>Organizer, avid eater, twin dad, and 22nd Ward Committeeperson.
I occasionally get a little worked up. Tweets are my own.</t>
  </si>
  <si>
    <t>Witch, cat lover, #prochoice #vasectomiesstopabortions #menneedtokeeptheirdickszipped #GOPhateswomen #GOPlovesrapists, Control me? Fuck YOU!  #controlmensdicks</t>
  </si>
  <si>
    <t>Welcome to the official Twitter channel for Walmart Family Mobile!  We hope to inspire you to save money, and live better!</t>
  </si>
  <si>
    <t>Be the Change #FeelTheBern #BernieSanders #NotMeUs #DemExit #OurRevolution #MeToo</t>
  </si>
  <si>
    <t>I just tweet and play video games. Neither one well but gonna talk shit in both🕺🏿
.THE FAKES WILL FALL AND THE REAL WILL RISE.
https://t.co/a7dB8Pjdge</t>
  </si>
  <si>
    <t>in this house we love horror movies.
I don't check my DMs. (he/him) 🏳️‍🌈</t>
  </si>
  <si>
    <t>Your #1 source of charts and sales about Miley Cyrus. | 🚨 Turn on our notifications.</t>
  </si>
  <si>
    <t>Just do it.</t>
  </si>
  <si>
    <t>#1 Source For Hip-Hop/Viral News | Follow Us &amp; Stay Updated | Email For Promo/Business TheDailyLoud@gmail.com | Listen To Our Spotify &amp; Follow Our IG Below👇</t>
  </si>
  <si>
    <t>“My bank rolls have the cops coming in plain clothes”</t>
  </si>
  <si>
    <t>#BlackLivesMatter and #StopAsianHate</t>
  </si>
  <si>
    <t>24yr old guy from Italy 🌈 miley stan you know im right                                              ENDLESS SUMMER VACATION</t>
  </si>
  <si>
    <t>sempre escolherei você, em cada existência eu escolherei você</t>
  </si>
  <si>
    <t>miley cyrus &amp; her dead petz is the best album ever created</t>
  </si>
  <si>
    <t>A Mischievous Little Tug Boat With Redeeming Qualities … The Dennis The Menace Of Tug Boats! 😳😬🙄</t>
  </si>
  <si>
    <t>C Developer
26 y.o</t>
  </si>
  <si>
    <t>Citywide Equitable Development Roundtable of #Chicago working for a city that transforms past harm so all can thrive. #nonpartisan</t>
  </si>
  <si>
    <t>Assistant Professor Economics &amp; Management Science @ChapmanU. Interests: econ of info systems, AI, machine learning, L1 norm, development econ 🧙‍♂️📊</t>
  </si>
  <si>
    <t>Optimistic Citybuilding // Cities should promote human flourishing in all its forms. //
Writing the Hope in Cities newsletter on Substack.</t>
  </si>
  <si>
    <t>#PLL♡you think you know people and then they surprise you. follow me on Instagram: @STEFFIDOMOND</t>
  </si>
  <si>
    <t>Defining Red Blood Cell Health</t>
  </si>
  <si>
    <t>ID Ventures supports early-stage Michigan start-ups as a member of the @InvestDet family of funds.</t>
  </si>
  <si>
    <t>Unsre Augen leuchten in den schönsten Farben; guck mal, wie wir strahlen ✨</t>
  </si>
  <si>
    <t>Just some random person who would like to remain anonymous.</t>
  </si>
  <si>
    <t>Metaverse strategy &amp; consulting @metaversemarcom, creator @AwesomeBadGuys. 2 Academy Award Films. Previous: Netflix, YouTube, PBS, Verizon.</t>
  </si>
  <si>
    <t>Your Music, Your Stations, And #1 For Podcasts! Listen to Hit Nation on iHeartRadio 👇</t>
  </si>
  <si>
    <t>Official Twitter for #Nickelodeon USA! Stream your favorite shows on @ParamountPlus</t>
  </si>
  <si>
    <t>The official Vans Twitter.</t>
  </si>
  <si>
    <t>Official account of the #AusOpen • 16-29 JAN 2023</t>
  </si>
  <si>
    <t>your sweetheart psychopathic crush. Nay-PDC</t>
  </si>
  <si>
    <t>#Iranian made .. #American packaged.. RT+ Follow ≠ Endorsement!</t>
  </si>
  <si>
    <t>Founder of @ArchCityMedia | Team Photographer for @GatewayGrizzlie | Sports, Music, Food, Movie Fan | Gamer l USN/USAF Veteran #Mission22 #GetGrizzlie</t>
  </si>
  <si>
    <t>Aries. 29 años. Profesor de Inglés. Bizarro por defecto pero feliz por mérito. Misfit y de buen corazón. #Smiler ¡Sígueme!</t>
  </si>
  <si>
    <t>🌱 delicious high-quality nutrition, made accessible to all 🙌 wellness made easy #purelyinspired</t>
  </si>
  <si>
    <t>Owner and operator of Deliciously So LLC specializing in unique and custom corporate and special event catering.</t>
  </si>
  <si>
    <t>So what? So is everyone else</t>
  </si>
  <si>
    <t>Oficial club de fans de Miley Cyrus en México!!</t>
  </si>
  <si>
    <t>We're relentless in providing breaking news, weather and traffic. Tweet us. Email news@newswest9.com. We’re listening.</t>
  </si>
  <si>
    <t>VERIFY is dedicated to fighting the spread of misinformation &amp; helping you determine what's true and what's false. Part of @TEGNA.</t>
  </si>
  <si>
    <t>Welcome to 11Alive: Where Atlanta Speaks. Here, you'll find the top stories and news from 11Alive in Atlanta. Follow us on Facebook: https://t.co/0mK58EWBhr</t>
  </si>
  <si>
    <t>We're 5 On Your Side for breaking news, weather and sports. #BeOn5 #TISL
Follow on Facebook: https://t.co/ghtwIRjEKw
Instagram:https://t.co/4rxZPxwj0p</t>
  </si>
  <si>
    <t>13News Now is part of @TEGNA and is the ABC affiliate for southeastern Virginia and northeastern North Carolina. Telling the Stories of Now.</t>
  </si>
  <si>
    <t>Headlines and breaking news from NBC affiliate NEWS CENTER Maine in Portland and Bangor, Maine. Start your tweet with #NEWSCENTERmaine to say hi!</t>
  </si>
  <si>
    <t>@WFMY News 2 delivers #BreakingNews &amp; Headlines, #TriadTraffic #NCWX @2WTK @wfmyweather #WFMYSports for Piedmont Triad, North Carolina https://t.co/2NVFyo54eo.</t>
  </si>
  <si>
    <t>We stand up for the community. We want to make life better for everyone. We celebrate all that makes West Michigan unique. We are 13 On Your Side.</t>
  </si>
  <si>
    <t>News19 WLTX is On Your Side with Breaking News, Weather and Sports from Columbia, SC. Retweets are not an endorsement. | https://t.co/LZlhk3HLnv</t>
  </si>
  <si>
    <t>Visit https://t.co/aJBBCpGyhK for news, weather, sports and information for the #NortheastOhio #NBC affiliate. #3News</t>
  </si>
  <si>
    <t>Thanks for visiting WTHR-TV, the NBC television affiliate in Indianapolis, Indiana.</t>
  </si>
  <si>
    <t>The latest news updates from your Central Texas news source.</t>
  </si>
  <si>
    <t>Official page for THV11 in Little Rock, Arkansas. Covering news, entertainment, weather and sports. 
Call (501) 244-4564 or email news@thv11.com.</t>
  </si>
  <si>
    <t>KARE 11 News, https://t.co/yzDe0XAKOQ and the KARE 11 app are the places to go for all your news, weather, sports and traffic. Part of #teamTEGNA</t>
  </si>
  <si>
    <t>Always On Your Side, First Coast News WTLV/WJXX Jacksonville, FL. Join the thousands following First Coast News.</t>
  </si>
  <si>
    <t>#ExpectMore from @FOX43 News | @FOX43Weather @FOX43Sports | 📧 news@fox43.com | 📲 717-843-0043 | Facebook: https://t.co/MVxKxbeQcd</t>
  </si>
  <si>
    <t>From our historic coverage of the JFK assassination to highlighting the biggest local stories of each day, WFAA has served North Texas for nearly 75 years.</t>
  </si>
  <si>
    <t>10 Tampa Bay (CBS, TEGNA) covers news in Tampa, St. Petersburg, Clearwater &amp; Sarasota.  News tips? 📱 727-577-1010, 📧 desk@wtsp.com or reply using @10TampaBay</t>
  </si>
  <si>
    <t>Follow us for the latest breaking news, weather, sports, and entertainment. FOX61 News - Expect More.</t>
  </si>
  <si>
    <t>Breaking news, weather, traffic, sports and all the stories that matter to you from NW Ohio/SE Michigan (and beyond). Maintained by actual humans, not robots.</t>
  </si>
  <si>
    <t>South Texas News Leader</t>
  </si>
  <si>
    <t>@WHAS11 News delivers news and information that resonates with Kentuckians and Hoosiers on multiple platforms. https://t.co/MbwzeEaknJ | News tips: assign@https://t.co/MbwzeEaknJ</t>
  </si>
  <si>
    <t>Your #1 Source for News &amp; Information | Have a news tip? Email: newstip@wnep.com | WNEP-TV (ABC Affiliate) is #ProudtoServe</t>
  </si>
  <si>
    <t>Local San Diego news, weather and sports coverage from CBS 8 / KFMB in San Diego, CA. Follow us!</t>
  </si>
  <si>
    <t>KHOU Stands for Houston.  We're relentless in providing breaking news, weather and traffic. Tweet us. Email newstips@khou.com. We’re listening.</t>
  </si>
  <si>
    <t>Boise and Idaho local news, weather and sports from KTVB, Idaho's #1 news source. Download our app for news &amp; weather alerts: https://t.co/k3UzIoVwgy</t>
  </si>
  <si>
    <t>Central Iowa's local news, sports and the most accurate weather forecast are on Local 5 News and https://t.co/vpuZK75jbp. Story ideas? Call or text us at 515-457-1026!</t>
  </si>
  <si>
    <t>Welcome to ABC10 on Twitter! We are your source for news from Sacramento, Modesto, Stockton, the Sierra Nevada and foothill communities in California.</t>
  </si>
  <si>
    <t>We work to serve the people of West Texas by creating strong relationships based on honesty and integrity.</t>
  </si>
  <si>
    <t>Your stop for breaking news, weather &amp; traffic in DC, Maryland &amp; Virginia. Story ideas? Email newstips@wusa9.com. (@CBS, @TEGNA)</t>
  </si>
  <si>
    <t>Hard Work and Determination • Local news, sports and weather in the Quad Cities • DM us with news tips or send us an email at news@wqad.com</t>
  </si>
  <si>
    <t>Experience the difference with WCNC Charlotte as we report what matters to you, resolving your big money problems, seeking solutions &amp; answering your questions.</t>
  </si>
  <si>
    <t>Central Georgia's leading news source. Follow 13WMAZ for the latest breaking news and top headlines.</t>
  </si>
  <si>
    <t>The official Twitter of 9NEWS in Denver, CO. Interact with us! #9NEWSMornings #BeOn9 #9WX We also retweet the #9NEWS team.</t>
  </si>
  <si>
    <t>At 12News, we listen, we seek, and we solve for the people of #Arizona. News tip? connect@12news.com or call/text 602-444-1212. A TEGNA company.</t>
  </si>
  <si>
    <t>Covers the latest news, weather and sports around the Inland Northwest. Based in #Spokane, Wash. Owned by @Tegna.</t>
  </si>
  <si>
    <t>We are the local news leader in Southeast Texas. See news happening? Call us at (409) 838-1212 or email us at 12News@12NewsNow.com 12News: Expect More.</t>
  </si>
  <si>
    <t>📲Text us: (903) 600-2600 | 📧Email news tips: news@cbs19.tv | 💻Facebook: https://t.co/ghzWfaVU0A</t>
  </si>
  <si>
    <t>NBC TV affiliate and Emmy and Murrow award-winning local news station in Bryan, TX. Send breaking news tips at news@kagstv.com.</t>
  </si>
  <si>
    <t>2 On Your Side is WGRZ-TV in Buffalo, NY; the news station that holds people in power accountable!</t>
  </si>
  <si>
    <t>News, weather, traffic &amp; more for Seattle and across western Washington. NBC affiliate. Email newstips@king5.com</t>
  </si>
  <si>
    <t>Breaking Stories and information from WWL-TV Channel 4, Eyewitness News, CBS affiliate in New Orleans</t>
  </si>
  <si>
    <t>Breaking news and local stories from KENS 5 - San Antonio.</t>
  </si>
  <si>
    <t>Columbus news, weather, traffic &amp; sports | Central Ohio's News Leader | #WBNS #10TV #Doppler10 #WakeUpCBUS</t>
  </si>
  <si>
    <t>Covering News Where You Live in Northwest Arkansas and the River Valley metro.</t>
  </si>
  <si>
    <t>https://t.co/JNFqrokdO2 is your community portal for the Tennessee Valley. Powered by FOX54.</t>
  </si>
  <si>
    <t>The best local news in Austin, Round Rock, and all of Central Texas! Share your pics using #KVUE.</t>
  </si>
  <si>
    <t>BLINK🖤🩷 || stream #BORNPINK || 🖤🐺👹🧣💜🌕🍄🐝⚓️🏃🏻‍♀️💓🦋💋🚀⛄️🌼😊🌺🩸🌸🚙🥑🦄🛹🏍💎💗💍🐈‍⬛📻🧸🎸🍉➗️🌹🪐🐉✨️❌️🗝🛼👑👠</t>
  </si>
  <si>
    <t>An unrelenting wind is my nemesis.  🌬🌬🌬🇺🇦</t>
  </si>
  <si>
    <t>I’m retired and spend way too much time on this app. However, here’s my 2 cents worth. It could include some expletives. Follow at your own risk.</t>
  </si>
  <si>
    <t>I like to play Sims4 and scream into the void. Cat behind a keyboard. Autistic. EDS. Fibro. Endometriosis. GenderFluid.  🔞</t>
  </si>
  <si>
    <t>Ret. News Director and Corporate Communications Officer - Aerospace Advocate and Model Railroader. Advisory Panel - Gainesville Times. Cresswind LL HOA Board.</t>
  </si>
  <si>
    <t>free palestine &amp; uyghur 🇵🇸</t>
  </si>
  <si>
    <t>🇺🇸Victor the SnakeMannn🇮🇱 Jedi Master 🇺🇸UltraMAGARepublican🇺🇸 Photojournalist Jewelry Designer R&amp;R Roadie to the Stars Clean&amp;Sober since 01/11/84 DUDE!</t>
  </si>
  <si>
    <t>For inquiries:  PR@marioandretti.com</t>
  </si>
  <si>
    <t>Funko is a pop culture collectibles company. Everyone is a fan of something! 
Follow us on: https://t.co/l1Lu3cCc7E &amp; TikTok: https://t.co/8TD5cWsH9M #Funko</t>
  </si>
  <si>
    <t>Order in Chaos</t>
  </si>
  <si>
    <t>Don't feel hopeless if I don't smile. 🐾 Captain Of The Galactic Federation. King Of The Dead &amp; Purest Lifeforce 🇹🇹</t>
  </si>
  <si>
    <t>Senior Digital Content Producer @13NewsNow. Lover of adventures, sunsets, coffee and pop punk.</t>
  </si>
  <si>
    <t>Seattle Area News Coverage: @KING5Seattle @KOMONEWS @NWCN @KIRO7Seattle @Q13Fox</t>
  </si>
  <si>
    <t>SMILER !!</t>
  </si>
  <si>
    <t>Miley Cyrus, Ariana Grande, Liam Hemsworth, Cody Simpson, Justin Bieber. Team Niley, Miam. @ChristieMa_ Twitter/Instagram @11NightsOctober sister account</t>
  </si>
  <si>
    <t>Foster parent, preschool teacher in a wonderful community</t>
  </si>
  <si>
    <t>On the buisness end of a beam of Despair</t>
  </si>
  <si>
    <t>gosto de mim mas não é muito confortável ser eu</t>
  </si>
  <si>
    <t>@Madonna is my big inspiration. @vh1celebrity @Vh1Music is follow me also @guyoseary @Nicolewinhoffer @boygeorge @PaulaAbdul @Interscope @Mtvawards</t>
  </si>
  <si>
    <t>Label home to Warner Music's legendary catalog, including @WarnerRecords, @AtlanticRecords, and @Parlophone Records. Follow us on Instagram @Rhino_Records!</t>
  </si>
  <si>
    <t>#MAGA #wwe #foodie #ruizingforever and a lot more!!! join us on Facebook at Stern Facebook Superfans!</t>
  </si>
  <si>
    <t>Listen to the Howard Stern Show on the @SiriusXM app ➡️ https://t.co/3eHAFN9H0J</t>
  </si>
  <si>
    <t>King of all Media. Howard 100 and Howard 101 on SiriusXm Satellite Radio.  Author, Actor, Lord of Fart Manor.</t>
  </si>
  <si>
    <t>like and subscribe.</t>
  </si>
  <si>
    <t>Spamming retweets about Miley</t>
  </si>
  <si>
    <t>Delightfully flawed &amp; wonderfully human. Twinja. Damned proud to be a Democrat. #Hoya4Life #VeepsPeeps #FacebyVoilaApp</t>
  </si>
  <si>
    <t>Juyeon Connoisseur (Fan Account)</t>
  </si>
  <si>
    <t>20 ♈︎ | A♡🧛🏽‍♀️</t>
  </si>
  <si>
    <t>NEW ALBUM THE JAWS OF LIFE OUT FEB 10</t>
  </si>
  <si>
    <t>🦋| Black Doula | mommy | IG:@yourtruthdoula | My Brother’s Keeper❤️‍🩹</t>
  </si>
  <si>
    <t>Cruelty-free in all ways, always. | @amazon @walmart</t>
  </si>
  <si>
    <t>CEO/Founder of @doncosmetics | Shop @amazon @walmart</t>
  </si>
  <si>
    <t>Breaking news, weather, entertainment, &amp; information, for Portland area; NBC affiliate; News tips: newsdesk@kgw.com or TEXT (503) 226-5088 #kgwnews #kgw</t>
  </si>
  <si>
    <t>The Jim Rome Show,Live from 9.00 to 12.00 PST Secret crush on @rinasketch (Rina Hasimito) she is so fine!! (parody)</t>
  </si>
  <si>
    <t>Audience for @TEGNA. Former #pubmedia, print beat reporter. Everywhere @ianhillmedia.</t>
  </si>
  <si>
    <t>Trader 👉🏻Ig: alejotinoco</t>
  </si>
  <si>
    <t>A Bearded Man. I make fun of serious stuff so you can laugh. USMC Veteran. Digital Art. RT’s=Pie Never Forget 911. Rooting for the asteroid.</t>
  </si>
  <si>
    <t>Follow America's #1 cable news network, delivering you breaking news, insightful analysis, and must-see videos. https://t.co/sXA1eVB5Gv</t>
  </si>
  <si>
    <t>Apex Player LFG, Controller GOAT, Looking to play more scrims and make friends along the way</t>
  </si>
  <si>
    <t>17 // ALGS SEMIS</t>
  </si>
  <si>
    <t>hi</t>
  </si>
  <si>
    <t>Fiber artist, toy maker, book obsessed, disabled, bi/pan perpetual int'l studies student, singing, tea addict who misses gardening &amp; traveling, she/her</t>
  </si>
  <si>
    <t>222 🤍 THE BADDEST</t>
  </si>
  <si>
    <t>❤Miley Cyrus❤</t>
  </si>
  <si>
    <t>INSTAGRAM:iedsonsmile</t>
  </si>
  <si>
    <t>Clinical child psychologist @UArkPsych. Studies how to help marginalized kids via relationships with parents, teachers, &amp; mentors. Opinions my own. Geaux Tigers</t>
  </si>
  <si>
    <t>Christian. Wife. Mom. Former White House press secretary. Governor of Arkansas.</t>
  </si>
  <si>
    <t>17.05.11 GHT</t>
  </si>
  <si>
    <t>♡ Mama x 3 • Holdin' it down. ♡</t>
  </si>
  <si>
    <t>Opinionated. MomLife 
Supporter of human rights &amp; equality.  Gardening FibroWarrior Sarcasm &amp; Humor GenX Survivor 
Live, love, laugh, repeat. ✝️</t>
  </si>
  <si>
    <t>The leading community of employee experience practitioners. Sister to  @cmswire. Join us live at Reworked CONNECT | May 10-12, 2023 in Austin, TX</t>
  </si>
  <si>
    <t>She made it. 
The end</t>
  </si>
  <si>
    <t>Industry Analyst, #Influencer discussing #Wireless #Telecom #5G #PrivateWireless #AI #IoT #Metaverse #PayTV #ConnectedCars #Health #B2B #Cloud #MWC23 #MWC2023</t>
  </si>
  <si>
    <t>Helping you #LiveRicher.</t>
  </si>
  <si>
    <t>Criptocarenccy</t>
  </si>
  <si>
    <t>News Director FOX54, Huntsville. Descendant of a signer of the Declaration of Independence and also Benedict Arnold. It’s complicated.</t>
  </si>
  <si>
    <t>BOOK LAUNCHED! "Creative Modes | Creative Ways"
Pursue #creativity for #innovation Writing, Speaking, Training/Coaching #ideas #imagination #design #culture</t>
  </si>
  <si>
    <t>Welcome to AbeBooks (a.k.a ABE) and our world of wonderful books. Use #foundonabe to celebrate your amazing discoveries.</t>
  </si>
  <si>
    <t>Exploring our hidden self and meanings - founded by @shunt1972</t>
  </si>
  <si>
    <t>World's largest ebook publishing and distribution platform for indie authors. Click "?" at Smashwords site for support. Follow Smashwords founder @markcoker</t>
  </si>
  <si>
    <t>The official Apple Books account. Find something good to read. No matter where you are.</t>
  </si>
  <si>
    <t>Indigo, Chapters &amp; Coles is your Canadian destination for books &amp; all gifting occasions.</t>
  </si>
  <si>
    <t>Official Twitter of Amazon Kindle.
Get a read on your personality. Discover your #Booksona now! 👇</t>
  </si>
  <si>
    <t>Tell Me What To Read, powered by Booktopia! 
We chat with the hottest personalities and favourite authors. Follow our Editorial, Podcast &amp; Youtube channel!</t>
  </si>
  <si>
    <t>📚 Free worldwide delivery on 20 million books!
📬 For all order queries, reach us at @BD_help</t>
  </si>
  <si>
    <t>The UK's no.1 bookseller. Join us for offers, news, events &amp; books. LOTS of books. For customer support please speak to @WstonesHelp</t>
  </si>
  <si>
    <t>#Promo #Venues #Events, #Bands &amp; Fans - RTs are NOT endorsements - Confirm with Venues/Artist Status of events.
#FB #Bandstanduk +   #Soundcloud #Myspace</t>
  </si>
  <si>
    <t>Another boring food critic with a Birds Eye View.</t>
  </si>
  <si>
    <t>#Educator #Researcher #EducationConsult #ManagementConsultant #SocialMediaMarketer. Inbox me for Speaking inquiries研究は日本と東アジア観光マーケティング興味あればどうぞよろしくお願いします</t>
  </si>
  <si>
    <t>A Tinkerer. Dad, Team Player, Architect, Blender Artist, Mech. Engineer, IT Enthusiast, Photographer, Machine Learning Artist, Trekkie (other sci-fi is ok too)</t>
  </si>
  <si>
    <t>Morrowind, Squad, DayZ, ARMA, LOST, Star Wars, Walking Dead, David Lynch, Wes Anderson, Parody</t>
  </si>
  <si>
    <t>🌈</t>
  </si>
  <si>
    <t>Fresh food. Fresh takes. Fresh For Everyone.
🥬🍔🍎🥑🥐🧁🥒🛒</t>
  </si>
  <si>
    <t>“I’m at a place in my life when errands are starting to count as going out.” —Anonymous</t>
  </si>
  <si>
    <t>Welcome to KYVAN® Foods! Featured on Forbes • QVC • HSN • Sports Illustrated • Buzz Feed • Eat This, Not That • The Doctors • Tag us! #KYVAN</t>
  </si>
  <si>
    <t>have fun, help others, repeat</t>
  </si>
  <si>
    <t>Proud #milspouse. Mother to a son with #autism and a daughter with many opinions. I like chocolate, cheese, and writing. DM for collabs.</t>
  </si>
  <si>
    <t>Miley Cyrus ENDLESS SUMMER VACATION - 10/03</t>
  </si>
  <si>
    <t>Latest News in Music, Sports and Entertainment | #Smilers #Maxiin #Bardigang</t>
  </si>
  <si>
    <t>Instagram: jramon.marlo /Tiktok: jramon.marlo</t>
  </si>
  <si>
    <t>Welcome to the Dynacraft universe, where technology, innovation and fashion collide. #Funonwheels</t>
  </si>
  <si>
    <t>26. A nadie le interesa mi vida pero de cualquer manera la hago pública para sentirme menos miserable. 🪬 Instagram: chrisenriquez_</t>
  </si>
  <si>
    <t>Rodan and Fields consultant</t>
  </si>
  <si>
    <t>🍕  Detroit-style, deep dish pizza 
🤤  Thick, airy, buttery crust
🤩  Edge-to-edge premium ingredients
💯  Cheesy deliciousness in 20 mins or less!</t>
  </si>
  <si>
    <t>Video game enthusiast, sports fan, Leafs, Cowboys, Rangers, Mavs, Small business owner. Ask me about all your Screen Printing and Embroidery needs!</t>
  </si>
  <si>
    <t>Creating content and connecting artists, music and brands with audiences for 20 years.</t>
  </si>
  <si>
    <t>Start clean.</t>
  </si>
  <si>
    <t>wife. mama. dog mama.</t>
  </si>
  <si>
    <t>CEO Omni Talk. @Forbes Senior Contributor Michele Tafoya’s Husband. Fmr. VP Store of the Future @Target. Stanford/Harvard Alumnus. Blog: https://t.co/fmJiHNNDMu</t>
  </si>
  <si>
    <t>Jack of all trades</t>
  </si>
  <si>
    <t>Trying 2 staying above 🌊 WITHOUT a life jaccet  🏊🏊</t>
  </si>
  <si>
    <t>Waste Connections is an integrated waste company that provides collection, transfer, disposal and recycling services. Check out our jobs and join our team!</t>
  </si>
  <si>
    <t>This is a parody account for a retailing class.</t>
  </si>
  <si>
    <t>We help more than 1 million businesses get Ready For the Workday®. This is our U.S. account. For Cintas Canada, visit @cintas_canada. 
https://t.co/ggpqAjvNtb</t>
  </si>
  <si>
    <t>The official Goodyear Tire &amp; Rubber Co Twitter account affiliated with @GoodyearBlimp and @GoodyearRacing. Wishing you all a #Goodyear.</t>
  </si>
  <si>
    <t>Science-based solutions that are tailored to help you achieve a lawn you’ll love. That’s lawn care. That’s TruGreen.
Customer Care: M-F 8:00am-5:00pm CST</t>
  </si>
  <si>
    <t>i haven’t eaten pussy since last year!</t>
  </si>
  <si>
    <t>Sports &amp; Entertainment photographer • https://t.co/nZOAeemI3J • Booking &amp; Licensing: mattrobertsphoto@me.com • Instagram: mattrobertsphoto</t>
  </si>
  <si>
    <t>OVERCOMING IMPOSSIBLE now available for pre-order at https://t.co/hA6jkU5Jig…</t>
  </si>
  <si>
    <t>📆26 y.o
📲Python Developer</t>
  </si>
  <si>
    <t>Proud father and dog owner</t>
  </si>
  <si>
    <t>Obviously not the head coach of the Pittsburgh Steelers and not a fan of minutiae. Accept and embrace me moving forward. Such is life. PARODY ACCOUNT</t>
  </si>
  <si>
    <t>Can’t talk rn I’m on a honeymoon with Jin 🫠</t>
  </si>
  <si>
    <t>45th President of the United States of America🇺🇸</t>
  </si>
  <si>
    <t>안녕하세요 하이브(HYBE)입니다.</t>
  </si>
  <si>
    <t>i watched the taekook ig live in real time with my own eyeballs</t>
  </si>
  <si>
    <t>There is always one person in a relationship who loves more, cares more, cries more, gets hurt most and even forgives more.</t>
  </si>
  <si>
    <t>Nostalgia ✨ Conheça minha drag queen Hannah Montada no Instagram ⚡️ Ouça minha música link na bio 💕 +250K no tiktok</t>
  </si>
  <si>
    <t>ENDLESS SUMMER VACATION. THE ALBUM. OUT MARCH 10.</t>
  </si>
  <si>
    <t>🛹Skateboard lover
Web3 enthusiast</t>
  </si>
  <si>
    <t>The official Twitter account of UCLA Anderson.
"Make each day your masterpiece."
- Coach John Wooden</t>
  </si>
  <si>
    <t>The official Twitter for #SharkTank on @ABCNetwork. New episodes every Friday. Stream on Hulu! 🦈</t>
  </si>
  <si>
    <t>The right allergens at the right tim
🥜A guided system for 9 top allergens
🥣Oatmeal &amp; Mix-Ins
👩‍⚕️Pediatrician Recommended
🦈As seen on Shark Tank!</t>
  </si>
  <si>
    <t>The official account of the #UCLA Alumni Association. Supporting more than 500,000 #BruinProud #UCLAalumni worldwide. IG: @uclaalumni</t>
  </si>
  <si>
    <t>queens Iggy Azalea &amp; Kim Petras follow- Singer, Actress, Model, Lovatic, Selenator, Smiler/Met Miley, Arianator, Tizzie, Duffster, Swiftie, Rexhar, Poppyseed</t>
  </si>
  <si>
    <t>7x AWL</t>
  </si>
  <si>
    <t>Warrior of Law, Tribal Judge 23 yrs (Ret. 4 now) —Teacher, Writer, Relative, Friend; Educated, Experienced, Edited &amp; Exhausted! aka Joey Thomas/Judge Flies-Away</t>
  </si>
  <si>
    <t>Follow along for all the latest company news and updates. For customer service queries, please follow @Ask_WellsFargo.</t>
  </si>
  <si>
    <t>🇲🇽 MKT enthusiast📊 @fcbarcelona⚽️ • Respiro, como y vivo FÚTBOL • Me río por todo • Professional napper • #NiUnaMenos • Miley freak • Siempre Messi</t>
  </si>
  <si>
    <t>Child of God. Wife. Mom.🔺. Professional Jaguars Commentator. Fantasy Football connoisseur. Rihanna fan. 3 John 1:2.</t>
  </si>
  <si>
    <t>44 Y/O~History Geek~Alabama Fan~Moved to Arkansas 2016~I'm my own political party.</t>
  </si>
  <si>
    <t>they/she 23 🐻🐼🦖🦕</t>
  </si>
  <si>
    <t>Just an old lady looking to voice opinions, check out dogpages and baseball pages... 
Independent thinking. 
I believe in open discussions all points of view.</t>
  </si>
  <si>
    <t>Marine Vet and Ron Paul Activist</t>
  </si>
  <si>
    <t>Official Poshmark Support for all U.S. inquiries.  Need an answer fast? ➡️ https://t.co/qZstEMDtDd</t>
  </si>
  <si>
    <t>Poshmark is the #1 way to buy and sell fashion. Get the app ⬇️ 
Need support? Tweet our team @PoshmarkSupport.</t>
  </si>
  <si>
    <t>Award-winning author - seasoned journalist for 20+ years - Out Of Shadows &amp; Slave Princess - Pizzagate is real</t>
  </si>
  <si>
    <t>My mom says I'm cool</t>
  </si>
  <si>
    <t>20🍂</t>
  </si>
  <si>
    <t>+Am I the only one I know, waging my war behind my face &amp; above my throat?/Alone, I'm gonna change my circumstance, I know, I need to move right now!</t>
  </si>
  <si>
    <t>Co-founder of @Mythical. Glassesed half o' Rhett and Link (He/Him)</t>
  </si>
  <si>
    <t>Co-founder of @mythical. PRE-ORDER Album "Human Overboard" on Vinyl Now at https://t.co/QzQhmSeGFk</t>
  </si>
  <si>
    <t>Home of #GMM, Rhett and Link, and everything else #Mythical 🧔🏼@rhettmc 👓@linkneal 👕 @mythicalstore 👨‍🍳@mythicalchef</t>
  </si>
  <si>
    <t>⭐🌟 T͙r͙u͙e͙ u͙l͙t͙i͙m͙a͙t͙e͙ H͙O͙P͙E͙ 🌟⭐
Kin: 𝒩𝒶𝑔𝒾𝓉𝑜 𝒦𝑜𝓂𝒶𝑒𝒹𝒶
Please read my card(pinned) 
Democratic She/her
bi-curious(Fairy)
✡️</t>
  </si>
  <si>
    <t>Environment America is a policy and action group with one mission: to build a greener, healthier world.</t>
  </si>
  <si>
    <t>چلو جی</t>
  </si>
  <si>
    <t>aka Cleopatra Sims aka Khadijah James aka rap's first feminist aka Queen of Rap 
Suffering from a severe case of L'esprit de l'escalier
Cash App: $SaraJongUn</t>
  </si>
  <si>
    <t>Beautiful, simply does not describe the incomparable force known to the world as Patti LaBelle. Who has become synonymous with grace, style, elegance and class.</t>
  </si>
  <si>
    <t>Smiler, Gamer e algumas coisitas mais...</t>
  </si>
  <si>
    <t>✨UGC &amp; Tiktok Creator | Southern Mama | Beauty, Fashion, Lifestyle Content #ugccreator | priscillapayne.biz@gmail.com | Tiktok: @itspriscillalpayne</t>
  </si>
  <si>
    <t>makeup made at smashbox studios 📷 cruelty free always 🐰</t>
  </si>
  <si>
    <t>actor | comedian | entertainer | director | producer | writer | host put god 1st</t>
  </si>
  <si>
    <t>🇺🇸 Ret. Veteran, Co-founder United Wings of Liberty https://t.co/YJlVKef4Zb #UWOL https://t.co/nalC8LF0Fp #CHC #HereWeGo</t>
  </si>
  <si>
    <t>I love Power Rangers, Marvel, DC, and anything Pop Culture.</t>
  </si>
  <si>
    <t>IG anjuli_fitforlife TT anjuli_mack</t>
  </si>
  <si>
    <t>#nfts
26 years old</t>
  </si>
  <si>
    <t>Let’s get physi-cool | fan account</t>
  </si>
  <si>
    <t>Clinical Psychologist (Gero, Neuro), Caribbean Thoroughbred Aftercare (501c3) co-founder, Wife, Mom, Animals, Nature, Vegetarian, Exercise☺️ *Views are my own*</t>
  </si>
  <si>
    <t>OTTB Owner, Attorney, RN, teacher, HR Leader, horse loving gal - racing, riding, polo, horse rescue, and retirement, and hanging with horse loving people!</t>
  </si>
  <si>
    <t>Longtime non-profit leader trying to be a lifelong learner. That's what I do. Son of God, husband to one, father to four. That's who I am.</t>
  </si>
  <si>
    <t>Chicken. Joy. Delivered.</t>
  </si>
  <si>
    <t>Family man, Episcopalian, Supply Chain IT, former Bison, loves making firewood, lives on farmette in VA. Feed mostly used for Lipscomb and mid-major basketball</t>
  </si>
  <si>
    <t>Tech product marketer and community lead into gaming, Web3 and marketing news | Advocate of BIPOC in tech | Surfer 🌊 based in Cali</t>
  </si>
  <si>
    <t>content creator • podcaster • mama • wife • blogger • be the person you needed 🤞🏽🤍</t>
  </si>
  <si>
    <t>I've never felt remorse...I feel bad about that. Apple fanboy, Starbucks coffee snob, DC Comics, long suffering Mets/Jets/Knicks fan. adburrows28 on Instagram</t>
  </si>
  <si>
    <t>Degenerate “Comedian” my humor can be very dark or gross so enjoy, or don’t #STBR</t>
  </si>
  <si>
    <t>The needs of the many can suck my cock. The Federation is a bunch of commies. Dr Thunder consumer ⚡️⚡️ William Shatner re-tweeted me one time then blocked me</t>
  </si>
  <si>
    <t>28 LEO | ATL 📍 | Information Technology Specialist 💻  Former Pro ⚾️ Love cars 🏎 Foody 🌮🍔🍟🍣</t>
  </si>
  <si>
    <t>New York Giants🏈/New York Yankees⚾️/New Jersey Devils🏒/Milwaukee Bucks🏀 | Twitch Streamer 👾 | Xbox, Nintendo, PC Gamer🎮 | Star Wars, Marvel, Pokémon</t>
  </si>
  <si>
    <t>#cryptoart
20 y.o</t>
  </si>
  <si>
    <t>elon loves Russian chooch</t>
  </si>
  <si>
    <t>The NRA is America's longest-standing civil rights organization. #NRA #2A</t>
  </si>
  <si>
    <t>Philippines. Gamer, Anime Otaku, Total Geek, Collector, Storywriter, Cartoonist and #SmashBros fan.</t>
  </si>
  <si>
    <t>⚡️GAME-CHANGING ENERGY! ⛽️ FUEL YOUR: 🎮 Gaming 💪 Fitness 💼 Work 🌎 Lifestyle</t>
  </si>
  <si>
    <t>POWERED BY @gfuelenergy (@drinkctrl use code: 10ICARRY) ❤️to stream,create content and enjoy life💯 Tiktok:icarryog Twitch:icarryog</t>
  </si>
  <si>
    <t>Hey I’m married an Xbox streamer affiliate on twitch I do you like to talk about comic superhero TV shows video games movies anime</t>
  </si>
  <si>
    <t>Patient Centered Endocrinologist</t>
  </si>
  <si>
    <t>Gamer</t>
  </si>
  <si>
    <t>Cosplayer | Content Creator | Powered by @GFuelEnergy: use code HYDE  | Overwatch League Fan |
✉️ Contact Email: misshydebusiness@gmail.com</t>
  </si>
  <si>
    <t>M$dantewillcry      cashapp : $dantewillcry</t>
  </si>
  <si>
    <t>Apmix/Apmix Playz
(App-Mix)
Addicted to GFuel
Anime Lover, Manga Collector, &amp; Fighting game lover
https://t.co/3PUyva7abo
https://t.co/D6QwS6GN8r</t>
  </si>
  <si>
    <t>•Devin Franklin
•OTA
• Roll Tide, ThunderUp
•I Fish....ALOT
•Married/Katelyn
•Father/Ayla</t>
  </si>
  <si>
    <t>Wife, dog mom, body positivity advocate, small business owner. $atlayton</t>
  </si>
  <si>
    <t>🏳️‍⚧️ | ♥ @ThatsBiaze | 
Real Saccharine, Multiseason Silver ADC</t>
  </si>
  <si>
    <t>Owner of @DontPanicLV . |Twitch affiliate| 
Be sure to check the link in my bio for all my social's and official DPG merch!!</t>
  </si>
  <si>
    <t>Movie review</t>
  </si>
  <si>
    <t>Miley Cyrus fan</t>
  </si>
  <si>
    <t>Warzone Streamer/Content Creator | Code ‘CODJUNKIE’ @CinchGaming @Jerkypro #LARams #CODisLife #GFUEL | Business Inquires: CODJunkiesDotCom@Gmail.com</t>
  </si>
  <si>
    <t>TikTok:Buchananbunch4 snapchat:buchananbunch4     https://t.co/ZSKJpK1Ftf</t>
  </si>
  <si>
    <t>🅂🄼🄸🄻🄴🅁
ℕ𝕠 𝕣𝕖𝕞𝕠𝕣𝕤𝕖, 𝕟𝕠 𝕣𝕖𝕘𝕣𝕖𝕥.
𝕀 𝕗𝕠𝕣𝕘𝕚𝕧𝕖 𝕖𝕧𝕖𝕣𝕪 𝕨𝕠𝕣𝕕 𝕪𝕠𝕦 𝕤𝕒𝕚𝕕.</t>
  </si>
  <si>
    <t>exploring blue chirpy views my own</t>
  </si>
  <si>
    <t>2023 season kicks off on Feb. 25th | En español: @MLSes</t>
  </si>
  <si>
    <t>YouTube channel that talks a lot about the USMNT 🇺🇸. Pep Guardiola is my BFF. Account managed by @thefilipposilva 🇧🇷🇺🇸</t>
  </si>
  <si>
    <t>Our Wines Pair with Your Lifestyle</t>
  </si>
  <si>
    <t>Total Wine &amp; More is America‘s Wine Superstore® Loving wine, beer, spirits and cigars since 1991. Got to be 21+ to follow.</t>
  </si>
  <si>
    <t>Easy, fresh and affordable...You can count on Food Lion!</t>
  </si>
  <si>
    <t>miley's deadest pet • miley, ari, a&amp;a, mitski • i block miley antis #BlackLivesMatter #StopAsianHate #IStandWithUkraine 🇺🇦 #FreePalestine</t>
  </si>
  <si>
    <t>Just a guy that like that Elon Muck brought back Trump and stopped the hate.</t>
  </si>
  <si>
    <t>Christian, Mother, American, Business Owner, and Congresswoman representing Georgia’s 14th District</t>
  </si>
  <si>
    <t>News, Sports, Boxing, Football, Champions League, Wrestling, most of all NFFC</t>
  </si>
  <si>
    <t>Powered by GFuelEnergy 
Real name: Youna
Proud Armenian 🇦🇲
Dream Car: Ford Mustang Dark Horse (500+ HP) 🖤🐎</t>
  </si>
  <si>
    <t>📌 🇬🇧Birmingham
26 y.o</t>
  </si>
  <si>
    <t>Nick - CoD Streamer &amp; CC for @RisingNorCal_ ✨ | LIVE DAILY on Twitch! | 🖤412💛 | Metal Head 🤘🏻| #MFAM | #HereWeGo | #LGP🐧</t>
  </si>
  <si>
    <t>The Lab behind @GFuelEnergy 👨🏻‍🔬</t>
  </si>
  <si>
    <t>https://t.co/6r2XJpJ8Qa vouch #midas95legit cosplaying as Helsie will result in me having s3x with you</t>
  </si>
  <si>
    <t>Green hearts and shopping carts. Let’s talk #Publix. 💚🛒</t>
  </si>
  <si>
    <t>Pitt 2021</t>
  </si>
  <si>
    <t>Mac/IOS &amp; *nix user; ex-social worker &amp; sysadmin; married; 3 stepkids.</t>
  </si>
  <si>
    <t>❤️ A talaxian looking for love at any cost 💰
Just an edgy parody account
#STBR
#SuperStraight
#IncelLivesMatter</t>
  </si>
  <si>
    <t>80's Sexual Icon.
Cooler than He-Man.
Overlord of Evil 
Amatuer Parody Shit Poster 
Tell your Mom I'll be over tonight.</t>
  </si>
  <si>
    <t>405 @UCOBaseball @stwpioneersport</t>
  </si>
  <si>
    <t>hi i'm jenna and and i</t>
  </si>
  <si>
    <t>The official Twitter account for The Pokémon Company International. Catching 'em all since '96! 
❤️💜 https://t.co/UimWPfwLRo…</t>
  </si>
  <si>
    <t>@DallasCowboys WR 🏈 | Amatur Boxer 🥊 | Biznessman 💰| Adult Film Acter 🎥 🍆 🍑| Kallsign #PussyMagnet 😎 @usnavy 🇺🇸</t>
  </si>
  <si>
    <t>Hard workin American who sapports the 2nd Amendment, tired of all the skum n this cuntry! #MAGA 🇺🇸</t>
  </si>
  <si>
    <t>Brightest star brighter than ever.....</t>
  </si>
  <si>
    <t>Girl Dad and Husband, thankful for family!  Games, caffeine, and here mainly to meet people through game interest and other interesting interest like caffeine.</t>
  </si>
  <si>
    <t>After a car accident, runaway teenager wakes up in a nursing home as one of its 80-year-old residents ~ Written &amp; Created by @SholaLawrence Out on Prime Video</t>
  </si>
  <si>
    <t>Collector
#Mocaverse</t>
  </si>
  <si>
    <t>• fan account • a crowded room where nobody goes 🎶 • (active era) •</t>
  </si>
  <si>
    <t>mom of 1, sports fan, foodie, beauty enthusiast, BTS ARMY 💜</t>
  </si>
  <si>
    <t>Award winning Parent, Travel &amp; Entertainment Blogger! I talk about adoption, parenting, and do product reviews. HuffPo Disney Blogger. https://t.co/8Z4P7IMnFy</t>
  </si>
  <si>
    <t>The official Aldi UK Twitter page. This week our Social Media Team are available Monday to Friday 8am-8pm, Saturday 8am-6pm and Sunday we are closed.</t>
  </si>
  <si>
    <t>Married, mother &amp; grandmother to 4 beautiful grands. Curry class of 94. Wahoo 4 life. Lovin’ being retired.</t>
  </si>
  <si>
    <t>Proud Principal of Carroll T. Welch</t>
  </si>
  <si>
    <t>Always do what is best for kids because  Kids Deserve It!  
2018 National Distinguished Principal
Proudly Serving the Clint ISD Community</t>
  </si>
  <si>
    <t>CTW 🐾 SEL/PBIS Lead Teacher, Google certified</t>
  </si>
  <si>
    <t>Honored to be Assistant Principal at Carroll T. Welch Elementary 🍎</t>
  </si>
  <si>
    <t>Assistant Principal, Athlete for Life, Chef - if I wasn’t an Educator.         Time is a gift - so use it wisely!</t>
  </si>
  <si>
    <t>P.E. Coach at Carroll T. Welch Elementary</t>
  </si>
  <si>
    <t>Panthers are Respectful, Responsible, and Safe! #ctwpantherpride</t>
  </si>
  <si>
    <t>We accept the love we think we deserve. May the force be with you. Wakanda Forever.🎨💜🚀❤️‍🔥🥳🖤🦋</t>
  </si>
  <si>
    <t>Your best source for Miley Cyrus Spain! Follow for the latest updates. ☮ Mιley Cyruѕ ☮ ~ ❤ Radιate Love ❤</t>
  </si>
  <si>
    <t>SAVE A HORSE, KEEP YOURS FOR LIFE! 
And, another thing:
A horse doesn’t need to be useful to a human to deserve its life. 🥰</t>
  </si>
  <si>
    <t>Conner's Mother, Country Music Fan. Will travel for LIVE 🤠🤠 Music. Love making new friends at concerts! UNC fan</t>
  </si>
  <si>
    <t>Alt-Rock Music • @bigloud</t>
  </si>
  <si>
    <t>Producer 🎹 Singer/Songwriter 📝 Influencer 📸</t>
  </si>
  <si>
    <t>28 | Tatted up high on @mileycyrus |</t>
  </si>
  <si>
    <t>Get breaking news and Storm Team 4 weather updates. Plus stories from New York's biggest investigative unit. News tip or question? tips@nbcnewyork.com</t>
  </si>
  <si>
    <t>Leading media law trainer and consultant. Commentator on law for TV and radio. Author and journalist. Cymro.</t>
  </si>
  <si>
    <t>Official Twitter account of the #USNavy. (Following, RTs and links ≠ endorsement)</t>
  </si>
  <si>
    <t>Journalist at the intersection of power, money &amp; corruption. NYT bestselling author. Host/reporter of "Chasing Ghislaine." Substack: "Vicky Ward Investigates."</t>
  </si>
  <si>
    <t>Your source for the best phones, streaming, apps, headphones, deals, and more. If you buy our editorially chosen picks, we may earn an affiliate commission.</t>
  </si>
  <si>
    <t>Features @AndroidAuth | 🇱🇧 🇫🇷 | Ex pharmacist, ex @AndroidPolice | Android, tech, smart home, health, sports, Eurovision | Tweets in EN, FR, AR</t>
  </si>
  <si>
    <t>#زمارة 40.8007° N, 73.8981° W 153 W 57th St New York, NY @didyouwatchthemovie@gmail.com</t>
  </si>
  <si>
    <t>We are the Nation's first line of defense. We accomplish what others cannot accomplish and go where others cannot go.</t>
  </si>
  <si>
    <t>@askebay</t>
  </si>
  <si>
    <t>Shawty ♛ ॐ</t>
  </si>
  <si>
    <t>Myself</t>
  </si>
  <si>
    <t>I love my kiddos wine🍷 music🎶🎵 being crazy basketball🏀and football🏈</t>
  </si>
  <si>
    <t>#PutYouOnGame 🎮 #Interviewer 🎙 #YouTuber #Artist 🎤 | | $EggSwiffyShady86 | | https://t.co/pI8qmYwSnN</t>
  </si>
  <si>
    <t>God’s toughest soldier ✨ Mom of two beautiful gifts from God ✨Educator #epilepsywarrior ❤️ 🙏 M$mstinamarii</t>
  </si>
  <si>
    <t>FAN ACCOUNT // 21</t>
  </si>
  <si>
    <t>-E list youtuber ig
-World's #1 pokemon fan
Don't follow</t>
  </si>
  <si>
    <t>Amazed by the hypocrisy. Proud Progressive, Liberal, Politically Correct American.</t>
  </si>
  <si>
    <t>Gabby and Donovan's proud Mom;  hockey fan, feminist, proud Canadian, brain injury survivor, mental health advocate.       All tweets are my own</t>
  </si>
  <si>
    <t>Creating a world where people with disabilities are free to be.
To support, email donate@djno.ca</t>
  </si>
  <si>
    <t>American Woman</t>
  </si>
  <si>
    <t>💫Owner of @VarietyOfVibez LLC! 💻9-5er! 🤑I share ways to make💰online &amp; on my📲! My blogs: @ReferralQueen_ &amp; @iPhoneCashCow! 🔜@BlackInBizzness @NicheUnlocked</t>
  </si>
  <si>
    <t>Shaman. Rabbit Hole Explorer. Anarcho-Spiritualist. Independent Researcher of the Esoterica and Truth</t>
  </si>
  <si>
    <t>Tracfone Wireless delivers unlimited talk and text plans that fit your life starting as low as $15/mo with no contracts. See terms.</t>
  </si>
  <si>
    <t>⋘ InfoSec then/now MS. Android geek . ΜΟΛΩΝ ΛΑΒΕ . † . true libertarian . MHI Monster Hunter . Chaotic Neutral Chimæra ⋙</t>
  </si>
  <si>
    <t>@SamsClub member support. Have a question? Need assistance? We're here to help.</t>
  </si>
  <si>
    <t>Music lover of all eras. Palaye Royale, FOB, TØP, YUNGBLUD, IDKHOW. Currently aspiring to be a writer. SAW PALAYE 11/6/22 🥰🎧💕</t>
  </si>
  <si>
    <t>Learn how to do something. Learn it well. Make sure that something is something that makes you someone....</t>
  </si>
  <si>
    <t>Construction, Sports &amp; ENT. Hound</t>
  </si>
  <si>
    <t>Zanfel® Poison Ivy, Oak &amp; Sumac Wash is a safe and effective topical solution for poison ivy, oak, and sumac.</t>
  </si>
  <si>
    <t>Christ follower, husband, father of 3 munchkins, Data &amp; AI Specialist @Microsoft, author, blogger, speaker, interested in #Azure - Opinions are my own</t>
  </si>
  <si>
    <t>Gamer. Dad. Check out my twitch @ https://t.co/0JgT4gizmQ
Xbox - TweakX 
PS - TweakX-A176</t>
  </si>
  <si>
    <t>Trash Can Gamer. Forever a San Jose Sharks and Minnesota Vikings fan. Typical WRX driver. Live Fast Die Fast. #FreeMelee</t>
  </si>
  <si>
    <t>Eagle Scout | UTSA &amp; UF Alum | #SMSports #Olympics Enthusiast | Freelance photographer #LA28</t>
  </si>
  <si>
    <t>I love entering sweepstakes and contests. OLS Member!!!</t>
  </si>
  <si>
    <t>✌️</t>
  </si>
  <si>
    <t>Thomas Falls MD is an orthopedic surgeon specializing in complex reconstruction. #Travel and nature #photography with any spare time.</t>
  </si>
  <si>
    <t>The only official ABC News Twitter account. Download our new mobile app: https://t.co/6WupJH6wUx</t>
  </si>
  <si>
    <t>The economy explained. Subscribe to our two podcasts: Planet Money and our short, daily show, @TheIndicator.</t>
  </si>
  <si>
    <t>Official handle for Chase. For customer support, Tweet @ChaseSupport. https://t.co/OnnV42OBrP</t>
  </si>
  <si>
    <t>Actress/Model/Realtor ~ If you’re in the Market to Buy, Sell or Lease a Home, Condo, Land or Apartment. DM Me ! 🏡📝</t>
  </si>
  <si>
    <t>✌🏻 ❤️</t>
  </si>
  <si>
    <t>Footballer, Wrestler, Soldier, Bouncer, Bodyguard &amp; actor. Professional Pitier Of Fools. Instagram: @officialipitythefool</t>
  </si>
  <si>
    <t>WWE Hall of Famer, Christian, Husband, &amp; Father. Matthew 16:26. FB/IG/TIKTOK: @MDMTedDiBiase</t>
  </si>
  <si>
    <t>WWE 💋#ESTofWWE💋 Bianca Blair Crawford WIFE💍MRS. @Montezfordwwe ❗️Youtube Page &amp; MORE Click Link Below❗️</t>
  </si>
  <si>
    <t>The Eradicator. Judgment is upon us. ⚖️👹 PAPI… MAMI?</t>
  </si>
  <si>
    <t>Brian Myers (@Myers_Wrestling) &amp; Matt Cardona (@TheMattCardona) discuss wrestling figures in this weekly podcast!
For business inquires: majorpodcast@gmail.com</t>
  </si>
  <si>
    <t>Opinions are my own, not that of my employer.</t>
  </si>
  <si>
    <t>In a world of right-hand turns, I rented a helicopter.  I'm the guy everyone calls when Google can't find it.  https://t.co/Cb0JKhOScp</t>
  </si>
  <si>
    <t>favorite series Outlander favorite actor SamHeughan/  favorite singer Justin Bieber</t>
  </si>
  <si>
    <t>Wife | Fur Momma | Christian Romance Author
My Redeemer lives.
Heaven is my home; I'm just here to recruit.</t>
  </si>
  <si>
    <t>Spinster &amp; Lunatic. Nursing student. Classics nerd. Human magpie. Moon lover. Cat mum. she/her #antisocialite #classicstwitter #mushertwitter #uglydogs</t>
  </si>
  <si>
    <t>SMILER😜 ~ Bardi Gang🤟🏽 @MileyCyrus @Iamcardib</t>
  </si>
  <si>
    <t>Well I'm Jordan ! you may call me Levi or Zekon. I love the color Blue, my favorite animal is the Wolf. 
cashapp; $Zekonurlos
*Taken
*Aquarius</t>
  </si>
  <si>
    <t>🌸 FLOWERS out NOW</t>
  </si>
  <si>
    <t>🖕🏼𝐲𝐨𝐮𝐫 𝐨𝐩𝐢𝐧𝐢𝐨𝐧𝐬 • 𝐈 𝐛𝐚𝐬𝐢𝐜𝐚𝐥𝐥𝐲 𝐭𝐰𝐞𝐞𝐭 𝐰𝐡𝐚𝐭 𝐈 𝐰𝐚𝐧𝐭 𝐰𝐡𝐞𝐧 𝐈 𝐰𝐚𝐧𝐭 , 𝐉𝐮𝐬𝐭 @ 𝐦𝐞 𝐛!𝐭𝐜𝐡𝐞𝐬💋</t>
  </si>
  <si>
    <t>welcome to my hyperverse 👽
MILEY RETWEETED 06/06/2019</t>
  </si>
  <si>
    <t>hannah raised me, miley made me — fan account 🇵🇰</t>
  </si>
  <si>
    <t>$zhladik88 #CashAppInBio @cashapp</t>
  </si>
  <si>
    <t>I saw Miley live 7th June 2014 (Bangerz Tour) and 28th June 2019 (Tinderbox) and I met her 27th June 2019. I’m done with my life.</t>
  </si>
  <si>
    <t>MILEY STAN ‘06 @mileyworld follows|REP-RED-Evermore ‘07 Swiftie TNx1|Marvel NERD|Wanda’s Lawyer &amp; Nat’s Resurrectionist||Scarlett &amp; Lizzie||WinterWidow |INFP-T|</t>
  </si>
  <si>
    <t>Miley Cyrus Stan. Tratamos de publicar todo en español.
Charts, memes, datos curiosos, noticias entre mucho más.</t>
  </si>
  <si>
    <t>9 9 9 🖤 | Streamer | WWE Fan | 21 | GFUEL The Goat 🐐</t>
  </si>
  <si>
    <t>Whiskey &amp; Chicken loving man living in Georgia! Pinky Fingers in the air!</t>
  </si>
  <si>
    <t>Chili's official support handle. Here to help 24/7. ♥️</t>
  </si>
  <si>
    <t>A nonprofit food distribution center for agencies feeding hungry people in 26 counties in MO &amp; IL. If you need food or SNAP assistance, we're here to help.</t>
  </si>
  <si>
    <t>Erly retired old YouTuber and computer gamer. I enjoy life :-) #MongoTV #MongoNews #MongoTube #MongoMedia #MongoSpace #MongoDrones</t>
  </si>
  <si>
    <t>Host of America's largest weekend #radio show on 510+ stations. #Tech writer for @FoxNews, @USAToday and @Gannett!  affiliate links = small commission.</t>
  </si>
  <si>
    <t>Started collecting Action Figures just before the whole Covid shutdown. Kept on collecting along w/the rest of toy hobby community. Kid of the ‘80’s good times.</t>
  </si>
  <si>
    <t>Creating the world's best play and entertainment experiences.</t>
  </si>
  <si>
    <t>What doesn't kill you makes you stronger.
#Smiler 2009</t>
  </si>
  <si>
    <t>very gay | i be on here lyin | oh, this is a pro-ho stan account btw | she/her</t>
  </si>
  <si>
    <t>Nashville performing artist (soon to be recording) Blues/Rock n Roll/Country</t>
  </si>
  <si>
    <t>Blended family of 8, love cooking, spending time with my family and making people laugh #JamFam</t>
  </si>
  <si>
    <t>Mom of 3. Wife. Just living life</t>
  </si>
  <si>
    <t>Love people, fun, travel, have had a great life that includes friends, family , horses, horse racing, gardening and Nascar.</t>
  </si>
  <si>
    <t>Huge fan of all things Nintendo &amp; Anime!
Always open for a good chat.
Stream occasionally.
Husband of YouTuber, GhoulishGal.
Walmart Manager.</t>
  </si>
  <si>
    <t>26. yearly update to change my age lol || my life is a whole ass mess idk what I'm doing 𝕝𝕠𝕝 𝕙𝕖𝕝𝕡 𝕡𝕝𝕤</t>
  </si>
  <si>
    <t>I go #Viral a lot so there's that.... #MadViral I am the secret weapon. Shhhhh..... Disclaimer: Retweets are not endorsements. Don't shoot the messenger.</t>
  </si>
  <si>
    <t>The BALDEST, most amazing storyteller of all time! #Actor #SAGAFTRA #IMDb #Alopecia</t>
  </si>
  <si>
    <t>Just an Old lady on a farm, Wife, Mother, &amp; American</t>
  </si>
  <si>
    <t>The bad guys can't steal your soul or corrupt your spirit w/o your consent. They don't want your to know that. Resist! Stand! Agape is your strongest weapon.</t>
  </si>
  <si>
    <t>A March For Our Lives founder and board member contactdavidhogg@gmail.com</t>
  </si>
  <si>
    <t>Geboren Deutschland, raised in Wisconsin, Alaskan Native. Wiingaa Yuperra.</t>
  </si>
  <si>
    <t>Sci-fi explorers to crime solvers, reality stans to sports fans, families to kids at heart, #ParamountPlus has got a fandom waiting to welcome you! 💙🫂</t>
  </si>
  <si>
    <t>talk your talk and go viral, i just need this love spiral ミ☆ |-/ ♀️</t>
  </si>
  <si>
    <t>Unrepentant geek girl. Currently on health hiatus from a moderately successful writing career. I tweet a lot- fair warning ;-) Reformed "bluecheck"</t>
  </si>
  <si>
    <t>Retired MD followed by @michellemalkin @govmikehuckabee @cvpayne @heritage @corybooker @greygoose @makersmark @braves @joy_villa &amp; blocked by @boygeorge</t>
  </si>
  <si>
    <t>Man Up ‘Merica! Official twitter of the podcast REMASCULATE w comedian Steve Mudflap McGrew listen at https://t.co/yGreL6Negf</t>
  </si>
  <si>
    <t>Bridging the gap between #art and #fun for everyone since 1987!😎
Share your creations with us using #FunWithArtSkills #ArtSkills</t>
  </si>
  <si>
    <t>✨Believer✨ Marketing, Sales &amp; Event Industry Pro | Animal Lover | Designer | Foodie</t>
  </si>
  <si>
    <t>#Weed saved me; I'm the 1 &amp; only Justin #Murphy🍀#ProFighter🥊#MasterArtist 🎨I lived a 1000 lives &amp; i will live 1000 more 🎑open-minded #EdgarPoe 
#Capricorn ♑</t>
  </si>
  <si>
    <t>Watching guard over the Upstate.</t>
  </si>
  <si>
    <t>Comprehensive High School in Laurens, South Carolina
Laurens District 55 High School will be a school of excellence in education for each learner.</t>
  </si>
  <si>
    <t>$Sneed210 |ILLHoodie PF | 2K League Prospect |Sponsored by @SSWIGAMENATION | #RRNATION | Hawks | Falcons | Warriors</t>
  </si>
  <si>
    <t>But I don't want to cure cancer. I want to turn people into dinosaurs. (he/him)</t>
  </si>
  <si>
    <t>We’re the world’s largest retail trade association. Every day, we stand up for the people, policies and ideas that help retail thrive.</t>
  </si>
  <si>
    <t>Passionate about improving our world. Strategist. Change agent. Coach. CSR, ESG &amp; Sustainability advocate. Retail fan. **Tweets my personal opinions**</t>
  </si>
  <si>
    <t>Already in Love.</t>
  </si>
  <si>
    <t>/ˈintrəˌvərt/</t>
  </si>
  <si>
    <t>Your new besties Bethany &amp; Amanda, sharing the best of Walmart since 2013! 🥳 Check out our magazine in ALL Walmart stores!</t>
  </si>
  <si>
    <t>Just a guy known to play music, poker &amp; the odds.
Singer/Songwriter
Father to non-verbal autistic angel &amp; her mouthy sis.
4X ASU Intramural Pickleball Champ! 😆</t>
  </si>
  <si>
    <t>American Association of People with Disabilities (AAPD) #EconomicPower &amp; #PoliticalPower of #PWDs. Retweets do not equal endorsements. Instagram: aapdofficial</t>
  </si>
  <si>
    <t>Automobile startup, https://t.co/Kg5syaNeRi, 3D Printing, Physics, F# Game Engine + Game includes 3D Calculus GameEngine, Cloud Dev, STEM, Democracy, U.S. Citizen</t>
  </si>
  <si>
    <t>I’m Nate. Lost in arts and craft, in support of active like minds. Author of all images. RT’s belong to their respective owners.</t>
  </si>
  <si>
    <t>Caterpillar wrangler, middle-aged woman with a high 2 year old index, full contact gardener, ARNP</t>
  </si>
  <si>
    <t>Unknown</t>
  </si>
  <si>
    <t>NOT actually RH. Just a parody of their horrible customer service.</t>
  </si>
  <si>
    <t>The Supermarket Low Price Leader®, Follow us if you like saving money. Founded '67. Employee-Owned Since '85.  Located in AZ, CA, ID, MT, NV, OK, OR, TX, UT, WA</t>
  </si>
  <si>
    <t>Whether it's your dream home or your first home, we have everything you need. Follow us for tips, ideas &amp; savings! #DIY #saveBIGmoney</t>
  </si>
  <si>
    <t>Hobby Lobby is an industry leading retailer offering more than 70,000 arts, crafts, hobbies, home décor, holiday, and seasonal products.</t>
  </si>
  <si>
    <t>tech. lifestyle. marketing lead at @wristcam</t>
  </si>
  <si>
    <t>🏳️‍🌈An Italian-Sardinian-geek living in CH🇨🇭and working into ICT.Proud Tesla 🔋🚘 owner.On the Internet since '96.Twitting in IT/EN/FR.Lived in 🇮🇹🇫🇷🇧🇪</t>
  </si>
  <si>
    <t>On Mastodon with the same name</t>
  </si>
  <si>
    <t>Helping doers in their home improvement projects. Visit @HDCares for Customer Care support.</t>
  </si>
  <si>
    <t>“Yesterday's gone on down the river and you can't get it back.”</t>
  </si>
  <si>
    <t>Hey There, I'm Stephanie (: 
She/her 
- 30 years old
- Loved By @EbenOfficial 
- spoke to eben 11/23/22
 ♡ Met corbyn aug 3rd 2021</t>
  </si>
  <si>
    <t>Atheist Socialist done w/the 2 party system of corruption &amp; greed.  I block trolls, bots and democrat/republican apologist's.  He/Him  🏳️‍🌈 🐶 🐱</t>
  </si>
  <si>
    <t>Capitalism: Great Value™️ Feudalism | Blocked by Dogecoin Founder @BillyM2k</t>
  </si>
  <si>
    <t>Reimagining the way people come together.</t>
  </si>
  <si>
    <t>Lifestyle | Travel | Faith ✌🏽Husband &amp; Wife #coupleyfit 🌱@walmart Health Partners</t>
  </si>
  <si>
    <t>first of his name, eater of burgers. a scary and powerful fire demon. apparently youre not supposed to take the bodega cats home with you. he/him</t>
  </si>
  <si>
    <t>this is a Pisces &amp; Gemini hate account, but it’s moreso a PISCES hate account. ✨🎀</t>
  </si>
  <si>
    <t>bestlifeever 😊💃🐨</t>
  </si>
  <si>
    <t>i'm smiler ♡ Instagram:simi_illy98 snapchat:symy-5652 and facebook https://t.co/vGFaVU8snn</t>
  </si>
  <si>
    <t>Georgia Minister</t>
  </si>
  <si>
    <t>Two Legged Human Being, Husband, Father, Professional Wrestler, Amateur Environmentalist, Book Lover and Beardsman mgmt: meech@goodgoldagency.com</t>
  </si>
  <si>
    <t>Wednesdays #AEWDynamite LIVE  8/7c on @TBSNetwork 
Fridays #AEWRampage 10/9c on @TNTdrama 
#AEWElevation MON 7/6c &amp; #AEWDark TUE 7/6c - https://t.co/5gK2tbhxBC</t>
  </si>
  <si>
    <t>Founding member of @WhoFartedCrew | Variety Streamer | @PlugableGaming Partner | earwaxcandy@earwaxcandy.com</t>
  </si>
  <si>
    <t>Hi, everyone calls me Daddio. Variety Streamer  Facebook Gaming Partner, Content Creator, Twitch Affiliate, business inquiries mayanprofitgaming@gmail.com</t>
  </si>
  <si>
    <t>Here are 160 characters about the NEW Dr Pepper Strawberries &amp; Cream. Rich. Tasty. Delicious. Refreshing strawberry flavor and smooth creamy finish. Try it!!!!!</t>
  </si>
  <si>
    <t>EAT DIRTY ⬇️</t>
  </si>
  <si>
    <t>Head &amp; Shoulders, the World's #1 shampoo, gives you amazing, flake-free hair, so you have the confidence to #LiveHeadFirst.</t>
  </si>
  <si>
    <t>SOY MUY SINCERA AUNQUE A MUCHOS NO LES GUSTE</t>
  </si>
  <si>
    <t>The official Twitter for The Crème Shop. Lashes and Cruelty-Free K-Beauty products for the fun &amp; flirty since 1988. Tweet us @thecremeshop to be featured! 💕</t>
  </si>
  <si>
    <t>Idiocracy was a prophecy.</t>
  </si>
  <si>
    <t>I bought me an illusion An I put it on the wall I let it fill my head with dreams And I had to have them all</t>
  </si>
  <si>
    <t>; Sports fan for life! Old school WWF mark! Fly Eagles Fly 🦅 #CHC Wrestling fig update guy! Use code PICKETT for 10% off https://t.co/vBPs2kxk9i</t>
  </si>
  <si>
    <t>#Wellness | Model | Speaker | Be the change you want to see | President &amp; Co-founder: @coupleyfit | @Walmart Health Partner | ✨ Romans 12:2</t>
  </si>
  <si>
    <t>I'm John Graham , ♍️,Please Follow me and I Follow u Back , i love starbucks , Insta:john_graham19 and Snapchat: johngraham26</t>
  </si>
  <si>
    <t>Lunchables—If you can build it, you can eat it. #BuiltToBeEaten</t>
  </si>
  <si>
    <t>Kick Sugar, Keep Candy!</t>
  </si>
  <si>
    <t>Avid #AnimalRescue, #ChildhoodAbuse &amp; #DomesticViolence survivor, living w/ &amp; #advocate for #PTSD #BPD #Depression #Anxiety, #MeToo. #PeerSupport #vounteer.</t>
  </si>
  <si>
    <t>Model | Speaker | ΩΨΦ |          Co-Founder @coupleyfit 🔸@Walmart Health Partner | 🔸Strategic Partnerships @issaonline | Philippians 4:13</t>
  </si>
  <si>
    <t>Aggressively unfancy</t>
  </si>
  <si>
    <t>FAN ACCOUNT.</t>
  </si>
  <si>
    <t>Proven Conservative Leader and Indiana's Attorney General receiving the highest number of votes for any state-wide office in Indiana history.</t>
  </si>
  <si>
    <t>No matter where you go, there you are.</t>
  </si>
  <si>
    <t>“Aim down the middle and let God do the rest” - CZ</t>
  </si>
  <si>
    <t>A Bigger Kitchen for a Bigger Purpose | Fermented Foods For All</t>
  </si>
  <si>
    <t>Go where the heart takes you, other things will fall in place. Search continues...</t>
  </si>
  <si>
    <t>Secretary to the Government of India Tweets are personal. RT not endorsements</t>
  </si>
  <si>
    <t>Citizen engagement platform of Government of India, giving people the opportunity to work towards Surajya with their ideas &amp; grass root level contribution.</t>
  </si>
  <si>
    <t>Press Information Bureau. Nodal agency for communicating to media on behalf of #Government of #India. In Hindi: @pibhindi For Fact Check: @PIBFactCheck</t>
  </si>
  <si>
    <t>Union Minister of State, Ministry of Consumer Affairs, Food and Public Distribution And Ministry of Rural Development, M.P. (Fatehpur, Uttar Pradesh)</t>
  </si>
  <si>
    <t>Union Minister of State for Ministry of Consumer Affairs, Food and Public Distribution; and Ministry of Environment, Forest and Climate Change. Govt.of India</t>
  </si>
  <si>
    <t>Minister of Commerce &amp; Industry, Consumer Affairs &amp; Food &amp; Public Distribution and Textiles, Govt. of India. Leader of House in Rajya Sabha.</t>
  </si>
  <si>
    <t>Office of Shri @PiyushGoyal Minister of Commerce &amp; Industry, Consumer Affairs &amp; Food &amp; Public Distribution and Textiles, GoI. Leader of House in Rajya Sabha.</t>
  </si>
  <si>
    <t>#LIfeHacks #advice #career #savings #health #money #fitness #sports #leisure #FBR</t>
  </si>
  <si>
    <t>We’re an open platform where readers find insightful thinking, and where creators can share their writing on any topic.</t>
  </si>
  <si>
    <t>We power the world's opinions and share them with the decision-makers who care. Reporters: DM us for up-to-the-minute insights for your pieces</t>
  </si>
  <si>
    <t>Dad, husband, pro.</t>
  </si>
  <si>
    <t>We provide latest updates for HBO's The Last Of Us series | Fan Account</t>
  </si>
  <si>
    <t>#JusticeServedForJohnnyDepp we did it</t>
  </si>
  <si>
    <t>Published author of Blood Music and Mutation 🏳️‍🌈 #BLM #MentalHealth #writer I identify as He/She/They/We #DID #LGBTQIA</t>
  </si>
  <si>
    <t>Author of All Hail the Queen and Caribbean Queens. Lover of animals, family, writers, drag queens &amp; artists. Member of SinC. She/her
NO UNSOLICITED DMs!🚫</t>
  </si>
  <si>
    <t>Stock Analyst on Trading View</t>
  </si>
  <si>
    <t>Miley || 5H || Zealyn || RBD || 🏳️‍🌈 19.05.11 and 21.03.22 I saw Miley in concert.</t>
  </si>
  <si>
    <t>Standing up for all of the Freedoms and Rights we know we can achieve in Our Country.</t>
  </si>
  <si>
    <t>26  🌴Enjoying the ride🌴</t>
  </si>
  <si>
    <t>#PersianGirl #E+ZMommy</t>
  </si>
  <si>
    <t>Consciousness raising author of I Found All the Parts: Healing the Soul through Rock 'n' Roll</t>
  </si>
  <si>
    <t>Dad, husband, journalist. Proud of #HeyNext viewers' $10M in Word of Thanks microgiving. @NextOn9NEWS @ 6p. @9NEWS @ 9/10p. Also: @kyleclark@mastodon.online</t>
  </si>
  <si>
    <t>@chelseafc @backstreetboys @slipknot Sharone Stone Jennifer Aniston Jennifer Lawrence</t>
  </si>
  <si>
    <t>build a bridge and get over it.</t>
  </si>
  <si>
    <t>🎣🫧</t>
  </si>
  <si>
    <t>Employer Sponsored Health Insurance = worker oppression marketed as a benefit. PreIncomeTaxDollar F1040 coverage + F8962 ACA subsidies = worker empowerment.</t>
  </si>
  <si>
    <t>This is the official account for Montgomery County Executive Marc Elrich.</t>
  </si>
  <si>
    <t>Delivering one standard of justice for all.</t>
  </si>
  <si>
    <t>Ex-lefty. OG Anti-Vaxxer. Gay Patriot. Singer. Pronouns: Bite/Me. @againstgrmrs contributor. Finance Chairman @nyyrc. YouTube: https://t.co/9caiG13jU3</t>
  </si>
  <si>
    <t>Happy hippie + rockstar soul. 🖤💗 Hgo, Mx.</t>
  </si>
  <si>
    <t>Married | Senior Director of Finance | Writer | Occasional Guitar Player | #SpecialNeeds Mom | Addicted to @dunkindonuts | #IDDawareness</t>
  </si>
  <si>
    <t>#AllLiveMatter saying anything else is just racism hiding behind hate. Unvaxxed 🇺🇸 Nor/Mal and Ky born and raised!</t>
  </si>
  <si>
    <t>ugc creator/digital content creator- shopping, vlogs &amp; all things beauty 💄 licensed cosmetologist 💇🏻‍♀️ business inquires 📧 brittneystjohn@yahoo.com</t>
  </si>
  <si>
    <t>YOU are the Revolution. 100% Cruelty Free &amp; standout Vegan range. We ship worldwide 🌎 Also at @superdrug, @ultabeauty, @beautybay, @asos, @pricelineau &amp; more ✨</t>
  </si>
  <si>
    <t>Mom to @beautybybrittn1 and Charlie the pug CASH APP- $queenbeexo5897</t>
  </si>
  <si>
    <t>Flowers, Cant Tame Her</t>
  </si>
  <si>
    <t>she/her. An actually autistic, anxious, &amp; ace human who loves the Jonas Brothers 🌈🧬❤️🖤🤍💜 | #1 “Paranoid” Stan | @robspopcorn Ambassador🍿</t>
  </si>
  <si>
    <t>The official UO Twitter.</t>
  </si>
  <si>
    <t>PAWSitive sonographer • disney lover • youtuber • jbiebs &amp; jonas are my fave • out here living the concert life in vegas • be kind ✨next show: jonasinvegas ✨</t>
  </si>
  <si>
    <t>I’m a fungi 😎</t>
  </si>
  <si>
    <t>Promoting youth sports in New York state. From tournaments, camps, workshops, etc 
We will also promote highlights and accomplishments of the Youth</t>
  </si>
  <si>
    <t>We run on #SouthwestHeart. Follow for more on the best Employees and Customers in the world. For a formal response, visit the link below.</t>
  </si>
  <si>
    <t>Hi, nice to tweet you! For concerns that require a response, visit https://t.co/4Z7AIbHvpD.</t>
  </si>
  <si>
    <t>Welcome aboard the official Twitter of Delta Air Lines. Need help? ➡️ https://t.co/6dxxeNWg4z</t>
  </si>
  <si>
    <t>Ralph's Famous Ices &amp; Ice Cream
#ItalianIces, #IceCream, #Sundaes, #Shakes #Twisters #Doughnado #LongIsland, #Queens, #StatenIsland, #NewYork #NewJersey #CT</t>
  </si>
  <si>
    <t>#SuperiorHydration for today’s athletes.</t>
  </si>
  <si>
    <t>On the gridiron. On the grind.</t>
  </si>
  <si>
    <t>Plastic Hearts es AOTY y Best Rock Album 2020/2021. No se aceptan otras opiniones.</t>
  </si>
  <si>
    <t>For Booking : Bookmillye@gmail.com Contact/Media: officialmillye@gmail.com IG: https://t.co/WcXMyGWGsr #EVERYTHING4KEED</t>
  </si>
  <si>
    <t>The Center’s vision is to develop ethical and compassionate AAPI women to take leadership roles in the private and public sectors.</t>
  </si>
  <si>
    <t>Real Magic is only a sip away.</t>
  </si>
  <si>
    <t>AARP is leading a revolution in the way people view and live life after 50</t>
  </si>
  <si>
    <t>Connecting you to the things you love, all day every day.</t>
  </si>
  <si>
    <t>HR, Talent, Time Management, Benefits and Payroll. Informed by data and designed for people.</t>
  </si>
  <si>
    <t>“Be aware of your infinite possibilities.” - Estée Lauder 💄 Discover all things beauty from Estée Lauder.</t>
  </si>
  <si>
    <t>Sharing the latest news, research, events and more from Deloitte Global and the Deloitte network of member firms. More https://t.co/oojJsBJUDZ</t>
  </si>
  <si>
    <t>I Use Social Media in  an Informative way to Raise Voice till the People who are Unreachable, for Personal Socialization I am Available In-Person</t>
  </si>
  <si>
    <t>Everything is an opinion. There are no facts.</t>
  </si>
  <si>
    <t>Thomas D Bradley, a follower of God, Atlanta GA native, @NBCDFW news photojournalist, Atlanta sports fan gymrat &amp; distance runner.</t>
  </si>
  <si>
    <t>First TV 📺 station in #Texas &amp; the best place in #DFW to go for exclusive local stories, the latest breaking news, weather updates and #NBC5Investigates.</t>
  </si>
  <si>
    <t>Howdy explorers! https://t.co/41X6KpqR42</t>
  </si>
  <si>
    <t>Local forecasts and weather updates from NBCDFW's team of meteorologists. Send us your weather photos via Twitter or to iSee@nbcdfw.com.</t>
  </si>
  <si>
    <t>Hard work beats talent when talent doesn’t work hard.</t>
  </si>
  <si>
    <t>Am looking for serious relationship</t>
  </si>
  <si>
    <t>Single.Home Owner, father to three adult daughters and two adult sons one of my son's past away approximately three years ago. I'm looking for my lady .</t>
  </si>
  <si>
    <t>#DigitalTransformation obsessed #CXO and #GrowthHacker. Find me at the intersection of #Tech and #Humanity. #AI #Blockchain #FinTech #CX #IoT #CyberSecurity</t>
  </si>
  <si>
    <t>Cutter connects the brightest minds, creating collective intelligence and transforming what's possible https://t.co/LsSGjxY9Pq #leadership #sustainability #technology</t>
  </si>
  <si>
    <t>Husband &amp; father of two. CIO, ICT specialist editor</t>
  </si>
  <si>
    <t>and evermore, my dreams become harder to distinquish from my reality</t>
  </si>
  <si>
    <t>❤️Shared Belief, Ruffian❤️
 Zenyatta, Beholder💕
🐾my dogs🌈, my cat!🐾
 Jimmie J 7x 🏆. Brad K.
 Follow your own path, 🚫 animal abuse</t>
  </si>
  <si>
    <t>Welcome to the #LakeShow | 🏆 17x Champions</t>
  </si>
  <si>
    <t>Home of #MemorialMagic. #AnchorDown</t>
  </si>
  <si>
    <t>The official Twitter of the University of Tennessee, Knoxville. #GoVols</t>
  </si>
  <si>
    <t>Innovation That Excites.</t>
  </si>
  <si>
    <t>Official account for the SEC ESPN Network. LEGALESE: If you send us a tweet, you consent to letting ESPN and the SEC use &amp; showcase it in any media.</t>
  </si>
  <si>
    <t>27🤍 MUA.  IG: boojiemonroe</t>
  </si>
  <si>
    <t>-𝗣𝗵𝗗 𝗦𝘁𝘂𝗱𝗲𝗻𝘁 𝗶𝗻 𝗦𝘁𝗮𝘁𝗶𝘀𝘁𝗶𝗰𝗮𝗹 𝗦𝗰𝗶𝗲𝗻𝗰𝗲 | @UNC_Colorado 🇺🇸</t>
  </si>
  <si>
    <t>Pura Vida 🎡 🇺🇸🇺🇦 🇨🇷 (he/him)</t>
  </si>
  <si>
    <t>Earn free bitcoin rewards when you use https://t.co/IFRUEaoMTN to shop at 10,000+ top stores. Follow for the memes, stay for the free bitcoin. 💜</t>
  </si>
  <si>
    <t>Singer | Songwriter | Producer | Motivational Speaker | Pray For The Creative</t>
  </si>
  <si>
    <t>Hey (with the intention of telling you that you can now listen to your favorite songs and podcasts ad-free with Amazon Prime‼️)</t>
  </si>
  <si>
    <t>“You have to decide who you are and force the world to deal with you, not with its idea of you.” Sr. Digital Strategist, @GMMB. Opinions are mine. Alone.</t>
  </si>
  <si>
    <t>Flowers on endless summer Vacation</t>
  </si>
  <si>
    <t>STOP THE HATE.
 Check-out https://t.co/1aRjW60xh4</t>
  </si>
  <si>
    <t>I'm you basic socially awkward introverted 🤓 looking to make his way in the 🌎.</t>
  </si>
  <si>
    <t>Entertainment Earth® is where pop culture lives - pioneering the online retail and wholesale toy and collectibles industry since 1996.  
#EntertainmentEarth</t>
  </si>
  <si>
    <t>Video Game Junkie, Web Nerd, Motorcycles, Animal Lover &amp; Test Dummy IRL #PS5 Games: https://t.co/X4mHfkOCEu IG: MonkeyFlop1 Business monkeyflopbiz@gmail.com</t>
  </si>
  <si>
    <t>absolutely love gaming! always been a big part of my life!</t>
  </si>
  <si>
    <t>I am the Tater</t>
  </si>
  <si>
    <t>God, Family, Work, and Sports. Journeyman Tool &amp; Die Maker. Card collector. I’m just here for Kentucky Sports news. #TakeFlight #BBN</t>
  </si>
  <si>
    <t>Taylor swift supremacy // Stan Leo ♌️ - He/Him🏳️‍🌈</t>
  </si>
  <si>
    <t>I talk about Everything. Fashion, Entertainment, Music, Politics. I don't bite my tongue!!</t>
  </si>
  <si>
    <t>Official Old El Paso USA account. Inspiring Mexican cravings one tweet at a time.</t>
  </si>
  <si>
    <t>News and stories from General Mills. Learn more at https://t.co/TIahwoyUlF and https://t.co/wxZGGClohv</t>
  </si>
  <si>
    <t>IG: Seleena616 ✨</t>
  </si>
  <si>
    <t>Biologist | Copy Editor at @YaoiRevolution | Born &amp; raised on Susquehannock land | Socials: murjanian | murjanian@gmail.com | https://t.co/Q71bfQGE29 | she/her</t>
  </si>
  <si>
    <t>⛓️✖Pleasure leads to pain, to me they're both the same✖⛓️ 
❌Christina Aguilera🖤Miley Cyrus🖤Lana Del Rey/Shawn Mendes❌ 🤠DinoFan🦖♏</t>
  </si>
  <si>
    <t>fuck a twitter bio</t>
  </si>
  <si>
    <t>For the record, I am not a racist. I am a Resentist. I've paid my own way in life, while others enjoy getting govt  freebies for doing nothing.</t>
  </si>
  <si>
    <t>29 Years old. Residing in Colorado.I just enjoy casual gaming and working. an avid Cleveland sports fan.</t>
  </si>
  <si>
    <t>Mktg/Community Service/Ohio State Alum/Living Proof/⛳️ in-one/Spelling🏆/former R/MSP-ATL- CMH/she-her.</t>
  </si>
  <si>
    <t>kinda there but not quite</t>
  </si>
  <si>
    <t>Just out here being a fan of awesome people.
Sometimes I feel creative and stuff.
I game. I joke. I'm just here.
My AI art only account: @EllieBcraftNC</t>
  </si>
  <si>
    <t>☼ leo ☽ aries ↑ aquarius</t>
  </si>
  <si>
    <t>beep boop pee poop</t>
  </si>
  <si>
    <t>Mostly rants.</t>
  </si>
  <si>
    <t>❤️‍🩹</t>
  </si>
  <si>
    <t>Human🔥/female/daughter/mother👩‍👧‍👦/ex wife🤷/Amma👵/activist\criminal/sister/lover💞/CCEMT-P/friend/angel\sinner #SOG_227 (Servant of Good)👁/@omgpodcast77</t>
  </si>
  <si>
    <t>twitter is a special kind of hell, but I make some pretty epic things over here | occasionally an artist | hahaheeheehahaho | 俺は良い芸術が好きです |</t>
  </si>
  <si>
    <t>17th President of the Republic of the Philippines 🇵🇭</t>
  </si>
  <si>
    <t>Twitter Super Official CEO</t>
  </si>
  <si>
    <t>Official Twitter account of the Embassy of India🇮🇳 in México🇲🇽 (concurrently accredited to Belize) | La página oficial de la Embajada de la India en México.</t>
  </si>
  <si>
    <t>We like our tweets the way we like our fries: hot, crispy, and better than anyone expects from a fast food restaurant.</t>
  </si>
  <si>
    <t>Official FBI Twitter. Submit tips at https://t.co/tGqFRcJykB. Public info may be used for authorized purposes: https://t.co/x6bfDUEYeJ.</t>
  </si>
  <si>
    <t>Here to help. 💙</t>
  </si>
  <si>
    <t>Hej! This is Sweden's official Twitter account. Managed by the https://t.co/JDCLs7Jjwa team. Community standards: https://t.co/W34cfgsxFe.</t>
  </si>
  <si>
    <t>Yes, this is the official Twitter account of Ukraine. Офіційний акаунт твоєї Неньки.</t>
  </si>
  <si>
    <t>grimace is a close personal friend of mine</t>
  </si>
  <si>
    <t>Former Product Manager HSDL, NavalPostgraduate school; Techie; Real Estate; Business owner.</t>
  </si>
  <si>
    <t>Educator. Activist. Senior Fellow at @RacePowerPolicy. Former Ohio State Senator &amp; Professor. Host of @UnbossedTYT.</t>
  </si>
  <si>
    <t>"Is he being serious or sarcastic?"
Probably the latter.
No dm's, or 🤡's</t>
  </si>
  <si>
    <t>Co-parent, working from home with our son Michael and a beagle.</t>
  </si>
  <si>
    <t>Nicki Core Fan. Doja Stan. 
Sagi SZN 🤍.
Thinking they hot, talk shit a lot but when they shit drop, I say Fix it Jesus😘😂</t>
  </si>
  <si>
    <t>#GABBIE: u have good karma and ur smart bc ur on my team
=͟͟͞͞˳˚॰ he/him | 19 | gay | black | showstopper since 2014 °ₒ৹๐
✩⡱ @Sapnapslutx (hott)</t>
  </si>
  <si>
    <t>We Have The Tweets❗️ We’re here to help: @ArbysCares</t>
  </si>
  <si>
    <t>STL</t>
  </si>
  <si>
    <t>On the first day, man was granted a soul, and with it, clarity.</t>
  </si>
  <si>
    <t>Aqui tem meus favs, memes, desbafos e muitos retweets 😂🫶🏻</t>
  </si>
  <si>
    <t>•Contract Polymath
•Author/Editor 
•Ghost Writer
•Musician
•Root Doctor
•Consultant
•Mystic
•Traveler 
•Mediator
•Imaginary Friend
•Original Merry Hempster</t>
  </si>
  <si>
    <t>#ETH: 0x304C7c5EdD1CDA59904627e6b7a29d5f664Ed89D
#XRP: rRi5XtVvTaMGzLAm7PagQzTZqqpyBZ3ZB</t>
  </si>
  <si>
    <t>Logic over opinions.@mollynft_ 
 @privesociete. Team @Uglyduckwtf @bugattigrp(SOLD OUT) @CryptoOttersNFT. Ask me about @bugattigrp #Web3 #phygital onboarding</t>
  </si>
  <si>
    <t>46th President of the United States, husband to @FLOTUS, proud dad &amp; pop. Tweets may be archived: https://t.co/HDhBZBkKpU
Text me: (302) 404-0880</t>
  </si>
  <si>
    <t>Serving customers since 1901. Tweeting since 2008. Customer service: 1-888-282-6060 #nordstrom
For company updates follow @NordstromNow</t>
  </si>
  <si>
    <t>Hi Costco members. Our Twitter account is currently inactive. Stay in touch with us via Facebook, Instagram and Pinterest.</t>
  </si>
  <si>
    <t>A 🌍 leading manufacturer, distributor of branded luggage, hand bags, bags &amp; more since 1940🧳</t>
  </si>
  <si>
    <t>SHE/HER 🌈 | NFT Marketing &amp; Giveaway host | NFT Expert | FULL-TIME STONER #LeianeWinners | SOLD OUT 100+ Projects | NUFC | Web3 | Women in NFTS | #ANGRYAPES</t>
  </si>
  <si>
    <t>DEMOCRAT in fury ➡️ the farRight. Peaceful Anti-Fascist.💜🌎
Agnostic, but admire Jesus, teachings.
Save Democracy. The threat's real. #BLM
#DisabilityRights♿</t>
  </si>
  <si>
    <t>Him/He. High Performance Extrovert. Adjunct Instructor of History, filmmaker, cosplayer.  Wants to save the world with genuine positivity. Trans ally.</t>
  </si>
  <si>
    <t>Transforming lives and businesses through innovative technology solutions. Follow along. Customer support available @CenturyLinkHelp.</t>
  </si>
  <si>
    <t>My Tweets are like the Sidekick ... they never go out of style</t>
  </si>
  <si>
    <t>Chief Communications &amp; Corporate Responsibility Officer at @TMobile. Work: Telling the Un-carrier story everywhere I can. Hobby: Petting all the dogs.</t>
  </si>
  <si>
    <t>#Procurement and #SupplyChain Trends of the future</t>
  </si>
  <si>
    <t>Music Lawyer Momager Creating Fashion Fairytales &amp; Movie Magic in Hollywood with @Benmclane @Queenie4ever</t>
  </si>
  <si>
    <t>On-Demand Content Platform.</t>
  </si>
  <si>
    <t>I'm Princess Tatiana of Hollywood. Welcome to my fashion designing Kingdom! Follow along 4 my daily lifestyle content of popups, cosplay &amp; cute food adventures.</t>
  </si>
  <si>
    <t>this is best official offer.</t>
  </si>
  <si>
    <t>🇿🇦Largest Disaster Response NGO of African origin
▪️R4.5 billion in aid
▪️45 countries
▪️30 year legacy 
▪️132 Awards</t>
  </si>
  <si>
    <t>$ send $ spend $ bank $ invest $ 
Debit cards issued by Cash App’s bank partners. Disclosures: https://t.co/GtBoXGO6df, https://t.co/tGNe0ur4Yy</t>
  </si>
  <si>
    <t>We get it…. It’s a little self-explanatory. 🤷🏻‍♀️</t>
  </si>
  <si>
    <t>Author of #FitToBeWilliamson</t>
  </si>
  <si>
    <t>15 Year NFL Receiver, 2 time super bowl champion, nothing but the facts</t>
  </si>
  <si>
    <t>per aspera ad astra ; 👽 🚀  Novice photographer 📸</t>
  </si>
  <si>
    <t>A good cook is the peculiar gift of the gods. He must be a perfect creature from the brain to the palate, from the palate to the finger's end. W.S. Landor.</t>
  </si>
  <si>
    <t>Setting trends, building brands, breaking molds, and creating fun since 1997.</t>
  </si>
  <si>
    <t>Leading news source for the #eVTOL aircraft and #AdvancedAirMobility markets. Our next #London conference is from April 18-19, 2023!</t>
  </si>
  <si>
    <t>JoBros fan since 2009!!! I was @omfgitsjoejonas &amp; @imdncingwithjoej &amp; @imjonassing @joejonas</t>
  </si>
  <si>
    <t>Born backstage with The Jonas Brothers and now available at Walmart stores nationwide!</t>
  </si>
  <si>
    <t>I sing &amp; write sometimes. I say things others think I shouldn’t say sometimes. I host the @KellyClarksonTV all the time.</t>
  </si>
  <si>
    <t>Reality is created by the mind. We can change our reality by changing our mind.</t>
  </si>
  <si>
    <t>Official Twitter account of Rashtrapati Bhavan and is run by the President’s Secretariat | Smt Droupadi Murmu, President of India.</t>
  </si>
  <si>
    <t>Amplifying Consumers Voice. 
Mission: Most powerful community of consumers to support each other in real-time. 
https://t.co/EDXVWV1n5o
(Sunday = Holiday)</t>
  </si>
  <si>
    <t>Helping soul</t>
  </si>
  <si>
    <t>The Bar Council of India is a statutory body to perform the regulatory function by prescribing standards of professional conduct.</t>
  </si>
  <si>
    <t>Office of the Prime Minister of India</t>
  </si>
  <si>
    <t>all problem solution-6200952299</t>
  </si>
  <si>
    <t>Just delivering you the news and nothing more</t>
  </si>
  <si>
    <t>We are the #UnitedNations’ health agency - #HealthForAll.
▶️ Always check our latest tweets on #COVID19 for updated advice/information.</t>
  </si>
  <si>
    <t>National Medical Commission. Pocket- 14 , Sector – 8, Dwarka Phase -1 New Delhi - 110077</t>
  </si>
  <si>
    <t>AajTak covers breaking news, latest news in politics, sports, business &amp; cinema. Follow us &amp; stay ahead! Download the App: https://t.co/lhVovC0CUj</t>
  </si>
  <si>
    <t>Breaking news alerts from India.
Instagram: https://t.co/QrV2OUiLWo
YouTube: https://t.co/INzHBLXmft</t>
  </si>
  <si>
    <t>Competition Commission of India, New Delhi</t>
  </si>
  <si>
    <t>For everything health, follow us!
💊 100% genuine medicines 
📦 Superfast delivery 
💰Best savings on medicines
👨‍⚕️ Verified health tips</t>
  </si>
  <si>
    <t>Sustainable FREAK</t>
  </si>
  <si>
    <t>Ehh... Do people actually read bios? 🤨</t>
  </si>
  <si>
    <t>life is short ..stay happy</t>
  </si>
  <si>
    <t>Nope</t>
  </si>
  <si>
    <t>I buy GME, I HODL GME, I vote GME 💎🤲🦧
That sweet sweet GME Wallet below
0xF46AADF22633e4066F0D324EC157Bd30F00F0548</t>
  </si>
  <si>
    <t>Welcome to the Biden-Harris White House! Tweets may be archived: https://t.co/UbZQo0sWVf</t>
  </si>
  <si>
    <t>constitutionalist. self proclaimed comedian. couple degrees. lots of hard knocks. proud dad. let’s share ideas! lots of love. Jesus is King 👑</t>
  </si>
  <si>
    <t>Join me weekdays at WFJB AM 1776 #ifbap (parody account) MAGA🇺🇸 With Great Power, Comes Great Responsibility 💥</t>
  </si>
  <si>
    <t>I am 1994 US Civil Surgeon Official mom and grandma
Victim of Human trafficking</t>
  </si>
  <si>
    <t>USMS is a federal law enforcement agency within DOJ. DOJ's privacy policy for use of third-party websites: https://t.co/2slzDjdIT1</t>
  </si>
  <si>
    <t>“Whatever you resist will persist” ~Yung</t>
  </si>
  <si>
    <t>All Things @alexangelo :) 
New song Stuck Is Out Now! 
❗️Better Than Him Out Now ❗
#alexangelo #AA #fangelo</t>
  </si>
  <si>
    <t>Learn Digital Marketing, Cybersecurity, Entrepreneurship, Project Management, Startups, Design and much more.</t>
  </si>
  <si>
    <t>The first word in business news.
Our newsletters: https://t.co/nWaCxHSKuU
Our podcasts: https://t.co/096e9xMbPz
The Big Take podcast: https://t.co/UqskwXtp5Z</t>
  </si>
  <si>
    <t>What you want to know about business. A section of @thisisinsider. Follow us on Facebook, Instagram, and YouTube. Visit our homepage for the day's top stories.</t>
  </si>
  <si>
    <t>Inspiring readers to think beyond traditional boundaries &amp; create the future of business. Subscribe to our daily newsletter: https://t.co/BpH3KmBae9</t>
  </si>
  <si>
    <t>Inspiring, informing and celebrating entrepreneurs.</t>
  </si>
  <si>
    <t>Everything you need to know to start and grow your business now. Sign up for our daily newsletters: https://t.co/XAE0ET9Cq2</t>
  </si>
  <si>
    <t>We're on a mission to make it easy to do business anywhere. We pledged to reach carbon neutrality by 2030 ♻</t>
  </si>
  <si>
    <t>Official International Twitter account of AliExpress 🛍️
If you can imagine it, it's on AliExpress💕
👉Need help? Contact @AskAliExpress for customer support.</t>
  </si>
  <si>
    <t>someone from the dark</t>
  </si>
  <si>
    <t>4 kidlets, 3 grands; explorer &amp; storyteller; lover of coffee, yellow, fungus, flowers, #funcie &amp;🥂; she/her &amp; STEMinist; 💄👠🐈‍⬛; #scienceiscool</t>
  </si>
  <si>
    <t>Girl Scouts of Central Indiana builds girls of courage, confidence, and character, who make the world a better place in 45 counties around central Indiana.</t>
  </si>
  <si>
    <t>WTHI-TV is Terre Haute, Ind.'s leader for weather and news. Get live Doppler radar, local sports and breaking news online at http://t.co/6Vu8IOFCAm</t>
  </si>
  <si>
    <t>🎧 Audiobook &amp; Podcast, 📕Book, "Full Dashclosure, Awakening from the human exploitation of DoorDash Singularity;" Economics, Civil Rights, #AI, Duke MBA, Human</t>
  </si>
  <si>
    <t>Every order helps support businesses, Dashers, and your community. Let’s set a neighborhood of good in motion. Support: @doordash_help</t>
  </si>
  <si>
    <t>@KYLEBUSCH FAN 2X Champ '15 &amp; '19 #ROWDYNATION18 Lover of Racing! #CLEMENTSNATION  #DAWGS 🐾  #ROLLTIDE 🐘 #Hawks #BRAVES ⚾   #MovieCollector 🎬🍿 #YOUTUBER!📽️</t>
  </si>
  <si>
    <t>🇳🇬 Published Comic/Manga Artist and Writer. Youtube 515K, Tiktok, Twitch, Instagram. CoFounder @saturday_am, My Manga Volumes of #AppleBlack here</t>
  </si>
  <si>
    <t>Anime, Manga, Figures &amp; MORE ✨ We've got what you're looking for!
Start your collection! https://t.co/xLcWdrsOIU</t>
  </si>
  <si>
    <t>Girl Gamer, First Time YouTuber, Artist</t>
  </si>
  <si>
    <t>📚 The home of beautiful stationery, great reads and gorgeous gifts. 🖌️
📱 TikTok: whsmithofficial
👇 Shop today.
All prices correct at time of posting.</t>
  </si>
  <si>
    <t>"i love you best when you're just yourself" • 25 years old girl who stans Niall, Taylor and 5SOS</t>
  </si>
  <si>
    <t>*ushering onlookers* Let's keep it moving, people...nothing to see here.</t>
  </si>
  <si>
    <t>i would love a mango dragonfruit lemonade refresher pls w a brownie💖💖💖</t>
  </si>
  <si>
    <t>LIVE ON AIR 5am - 10am M-F | Call us at (866)-WE-BE-BIG | Nationally Syndicated on 70+ Radio Affiliates | Tunein | YouTube Live | BlazeTV | Podcast</t>
  </si>
  <si>
    <t>#HaveFunOutThere</t>
  </si>
  <si>
    <t>Life’s looking lonely but the bank’s looking hefty</t>
  </si>
  <si>
    <t>Where leagues, coaches, and players huddle together to work from the same playbook.</t>
  </si>
  <si>
    <t>The official Twitter account of the World's Foremost Outfitters.  Tag your stories and pictures to #ItsInMyNature</t>
  </si>
  <si>
    <t>Your Adventure Starts Here</t>
  </si>
  <si>
    <t>The best-selling brand of trail cameras and game feeders. Tag us in your game camera photos! Total Game Management®. #Moultrie</t>
  </si>
  <si>
    <t>Speaker of the House and Representative of California's 20th District in the House of Representatives.</t>
  </si>
  <si>
    <t>Author*Musician*Artist*Producer*Activist</t>
  </si>
  <si>
    <t>Chief creative at Advanced Cloud Communications, host of Behind The Dish podcast, The Road Home, Trucker Tech podcasts, and founder of https://t.co/et74qsqvfj</t>
  </si>
  <si>
    <t>🐑
Certified Omori and YIIK Brainrot
She/Her
🌱 #1 Basil Fan 🌱
🎶 Owner of: @JRPGMusicDaily 🎶
~Vent Account/Priv: @LumaButReal 
🌻 @elliojaw 🌻</t>
  </si>
  <si>
    <t>yo! pfp made by: @bellsbugz | banner made by: @RekuUwU | Super Best Friend: @cuttigan | he/him | priv: @awilddoggo_priv | #1 Today Is a Diamond Fan</t>
  </si>
  <si>
    <t>(Lillie) License to Chimp. 🐒 THE girl?!!?!?! 🐒 she/moth/it 🐒 DM me for priv</t>
  </si>
  <si>
    <t>EST. Thanksgiving Day, 2011 / multidimensional /🏀 🎾 GBB, WBB &amp; tennis aficionado🎾🏀/ insight, opinion &amp; analysis ✍🏼/ @GamecockWBB | @Warriors</t>
  </si>
  <si>
    <t>they don't make em like this no mo.</t>
  </si>
  <si>
    <t>⭐️Official Shopify Partner 📦eCommerce Dropshipping 👕Print On Demand 📈Affiliate Marketing 👥Join Our FREE Community! ⬇️Get a FREE SHOPIFY Store!⬇️</t>
  </si>
  <si>
    <t>#HeyGoogle</t>
  </si>
  <si>
    <t>Stripe is a global technology company that builds economic infrastructure for the internet. Help: @stripesupport. Read: @stripepress. Status: @stripestatus.</t>
  </si>
  <si>
    <t>Dunking on the pharma industry with @costplusdrugs.com, the lowest prices on meds anywhere.  check it out !</t>
  </si>
  <si>
    <t>Never miss the most important #ecommerce industry news. Free delivery to your Inbox every Monday. Brought to you by Paul Drecksler and @BigCommerce.</t>
  </si>
  <si>
    <t>Ninjacart leverages innovative tech to source fresh produce directly from farmers and delivers them to retailers and businesses across 7 cities within 12 hours.</t>
  </si>
  <si>
    <t>Founder @zolve_official | Founder @taxiforsure | Angel Investor | Startup Evangelist | Iron-Man Triathlete</t>
  </si>
  <si>
    <t>First partner to exceptional teams everywhere. Check out our startup school for aspiring founders 👇</t>
  </si>
  <si>
    <t>Subrata was first venture investor in Airmeet, CasaOne, Curefit, Flipkart, Juspay, Moglix, MoneyView, Mu-Sigma, Myntra, Ninjacart &amp; many other category leaders.</t>
  </si>
  <si>
    <t>Follow us to join conversations on how to #NavigateYourNext! We help clients navigate transformation with #AI powered core, #AgileDigital &amp; lifelong #Learning</t>
  </si>
  <si>
    <t>Co-founder of @Infosys. Worked on #Aadhaar. Co-author of @RebootingIndia and @bitfulness. Author of @ImaginingIndia.</t>
  </si>
  <si>
    <t>retired. Native American name is Many Rivers
love my children, grandchildren and great grandchildren, my fur babies and NFL football. Please no DM'S.</t>
  </si>
  <si>
    <t>🎨🖌️ Arte por gusto y afición. Docente con vocación 👨🏻‍🏫     
22 años - GREEN LOVER 🥦🐢🌿</t>
  </si>
  <si>
    <t>Retired Baltimore Police Detective. Former police spokesman and hostage negotiator. Now I tweet about hockey 🏒 horse racing 🏇 and pizza 🍕</t>
  </si>
  <si>
    <t>Founder: StudyFinds + SpaceChatter + BrainTomorrow + GutNews | Former CBS VP of Content | Baltimore + NYC dude | UMD Journalism | I owe it to Dr. T</t>
  </si>
  <si>
    <t>I draw a manga for Saturday Am called Hammer</t>
  </si>
  <si>
    <t>The OFFICIAL profile for Saturday AM. The EXCLUSIVE HOME for APPLE BLACK, BULLY EATER, CLOCK STRIKER, MMWOG, and MORE Diverse, Shonen Manga Webcomics!</t>
  </si>
  <si>
    <t>Don't blame me, I voted for 🇺🇸 🇺🇸 Donald Trump!! 🇺🇸 🇺🇸  My pronouns are Fu*k/Off 🚫 DMs   #IFBAP No Poison 💉💉💉 Here. Patriot!  ¯\_(ツ)_/¯ #Trump2024</t>
  </si>
  <si>
    <t>The platform to set data in motion.</t>
  </si>
  <si>
    <t>Father of 2. Republican. Standing up for our constitution and freedoms.</t>
  </si>
  <si>
    <t>I can smell a liar from 50 yds away</t>
  </si>
  <si>
    <t>We represent Fairfax County, Fauquier County, Loudoun County, Manassas City, Manassas Park, Prince William County, and Rappahannock County. 🇺🇸</t>
  </si>
  <si>
    <t>The Suburban Virginia Republican Coalition supports GOP candidates and causes rooted in the fundamental, kitchen-table concerns that matter most to voters.</t>
  </si>
  <si>
    <t>PACT is a VA Overwatch initiative.  Exposing the Lunatic Leftist Elected Officials &amp; Leftist Candidates. Trying to Deprogram the People From Radical Ideology</t>
  </si>
  <si>
    <t>Speaker of the Virginia House of Delegates. Delegate from the 15th District.</t>
  </si>
  <si>
    <t>#BillsMafia 🦬 News junkie 🗞️ 
Human rights 🏳️‍🌈🏳️‍⚧️
I DISSENT ✊🏻</t>
  </si>
  <si>
    <t>Non-academic biographical historian promoting history literacy through Legendary Women of World History Series. Peter Capaldi fan. Medievalist. Animal lover.</t>
  </si>
  <si>
    <t>U.S Army Veteran 🇺🇸 | (Anime &amp; Wrestling) Content Creator. @yaonlylivvonce enjoyer. | 日向の願い 💜</t>
  </si>
  <si>
    <t>Richland High School is located in Johnstown, PA.</t>
  </si>
  <si>
    <t>Make today a good day. 💚</t>
  </si>
  <si>
    <t>Just here for the cheese pullz 🤗
Made-To-Order® Tweetz 
https://t.co/dFEfvakrlS</t>
  </si>
  <si>
    <t>The best place in Johnstown to grab a beer, watch the game, and enjoy an “Almost Famous” Primanti sandwich!</t>
  </si>
  <si>
    <t>Family Entertainment Center
1140 Frances Street, Johnstown, PA 
814-266-6109
info@814lanesandgames.com</t>
  </si>
  <si>
    <t>QUEEN MILEY CYRUS🚨Multifandom|Park ChoA🧚‍♀️HyunA❤️CNBLUE💙FTISLAND💛SHINee💎SuperJunior💙EXO💕NCT💚WonderGirls💖SNSD💞KARA🌸T-ARA👑f(x)🥰+RV😍+BP🖤+MANYmore</t>
  </si>
  <si>
    <t>Active Patience℠. Independent Thinking. Focused Expertise. Bold Teamwork. Est. 1983.</t>
  </si>
  <si>
    <t>MD - @CivicNation | Advisor - @buzzer | Serving @FJCDetroit &amp; @DetOperaHouse | Alum: @umich @georgetown @ObamaWhiteHouse | Amateur 🎾 Player | Aspiring 🍷 Maker</t>
  </si>
  <si>
    <t>👧🏻👦🏻🧩👶🏻
🏋🏻‍♀️🥗
📚 Knowledge is Power 
💰 $yanil3</t>
  </si>
  <si>
    <t>I’m Poly, Complicated, Political &amp; Pro Choice. LGTBQIA+ Safe Space. Vote Blue!  
No DMs. Elect me US Senate 2024 for Texas so I can fire Cruz</t>
  </si>
  <si>
    <t>Since 1957, we have forged our organization under a single purpose: to keep people, businesses, and communities safe so we can all thrive together.</t>
  </si>
  <si>
    <t>I write Popular Information, an independent newsletter dedicated to accountability journalism. judd@popular.info | Signal/Text: 202-599-7124 | DMs open</t>
  </si>
  <si>
    <t>Proud Texas Democrat Mother! Born and raised in Austin. now living in North Dallas. Living in Austin was better. Don’t blame me. I voted for Beto.</t>
  </si>
  <si>
    <t>Kindly don't follow me if you're hoping I'll follow back. I'on do that. 😂</t>
  </si>
  <si>
    <t>fear the viking</t>
  </si>
  <si>
    <t>Momma to twins, a beautiful baby girl, and a border collie. A Louisville native who's spent more than a decade on morning news. Join us on WHAS11.</t>
  </si>
  <si>
    <t>We are Shelby County Public Schools in Shelbyville, Ky. #SCThinksBigger in Competency Education and Personalized Learning. #IL3 #SCNTIDays</t>
  </si>
  <si>
    <t>First Responder,
Meme Gawd,
Dating Coach,
A Father Who Identifies As Single,
Sneakerhead - Size 13/14</t>
  </si>
  <si>
    <t>⚠️𝗪𝗮𝗿𝗻𝗶𝗻𝗴: 𝗳𝗮𝗻𝗴𝗶𝗿𝗹 𝗼𝗳 𝗠𝗔𝗡𝗬 𝗧𝗛𝗜𝗡𝗚𝗦!</t>
  </si>
  <si>
    <t>toys!</t>
  </si>
  <si>
    <t>Bullet journal lettering - Photography- painter - I like cats - I do nail art - I draw cars- Arie's ♈</t>
  </si>
  <si>
    <t>Neustreet empowers collectors with data and media to #CollectWisely.🔥 Building tools to enable investing in culture through sneakers, NFTs &amp; trading cards.</t>
  </si>
  <si>
    <t>Building a business helping you save +2 hrs/week | Threads &amp; Weekly Newsletter about the process.</t>
  </si>
  <si>
    <t>I am an actress, model, mezzo-soprano and blogger. I have a YouTube channel called The Elina Maffeo Show discussing entrepreneurship, fashion and entertainment.</t>
  </si>
  <si>
    <t>So much to do, so little time. One of Sinbad's The What Up Girls along w Kirstie Alley &amp; Kris Stepney! IGNORE THE NOISE via @kirstiealley ... LOVING LIFE!</t>
  </si>
  <si>
    <t>Married to Jessica and we have two wonderful girls!</t>
  </si>
  <si>
    <t>Dallas Native. Actor, Designer, Director.  Craft Beer, Karaoke, &amp; Live Music fan.</t>
  </si>
  <si>
    <t>No Cow. No Bull. No Whey!</t>
  </si>
  <si>
    <t>What are you waiting for?</t>
  </si>
  <si>
    <t>We're one of the world's largest personal finance websites on a mission to help our millions of readers worldwide earn and save money.</t>
  </si>
  <si>
    <t>mark kisser &amp; will toledo misser</t>
  </si>
  <si>
    <t>he/they</t>
  </si>
  <si>
    <t>Bentonville, Arkansas</t>
  </si>
  <si>
    <t>LivingSpree, GOD'S Arms.!</t>
  </si>
  <si>
    <t>Irvine, CA</t>
  </si>
  <si>
    <t>Indiana, USA</t>
  </si>
  <si>
    <t xml:space="preserve">tx </t>
  </si>
  <si>
    <t>Bengaluru, India</t>
  </si>
  <si>
    <t>Sherwood Oregon</t>
  </si>
  <si>
    <t>Arlington, VA</t>
  </si>
  <si>
    <t>San Ramon, CA</t>
  </si>
  <si>
    <t>Somewhere in the PippaVerse</t>
  </si>
  <si>
    <t>Dallas, TX</t>
  </si>
  <si>
    <t>CA, USA</t>
  </si>
  <si>
    <t>North Hollywood, Los Angeles</t>
  </si>
  <si>
    <t>Grapevine, TX</t>
  </si>
  <si>
    <t>Austin, TX</t>
  </si>
  <si>
    <t xml:space="preserve">A clean, well lit room </t>
  </si>
  <si>
    <t>Pittsburgh, Pennsylvania</t>
  </si>
  <si>
    <t>North America</t>
  </si>
  <si>
    <t>Burlingame, CA</t>
  </si>
  <si>
    <t>New York, USA</t>
  </si>
  <si>
    <t>Virginia Beach, VA</t>
  </si>
  <si>
    <t>Torino</t>
  </si>
  <si>
    <t>Frankfurt on the Main, Germany</t>
  </si>
  <si>
    <t>Canada / United States</t>
  </si>
  <si>
    <t>Baltimore, Md</t>
  </si>
  <si>
    <t>Nantes</t>
  </si>
  <si>
    <t>Frankfurt, Germany</t>
  </si>
  <si>
    <t>Mumbai, India</t>
  </si>
  <si>
    <t>Paris, France</t>
  </si>
  <si>
    <t>Hong Kong, Singapore &amp; ✈️</t>
  </si>
  <si>
    <t>Washington, DC</t>
  </si>
  <si>
    <t>Switzerland</t>
  </si>
  <si>
    <t>Global</t>
  </si>
  <si>
    <t>Dublin &amp; London</t>
  </si>
  <si>
    <t xml:space="preserve">WORLD CITIZEN💙 NO DM ZONE </t>
  </si>
  <si>
    <t>USA</t>
  </si>
  <si>
    <t>Toronto, Ontario</t>
  </si>
  <si>
    <t>France</t>
  </si>
  <si>
    <t>Bangalore</t>
  </si>
  <si>
    <t xml:space="preserve">London | New York | Oxford </t>
  </si>
  <si>
    <t>Madrid, Spain 🌍</t>
  </si>
  <si>
    <t>Padova</t>
  </si>
  <si>
    <t>Kingdom of Saudi Arabia</t>
  </si>
  <si>
    <t>Tbilisi, Georgia</t>
  </si>
  <si>
    <t>Westport, CT</t>
  </si>
  <si>
    <t>North West, England</t>
  </si>
  <si>
    <t>New York, NY</t>
  </si>
  <si>
    <t>Dreamland</t>
  </si>
  <si>
    <t xml:space="preserve">Ohio </t>
  </si>
  <si>
    <t>Canada</t>
  </si>
  <si>
    <t>Ottawa, Ontario</t>
  </si>
  <si>
    <t>Brampton, Ontario</t>
  </si>
  <si>
    <t>BLM‼️ 🇵🇷🇲🇽 amal❤️</t>
  </si>
  <si>
    <t>Madison, WI</t>
  </si>
  <si>
    <t>New York, NY USA</t>
  </si>
  <si>
    <t>Midwest America.</t>
  </si>
  <si>
    <t>⛓✋🏼🧢💎💣🌩🤚🏼⛓</t>
  </si>
  <si>
    <t>Metaverse</t>
  </si>
  <si>
    <t>Alabama</t>
  </si>
  <si>
    <t xml:space="preserve">Born &amp; Raise in (Da)Bronx </t>
  </si>
  <si>
    <t>realqaiqai@gmail.com</t>
  </si>
  <si>
    <t>My Mind</t>
  </si>
  <si>
    <t>🌴// 🌁</t>
  </si>
  <si>
    <t>New Jersey, USA</t>
  </si>
  <si>
    <t>New York</t>
  </si>
  <si>
    <t>Philadelphia, PA</t>
  </si>
  <si>
    <t>Delaware Valley</t>
  </si>
  <si>
    <t>Nashville, TN</t>
  </si>
  <si>
    <t>New Brighton, PA</t>
  </si>
  <si>
    <t>Denver, CO</t>
  </si>
  <si>
    <t>Rochester Hills, Michigan</t>
  </si>
  <si>
    <t>Lausanne</t>
  </si>
  <si>
    <t>San Diego, California</t>
  </si>
  <si>
    <t>Waterloo, Ontario Canada</t>
  </si>
  <si>
    <t xml:space="preserve">NYC x Dominican Republic </t>
  </si>
  <si>
    <t>Encinitas, California</t>
  </si>
  <si>
    <t>Texas</t>
  </si>
  <si>
    <t>Houston, TX</t>
  </si>
  <si>
    <t>Massachusetts, USA</t>
  </si>
  <si>
    <t>Lebanon, PA</t>
  </si>
  <si>
    <t>Ontario, Canada</t>
  </si>
  <si>
    <t>The Queen City</t>
  </si>
  <si>
    <t>Regina, Saskatchewan</t>
  </si>
  <si>
    <t>Rural OK &amp; PGH 🇺🇸 &amp; Col-🇱🇰</t>
  </si>
  <si>
    <t>Rural OK/PGH🇺🇸C-5🇱🇰</t>
  </si>
  <si>
    <t>Sunnyvale, CA</t>
  </si>
  <si>
    <t>Everywhere</t>
  </si>
  <si>
    <t>San Francisco, California</t>
  </si>
  <si>
    <t>San Jose, CA</t>
  </si>
  <si>
    <t>Houston, Texas</t>
  </si>
  <si>
    <t>Boston, MA</t>
  </si>
  <si>
    <t>Bergen County, NJ</t>
  </si>
  <si>
    <t>California</t>
  </si>
  <si>
    <t>Birmingham, AL</t>
  </si>
  <si>
    <t>Dirty South</t>
  </si>
  <si>
    <t>Alabama, USA</t>
  </si>
  <si>
    <t>Cincinnati, OH</t>
  </si>
  <si>
    <t>New York, New York</t>
  </si>
  <si>
    <t>Charlotte, NC</t>
  </si>
  <si>
    <t>San Francisco, CA</t>
  </si>
  <si>
    <t>Juno Beach, FL</t>
  </si>
  <si>
    <t>Rahway, NJ</t>
  </si>
  <si>
    <t>Corporate HQ, Mooresville, NC</t>
  </si>
  <si>
    <t>Bellevue, WA</t>
  </si>
  <si>
    <t>Thousand Oaks, CA, USA</t>
  </si>
  <si>
    <t>Conshohocken, PA</t>
  </si>
  <si>
    <t>Boise, ID</t>
  </si>
  <si>
    <t>Snaxverse</t>
  </si>
  <si>
    <t>Toronto, Singapore and everywhere in between</t>
  </si>
  <si>
    <t>North Dakota, USA</t>
  </si>
  <si>
    <t>New Delhi, India</t>
  </si>
  <si>
    <t>Bentonville, AR</t>
  </si>
  <si>
    <t>America</t>
  </si>
  <si>
    <t>Pennsylvania</t>
  </si>
  <si>
    <t>Staten Island, NY</t>
  </si>
  <si>
    <t xml:space="preserve">Left Coast </t>
  </si>
  <si>
    <t>CST (-6)/UTC (+0)</t>
  </si>
  <si>
    <t>Southfield</t>
  </si>
  <si>
    <t>Olathe</t>
  </si>
  <si>
    <t>NewBritain</t>
  </si>
  <si>
    <t>Amsterdam, NY</t>
  </si>
  <si>
    <t>Kanata</t>
  </si>
  <si>
    <t>Ontario</t>
  </si>
  <si>
    <t>Ohio, USA</t>
  </si>
  <si>
    <t>North Carolina, USA</t>
  </si>
  <si>
    <t>4️⃣7️⃣9️⃣.eth</t>
  </si>
  <si>
    <t>MrBatWonder518 MrsBatWonder518</t>
  </si>
  <si>
    <t>Washington, D.C.</t>
  </si>
  <si>
    <t>Florence, Italy</t>
  </si>
  <si>
    <t>Cupertino, CA</t>
  </si>
  <si>
    <t>San Diego,California</t>
  </si>
  <si>
    <t>Richfield, MN</t>
  </si>
  <si>
    <t>San Antonio, TX</t>
  </si>
  <si>
    <t>Bennettsville, SC</t>
  </si>
  <si>
    <t>Sunny California</t>
  </si>
  <si>
    <t>Mars, Universe</t>
  </si>
  <si>
    <t>Louisiana</t>
  </si>
  <si>
    <t>Indianapolis</t>
  </si>
  <si>
    <t>Eddie Murphy's Bathroom,U.S.A.</t>
  </si>
  <si>
    <t>Bronx, NY</t>
  </si>
  <si>
    <t>Rochester, NY</t>
  </si>
  <si>
    <t>Sob Squad</t>
  </si>
  <si>
    <t>A one-sided,half-twisted strip</t>
  </si>
  <si>
    <t>Afton Tn</t>
  </si>
  <si>
    <t>Cibolo, TX</t>
  </si>
  <si>
    <t>Lawrenceburg, TN</t>
  </si>
  <si>
    <t>Sacramento, CA</t>
  </si>
  <si>
    <t>Loganville, GA</t>
  </si>
  <si>
    <t>Royale High</t>
  </si>
  <si>
    <t>Falls Church, VA</t>
  </si>
  <si>
    <t>Rosemead Southern California</t>
  </si>
  <si>
    <t>London, England</t>
  </si>
  <si>
    <t>47° 40' 57'' N 122° 24' 21'' W</t>
  </si>
  <si>
    <t>Stockholm, Sweden</t>
  </si>
  <si>
    <t>World</t>
  </si>
  <si>
    <t>Norway</t>
  </si>
  <si>
    <t>San Antonio, Texas</t>
  </si>
  <si>
    <t>California, USA</t>
  </si>
  <si>
    <t>Poznań, Polska</t>
  </si>
  <si>
    <t>Tel Aviv</t>
  </si>
  <si>
    <t>Keasbey, NJ</t>
  </si>
  <si>
    <t>Flyover country</t>
  </si>
  <si>
    <t>everywhere</t>
  </si>
  <si>
    <t xml:space="preserve">On the right side of HIStory </t>
  </si>
  <si>
    <t>Renton, WA, USA</t>
  </si>
  <si>
    <t>southern cali wit Rosa Acosta</t>
  </si>
  <si>
    <t>North Richland Hills,TX</t>
  </si>
  <si>
    <t>Albuquerque, NM</t>
  </si>
  <si>
    <t>Albuquerque, New Mexico</t>
  </si>
  <si>
    <t>Albuquerque, NM, USA</t>
  </si>
  <si>
    <t>Albuquerque NM</t>
  </si>
  <si>
    <t>Tacoma, WA</t>
  </si>
  <si>
    <t>➡️➡️</t>
  </si>
  <si>
    <t>Santiago, Chile</t>
  </si>
  <si>
    <t>Worldwide</t>
  </si>
  <si>
    <t>Fairfield &amp; Eastgate, Ohio</t>
  </si>
  <si>
    <t>Statesboro</t>
  </si>
  <si>
    <t>Medellín, Colombia</t>
  </si>
  <si>
    <t>MOONBASE 69</t>
  </si>
  <si>
    <t>Miami, FL</t>
  </si>
  <si>
    <t>2151 Professional Drive
2nd Floor
Roseville, CA., 95661</t>
  </si>
  <si>
    <t xml:space="preserve">##RR </t>
  </si>
  <si>
    <t>Guerrero, México</t>
  </si>
  <si>
    <t>Bumperton Hills</t>
  </si>
  <si>
    <t>$$$</t>
  </si>
  <si>
    <t>Mercury, Lead Soil, Toxix Dump</t>
  </si>
  <si>
    <t>Texas, USA</t>
  </si>
  <si>
    <t>Philadelphia</t>
  </si>
  <si>
    <t>London</t>
  </si>
  <si>
    <t>Ari x2</t>
  </si>
  <si>
    <t>ᵢₙ yₒᵤᵣ ₘᵢₙd, ᵣₑₙₜ fᵣₑₑ</t>
  </si>
  <si>
    <t xml:space="preserve">he/him  | black </t>
  </si>
  <si>
    <t>Miley World</t>
  </si>
  <si>
    <t xml:space="preserve"> MidnightSky road</t>
  </si>
  <si>
    <t>HappyHippieFoundation</t>
  </si>
  <si>
    <t xml:space="preserve">NEW YORK </t>
  </si>
  <si>
    <t>Hillsborough, NJ</t>
  </si>
  <si>
    <t xml:space="preserve">San Pablo ca </t>
  </si>
  <si>
    <t>Reykjavik Iceland</t>
  </si>
  <si>
    <t xml:space="preserve">Sunny Southern, California </t>
  </si>
  <si>
    <t>Dmv to Illinois</t>
  </si>
  <si>
    <t>Hurlingham, Argentina</t>
  </si>
  <si>
    <t>Montréal, Québec</t>
  </si>
  <si>
    <t>Studio 1A</t>
  </si>
  <si>
    <t>Bloomington, Illinois</t>
  </si>
  <si>
    <t>Tijuana, Baja California</t>
  </si>
  <si>
    <t>Pittsburgh, PA</t>
  </si>
  <si>
    <t>Dublin, IRE</t>
  </si>
  <si>
    <t>Rhode Island</t>
  </si>
  <si>
    <t>U. S. A.</t>
  </si>
  <si>
    <t>Sao Paulo, Brazil</t>
  </si>
  <si>
    <t>New Year New Miley</t>
  </si>
  <si>
    <t>Lakewood, NJ</t>
  </si>
  <si>
    <t>Farmington Hills, MI</t>
  </si>
  <si>
    <t>Midnight Sky Road</t>
  </si>
  <si>
    <t>Portugal</t>
  </si>
  <si>
    <t>Shenzhen, China</t>
  </si>
  <si>
    <t>Recife, Brasil</t>
  </si>
  <si>
    <t>Doral, Florida</t>
  </si>
  <si>
    <t>NJ</t>
  </si>
  <si>
    <t>Laguna Beach, CA</t>
  </si>
  <si>
    <t>Salinas, CA</t>
  </si>
  <si>
    <t>PA</t>
  </si>
  <si>
    <t>my own private Hell</t>
  </si>
  <si>
    <t>Middle East</t>
  </si>
  <si>
    <t>Taubaté, Brasil</t>
  </si>
  <si>
    <t>England, United Kingdom</t>
  </si>
  <si>
    <t>Vitória da Conquista, Brasil</t>
  </si>
  <si>
    <t>Maryland, USA</t>
  </si>
  <si>
    <t>she/her, 25y, brazilian</t>
  </si>
  <si>
    <t>Merica</t>
  </si>
  <si>
    <t>Stamford, CT</t>
  </si>
  <si>
    <t>M.I.L.E.Y W.O.R.L.D</t>
  </si>
  <si>
    <t>MileyWorld</t>
  </si>
  <si>
    <t>Louisville, Kentucky, USA</t>
  </si>
  <si>
    <t>Ireland</t>
  </si>
  <si>
    <t>N Ireland</t>
  </si>
  <si>
    <t>International</t>
  </si>
  <si>
    <t>Multiverse</t>
  </si>
  <si>
    <t>College Station, TX</t>
  </si>
  <si>
    <t>Thane, India</t>
  </si>
  <si>
    <t>Mumbai</t>
  </si>
  <si>
    <t>Oak Cliff, Dallas</t>
  </si>
  <si>
    <t xml:space="preserve">🇵🇹 | she/her </t>
  </si>
  <si>
    <t xml:space="preserve">IG : francisjared_ </t>
  </si>
  <si>
    <t>Cincinnati, Ohio</t>
  </si>
  <si>
    <t>Detroit, MI</t>
  </si>
  <si>
    <t>Cincinnati, OH, USA</t>
  </si>
  <si>
    <t>NYC</t>
  </si>
  <si>
    <t>Santiago&amp;Buenos Aires&amp;México</t>
  </si>
  <si>
    <t>Mount Airy, NC</t>
  </si>
  <si>
    <t>Memphis, TN</t>
  </si>
  <si>
    <t>Redmond, Washington</t>
  </si>
  <si>
    <t>All Over</t>
  </si>
  <si>
    <t>Englewood Cliffs, NJ</t>
  </si>
  <si>
    <t>Ubiquitous</t>
  </si>
  <si>
    <t xml:space="preserve"> USA</t>
  </si>
  <si>
    <t>Pennsylvania, USA</t>
  </si>
  <si>
    <t>Beaverton, Oregon</t>
  </si>
  <si>
    <t>Italy</t>
  </si>
  <si>
    <t>jb 10/03</t>
  </si>
  <si>
    <t>Mileywood</t>
  </si>
  <si>
    <t>🤔 … Ukraine in spirit! 💪🇺🇦</t>
  </si>
  <si>
    <t xml:space="preserve">Los Angeles, CA </t>
  </si>
  <si>
    <t>Subscribe to Hope in Cities ➡️</t>
  </si>
  <si>
    <t>Detroit</t>
  </si>
  <si>
    <t>Rio de Janeiro, Brasil</t>
  </si>
  <si>
    <t>Missoula, MT</t>
  </si>
  <si>
    <t>Melbourne</t>
  </si>
  <si>
    <t>Quintana Roo, México</t>
  </si>
  <si>
    <t>Lala-istan</t>
  </si>
  <si>
    <t xml:space="preserve">Antofagasta </t>
  </si>
  <si>
    <t>MILEY WORLD</t>
  </si>
  <si>
    <t>Nogales, Sonora</t>
  </si>
  <si>
    <t>West Texas</t>
  </si>
  <si>
    <t>Atlanta</t>
  </si>
  <si>
    <t>St. Louis, Missouri</t>
  </si>
  <si>
    <t>Norfolk, VA</t>
  </si>
  <si>
    <t>Maine, USA</t>
  </si>
  <si>
    <t>Greensboro, North Carolina</t>
  </si>
  <si>
    <t>Grand Rapids, Michigan</t>
  </si>
  <si>
    <t>Columbia, SC</t>
  </si>
  <si>
    <t>Cleveland, OH</t>
  </si>
  <si>
    <t>Indianapolis, Indiana</t>
  </si>
  <si>
    <t>Central Texas</t>
  </si>
  <si>
    <t>Little Rock, Arkansas</t>
  </si>
  <si>
    <t>Minneapolis, MN</t>
  </si>
  <si>
    <t>Jacksonville, FL</t>
  </si>
  <si>
    <t>York, PA</t>
  </si>
  <si>
    <t>Tampa, Florida</t>
  </si>
  <si>
    <t>Hartford, CT</t>
  </si>
  <si>
    <t>ÜT: 41.654712,-83.528995</t>
  </si>
  <si>
    <t>Corpus Christi, Texas</t>
  </si>
  <si>
    <t>Louisville, KY</t>
  </si>
  <si>
    <t>Northeastern &amp; Central PA</t>
  </si>
  <si>
    <t>San Diego, CA</t>
  </si>
  <si>
    <t>West Des Moines, IA</t>
  </si>
  <si>
    <t>Quad Cities</t>
  </si>
  <si>
    <t>Macon, GA</t>
  </si>
  <si>
    <t>Denver, Colorado</t>
  </si>
  <si>
    <t>Arizona, USA</t>
  </si>
  <si>
    <t>Spokane, Washington</t>
  </si>
  <si>
    <t>Beaumont, TX</t>
  </si>
  <si>
    <t>East Texas</t>
  </si>
  <si>
    <t>Bryan/College Station. TX</t>
  </si>
  <si>
    <t>Buffalo, NY</t>
  </si>
  <si>
    <t>Seattle, Washington, USA</t>
  </si>
  <si>
    <t>Columbus, Ohio, USA</t>
  </si>
  <si>
    <t>Fort Smith - Fayetteville, AR</t>
  </si>
  <si>
    <t>Huntsville, AL</t>
  </si>
  <si>
    <t>🇨🇺🇺🇲</t>
  </si>
  <si>
    <t>Little Rock, AR, USA</t>
  </si>
  <si>
    <t>Darkansas</t>
  </si>
  <si>
    <t>The Deep South</t>
  </si>
  <si>
    <t>Gainesville, GA</t>
  </si>
  <si>
    <t>she/her •18• medical student</t>
  </si>
  <si>
    <t>West Jordan, UT</t>
  </si>
  <si>
    <t>Nazareth, PA</t>
  </si>
  <si>
    <t>Everett, WA</t>
  </si>
  <si>
    <t>Japan</t>
  </si>
  <si>
    <t>NO</t>
  </si>
  <si>
    <t>Connecticut, USA</t>
  </si>
  <si>
    <t>Seattle, WA</t>
  </si>
  <si>
    <t>Los Angeles, CA / New York</t>
  </si>
  <si>
    <t>Guarapari, Brasil</t>
  </si>
  <si>
    <t>Winston-Salem, NC</t>
  </si>
  <si>
    <t>Baltimore, MD</t>
  </si>
  <si>
    <t xml:space="preserve">worldwide </t>
  </si>
  <si>
    <t>San Bruno, CA</t>
  </si>
  <si>
    <t>Internet</t>
  </si>
  <si>
    <t xml:space="preserve">Lee Juyeon Waist Enthusiast </t>
  </si>
  <si>
    <t xml:space="preserve">she/her | chi </t>
  </si>
  <si>
    <t>Atlanta, GA</t>
  </si>
  <si>
    <t>Portland, Oregon</t>
  </si>
  <si>
    <t>Not Fucking Huntington Beach!</t>
  </si>
  <si>
    <t>St Louis, MO</t>
  </si>
  <si>
    <t>U.S.A.</t>
  </si>
  <si>
    <t>Athens, GA</t>
  </si>
  <si>
    <t>thunderwatch + skyhook</t>
  </si>
  <si>
    <t>Bermuda</t>
  </si>
  <si>
    <t>La Habana, Cuba       Te sigue</t>
  </si>
  <si>
    <t>Benito Juárez, Quintana Roo</t>
  </si>
  <si>
    <t>Fayetteville, AR</t>
  </si>
  <si>
    <t>Little Rock, AR</t>
  </si>
  <si>
    <t>Fort Lauderdale, FL</t>
  </si>
  <si>
    <t>St. Petersburg, FL 🏝️🇺🇲</t>
  </si>
  <si>
    <t>Earth</t>
  </si>
  <si>
    <t>The World</t>
  </si>
  <si>
    <t>Los Gatos, CA</t>
  </si>
  <si>
    <t>Australia</t>
  </si>
  <si>
    <t>Central London</t>
  </si>
  <si>
    <t>Queens, NY</t>
  </si>
  <si>
    <t>Vancouver Canada</t>
  </si>
  <si>
    <t>Michigan, USA</t>
  </si>
  <si>
    <t>Twin Peaks</t>
  </si>
  <si>
    <t>Arizona</t>
  </si>
  <si>
    <t>Illinois, USA</t>
  </si>
  <si>
    <t xml:space="preserve">Nationwide </t>
  </si>
  <si>
    <t>Earth, 3rd Rock From The Sun</t>
  </si>
  <si>
    <t>Kentucky, USA</t>
  </si>
  <si>
    <t>Brasil</t>
  </si>
  <si>
    <t>Savannah, GA</t>
  </si>
  <si>
    <t>Zacatecas</t>
  </si>
  <si>
    <t>Butte, MT</t>
  </si>
  <si>
    <t>Sherman Texas</t>
  </si>
  <si>
    <t>Oakland, CA</t>
  </si>
  <si>
    <t>Akron, OH</t>
  </si>
  <si>
    <t>On roads everywhere..</t>
  </si>
  <si>
    <t>madison wi</t>
  </si>
  <si>
    <t>Wisconsin, USA</t>
  </si>
  <si>
    <t>Not in my fears</t>
  </si>
  <si>
    <t>She/her. 🇳🇬 19</t>
  </si>
  <si>
    <t xml:space="preserve">18 | black | she/her </t>
  </si>
  <si>
    <t>Las Vegas,NV</t>
  </si>
  <si>
    <t>Hollywood SC</t>
  </si>
  <si>
    <t>Mundinho Disney</t>
  </si>
  <si>
    <t>Malaysia</t>
  </si>
  <si>
    <t>The Shark Tank</t>
  </si>
  <si>
    <t>James West Alumni Center, UCLA</t>
  </si>
  <si>
    <t>ᴴᴱᴬᴿᵀᴸᴬᴺᴰ</t>
  </si>
  <si>
    <t>In The Middle of Some Where</t>
  </si>
  <si>
    <t>Tu corazón</t>
  </si>
  <si>
    <t>In the air</t>
  </si>
  <si>
    <t>bugaboo</t>
  </si>
  <si>
    <t>San Francisco</t>
  </si>
  <si>
    <t>Kansas, USA</t>
  </si>
  <si>
    <t>United States est</t>
  </si>
  <si>
    <t>Heaven,Pakistan</t>
  </si>
  <si>
    <t>Viseu</t>
  </si>
  <si>
    <t>Tennessee, USA</t>
  </si>
  <si>
    <t>LA</t>
  </si>
  <si>
    <t xml:space="preserve">New Jersey, </t>
  </si>
  <si>
    <t>Auckland, New Zealand</t>
  </si>
  <si>
    <t>Lake Hiawatha, NJ</t>
  </si>
  <si>
    <t>Somewhere USA</t>
  </si>
  <si>
    <t>Roslyn, NY</t>
  </si>
  <si>
    <t xml:space="preserve"> USA RUS UKR LBN ZMB ZWE</t>
  </si>
  <si>
    <t>Loudoun County, VA</t>
  </si>
  <si>
    <t>outer space ✨</t>
  </si>
  <si>
    <t>Gotham City, NY</t>
  </si>
  <si>
    <t xml:space="preserve">Holodeck 04 </t>
  </si>
  <si>
    <t>New Jersey</t>
  </si>
  <si>
    <t>Fairfax, VA</t>
  </si>
  <si>
    <t>San Juan City, MM, Philippines</t>
  </si>
  <si>
    <t>WORLDWIDE!</t>
  </si>
  <si>
    <t>North Augusta, SC</t>
  </si>
  <si>
    <t>Williamsburg, VA</t>
  </si>
  <si>
    <t>Mission, TX</t>
  </si>
  <si>
    <t>My Room</t>
  </si>
  <si>
    <t>forest lawn</t>
  </si>
  <si>
    <t>North Las Vegas, NV</t>
  </si>
  <si>
    <t>United Kingdom</t>
  </si>
  <si>
    <t>Rebirth Island</t>
  </si>
  <si>
    <t>U.S. and Canada</t>
  </si>
  <si>
    <t>Salisbury, NC</t>
  </si>
  <si>
    <t>over 18 | she/her</t>
  </si>
  <si>
    <t>Rome, GA</t>
  </si>
  <si>
    <t>Nottingham, England</t>
  </si>
  <si>
    <t>Neomuna</t>
  </si>
  <si>
    <t>Tallahassee, Florida</t>
  </si>
  <si>
    <t>Voyager</t>
  </si>
  <si>
    <t xml:space="preserve">Snake Mountain </t>
  </si>
  <si>
    <t>Paldea</t>
  </si>
  <si>
    <t>London, and around the world.</t>
  </si>
  <si>
    <t>London and around the world.</t>
  </si>
  <si>
    <t>Venice</t>
  </si>
  <si>
    <t xml:space="preserve">smiler since sperm </t>
  </si>
  <si>
    <t>ÜT: 40.733845,-73.980998</t>
  </si>
  <si>
    <t>El Paso, TX</t>
  </si>
  <si>
    <t>Horizon City, TX</t>
  </si>
  <si>
    <t>Spain</t>
  </si>
  <si>
    <t>Yorkshire, work nationwide</t>
  </si>
  <si>
    <t>The 7 seas!</t>
  </si>
  <si>
    <t>Paris</t>
  </si>
  <si>
    <t>Langley, VA</t>
  </si>
  <si>
    <t>Frankfort, IL</t>
  </si>
  <si>
    <t xml:space="preserve">Kentucky Gal, USA </t>
  </si>
  <si>
    <t>Kennett, MO</t>
  </si>
  <si>
    <t xml:space="preserve">The Expanse </t>
  </si>
  <si>
    <t>Salisbury, MD</t>
  </si>
  <si>
    <t>Hamilton, Ontario</t>
  </si>
  <si>
    <t>Kitchener</t>
  </si>
  <si>
    <t xml:space="preserve">America </t>
  </si>
  <si>
    <t>Free State of Florida</t>
  </si>
  <si>
    <t>Fever Dream</t>
  </si>
  <si>
    <t>Panama City, FL</t>
  </si>
  <si>
    <t>Dakota Dunes, SD</t>
  </si>
  <si>
    <t>Northeast Florida</t>
  </si>
  <si>
    <t>Northern California</t>
  </si>
  <si>
    <t>Maryland</t>
  </si>
  <si>
    <t>New Orleans, LA</t>
  </si>
  <si>
    <t>New York City / Worldwide</t>
  </si>
  <si>
    <t>National Public Radio</t>
  </si>
  <si>
    <t>Upside down</t>
  </si>
  <si>
    <t>Clearwater, FL</t>
  </si>
  <si>
    <t>Clinton, MS</t>
  </si>
  <si>
    <t>Richland Center, WI</t>
  </si>
  <si>
    <t>miley world</t>
  </si>
  <si>
    <t>Albany, NY</t>
  </si>
  <si>
    <t>Talamona, Lombardia</t>
  </si>
  <si>
    <t>Westview</t>
  </si>
  <si>
    <t>PH</t>
  </si>
  <si>
    <t>St. Louis, MO</t>
  </si>
  <si>
    <t>Denmark - Copenhagen North</t>
  </si>
  <si>
    <t>Central Florida</t>
  </si>
  <si>
    <t>Phoenix, AZ USA</t>
  </si>
  <si>
    <t>Nicaragua</t>
  </si>
  <si>
    <t>miami</t>
  </si>
  <si>
    <t>Romulus, MI</t>
  </si>
  <si>
    <t>Parts Unknown</t>
  </si>
  <si>
    <t>Fitchburg, WI</t>
  </si>
  <si>
    <t>she/her 26 sapphic feminist ❀</t>
  </si>
  <si>
    <t>Wherever there's a signal.</t>
  </si>
  <si>
    <t>Bethlehem, PA</t>
  </si>
  <si>
    <t>Ocean Isle Beach, NC</t>
  </si>
  <si>
    <t>Harker Heights, TX</t>
  </si>
  <si>
    <t>Reading, PA</t>
  </si>
  <si>
    <t>i love my baby daddy</t>
  </si>
  <si>
    <t>@KileLoftis</t>
  </si>
  <si>
    <t>TEXAS 🇺🇸</t>
  </si>
  <si>
    <t>TX</t>
  </si>
  <si>
    <t>Somewhere Overpriced</t>
  </si>
  <si>
    <t>An Employee-Owned Company</t>
  </si>
  <si>
    <t>Midwest</t>
  </si>
  <si>
    <t>Lausanne, Switzerland</t>
  </si>
  <si>
    <t>Your Local Store</t>
  </si>
  <si>
    <t>Sunny Florida ☀️</t>
  </si>
  <si>
    <t>Columbus OH</t>
  </si>
  <si>
    <t>Grand Siècle II</t>
  </si>
  <si>
    <t>Midnight Sky</t>
  </si>
  <si>
    <t>india</t>
  </si>
  <si>
    <t>LBC</t>
  </si>
  <si>
    <t>Pittsburgh</t>
  </si>
  <si>
    <t>quarto,italy</t>
  </si>
  <si>
    <t>Hampton Georgia</t>
  </si>
  <si>
    <t>Jacksonville, Florida</t>
  </si>
  <si>
    <t>AR</t>
  </si>
  <si>
    <t>Plano, TX</t>
  </si>
  <si>
    <t>So Cal.</t>
  </si>
  <si>
    <t>Tultitlán, Estado de México</t>
  </si>
  <si>
    <t>MILEY WORD</t>
  </si>
  <si>
    <t>In a pineapple under the sea</t>
  </si>
  <si>
    <t xml:space="preserve">Phoenix, AZ </t>
  </si>
  <si>
    <t>Vancouver, British Columbia</t>
  </si>
  <si>
    <t>Sonora, Kentucky</t>
  </si>
  <si>
    <t>Amazing</t>
  </si>
  <si>
    <t>mileyworld</t>
  </si>
  <si>
    <t>Cleveland, Ohio</t>
  </si>
  <si>
    <t xml:space="preserve">Washington DC &amp; India </t>
  </si>
  <si>
    <t>New Delhi</t>
  </si>
  <si>
    <t>New Orleans, Louisiana</t>
  </si>
  <si>
    <t>San Francisco, CA, US</t>
  </si>
  <si>
    <t>Omaha, NE</t>
  </si>
  <si>
    <t>Greenboro, NC</t>
  </si>
  <si>
    <t>In my Beautiful skin</t>
  </si>
  <si>
    <t>Plastic Hearts</t>
  </si>
  <si>
    <t>Superior, CO</t>
  </si>
  <si>
    <t>Philippines</t>
  </si>
  <si>
    <t>Tabasco</t>
  </si>
  <si>
    <t>Montgomery County, MD</t>
  </si>
  <si>
    <t>Honeymoon ave.</t>
  </si>
  <si>
    <t>Orlando</t>
  </si>
  <si>
    <t>Guadalajara, Jalisco</t>
  </si>
  <si>
    <t>Las Vegas, NV</t>
  </si>
  <si>
    <t>Minnesota, USA</t>
  </si>
  <si>
    <t>Dallas, Texas</t>
  </si>
  <si>
    <t>Mileyworld</t>
  </si>
  <si>
    <t xml:space="preserve">ATL </t>
  </si>
  <si>
    <t>All over the world</t>
  </si>
  <si>
    <t xml:space="preserve">Dallas-Fort Worth, TX </t>
  </si>
  <si>
    <t>Fort Worth, Texas</t>
  </si>
  <si>
    <t>Green Bay, WI</t>
  </si>
  <si>
    <t>Arlington, MA, USA</t>
  </si>
  <si>
    <t>Navigating the chaos…</t>
  </si>
  <si>
    <t>Knoxville, Tenn.</t>
  </si>
  <si>
    <t>Yokohama, Japan</t>
  </si>
  <si>
    <t>Colorado, USA</t>
  </si>
  <si>
    <t>Seattle</t>
  </si>
  <si>
    <t>I'm in every dark corner.</t>
  </si>
  <si>
    <t>locating...</t>
  </si>
  <si>
    <t>Simi Valley, CA</t>
  </si>
  <si>
    <t>Instagram: @MonkeyFlop1</t>
  </si>
  <si>
    <t>The Hills, Kentucky</t>
  </si>
  <si>
    <t>Los Angeles, CA. USA</t>
  </si>
  <si>
    <t>Minneapolis</t>
  </si>
  <si>
    <t>HELL</t>
  </si>
  <si>
    <t>Las Vegas NV</t>
  </si>
  <si>
    <t xml:space="preserve">Suburbia, OH </t>
  </si>
  <si>
    <t>671 Lincoln Blvd    22 she/her</t>
  </si>
  <si>
    <t>Nunya, &amp; If under 21 DNI</t>
  </si>
  <si>
    <t>Toronto</t>
  </si>
  <si>
    <t>Planet Earth, Sol System</t>
  </si>
  <si>
    <t>omgpodcast22.org on planet 🌎</t>
  </si>
  <si>
    <t>Follow me for a cookie</t>
  </si>
  <si>
    <t>A. Musset 325, Polanco, CDMX.</t>
  </si>
  <si>
    <t xml:space="preserve">Sir This Is A </t>
  </si>
  <si>
    <t>Twitter HQ</t>
  </si>
  <si>
    <t>Ukraine</t>
  </si>
  <si>
    <t>West Coast Alliance</t>
  </si>
  <si>
    <t>somewhere, this time next year</t>
  </si>
  <si>
    <t>Honolulu, HI</t>
  </si>
  <si>
    <t>PNW</t>
  </si>
  <si>
    <t>South Africa</t>
  </si>
  <si>
    <t xml:space="preserve">Duckland </t>
  </si>
  <si>
    <t>Montreal, Canada</t>
  </si>
  <si>
    <t>Bellingham, WA</t>
  </si>
  <si>
    <t>Apt. 5G</t>
  </si>
  <si>
    <t xml:space="preserve">Amsterdam </t>
  </si>
  <si>
    <t>Los Angeles, California</t>
  </si>
  <si>
    <t>Pleasanton, CA</t>
  </si>
  <si>
    <t>Waldorf, MD</t>
  </si>
  <si>
    <t>A Fantastic Taco Shop</t>
  </si>
  <si>
    <t>Erebor</t>
  </si>
  <si>
    <t>London, United Kingdom</t>
  </si>
  <si>
    <t>Merton, WI</t>
  </si>
  <si>
    <t>Punjab, India</t>
  </si>
  <si>
    <t>Nawada, India</t>
  </si>
  <si>
    <t>INDIA</t>
  </si>
  <si>
    <t>Geneva, Switzerland</t>
  </si>
  <si>
    <t>Delhi</t>
  </si>
  <si>
    <t>United States of America</t>
  </si>
  <si>
    <t>Alex Angelo's ❤</t>
  </si>
  <si>
    <t>New York and the World</t>
  </si>
  <si>
    <t>New York City</t>
  </si>
  <si>
    <t>Twilight Town</t>
  </si>
  <si>
    <t>Funcie, Ind.</t>
  </si>
  <si>
    <t>Indianapolis, IN</t>
  </si>
  <si>
    <t>ÜT: 39.904749,-86.046245</t>
  </si>
  <si>
    <t>Georgia, USA ❤</t>
  </si>
  <si>
    <t>Arlington, TX</t>
  </si>
  <si>
    <t>Grimes, IA</t>
  </si>
  <si>
    <t>Swindon/London</t>
  </si>
  <si>
    <t>Vilnius, Lithuania</t>
  </si>
  <si>
    <t>Miami</t>
  </si>
  <si>
    <t>Birmingham, Alabama</t>
  </si>
  <si>
    <t>Sidney, NE</t>
  </si>
  <si>
    <t>Springfield, MO</t>
  </si>
  <si>
    <t>Deep In Blue Gingham Land</t>
  </si>
  <si>
    <t>Bakersfield, CA</t>
  </si>
  <si>
    <t>Last Floor Of Tarturus</t>
  </si>
  <si>
    <t>Kamurocho (Yakuza Place)</t>
  </si>
  <si>
    <t>The bank (Won't say which)</t>
  </si>
  <si>
    <t xml:space="preserve">Space 🚀 </t>
  </si>
  <si>
    <t>Makin' 💵 Online...</t>
  </si>
  <si>
    <t>Mountain View, CA</t>
  </si>
  <si>
    <t>San Francisco US + Dublin IE</t>
  </si>
  <si>
    <t>Asheville NC</t>
  </si>
  <si>
    <t>Bangalore, India</t>
  </si>
  <si>
    <t>Global (HQ: Bangalore, India)</t>
  </si>
  <si>
    <t>Bengaluru</t>
  </si>
  <si>
    <t>Wyoming, USA</t>
  </si>
  <si>
    <t>ÜT: 40.756539,-73.990301</t>
  </si>
  <si>
    <t>Morrisville, NC</t>
  </si>
  <si>
    <t xml:space="preserve"> NE Tennessee   NW Indiana   </t>
  </si>
  <si>
    <t>Faridkot, India</t>
  </si>
  <si>
    <t>Northern Virginia</t>
  </si>
  <si>
    <t>Mt. Jackson, VA</t>
  </si>
  <si>
    <t xml:space="preserve"> west PA to Glasgow Scotland</t>
  </si>
  <si>
    <t>Virginia, USA</t>
  </si>
  <si>
    <t>Johnstown, PA</t>
  </si>
  <si>
    <t>🏪: PA, OH, MD, VA, WV &amp; NC</t>
  </si>
  <si>
    <t>Shelbyville, KY</t>
  </si>
  <si>
    <t>Shelbyville, Kentucky</t>
  </si>
  <si>
    <t>Who Dey Land</t>
  </si>
  <si>
    <t>Join 50+ Subscribers for free→</t>
  </si>
  <si>
    <t>ON A DATE 💗 THAT NEVER ENDS.</t>
  </si>
  <si>
    <t>El Puerto de Santa María</t>
  </si>
  <si>
    <t>Bryan, TX</t>
  </si>
  <si>
    <t>St Petersburg, FL</t>
  </si>
  <si>
    <t>he/him. 20</t>
  </si>
  <si>
    <t>Open Twitter Page for This Person</t>
  </si>
  <si>
    <t xml:space="preserve">touchtonegay
</t>
  </si>
  <si>
    <t>walmart
That Fresh $150 free delivery minimum
is looking pretty stale right about
now. 😵‍💫 https://t.co/q8EVmYa6w2</t>
  </si>
  <si>
    <t>flyyestcoopeva
DO NOT buy them expensive ass @VIZIO
TVs from @Walmart !!! I repeat
do not!!!</t>
  </si>
  <si>
    <t xml:space="preserve">vizio
</t>
  </si>
  <si>
    <t>dalton_hend
@xrockytrejo @GhostLifestyle @Walmart
They should make ghost singles
for like a bottled of water.</t>
  </si>
  <si>
    <t xml:space="preserve">ghostlifestyle
</t>
  </si>
  <si>
    <t xml:space="preserve">xrockytrejo
</t>
  </si>
  <si>
    <t>4swiin
@flipkartsupport Why are u cheating
customers by making fraudulent
promises through #Jeeves complete
TV Protection Plan; 2 weeks passed
since I registered smart tv complaint
with Jeeves &amp;amp; the problem has
yet to be resolved. @Flipkart #flipkart
#walmart @Walmart @_Kalyan_K</t>
  </si>
  <si>
    <t xml:space="preserve">_kalyan_k
</t>
  </si>
  <si>
    <t xml:space="preserve">flipkart
</t>
  </si>
  <si>
    <t xml:space="preserve">flipkartsupport
</t>
  </si>
  <si>
    <t>kylala81848300
That moment when you want to give
away 100 Walmart+ memberships for
every save but also want your team
to win. 😱 🪦</t>
  </si>
  <si>
    <t>ivicam10
@Walmart @WalmartInc Walmart order
your</t>
  </si>
  <si>
    <t xml:space="preserve">walmartinc
</t>
  </si>
  <si>
    <t>jeanne_muenchau
@Chevron @amazon @Boeing @Walmart
SERIOUSLY, you can’t be this stupid,
can you? https://t.co/OXPLLdevzv</t>
  </si>
  <si>
    <t xml:space="preserve">boeing
</t>
  </si>
  <si>
    <t xml:space="preserve">amazon
</t>
  </si>
  <si>
    <t xml:space="preserve">chevron
</t>
  </si>
  <si>
    <t>wyndstrom1
@amuse Just another day at your
friendly neighborhood @Walmart
! Someone grab me a mop and bucket
please! https://t.co/V65E1d8eCU</t>
  </si>
  <si>
    <t xml:space="preserve">amuse
</t>
  </si>
  <si>
    <t>nucicoms
@BranMci @GameStop Facing this
problem right now, actually. But
with @Walmart because it was the
only place that had them "in stock"
at the time I got off work. So
it's apparently not just gamestop
pulling this BS. My "preorder"
only just canceled today. I was
hoping to play it for my bday :/</t>
  </si>
  <si>
    <t xml:space="preserve">branmci
</t>
  </si>
  <si>
    <t xml:space="preserve">gamestop
</t>
  </si>
  <si>
    <t>mechamelissa
@valhallabckgirl @Walmart THE SECOND
TIRE PIC IM WEAK</t>
  </si>
  <si>
    <t>valhallabckgirl
If Charlene doesn’t get a raise,
@Walmart, we ride at dawn https://t.co/Vje3OdVM8b</t>
  </si>
  <si>
    <t>oldtehanu
@daltoncroyle @Walmart Yikes. I
will never libe down a two decades
old inquiry along those lines that
took me by surprise. Thankfully
without any real consequences.</t>
  </si>
  <si>
    <t xml:space="preserve">daltoncroyle
</t>
  </si>
  <si>
    <t>heavenlychc9
These Organic Dressings are my
new fav! Read my full review on
@oceanshalo products on @socialnature
to learn more #GotItFree available
at @walmart https://t.co/qraC2lUVUn</t>
  </si>
  <si>
    <t xml:space="preserve">socialnature
</t>
  </si>
  <si>
    <t xml:space="preserve">oceanshalo
</t>
  </si>
  <si>
    <t>dronexl1
Walmart said that with 4,700 stores
spread across 90% of the US population,
it can now offer “drone delivery
at scale” because 90% of the US
population lives near at least
one of its stores. @walmart @godroneup
#drone #drones https://t.co/Pbamm9SRNr</t>
  </si>
  <si>
    <t xml:space="preserve">godroneup
</t>
  </si>
  <si>
    <t>dronilabeu
Walmart said that with 4,700 stores
spread across 90% of the US population,
it can now offer “drone delivery
at scale” because 90% of the US
population lives near at least
one of its stores. @walmart @godroneup
#drone #drones https://t.co/Pbamm9SRNr</t>
  </si>
  <si>
    <t>procurementstar
.@Walmart #Recession-Proofs #Retail
Reign With 3 Rare Moves https://t.co/jkckgJ5gdo
By @NoahBarsky v/ @BetaMoroney
#RetailTech #DigitalTransformation
@Xbond49 @efipm @psb_dc @helene_wpli
@jblefevre60 @CurieuxExplorer @mvollmer1
@Damien_CABADI @chboursin @gvalan
@ravidugh https://t.co/Mv5ZbLEsQ1</t>
  </si>
  <si>
    <t xml:space="preserve">ravidugh
</t>
  </si>
  <si>
    <t xml:space="preserve">gvalan
</t>
  </si>
  <si>
    <t>chboursin
.@Walmart #Recession-Proofs #Retail
Reign With 3 Rare Moves https://t.co/jkckgJ5gdo
By @NoahBarsky v/ @BetaMoroney
#RetailTech #DigitalTransformation
@Xbond49 @efipm @psb_dc @helene_wpli
@jblefevre60 @CurieuxExplorer @mvollmer1
@Damien_CABADI @chboursin @gvalan
@ravidugh https://t.co/Mv5ZbLEsQ1</t>
  </si>
  <si>
    <t xml:space="preserve">damien_cabadi
</t>
  </si>
  <si>
    <t xml:space="preserve">mvollmer1
</t>
  </si>
  <si>
    <t xml:space="preserve">curieuxexplorer
</t>
  </si>
  <si>
    <t xml:space="preserve">jblefevre60
</t>
  </si>
  <si>
    <t xml:space="preserve">helene_wpli
</t>
  </si>
  <si>
    <t xml:space="preserve">psb_dc
</t>
  </si>
  <si>
    <t xml:space="preserve">efipm
</t>
  </si>
  <si>
    <t xml:space="preserve">xbond49
</t>
  </si>
  <si>
    <t>betamoroney
@Walmart Recession-Proofs Retail
Reign With 3 Rare Moves - @NoahBarsky
v. @Forbes @IanLJones98 @Shi4Tech
@lyakovet @EvaSmartAI @Khulood_Almani
@FrRonconi @sonu_monika @enilev
@EstelaMandela @mikeflache @sallyeaves
@Nicochan33 #DigitalTransformation
https://t.co/3bmA3IwjL7 https://t.co/TbuEUj2keY</t>
  </si>
  <si>
    <t>noahbarsky
Exceptional leadership requires
counterintuition, courage &amp;amp;
clarity. @Walmart exemplifies how
that rare combination accelerates
#DigitalTransformation, elevates
customer experience &amp;amp; fortifies
strategic readiness. @BetaMoroney
@aldoceccarelli @YuHelenYu https://t.co/Gz7x0vaRcb</t>
  </si>
  <si>
    <t>shi4tech
.@Walmart #Recession-Proofs #Retail
Reign With 3 Rare Moves https://t.co/jkckgJ5gdo
By @NoahBarsky v/ @BetaMoroney
#RetailTech #DigitalTransformation
@Xbond49 @efipm @psb_dc @helene_wpli
@jblefevre60 @CurieuxExplorer @mvollmer1
@Damien_CABADI @chboursin @gvalan
@ravidugh https://t.co/Mv5ZbLEsQ1</t>
  </si>
  <si>
    <t>acrolisx
@Walmart were the refund? Your
company tells refund done in 25jan
the bank tell don't know what money.
We're is my money?</t>
  </si>
  <si>
    <t>cindyaubrey
@Dis_Nari @Walmart That’s awful.
I tried the number, gave me updates
for Christmas Eve/day hours, and
hung up. Called the store, could
only leave a voicemail. I get great
service at the one in Hamlin area
but crap service at the one 5 min
from me.</t>
  </si>
  <si>
    <t xml:space="preserve">dis_nari
</t>
  </si>
  <si>
    <t>degen_jordan
@ponzishorter @Walmart Think of
the PnL we can do on $EGG</t>
  </si>
  <si>
    <t>ponzishorter
@Degen_Jordan @Walmart No funding
rates as well. gud</t>
  </si>
  <si>
    <t xml:space="preserve">nicochan33
</t>
  </si>
  <si>
    <t>sonu_monika
@Walmart Recession-Proofs Retail
Reign With 3 Rare Moves - @NoahBarsky
v. @Forbes @IanLJones98 @Shi4Tech
@lyakovet @EvaSmartAI @Khulood_Almani
@FrRonconi @sonu_monika @enilev
@EstelaMandela @mikeflache @sallyeaves
@Nicochan33 #DigitalTransformation
https://t.co/3bmA3IwjL7 https://t.co/TbuEUj2keY</t>
  </si>
  <si>
    <t xml:space="preserve">sallyeaves
</t>
  </si>
  <si>
    <t xml:space="preserve">mikeflache
</t>
  </si>
  <si>
    <t xml:space="preserve">estelamandela
</t>
  </si>
  <si>
    <t xml:space="preserve">enilev
</t>
  </si>
  <si>
    <t xml:space="preserve">frronconi
</t>
  </si>
  <si>
    <t xml:space="preserve">khulood_almani
</t>
  </si>
  <si>
    <t xml:space="preserve">evasmartai
</t>
  </si>
  <si>
    <t xml:space="preserve">lyakovet
</t>
  </si>
  <si>
    <t xml:space="preserve">ianljones98
</t>
  </si>
  <si>
    <t xml:space="preserve">forbes
</t>
  </si>
  <si>
    <t>chefkawasaki_
@UZlAK69 @Walmart @AskPlayStation
Idk did you use self checkout?
That happened to me one time with
a Google Play card</t>
  </si>
  <si>
    <t xml:space="preserve">askplaystation
</t>
  </si>
  <si>
    <t xml:space="preserve">uzlak69
</t>
  </si>
  <si>
    <t>ranareno20
#MondayMotivation 💪 Suresh Kumar
Suresh Kumar, @Walmart's global
chief technology officer, is bullish
on #crypto as a means of payment.
🔥🔥 https://t.co/r1PWeU2iIo</t>
  </si>
  <si>
    <t>okx
#MondayMotivation 💪 Suresh Kumar
Suresh Kumar, @Walmart's global
chief technology officer, is bullish
on #crypto as a means of payment.
🔥🔥 https://t.co/r1PWeU2iIo</t>
  </si>
  <si>
    <t>amie3752
@loblawco @YoniFreedhoff Unfortunately
for @loblawco, we can see their
profits. They can try and lie all
they want. The same goes for @sobeys
and @Walmart The farmers sure as
hell aren’t making more.</t>
  </si>
  <si>
    <t xml:space="preserve">sobeys
</t>
  </si>
  <si>
    <t xml:space="preserve">yonifreedhoff
</t>
  </si>
  <si>
    <t xml:space="preserve">loblawco
</t>
  </si>
  <si>
    <t>bobbik8
#MondayMotivation 💪 Suresh Kumar
Suresh Kumar, @Walmart's global
chief technology officer, is bullish
on #crypto as a means of payment.
🔥🔥 https://t.co/r1PWeU2iIo</t>
  </si>
  <si>
    <t>jeonsleeve
@jeonsleeve That's awesome, Sunshine!
😋 👍</t>
  </si>
  <si>
    <t>cardcomicbeard
@MannyG93YT @PixiemonCards @Walmart
If I had to do the job of checking
myself out (I'm not an anti-self-checker;
love that it exists) then I also
did the job of checking my receipt
and if you need it badly enough
it'll be in the trash can up front
but I'm not breaking stride</t>
  </si>
  <si>
    <t xml:space="preserve">pixiemoncards
</t>
  </si>
  <si>
    <t xml:space="preserve">mannyg93yt
</t>
  </si>
  <si>
    <t>debbyquashen
@Walmart changed you could count
on being able to contact their
customer service when you have
a problem you could also be able
to get free shipping on orders
over $35 no longer, now you have
to be a member. It stinks!</t>
  </si>
  <si>
    <t>soupermario
If Charlene doesn’t get a raise,
@Walmart, we ride at dawn https://t.co/Vje3OdVM8b</t>
  </si>
  <si>
    <t>rachaelray
Mark your 🗓!! Dec 8 @ 4:30P ET
🙌 Going LIVE for the holidays
w/ @Walmart + @TalkShopLive. Join
to cook, holiday shop + get a signed
copy of #ThisMustBeThePlace! See
ya there 👉 https://t.co/r0vbEoL3Jq
https://t.co/cUCR8VCpDP</t>
  </si>
  <si>
    <t>talkshoplive
Did someone say under $50? @Walmart
❤️ https://t.co/ABQLY5Relp #TalkShopLive
#GiftIdeas #Valentine #ValentinesDay
https://t.co/k1SiAtXDfz</t>
  </si>
  <si>
    <t>alexiah14468441
Mark your 🗓!! Dec 8 @ 4:30P ET
🙌 Going LIVE for the holidays
w/ @Walmart + @TalkShopLive. Join
to cook, holiday shop + get a signed
copy of #ThisMustBeThePlace! See
ya there 👉 https://t.co/r0vbEoL3Jq
https://t.co/cUCR8VCpDP</t>
  </si>
  <si>
    <t>mamnga2
#MondayMotivation 💪 Suresh Kumar
Suresh Kumar, @Walmart's global
chief technology officer, is bullish
on #crypto as a means of payment.
🔥🔥 https://t.co/r1PWeU2iIo</t>
  </si>
  <si>
    <t>hopeihave2
@ClownWorld_ Free advertising for
@Walmart they love it…</t>
  </si>
  <si>
    <t xml:space="preserve">clownworld_
</t>
  </si>
  <si>
    <t>sourabh78722891
Even after multiple complaints
&amp;amp; 10+ returns raised for wrong
product @Flipkart delivered, delivery
team still cancelling without coming
to my house with a lie reason "I
want to keep product", @flipkartsupport
has not taken any action against
these goons till date @Walmart</t>
  </si>
  <si>
    <t>tonioillusion
Dropping alpha at your local @Walmart
@InvsbleFriends https://t.co/J3FvSuZi2p</t>
  </si>
  <si>
    <t xml:space="preserve">invsblefriends
</t>
  </si>
  <si>
    <t>digicess
Dropping alpha at your local @Walmart
@InvsbleFriends https://t.co/J3FvSuZi2p</t>
  </si>
  <si>
    <t>alwearydad
@ALWearyDad Anything is pawsible,
Greg! 🐈</t>
  </si>
  <si>
    <t>rufus_the_exile
Stay the course, @Walmart, avoid
abortion controversy. https://t.co/5ELmNPQYpE</t>
  </si>
  <si>
    <t>frcdc
Stay the course, @Walmart, avoid
abortion controversy. https://t.co/5ELmNPQYpE</t>
  </si>
  <si>
    <t>1900_dilara
#MondayMotivation 💪 Suresh Kumar
Suresh Kumar, @Walmart's global
chief technology officer, is bullish
on #crypto as a means of payment.
🔥🔥 https://t.co/r1PWeU2iIo</t>
  </si>
  <si>
    <t>7lakeorenda
@ClownWorld_ @JohnJohngildea Why
always @Walmart? 🤷🏻‍♂️</t>
  </si>
  <si>
    <t xml:space="preserve">johnjohngildea
</t>
  </si>
  <si>
    <t>realqaiqai
getting wild in wally world @Walmart!
https://t.co/CCY1nt7uYI</t>
  </si>
  <si>
    <t>direct7e
getting wild in wally world @Walmart!
https://t.co/CCY1nt7uYI</t>
  </si>
  <si>
    <t>wild_fl0w3r_
Charlene better be the new spokesperson
for @Walmart https://t.co/ZtIhuqmceV</t>
  </si>
  <si>
    <t>justinzollars
This is actually the way people
live. I made the mistake of going
to @Walmart in mountain view, and
had to do this. https://t.co/7tybdhHhXG</t>
  </si>
  <si>
    <t>garsea108
@ProFootballTalk Thank you @Walmart
shoppers</t>
  </si>
  <si>
    <t xml:space="preserve">profootballtalk
</t>
  </si>
  <si>
    <t>mariamu18729133
@Walmart iPhone 13 Pro Step 1:
Click The Link Below Step 2: Complete
A Simple Answer question Click
Button and Win your iPhone 13 Pro
This offer is for United Kingdom
mobile users only Click Now &amp;gt;&amp;gt;
https://t.co/E0rpAHxErl https://t.co/qSvqNmkjFb</t>
  </si>
  <si>
    <t>midgetmoma
@Walmart isn’t too worried about
theft, or we’d have cashiers. 🙄</t>
  </si>
  <si>
    <t>rossdimattei
These union workers collect and
process trash for the city of Camden,
as well as Haddonfield and Winslow,
NJ, not to mention numerous private
businesses in the area including
@Wawa and @Walmart. It’s unclear
who will pick up the trash at those
sites while they’re on strike https://t.co/BHqhe1M0P1</t>
  </si>
  <si>
    <t xml:space="preserve">wawa
</t>
  </si>
  <si>
    <t>njknight1436
@RossDiMattei @Wawa @Walmart Mostly
likely non union scab workers</t>
  </si>
  <si>
    <t>gkenney
Stay the course, @Walmart, avoid
abortion controversy. https://t.co/5ELmNPQYpE</t>
  </si>
  <si>
    <t>andy_bowling_
@Walmart @WalmartInc Can you look
into a function for your app that
would query all Health Savings
Account (HSA) eligible purchases
and allow a receipt for those to
be exported?</t>
  </si>
  <si>
    <t>bjsmith120216
Why is not anyone talking much
about all the people complaining
about not getting their Hardy Exclusive
pre-order vinyl we paid for back
in December @HardyMusic @BigLoud
@Walmart</t>
  </si>
  <si>
    <t xml:space="preserve">bigloud
</t>
  </si>
  <si>
    <t xml:space="preserve">hardymusic
</t>
  </si>
  <si>
    <t>vickyverenzuela
Always at @Walmart 😂🤣 https://t.co/oS530LS7cx</t>
  </si>
  <si>
    <t>thebuckramadan1
@KeyJayandMax that @Walmart money
is different. That’s why @SeanPayton
is the @Broncos HC</t>
  </si>
  <si>
    <t xml:space="preserve">keyjayandmax
</t>
  </si>
  <si>
    <t xml:space="preserve">broncos
</t>
  </si>
  <si>
    <t xml:space="preserve">seanpayton
</t>
  </si>
  <si>
    <t>mujin_global
Mujin US is hosting a speaking
panel called “You Are Ready for
Robots in the Warehouse” with guests
from @Walmart , @geekplusrobot,
and @FANUCAmerica. Visit the Mujin
booth at #Manifest! https://t.co/lMcmCCaNbF
https://t.co/eY5i1uVsSU</t>
  </si>
  <si>
    <t xml:space="preserve">fanucamerica
</t>
  </si>
  <si>
    <t>dbov68
Mujin US is hosting a speaking
panel called “You Are Ready for
Robots in the Warehouse” with guests
from @Walmart , @geekplusrobot,
and @FANUCAmerica. Visit the Mujin
booth at #Manifest! https://t.co/lMcmCCaNbF
https://t.co/eY5i1uVsSU</t>
  </si>
  <si>
    <t xml:space="preserve">geekplusrobot
</t>
  </si>
  <si>
    <t>jamesvgingerich
Edible Garden Greenthumb™ #Agtech
Solution Drives #Sustainability
Impact for @Walmart Project Gigaton.
(Business Insider) https://t.co/nh5Il7cNrj
https://t.co/FGGnIiKw1N</t>
  </si>
  <si>
    <t>stephmomof1
@SamsClub @Walmart @WalmartInc
please please please be safe and
careful cause we're not prepared
for this weather in Bell County.
https://t.co/mfvLEb1tub</t>
  </si>
  <si>
    <t xml:space="preserve">samsclub
</t>
  </si>
  <si>
    <t>ts_kiti
#MondayMotivation 💪 Suresh Kumar
Suresh Kumar, @Walmart's global
chief technology officer, is bullish
on #crypto as a means of payment.
🔥🔥 https://t.co/r1PWeU2iIo</t>
  </si>
  <si>
    <t>snowboard_p
Does anyone in “core snowboarding”
remember when @btoddrichards sold
Omatic Snowboards at @Walmart 😭😭😭</t>
  </si>
  <si>
    <t xml:space="preserve">btoddrichards
</t>
  </si>
  <si>
    <t>4ever0range
@KPRC2Amy (2/2) So basically, @walmart
wants the customer to price chk
their own items, check themselves
out and bag the items themselves.
So... What do the employees do?
Shouldn't Walmart be paying the
customer?</t>
  </si>
  <si>
    <t xml:space="preserve">kprc2amy
</t>
  </si>
  <si>
    <t>d34nlolol
Enter the New Gods universe where
Chinese mythology is reimagined
in a wildly original, steampunk-inspired
world. NEW GODS: YANG JIAN is a
visual feast from the creators
of WHITE SNAKE. Pre-order at @Walmart,
initial run includes a limited-edition
poster! https://t.co/HfY2zIIf0L
https://t.co/FGKSNVNZqx</t>
  </si>
  <si>
    <t>shoutfactory
Enter the New Gods universe where
Chinese mythology is reimagined
in a wildly original, steampunk-inspired
world. NEW GODS: YANG JIAN is a
visual feast from the creators
of WHITE SNAKE. Pre-order at @Walmart,
initial run includes a limited-edition
poster! https://t.co/HfY2zIIf0L
https://t.co/FGKSNVNZqx</t>
  </si>
  <si>
    <t>ritchie92174681
@Walmart PEOPLE NEED TO STOP SHOPPING
AT ATORES THAT ARE TAKING JOBS
AND USING A.I TO REPLACE HUMANS.
BOYCOTT WALMART GO TO NON ESG COMPANIES.
USE YOUR LOCAL MOM AND POP STORE
AND GROW YOUR OWN FOOD. THESE COMPANIES
ARE WORKING FOR WORLD ECONOMIC
FORUM.</t>
  </si>
  <si>
    <t>jngshngmih1
💚Happy Kwanzaa!❤ 🔥 🔥🔥🔥⬛🔥🔥🔥
🟩🟩🟩⬛🟥🟥🟥 🟩🟩🟩⬛🟥🟥🟥 🟩🟩🟩⬛🟥🟥🟥
🟩🟩🟩⬛🟥🟥🟥 ⬛⬛ ⬛⬛ ⬛⬛⬛⬛</t>
  </si>
  <si>
    <t>salvationarmleb
Need summer clothing? February
10 Come to the Lebanon Corp and
make selections--for FREE! Walmart
has donated PALLETS of clothing
to be distributed FREE to the Community
. All Sizes. Not available for
Re-sale Thank you @Walmart</t>
  </si>
  <si>
    <t>hexidimentional
@Walmart where's my food walmart?
https://t.co/Sf6MKVXT07</t>
  </si>
  <si>
    <t>mrmrazek89
@wolfm @XboxCanada Hope @Walmart
gets them in. Was about to buy
a new controller with some gift
cards.</t>
  </si>
  <si>
    <t xml:space="preserve">xboxcanada
</t>
  </si>
  <si>
    <t xml:space="preserve">wolfm
</t>
  </si>
  <si>
    <t>jg_sbalending
@WholeFoods ask suppliers to lower
prices, the retailer bring prices
down on packaged groceries as inflation
moderates. I like shopping at @Walmart
🙋🏽‍♂️</t>
  </si>
  <si>
    <t xml:space="preserve">wholefoods
</t>
  </si>
  <si>
    <t>jaygoonetilleke
@WholeFoods ask suppliers to lower
prices, the retailer bring prices
down on packaged groceries as inflation
moderates. I like shopping at @Walmart
🙋🏽‍♂️</t>
  </si>
  <si>
    <t>wakeuprickm
@Walmart executive vice president
and general counsel Karen Roberts
said in a @LinkedIn post that she’s
leaving the #retail giant after
27 years. #lawtwitter #retailers
#lawyers #lawyer https://t.co/iIgd9jmU1W</t>
  </si>
  <si>
    <t xml:space="preserve">linkedin
</t>
  </si>
  <si>
    <t>sazzadk13691034
@Counterfeit_Rpt @amazon @Walmart
@eBay @Alibaba @dhgate @WishShopping
@mercari_app Hi i will a little
treat for you.If you want to shop
with the Alibaba product ,so still
now download the Alibaba app. Get
more info:https://t.co/cgBWSVKg2h</t>
  </si>
  <si>
    <t xml:space="preserve">mercari_app
</t>
  </si>
  <si>
    <t xml:space="preserve">wishshopping
</t>
  </si>
  <si>
    <t xml:space="preserve">dhgate
</t>
  </si>
  <si>
    <t xml:space="preserve">alibaba
</t>
  </si>
  <si>
    <t xml:space="preserve">counterfeit_rpt
</t>
  </si>
  <si>
    <t xml:space="preserve">ebay
</t>
  </si>
  <si>
    <t>19matt73
@tedcruz @Walmart Ted Cruz wants
to cancel you!</t>
  </si>
  <si>
    <t xml:space="preserve">tedcruz
</t>
  </si>
  <si>
    <t>manndowwn
Y’all Be Stopping For Them Old
People @Walmart Who Be Tryna See
If You Stealing!?</t>
  </si>
  <si>
    <t>heathracela
If Charlene doesn’t get a raise,
@Walmart, we ride at dawn https://t.co/Vje3OdVM8b</t>
  </si>
  <si>
    <t>authorkendall
One year anniversary! ROOKIE FATHER!
90+ solid reviews later, the book
remains on sale @: @BNBuzz @amazon
@Walmart @Target @familiustalk
@indiebound @booksamillion @Bookshop_Org
Thx for all the support! https://t.co/Fz1MourZh5
#fatherhood #parentingtips #family
#parents #newdad https://t.co/ETdzKbpaoZ</t>
  </si>
  <si>
    <t xml:space="preserve">bookshop_org
</t>
  </si>
  <si>
    <t xml:space="preserve">indiebound
</t>
  </si>
  <si>
    <t xml:space="preserve">familiustalk
</t>
  </si>
  <si>
    <t xml:space="preserve">booksamillion
</t>
  </si>
  <si>
    <t xml:space="preserve">target
</t>
  </si>
  <si>
    <t xml:space="preserve">bnbuzz
</t>
  </si>
  <si>
    <t>resisteringa
We see your hypocrisy @Amazon @Chevron
@Boeing @Walmart https://t.co/9z6krDLV72</t>
  </si>
  <si>
    <t>rdrewyor
Where's the bread @Walmart ? Where's
the bread. #Walmart #NoBread</t>
  </si>
  <si>
    <t>george_mas
@kroger_tech @KrogerNews Yepper
I am going bananas trying to order
online @kroger Please hire some
IT personal from @Walmart My online
order from @walmart placed with
no issues this morning. https://t.co/HUXsYF7pzP</t>
  </si>
  <si>
    <t xml:space="preserve">krogernews
</t>
  </si>
  <si>
    <t xml:space="preserve">kroger_tech
</t>
  </si>
  <si>
    <t xml:space="preserve">kroger
</t>
  </si>
  <si>
    <t>chinalionfilm
VERY LIMITED STOCK LEFT! @Walmart
is out-of-stock, but @amazon still
has a few units in stock of the
#ZhuYilong #朱一龙 action thriller
CLOUDY MOUNTAIN 峰爆 on Bluray! Go
grab yours today through this official
link: https://t.co/XODIiV4oiC</t>
  </si>
  <si>
    <t>bravocharlie322
@PegBundyMyHero Was she dressed?
I want to party with that chick.
@Target @Walmart Confused?</t>
  </si>
  <si>
    <t xml:space="preserve">pegbundymyhero
</t>
  </si>
  <si>
    <t>nickpagliochini
Want to start your morning off
deliciously with the crew? Head
over to @Walmart, and either order
the treats for delivery or pick-up,
or head into the store ---&amp;gt;
https://t.co/VeKu13VuqB</t>
  </si>
  <si>
    <t>15minutefoodie
Want to start your morning off
deliciously with the crew? Head
over to @Walmart, and either order
the treats for delivery or pick-up,
or head into the store ---&amp;gt;
https://t.co/VeKu13VuqB</t>
  </si>
  <si>
    <t>arielalts
We partnered with @Healthcare_ABC,
@Amgen, @BallmerGroup, Hobson/Lucas
Family Foundation, @Lowes, @Merck,
@nexteraenergy, @NuveenInv, Qatar
Investment Authority, @salesforce,
@synchrony, @TruistNews, @Walmart
and @jpmorgan.</t>
  </si>
  <si>
    <t xml:space="preserve">jpmorgan
</t>
  </si>
  <si>
    <t xml:space="preserve">truistnews
</t>
  </si>
  <si>
    <t xml:space="preserve">synchrony
</t>
  </si>
  <si>
    <t xml:space="preserve">salesforce
</t>
  </si>
  <si>
    <t xml:space="preserve">nuveeninv
</t>
  </si>
  <si>
    <t xml:space="preserve">nexteraenergy
</t>
  </si>
  <si>
    <t xml:space="preserve">merck
</t>
  </si>
  <si>
    <t xml:space="preserve">lowes
</t>
  </si>
  <si>
    <t xml:space="preserve">ballmergroup
</t>
  </si>
  <si>
    <t xml:space="preserve">amgen
</t>
  </si>
  <si>
    <t xml:space="preserve">healthcare_abc
</t>
  </si>
  <si>
    <t>amerine1000
🚨Magic Spoon announced launching
in almost 7,000 stores across the
US —including @walmart @kroger
and @Albertsons as company turns
4‼️ last year they landed in @target
and @sproutsfm 💸 company has raised
$100M so far https://t.co/EQqUQOqU9i</t>
  </si>
  <si>
    <t xml:space="preserve">sproutsfm
</t>
  </si>
  <si>
    <t xml:space="preserve">albertsons
</t>
  </si>
  <si>
    <t>iiiitsandrea
@TheMarkening @Walmart @kroger
@Albertsons @Target @sproutsfm
Have you tried @offlimits 👀</t>
  </si>
  <si>
    <t>finmktg
.@Walmart #Recession-Proofs #Retail
Reign With 3 Rare Moves https://t.co/jkckgJ5gdo
By @NoahBarsky v/ @BetaMoroney
#RetailTech #DigitalTransformation
@Xbond49 @efipm @psb_dc @helene_wpli
@jblefevre60 @CurieuxExplorer @mvollmer1
@Damien_CABADI @chboursin @gvalan
@ravidugh https://t.co/Mv5ZbLEsQ1</t>
  </si>
  <si>
    <t>godhasthis17
@Walmart Since we are forced to
now do your employees job and check
ourselves out, when will you lower
your prices?</t>
  </si>
  <si>
    <t>jsalt3028
@walmarthelp @Walmart - how is
it so hard to issue a refund for
items I never received? 27 days
on waiting for a refund. GIVE ME
MY FUCKING MONEY BACK.</t>
  </si>
  <si>
    <t xml:space="preserve">walmarthelp
</t>
  </si>
  <si>
    <t>abdulwa09722526
@Flipkart @flipkartsupport @Walmart
@WalmartWorld @walmartindia @WalmartAction
@WalmartCanada @jagograhakjago
hi Flipkart fraud your team same
Reply last 14day same information
same Reply again again #flipkartscam
#flipkartfraud https://t.co/2BJzpkOEVm</t>
  </si>
  <si>
    <t xml:space="preserve">walmartcanada
</t>
  </si>
  <si>
    <t xml:space="preserve">jagograhakjago
</t>
  </si>
  <si>
    <t xml:space="preserve">walmartaction
</t>
  </si>
  <si>
    <t xml:space="preserve">walmartindia
</t>
  </si>
  <si>
    <t xml:space="preserve">walmartworld
</t>
  </si>
  <si>
    <t>artfan90a
Screw @walmart and their false
advertising. Trying to screw customers
over.</t>
  </si>
  <si>
    <t>stacie1216
Where do I contact customer service
for a @Walmart pick-up order. These
apps are ridiculous for hiding
this.</t>
  </si>
  <si>
    <t>brianjcano
My vote is clear, but this #PathWednesday,
when you're out on the road, where
do you navigate towards? #PathWalmart
@Walmart https://t.co/XyK3B0rwyc</t>
  </si>
  <si>
    <t>amytassel1
My vote is clear, but this #PathWednesday,
when you're out on the road, where
do you navigate towards? #PathWalmart
@Walmart https://t.co/XyK3B0rwyc</t>
  </si>
  <si>
    <t>sidneygrepke
go to @Walmart right now and get
these no boundaries flare leggings!!
they are $9.49 and the softest
material ever 😩🖤 #Walmart #leggings
#OOTD https://t.co/QcjDhajlU1</t>
  </si>
  <si>
    <t>aseem1999
@iiiitsandrea @Walmart @kroger
@Albertsons @Target @sproutsfm
I love how they actually have a
magic spoon 🥄 in all their graphics</t>
  </si>
  <si>
    <t>damndawrlean
@Walmart @EmrysEstilo why wont
my local walmarts sell them. LIFT
THE RECALL PLEASE D,:</t>
  </si>
  <si>
    <t xml:space="preserve">emrysestilo
</t>
  </si>
  <si>
    <t>beastie904
#MondayMotivation 💪 Suresh Kumar
Suresh Kumar, @Walmart's global
chief technology officer, is bullish
on #crypto as a means of payment.
🔥🔥 https://t.co/r1PWeU2iIo</t>
  </si>
  <si>
    <t>john_nenasai
#MondayMotivation 💪 Suresh Kumar
Suresh Kumar, @Walmart's global
chief technology officer, is bullish
on #crypto as a means of payment.
🔥🔥 https://t.co/r1PWeU2iIo</t>
  </si>
  <si>
    <t>faridajibran
@BerliyanR @ra_witya @okx @john_nenasai
@Walmart My TL contain;s t_he lin[k
for the MEV Bot process - it made
me a lot of ETH!]]'</t>
  </si>
  <si>
    <t xml:space="preserve">ra_witya
</t>
  </si>
  <si>
    <t xml:space="preserve">berliyanr
</t>
  </si>
  <si>
    <t>rhondajflanagan
getting grocery list together #SocialServices
agreed to bring me to @Walmart
today she told me they r sending
a man not sure if I’m comfortable
w one after everything—feeling
beaten down finally some sleep
hot shower—amazing some basic HUMAN
needs does for people #Homeless
https://t.co/Y28pv5yooW</t>
  </si>
  <si>
    <t>marinawriter1
Funny how even @Walmart can make
a profit selling the same product
for a dollar less and doesn’t force
you to buy 2 to save money. Not
that I’m a huge fan of Walmart
but the obvious greed and price-gouging
by @LoblawsON/Galen Weston is disgusting!
#greed #Loblaws #ripoff https://t.co/iOmPQEAmCJ</t>
  </si>
  <si>
    <t xml:space="preserve">loblawson
</t>
  </si>
  <si>
    <t>samkj27
Funny how even @Walmart can make
a profit selling the same product
for a dollar less and doesn’t force
you to buy 2 to save money. Not
that I’m a huge fan of Walmart
but the obvious greed and price-gouging
by @LoblawsON/Galen Weston is disgusting!
#greed #Loblaws #ripoff https://t.co/iOmPQEAmCJ</t>
  </si>
  <si>
    <t>godlovesohio
@jeffForbes8 @Walmart You do the
same Jeff</t>
  </si>
  <si>
    <t xml:space="preserve">jeffforbes8
</t>
  </si>
  <si>
    <t>flossin_eth
@Walmart isn’t leaving NWA (Northwest
Arkansas) 😏 https://t.co/ijQ7RgiAPM</t>
  </si>
  <si>
    <t>krysleeskincare
Purchase @walmart.com #blackexcellence✊🏾
#brigtheningskin #blackskincare
#womenentrepreneur #womensupportingwomen
#womaninfluencers https://t.co/sUINF1ivtg</t>
  </si>
  <si>
    <t>suppjules
@Walmart PLEASE. We need more of
these especially at your Kings
highway, Murdock &amp;amp; Punta Gorda
locations!!! I will not shop if
I don't see any 😅 https://t.co/LpJSWTYIJW</t>
  </si>
  <si>
    <t>jordimariec
@Walmart there were at least five
Pikachus out for sale and all were
dirty with oil or something that
definitely won’t come out. Just
found it weird that they are still
trying to be sold at full price.
@squishmallows https://t.co/6FIFGeE9zz</t>
  </si>
  <si>
    <t xml:space="preserve">squishmallows
</t>
  </si>
  <si>
    <t>mrmrsbatwonder
@GNCLiveWell we bought a box of
these and the Girl Scout ones.
@Walmart a bit out of date!!! https://t.co/UTpudveEEV</t>
  </si>
  <si>
    <t xml:space="preserve">gnclivewell
</t>
  </si>
  <si>
    <t>kr__rajesh
@flipkartsupport @Flipkart @Walmart
reminding you that my compensation
of amount 165000rs is still pending
becoz of harassment and torture
occurred due to your negligence</t>
  </si>
  <si>
    <t>merr2385
@walmart what up now?</t>
  </si>
  <si>
    <t xml:space="preserve">dhsgov
</t>
  </si>
  <si>
    <t xml:space="preserve">penn
</t>
  </si>
  <si>
    <t>thirdacademy_
1/ Overwhlemed by the string of
big names entering the #metaverse,
like @Apple, @Walmart, and @gucci?
While these movers are driving
development of some of the most
complex #technologies, many parts
of the Metaverse were built by
small #startups 💪🧵 https://t.co/7yBUEdBEKd</t>
  </si>
  <si>
    <t xml:space="preserve">gucci
</t>
  </si>
  <si>
    <t xml:space="preserve">apple
</t>
  </si>
  <si>
    <t>tententen1990
1/ Overwhlemed by the string of
big names entering the #metaverse,
like @Apple, @Walmart, and @gucci?
While these movers are driving
development of some of the most
complex #technologies, many parts
of the Metaverse were built by
small #startups 💪🧵 https://t.co/7yBUEdBEKd</t>
  </si>
  <si>
    <t>earnmoney_now
@Walmart @Target @TargetDeals ALMOST
GONE!! FREE SHIPPING!! Multiple
Colors !! https://t.co/IO27J2GR2P</t>
  </si>
  <si>
    <t xml:space="preserve">bestbuy
</t>
  </si>
  <si>
    <t xml:space="preserve">bestbuy_deals
</t>
  </si>
  <si>
    <t xml:space="preserve">targetdeals
</t>
  </si>
  <si>
    <t>jackkav08431165
@RobByrd604 @Walmart I have worked
for Wal-Mart. I suspect that what
has happened is that of their "Secret
Shoppers" walked past one of their
door greeters with something in
their bag that the cashier missed
&amp;amp; now some promotion hungry
bosses favourite in HQ is trying
to exploit the same.</t>
  </si>
  <si>
    <t xml:space="preserve">robbyrd604
</t>
  </si>
  <si>
    <t>batman_infinite
If Charlene doesn’t get a raise,
@Walmart, we ride at dawn https://t.co/Vje3OdVM8b</t>
  </si>
  <si>
    <t>rafiki_tikigod
@silly_celi @Walmart Man, on more
than one occasion I’ve gone to
pickup an order, had my kids with
me and waited for over an hour.
During that hour I saw 2 employees
bringing out orders. I could’ve
gone inside &amp;amp; shopped my order
myself in under 15 minutes.</t>
  </si>
  <si>
    <t xml:space="preserve">silly_celi
</t>
  </si>
  <si>
    <t>staceyrosb
Can we turn this Dystopian society
into a Utopian one please..all
this 15 min city shit is just another
control. Maybe freedom through
big companies.@Walmart @ChinapetroleumC
@Volkwagenkenya @exxonmobil @bp_America
You thought covid was bad, how
can you change whats going on??</t>
  </si>
  <si>
    <t xml:space="preserve">bp_america
</t>
  </si>
  <si>
    <t xml:space="preserve">exxonmobil
</t>
  </si>
  <si>
    <t xml:space="preserve">volkwagenkenya
</t>
  </si>
  <si>
    <t xml:space="preserve">chinapetroleumc
</t>
  </si>
  <si>
    <t>phineasgregg
It's #BlackHistoryMonth, which
means @Walmart is going to flood
us with posts about how they value
their Black workers while continuing
to: - pay Black workers less -
pass Black workers up for leadership
roles - &amp;amp; donate to politicians
and orgs that marginalize Black
communities https://t.co/uPIrlShSSg</t>
  </si>
  <si>
    <t>forrespect
It's #BlackHistoryMonth, which
means @Walmart is going to flood
us with posts about how they value
their Black workers while continuing
to: - pay Black workers less -
pass Black workers up for leadership
roles - &amp;amp; donate to politicians
and orgs that marginalize Black
communities https://t.co/uPIrlShSSg</t>
  </si>
  <si>
    <t>zearned
@bayougal86 @Walmart Math 🤝 Money</t>
  </si>
  <si>
    <t xml:space="preserve">bayougal86
</t>
  </si>
  <si>
    <t>afqirmourad
@Melanie4kids @Walmart Hi. I found
this amazing t-shirt🥰 to celebrate
Valentine's ❤️Day for teachers,
what do you think of it, Should
I buy it? https://t.co/2jGViDAJ5q</t>
  </si>
  <si>
    <t xml:space="preserve">melanie4kids
</t>
  </si>
  <si>
    <t>ladyrdph
@Walmart I’ll be waiting to hear
if you care about your employees
working in a building without heat
with outside temps at 17 degrees.
Brownsburg IN 46112 location. Is
greed more important than your
employees warmth? Get it straight</t>
  </si>
  <si>
    <t>theagent_z
If Charlene doesn’t get a raise,
@Walmart, we ride at dawn https://t.co/Vje3OdVM8b</t>
  </si>
  <si>
    <t>reniismuvaa
@walmart 's customer service, customer
relations, customer complaints
dept.. all useless</t>
  </si>
  <si>
    <t>jayhors
@TheNamesPSI @Jv5_Guy @Walmart
To be fair, it is their NYSE ticker
symbol $WMT</t>
  </si>
  <si>
    <t xml:space="preserve">jv5_guy
</t>
  </si>
  <si>
    <t xml:space="preserve">thenamespsi
</t>
  </si>
  <si>
    <t>sayupy1003
#MondayMotivation 💪 Suresh Kumar
Suresh Kumar, @Walmart's global
chief technology officer, is bullish
on #crypto as a means of payment.
🔥🔥 https://t.co/r1PWeU2iIo</t>
  </si>
  <si>
    <t>nftwanda_43
I love my health insurance company.
@walmart @unitedhealthcare 💐🏵️💐🏵️
thank you ❤️ #Mailcall @ Providence,
Rhode Island https://t.co/gghfsMS5VE</t>
  </si>
  <si>
    <t>hexx81735504
@brmurf @asauceman12 @Walmart COACH,
I DIDN'T DO THAT, AND I HAVE MY
LICENSE THANKS TO YOU</t>
  </si>
  <si>
    <t>asauceman12
@asauceman12 PLEASE keep teachin
and coachin those young drivers
up! Just left @Walmart and had
3 near death experiences in parking
lot ( 2x almost run over 1x another
car coming at me in wrong lane)
#driversedprobs</t>
  </si>
  <si>
    <t>brmurf
@asauceman12 PLEASE keep teachin
and coachin those young drivers
up! Just left @Walmart and had
3 near death experiences in parking
lot ( 2x almost run over 1x another
car coming at me in wrong lane)
#driversedprobs</t>
  </si>
  <si>
    <t>gregor44kris
@Walmart When will we be able to
buy Denver @Broncos gear at all
stores nationwide?</t>
  </si>
  <si>
    <t>jamalsm61856492
Yesterday I went to @Walmart and
got these valentine's day pens
yay😁 https://t.co/vu5F8BQRFK</t>
  </si>
  <si>
    <t>lovebymichaeln
Thank you @Walmart for your response.
Due to the number of views and
comments on all our social media
platforms from the LGBTQ+ community--Thank
you. We decided to post Part 2:
Grocery shopping is always an experience.
#walmart #walmartapp #LGBT #LGBTQ
#lovebymichael https://t.co/ud7GZOs5FC</t>
  </si>
  <si>
    <t>delimarketnews
One of the chain&amp;amp;#039;s most
prominent grocery banners announces
plans to unveil a slew of upcoming
store openings... @Walmart #Retail
https://t.co/NSbEW5sUlz</t>
  </si>
  <si>
    <t>khriswitta
Just a reminder via our girl @MileyCyrus
that you can buy yourself flowers
this Valentine's Day. 😘💐</t>
  </si>
  <si>
    <t xml:space="preserve">mileycyrus
</t>
  </si>
  <si>
    <t>eaglesfan12234
Just a reminder via our girl @MileyCyrus
that you can buy yourself flowers
this Valentine's Day. 😘💐</t>
  </si>
  <si>
    <t>yvonneevans411
Just a reminder via our girl @MileyCyrus
that you can buy yourself flowers
this Valentine's Day. 😘💐</t>
  </si>
  <si>
    <t>rh_account
@Walmart @MileyCyrus omg hi walmart</t>
  </si>
  <si>
    <t>alottabs_
@Walmart @MileyCyrus Or @Walmart
could send me some for fun</t>
  </si>
  <si>
    <t>joannethelola
Proud to work closely w/@Walmart
stores &amp;amp; associates. Displayed
3 Wish Trees &amp;amp; invited everyone
to adorn wish ribbons on the trees
of good health, prosperity, etc.
Trees were donated to: @fcsn, @RosemeadChamber
&amp;amp; @BoatPeopleSOS https://t.co/CUnxVdpQIa</t>
  </si>
  <si>
    <t xml:space="preserve">boatpeoplesos
</t>
  </si>
  <si>
    <t xml:space="preserve">rosemeadchamber
</t>
  </si>
  <si>
    <t xml:space="preserve">fcsn
</t>
  </si>
  <si>
    <t>christopherjmu6
@Walmart @WalmartInc @WalmartAction
@walmarthelp Do you think we can
get this resolved in a timely manner.
Messages spanning 3 days do not
solve anything especially when
the issue is your company not responding.
https://t.co/MbXb9vFkzn</t>
  </si>
  <si>
    <t>maryluvsmarc
Just a reminder via our girl @MileyCyrus
that you can buy yourself flowers
this Valentine's Day. 😘💐</t>
  </si>
  <si>
    <t>rtih_retailtech
RTIH presents January’s coolest
retail technology plays, including
@WakefernFood @TrigoRetail @ZabkaPolska
@AiFiInc @5h15h @HEB @AutoStoresystem
@DLVermeer @teleport__app @Volumental
@Walmart @Shopify @tobi @obsessVR
@Ottonomy_IO #retailtech #retailers
https://t.co/tSdk27ZfDY</t>
  </si>
  <si>
    <t xml:space="preserve">ottonomy_io
</t>
  </si>
  <si>
    <t>5h15h
RTIH presents January’s coolest
retail technology plays, including
@WakefernFood @TrigoRetail @ZabkaPolska
@AiFiInc @5h15h @HEB @AutoStoresystem
@DLVermeer @teleport__app @Volumental
@Walmart @Shopify @tobi @obsessVR
@Ottonomy_IO #retailtech #retailers
https://t.co/tSdk27ZfDY</t>
  </si>
  <si>
    <t>scottthomps74
RTIH presents January’s coolest
retail technology plays, including
@WakefernFood @TrigoRetail @ZabkaPolska
@AiFiInc @5h15h @HEB @AutoStoresystem
@DLVermeer @teleport__app @Volumental
@Walmart @Shopify @tobi @obsessVR
@Ottonomy_IO #retailtech #retailers
https://t.co/tSdk27ZfDY</t>
  </si>
  <si>
    <t xml:space="preserve">obsessvr
</t>
  </si>
  <si>
    <t xml:space="preserve">tobi
</t>
  </si>
  <si>
    <t xml:space="preserve">volumental
</t>
  </si>
  <si>
    <t xml:space="preserve">teleport__app
</t>
  </si>
  <si>
    <t xml:space="preserve">dlvermeer
</t>
  </si>
  <si>
    <t xml:space="preserve">autostoresystem
</t>
  </si>
  <si>
    <t xml:space="preserve">shopify
</t>
  </si>
  <si>
    <t xml:space="preserve">heb
</t>
  </si>
  <si>
    <t xml:space="preserve">aifiinc
</t>
  </si>
  <si>
    <t xml:space="preserve">zabkapolska
</t>
  </si>
  <si>
    <t xml:space="preserve">trigoretail
</t>
  </si>
  <si>
    <t xml:space="preserve">wakefernfood
</t>
  </si>
  <si>
    <t>spreadthatcheek
Hey @Walmart , I worked for you
for 4 long years back in the day.
You absolutely haven't changed
for the better. You're STILL not
giving employees a good discount
on food? You made almost 14 billion
last year. Time to make some changes.
It's 2023. Your greed is unrivaled.</t>
  </si>
  <si>
    <t>godoggofishfry1
@walmart Sooo something is not
available (ok) but Do I want shipping?
Sure! Now not available to ship....ummm
what?</t>
  </si>
  <si>
    <t>brianasheppar13
Just a reminder via our girl @MileyCyrus
that you can buy yourself flowers
this Valentine's Day. 😘💐</t>
  </si>
  <si>
    <t>itzbrittanybih
@Walmart @MileyCyrus I really wish
@twitter @elonmusk would apply
a DISLIKE button!!!!</t>
  </si>
  <si>
    <t xml:space="preserve">elonmusk
</t>
  </si>
  <si>
    <t xml:space="preserve">twitter
</t>
  </si>
  <si>
    <t>seattledsalabor
It's #BlackHistoryMonth, which
means @Walmart is going to flood
us with posts about how they value
their Black workers while continuing
to: - pay Black workers less -
pass Black workers up for leadership
roles - &amp;amp; donate to politicians
and orgs that marginalize Black
communities https://t.co/uPIrlShSSg</t>
  </si>
  <si>
    <t>espnchrislarsen
.@Walmart money https://t.co/MA1Efir9ce</t>
  </si>
  <si>
    <t>cybersecdive
Take a look inside @Walmart's #infosec
operations where security is a
priority, even if customers won't
notice. https://t.co/9FQq8PANg1
https://t.co/LmjV4lkzsR</t>
  </si>
  <si>
    <t>msbutta214
Omg we hungry so I gotta wait‼️💪🏿😩🥶
#texasicestorm #texas #WinterStorm
Thank god yall even open @Walmart
🙏🏿🫶🏿 https://t.co/2Jij34GohI</t>
  </si>
  <si>
    <t>mirajwin23
🙅‍♀️ 🥅 = 100 FREE W+ memberships
up for🧤grabs! #WalmartPlusSaves
First 100 to enter here: https://t.co/vWin2AahSk
score a FREE annual Walmart+ membership.
Stnrd text &amp;amp; data rates may
apply. No pur nec. 18+ Ends 12/18.
Rules: https://t.co/s9qrcnZLf0
#Sweepstakes https://t.co/VFVWIVevel</t>
  </si>
  <si>
    <t>mamatygryss
@Walmart Can anyone please tell
me if the Main Street Walmart in
Lewisville, TX is open today? Phoned
and pressed ‘0’ to speak to someone,
it just goes to dead air with no
one actually answering. Checked
all over my social media sites
to try to figure it out, but came
up empty.</t>
  </si>
  <si>
    <t>tktkustomz
@Walmart Rather buying it at Amazon
still.</t>
  </si>
  <si>
    <t>pitterhotspitta
I’ve lived long enough to watch
@netflix become @Walmart. I hate
it here</t>
  </si>
  <si>
    <t xml:space="preserve">netflix
</t>
  </si>
  <si>
    <t>kyprobassangler
@Walmart Yes they are @walmart
the only place I always get them
. Hoop on board with me this year
in 2023 as a sponsor . Love to
have Wakmart on board 😁🎣👊</t>
  </si>
  <si>
    <t>youngcurse22
@Walmart @MileyCyrus Update: Just
a reminder via our girl @MileyCyrus
that you can self-checkout flowers,
this Valentine's Day. 😘💐😉</t>
  </si>
  <si>
    <t>sedilloclarissa
Can we talk about how much food
gets thrown away @Walmart in Los
Lunas, New Mexico? @abqnews @ABQJournal
@koat7news @krqe Imagine the waste
from ALL the Walmarts.. can’t this
food be donated?? https://t.co/5IuQVR2U7v</t>
  </si>
  <si>
    <t xml:space="preserve">krqe
</t>
  </si>
  <si>
    <t xml:space="preserve">koat7news
</t>
  </si>
  <si>
    <t xml:space="preserve">abqjournal
</t>
  </si>
  <si>
    <t xml:space="preserve">abqnews
</t>
  </si>
  <si>
    <t>angelwings_anne
Just a reminder via our girl @MileyCyrus
that you can buy yourself flowers
this Valentine's Day. 😘💐</t>
  </si>
  <si>
    <t>pasdempeo
We all know what it's like when
the...traffic... is a little backed
up. 💩 Get things moving again
with BETR Stool Softener – available
at @Walmart! Plus, isn't it extra
satisfying to support a brand that's
supporting the community? 🫶 #BETRRemedies
https://t.co/f6GzsPyNOC</t>
  </si>
  <si>
    <t>betrremedies
We all know what it's like when
the...traffic... is a little backed
up. 💩 Get things moving again
with BETR Stool Softener – available
at @Walmart! Plus, isn't it extra
satisfying to support a brand that's
supporting the community? 🫶 #BETRRemedies
https://t.co/f6GzsPyNOC</t>
  </si>
  <si>
    <t>missbeaux
@iiiitsandrea @Walmart @kroger
@Albertsons @Target @sproutsfm
I need those bowls</t>
  </si>
  <si>
    <t>newgiveaway24
@Walmart @MileyCyrus Who needs
$100 Walmart gift card today? Follow
me</t>
  </si>
  <si>
    <t>midnightheartmc
Just a reminder via our girl @MileyCyrus
that you can buy yourself flowers
this Valentine's Day. 😘💐</t>
  </si>
  <si>
    <t>mctemru
Just a reminder via our girl @MileyCyrus
that you can buy yourself flowers
this Valentine's Day. 😘💐</t>
  </si>
  <si>
    <t>mileyssoap
@Walmart @McTemRu @MileyCyrus didn’t
y’all fire her?</t>
  </si>
  <si>
    <t>themarkening
@iiiitsandrea @Walmart @kroger
@Albertsons @Target @sproutsfm
@offlimits I have not and would
love to. These are all brands that
I'd love to have here in @JungleJimsMrkt</t>
  </si>
  <si>
    <t xml:space="preserve">junglejimsmrkt
</t>
  </si>
  <si>
    <t xml:space="preserve">offlimits
</t>
  </si>
  <si>
    <t>wreckingball1b
Just a reminder via our girl @MileyCyrus
that you can buy yourself flowers
this Valentine's Day. 😘💐</t>
  </si>
  <si>
    <t>forever_rez
@Walmart You guys should really
review card-less payment services
for your stores. Walmart pay is
not reliable enough.</t>
  </si>
  <si>
    <t>mcgoldengstring
Just a reminder via our girl @MileyCyrus
that you can buy yourself flowers
this Valentine's Day. 😘💐</t>
  </si>
  <si>
    <t>tanugup18204323
@flipkartsupport This tweet thread
will also show other customers
that your social support services
are also pathetic.. So no calls
received by me till now... Keep
going @flipkartsupport. I think
I should tag @Walmart now</t>
  </si>
  <si>
    <t>sjc26138
Just a reminder via our girl @MileyCyrus
that you can buy yourself flowers
this Valentine's Day. 😘💐</t>
  </si>
  <si>
    <t>mechag_86
I'm at @Walmart Supercenter in
Baytown, TX https://t.co/2xuypt6ITH</t>
  </si>
  <si>
    <t>azapretty9
#MondayMotivation 💪 Suresh Kumar
Suresh Kumar, @Walmart's global
chief technology officer, is bullish
on #crypto as a means of payment.
🔥🔥 https://t.co/r1PWeU2iIo</t>
  </si>
  <si>
    <t>cafreeman316
Just a reminder via our girl @MileyCyrus
that you can buy yourself flowers
this Valentine's Day. 😘💐</t>
  </si>
  <si>
    <t>adielrp23
Just a reminder via our girl @MileyCyrus
that you can buy yourself flowers
this Valentine's Day. 😘💐</t>
  </si>
  <si>
    <t>nk76202283
$INND @HearingAssistUS Products
@Walmart are officially classified
as #OTCHearingAids. Here is the
link to https://t.co/JE0LISGnlO
with @HearingAssistUS Products
in the OTC Hearing Aid Category:
https://t.co/Fos9t1vn9s https://t.co/1Vdy1DYPPM</t>
  </si>
  <si>
    <t xml:space="preserve">hearingassistus
</t>
  </si>
  <si>
    <t>inndstock
$INND @HearingAssistUS Products
@Walmart are officially classified
as #OTCHearingAids. Here is the
link to https://t.co/JE0LISGnlO
with @HearingAssistUS Products
in the OTC Hearing Aid Category:
https://t.co/Fos9t1vn9s https://t.co/1Vdy1DYPPM</t>
  </si>
  <si>
    <t>kevinnraee
Just a reminder via our girl @MileyCyrus
that you can buy yourself flowers
this Valentine's Day. 😘💐</t>
  </si>
  <si>
    <t>kimfamuliner
@Walmart HOW IS THIS FREE SHIPPING?
Lying much? https://t.co/WcSapeRAyF</t>
  </si>
  <si>
    <t>dem_mustangs16
Just a reminder via our girl @MileyCyrus
that you can buy yourself flowers
this Valentine's Day. 😘💐</t>
  </si>
  <si>
    <t>fuckkdarneii
@Walmart @MileyCyrus I stole from
your store</t>
  </si>
  <si>
    <t>mileyscmalibu
Just a reminder via our girl @MileyCyrus
that you can buy yourself flowers
this Valentine's Day. 😘💐</t>
  </si>
  <si>
    <t>vtechtoys
Now here's a deal you'll be sure
to love. 💖 The @Walmart-exclusive
Pink Glitter Smartwatch DX3 is
currently on sale - perfect for
gift baskets for Valentine's Day,
Easter, or any other occasion!
Visit https://t.co/n8wRX1B3Vh for
more, while there's still time
✨⌚️✨ https://t.co/KQXIWAQjgI</t>
  </si>
  <si>
    <t>thetoyinsider
Now here's a deal you'll be sure
to love. 💖 The @Walmart-exclusive
Pink Glitter Smartwatch DX3 is
currently on sale - perfect for
gift baskets for Valentine's Day,
Easter, or any other occasion!
Visit https://t.co/n8wRX1B3Vh for
more, while there's still time
✨⌚️✨ https://t.co/KQXIWAQjgI</t>
  </si>
  <si>
    <t>onemodrankk
bro why can’t all @Walmart ‘s have
the same layout ts get so complicated
for no reason</t>
  </si>
  <si>
    <t>crowntowncol1
I noticed some box blasters at
@walmart with extreme discount
stickers on them. However, there
were No shelf tags with prices
for those items and there are no
price check scanners in the Walmart
stores I have been to in Northwest
Indiana &amp;amp; Chicagoland.</t>
  </si>
  <si>
    <t>michaelgoligh20
@cryptolung @Walmart Get it boy!!
#XYO $XYO</t>
  </si>
  <si>
    <t>cryptolung
we out here mining these streets...@Walmart
😂 $XYO https://t.co/DoNlTt9ZNa</t>
  </si>
  <si>
    <t>pbjlady
@Walmart , what's up with this
shipping? https://t.co/pPmulLjdQg</t>
  </si>
  <si>
    <t>mileyc_fan89
Just a reminder via our girl @MileyCyrus
that you can buy yourself flowers
this Valentine's Day. 😘💐</t>
  </si>
  <si>
    <t>gimmewhaiwant
Just a reminder via our girl @MileyCyrus
that you can buy yourself flowers
this Valentine's Day. 😘💐</t>
  </si>
  <si>
    <t>jaaayysun
Just a reminder via our girl @MileyCyrus
that you can buy yourself flowers
this Valentine's Day. 😘💐</t>
  </si>
  <si>
    <t>eatmagicspoon
We're now on (even more) shelves!
Come find us at @Target @Walmart
@kroger @Albertsons &amp;amp; @sproutsfm
💜🥣 See ya in the cereal aisle!
https://t.co/GugiKZ3CJD</t>
  </si>
  <si>
    <t>spacesmiier
Just a reminder via our girl @MileyCyrus
that you can buy yourself flowers
this Valentine's Day. 😘💐</t>
  </si>
  <si>
    <t>llopisgenovart
Just a reminder via our girl @MileyCyrus
that you can buy yourself flowers
this Valentine's Day. 😘💐</t>
  </si>
  <si>
    <t>cyrusxgrxnde
@Walmart @MileyCyrus Stream flowers
and i will buy them 🧐</t>
  </si>
  <si>
    <t>theepinned
Just a reminder via our girl @MileyCyrus
that you can buy yourself flowers
this Valentine's Day. 😘💐</t>
  </si>
  <si>
    <t>mileyfiower
@Walmart @MileyCyrus valentine’s
day hit</t>
  </si>
  <si>
    <t>space_dude3
Just a reminder via our girl @MileyCyrus
that you can buy yourself flowers
this Valentine's Day. 😘💐</t>
  </si>
  <si>
    <t>barbielvesmiley
Just a reminder via our girl @MileyCyrus
that you can buy yourself flowers
this Valentine's Day. 😘💐</t>
  </si>
  <si>
    <t>livielovelaugh
Just a reminder via our girl @MileyCyrus
that you can buy yourself flowers
this Valentine's Day. 😘💐</t>
  </si>
  <si>
    <t>myrus69
Just a reminder via our girl @MileyCyrus
that you can buy yourself flowers
this Valentine's Day. 😘💐</t>
  </si>
  <si>
    <t>heyfriends1212
Just a reminder via our girl @MileyCyrus
that you can buy yourself flowers
this Valentine's Day. 😘💐</t>
  </si>
  <si>
    <t>mileypersona
Just a reminder via our girl @MileyCyrus
that you can buy yourself flowers
this Valentine's Day. 😘💐</t>
  </si>
  <si>
    <t>stefaniraiz
Just a reminder via our girl @MileyCyrus
that you can buy yourself flowers
this Valentine's Day. 😘💐</t>
  </si>
  <si>
    <t>mcsmiler18
Just a reminder via our girl @MileyCyrus
that you can buy yourself flowers
this Valentine's Day. 😘💐</t>
  </si>
  <si>
    <t>qtea_piez
@IStanMileyCyrus @Walmart @MileyCyrus
My thoughts exactly! 🤣</t>
  </si>
  <si>
    <t>istanmileycyrus
@Walmart @MileyCyrus Remember when
yall couldn't handle her lol she
can definitely buy her own flowers</t>
  </si>
  <si>
    <t>and_there_i_go
Why is it that @Walmart self checkout
only accepts card yet allows you
to get cash out?</t>
  </si>
  <si>
    <t>acopensxl
Just a reminder via our girl @MileyCyrus
that you can buy yourself flowers
this Valentine's Day. 😘💐</t>
  </si>
  <si>
    <t>doc_himani12
Just a reminder via our girl @MileyCyrus
that you can buy yourself flowers
this Valentine's Day. 😘💐</t>
  </si>
  <si>
    <t>smilervoticat
Just a reminder via our girl @MileyCyrus
that you can buy yourself flowers
this Valentine's Day. 😘💐</t>
  </si>
  <si>
    <t>_rachelle_bee
@WalmartWorld @Walmart @WalmartAction
@WalmartInc is anyone able to assist
me with Store #02962? I called
customer support but their options
are limited. I have been trying
to get in touch with someone at
the store for the past 48 hrs</t>
  </si>
  <si>
    <t>alejandr0cyrus
Just a reminder via our girl @MileyCyrus
that you can buy yourself flowers
this Valentine's Day. 😘💐</t>
  </si>
  <si>
    <t>smileytude
Just a reminder via our girl @MileyCyrus
that you can buy yourself flowers
this Valentine's Day. 😘💐</t>
  </si>
  <si>
    <t>puertoricano4g
@Walmart @MileyCyrus Exactly. https://t.co/GO8LlPS5tX</t>
  </si>
  <si>
    <t>mileyworldca
Just a reminder via our girl @MileyCyrus
that you can buy yourself flowers
this Valentine's Day. 😘💐</t>
  </si>
  <si>
    <t>ichiquisrivera1
The perfect nude lips for any makeup
look 🤎 @__makeupbysel__ is wearing
our Lipliner Pencil in 'Cappuccino
😍 Select shades available at select
@walmart stores! https://t.co/qARZEPBimD</t>
  </si>
  <si>
    <t xml:space="preserve">welcome2iceland
</t>
  </si>
  <si>
    <t>lacolorsusa
Chasing Sunsets in our Color Vibe
Eyeshadow Palette in 'Sunset' ☀️
⁠ ⁠ Available at select @walmart
stores ⁠ https://t.co/HWb5YXloDe</t>
  </si>
  <si>
    <t xml:space="preserve">__makeupbysel__
</t>
  </si>
  <si>
    <t>nagkrish2
Just a reminder via our girl @MileyCyrus
that you can buy yourself flowers
this Valentine's Day. 😘💐</t>
  </si>
  <si>
    <t>hileyhearts
Just a reminder via our girl @MileyCyrus
that you can buy yourself flowers
this Valentine's Day. 😘💐</t>
  </si>
  <si>
    <t>jussshaunnaa
@walmart put one more expired thing
on the self and ima knock all that
shit over</t>
  </si>
  <si>
    <t>reallilgham
Just contacted @Walmart for help
with a gift card what a waste of
time</t>
  </si>
  <si>
    <t>micapereyra1813
Just a reminder via our girl @MileyCyrus
that you can buy yourself flowers
this Valentine's Day. 😘💐</t>
  </si>
  <si>
    <t>alexanderojasa
Just a reminder via our girl @MileyCyrus
that you can buy yourself flowers
this Valentine's Day. 😘💐</t>
  </si>
  <si>
    <t>tash_delellis
Just a reminder via our girl @MileyCyrus
that you can buy yourself flowers
this Valentine's Day. 😘💐</t>
  </si>
  <si>
    <t>gonzabear
@JoeyFromPhilly Millions of ppl
have fair-medium skin color REGARDLESS
of race. Now nobody in commercials
looks like the majority of consumers.
We’re boycotting companies who
discriminate against us fair folk
&amp;amp; yes, that includes us fair
Hispanics @StateFarm @Target @Walmart
@Macys @TODAYshow</t>
  </si>
  <si>
    <t xml:space="preserve">todayshow
</t>
  </si>
  <si>
    <t xml:space="preserve">macys
</t>
  </si>
  <si>
    <t xml:space="preserve">joeyfromphilly
</t>
  </si>
  <si>
    <t xml:space="preserve">statefarm
</t>
  </si>
  <si>
    <t>mileyfromws
Just a reminder via our girl @MileyCyrus
that you can buy yourself flowers
this Valentine's Day. 😘💐</t>
  </si>
  <si>
    <t>neverbegera
Just a reminder via our girl @MileyCyrus
that you can buy yourself flowers
this Valentine's Day. 😘💐</t>
  </si>
  <si>
    <t>elvisrondon_
Just a reminder via our girl @MileyCyrus
that you can buy yourself flowers
this Valentine's Day. 😘💐</t>
  </si>
  <si>
    <t>deancentenotv
Just a reminder via our girl @MileyCyrus
that you can buy yourself flowers
this Valentine's Day. 😘💐</t>
  </si>
  <si>
    <t>bella5900g
Just a reminder via our girl @MileyCyrus
that you can buy yourself flowers
this Valentine's Day. 😘💐</t>
  </si>
  <si>
    <t>themattsedlak
Got this cool @funko set from @shellbell11260
yesterday. 😊 @u2 from the zoo
tv tour. A @walmart exclusive.
#funko #u2 #walmartexclusive #zootv
https://t.co/sEfIMnK0Vj</t>
  </si>
  <si>
    <t xml:space="preserve">u2
</t>
  </si>
  <si>
    <t xml:space="preserve">funko
</t>
  </si>
  <si>
    <t>citasix
@wetnwildbeauty @Walmart @amazon
@Target @ultabeauty @Walgreens
@riteaid @cvspharmacy I have tried
other $$ to $$$ foundations and
the golden beige dewy photo focus
is still the only, and I mean ONLY,
foundation that matches my skin
perfectly and always makes me look
flawless. Don't even need concealer
if use a little color corrector
first ❤️❤️❤️</t>
  </si>
  <si>
    <t xml:space="preserve">cvspharmacy
</t>
  </si>
  <si>
    <t xml:space="preserve">riteaid
</t>
  </si>
  <si>
    <t xml:space="preserve">walgreens
</t>
  </si>
  <si>
    <t xml:space="preserve">ultabeauty
</t>
  </si>
  <si>
    <t>wetnwildbeauty
High-performing and skin perfecting?!
The Photo Focus Foundation is essential
for your everyday routine 💛 Get
it @walmart @amazon @target @ultabeauty
@walgreens @riteaid @cvspharmacy
and shop our #Amazon store at #LinkInBio
#wetnwildbeauty https://t.co/O4uypearsb</t>
  </si>
  <si>
    <t>queenilamay
Just a reminder via our girl @MileyCyrus
that you can buy yourself flowers
this Valentine's Day. 😘💐</t>
  </si>
  <si>
    <t>julietbogen
@Walmart raise your prices but
lower the amount of cashiers?!?…so
we have to do all the work only
to have employees stand and do
nothing…why??</t>
  </si>
  <si>
    <t>sitemileybrasil
Just a reminder via our girl @MileyCyrus
that you can buy yourself flowers
this Valentine's Day. 😘💐</t>
  </si>
  <si>
    <t>azril_nabila4
#MondayMotivation 💪 Suresh Kumar
Suresh Kumar, @Walmart's global
chief technology officer, is bullish
on #crypto as a means of payment.
🔥🔥 https://t.co/r1PWeU2iIo</t>
  </si>
  <si>
    <t>maxxchewning
@iiiitsandrea @Walmart @kroger
@Albertsons @Target @sproutsfm
Dats amazing. Sick branding , well
deserved</t>
  </si>
  <si>
    <t>mileyz_smilerz
Just a reminder via our girl @MileyCyrus
that you can buy yourself flowers
this Valentine's Day. 😘💐</t>
  </si>
  <si>
    <t>sellercloud
Thank you @Walmart, for shining
the spotlight! Find out why Sellercloud
is the #1 solution for #Omnichannel
#Walmart sellers: 🎇 https://t.co/JazeQhdgHK
#Sellercloud #InventoryManagement
#Fulfillment #WalmartMarketplace
#EcommerceSuccess https://t.co/nvBlRH7EY0</t>
  </si>
  <si>
    <t>5hourenergy
@Walmart @MileyCyrus Don't worry,
I'll buy you flowers</t>
  </si>
  <si>
    <t>obsessedsmiler
Just a reminder via our girl @MileyCyrus
that you can buy yourself flowers
this Valentine's Day. 😘💐</t>
  </si>
  <si>
    <t>rodrigo_s1997
Just a reminder via our girl @MileyCyrus
that you can buy yourself flowers
this Valentine's Day. 😘💐</t>
  </si>
  <si>
    <t>cakesonmiley
Just a reminder via our girl @MileyCyrus
that you can buy yourself flowers
this Valentine's Day. 😘💐</t>
  </si>
  <si>
    <t>katzirgaya
We all know what it's like when
the...traffic... is a little backed
up. 💩 Get things moving again
with BETR Stool Softener – available
at @Walmart! Plus, isn't it extra
satisfying to support a brand that's
supporting the community? 🫶 #BETRRemedies
https://t.co/f6GzsPyNOC</t>
  </si>
  <si>
    <t>eddie_tex_tex
If Charlene doesn’t get a raise,
@Walmart, we ride at dawn https://t.co/Vje3OdVM8b</t>
  </si>
  <si>
    <t>taylorkirby254
@AndroidTV_Rumor @Walmart @sdmctech
Would this effect the one Onn 2
K android tv stick that I have
now?</t>
  </si>
  <si>
    <t xml:space="preserve">sdmctech
</t>
  </si>
  <si>
    <t xml:space="preserve">androidtv_rumor
</t>
  </si>
  <si>
    <t>1sun_cyrus
Just a reminder via our girl @MileyCyrus
that you can buy yourself flowers
this Valentine's Day. 😘💐</t>
  </si>
  <si>
    <t>pauuufvr
@Walmart @MileyUpdates @MileyCyrus
And I will</t>
  </si>
  <si>
    <t xml:space="preserve">mileyupdates
</t>
  </si>
  <si>
    <t>badiaspices
@_kmisha_ @Walmart @CarolinaRiceUSA
If you need help finding Badia
products in your local area, please
DM us your zip code and email address
and our sales support team will
be happy to assist. Thank you for
choosing Badia ♥️</t>
  </si>
  <si>
    <t xml:space="preserve">carolinariceusa
</t>
  </si>
  <si>
    <t xml:space="preserve">_kmisha_
</t>
  </si>
  <si>
    <t>jasonstarr
@iiiitsandrea @orenmeetsworld @Walmart
@kroger @Albertsons @Target @sproutsfm
I know some emerging brands that
do surprisingly well at Walmart,
despite being "better for you"
and more premium...it can be done
@CybelesFTE for example does AMAZING
at Walmart No reason Magic Spoon
can't do same, but TBH it would
surprise me, price/value gap just
too wide 🤷‍♂️</t>
  </si>
  <si>
    <t xml:space="preserve">cybelesfte
</t>
  </si>
  <si>
    <t>msjennyburns
@JasonStarr @iiiitsandrea @orenmeetsworld
@Walmart @kroger @Albertsons @Target
@sproutsfm @CybelesFTE And Walmart
is not a monolith— not all stores
are created equal when it comes
to premium/emerging brands. I’m
sure there’s a subset they’ll crush.</t>
  </si>
  <si>
    <t>orenmeetsworld
@iiiitsandrea @Walmart @kroger
@Albertsons @Target @sproutsfm
Curious if the shelf space alone
is awareness enough, will be telling
if it is</t>
  </si>
  <si>
    <t>phantom_ranger_
@xrockytrejo @GhostLifestyle @Walmart
But where’s the Gf… oh wait, no
one gives a damn 😎</t>
  </si>
  <si>
    <t>joeaddict4
@lostkimber @preterniadotcom Yeah,
but he will arrive in a bag from
@Walmart Thanks a bunch, I will
probably still order him</t>
  </si>
  <si>
    <t xml:space="preserve">preterniadotcom
</t>
  </si>
  <si>
    <t>lostkimber
@JoeAddict4 @preterniadotcom @Walmart
set him free from his bubble prison
and pose him up next to Stalker
:D</t>
  </si>
  <si>
    <t>mileyarabicnet
Just a reminder via our girl @MileyCyrus
that you can buy yourself flowers
this Valentine's Day. 😘💐</t>
  </si>
  <si>
    <t>karlaatmidnight
Just a reminder via our girl @MileyCyrus
that you can buy yourself flowers
this Valentine's Day. 😘💐</t>
  </si>
  <si>
    <t>leonardtasean
@Walmart imma need y’all to go
back to being open 24hrs!! Thanks
in advance!</t>
  </si>
  <si>
    <t>tweetdowalter
Just a reminder via our girl @MileyCyrus
that you can buy yourself flowers
this Valentine's Day. 😘💐</t>
  </si>
  <si>
    <t>ukmileycyrusfan
Just a reminder via our girl @MileyCyrus
that you can buy yourself flowers
this Valentine's Day. 😘💐</t>
  </si>
  <si>
    <t>igorferreiracl
Just a reminder via our girl @MileyCyrus
that you can buy yourself flowers
this Valentine's Day. 😘💐</t>
  </si>
  <si>
    <t>laadaadidadi
Just a reminder via our girl @MileyCyrus
that you can buy yourself flowers
this Valentine's Day. 😘💐</t>
  </si>
  <si>
    <t>nickwaynegames
@Walmart I didn’t need an entire
plant but thanks https://t.co/j3DqYhyhm0</t>
  </si>
  <si>
    <t>yoitsab
Just a reminder via our girl @MileyCyrus
that you can buy yourself flowers
this Valentine's Day. 😘💐</t>
  </si>
  <si>
    <t>youngerbluess
Just a reminder via our girl @MileyCyrus
that you can buy yourself flowers
this Valentine's Day. 😘💐</t>
  </si>
  <si>
    <t>ebrundo1
@PFT_Live I laughed when you said
that negotiations with @nflcoaches
and teams isn’t like negotiating
at #walmart! You’ve never negotiated
with @Walmart I can tell! #badtake</t>
  </si>
  <si>
    <t xml:space="preserve">pft_live
</t>
  </si>
  <si>
    <t>budolliff
@Walmart are y’all really charging
$1 to use your shopping carts ?</t>
  </si>
  <si>
    <t>olivia91483183
Just a reminder via our girl @MileyCyrus
that you can buy yourself flowers
this Valentine's Day. 😘💐</t>
  </si>
  <si>
    <t>sheiscomingley
Just a reminder via our girl @MileyCyrus
that you can buy yourself flowers
this Valentine's Day. 😘💐</t>
  </si>
  <si>
    <t>mileystewwartt
Just a reminder via our girl @MileyCyrus
that you can buy yourself flowers
this Valentine's Day. 😘💐</t>
  </si>
  <si>
    <t>superjosh05
@Walmart @MileyCyrus Omg Walmart
deal is coming https://t.co/Z6DnMzXBdq</t>
  </si>
  <si>
    <t>xxradiatelove
@SuperJosh05 @Walmart @MileyCyrus
We all know how it ended over 10
years ago. They don't deserve her</t>
  </si>
  <si>
    <t>gossipmileyray
@Walmart @MileyCyrus hello? https://t.co/aFD396v6pD</t>
  </si>
  <si>
    <t>vampire_witchb
@Walmart when are you gonna give
a fuck about your employees LIVES???</t>
  </si>
  <si>
    <t>debsails
@Walmart @MileyCyrus 👍get the
color and variety I like!</t>
  </si>
  <si>
    <t>labordayworx
@Marc_Perrone Why did @ufcw stop
helping workers of @Walmart unionize?
You left us all in the dark through
COVID and now through the largest
labor movement in history. #Retire</t>
  </si>
  <si>
    <t xml:space="preserve">bourgeoisalien
</t>
  </si>
  <si>
    <t xml:space="preserve">scisocialist
</t>
  </si>
  <si>
    <t>love1wins
@Sid_Rooney @Walmart Is Walmart
a shop in the USA where the criminally
insane go to hang out or what is
it ?</t>
  </si>
  <si>
    <t xml:space="preserve">sid_rooney
</t>
  </si>
  <si>
    <t xml:space="preserve">openstreetmap
</t>
  </si>
  <si>
    <t>prolewiki
@prolewiki @openstreetmap We started
a petition for raising wages for
all of us at @Walmart ! #solidarity
https://t.co/y5W8yUoeJA</t>
  </si>
  <si>
    <t>mariia_deleon
#MondayMotivation 💪 Suresh Kumar
Suresh Kumar, @Walmart's global
chief technology officer, is bullish
on #crypto as a means of payment.
🔥🔥 https://t.co/r1PWeU2iIo</t>
  </si>
  <si>
    <t>plasticheartsok
Just a reminder via our girl @MileyCyrus
that you can buy yourself flowers
this Valentine's Day. 😘💐</t>
  </si>
  <si>
    <t>belcacyruss
Just a reminder via our girl @MileyCyrus
that you can buy yourself flowers
this Valentine's Day. 😘💐</t>
  </si>
  <si>
    <t>titasmakeupbox
High-performing and skin perfecting?!
The Photo Focus Foundation is essential
for your everyday routine 💛 Get
it @walmart @amazon @target @ultabeauty
@walgreens @riteaid @cvspharmacy
and shop our #Amazon store at #LinkInBio
#wetnwildbeauty https://t.co/O4uypearsb</t>
  </si>
  <si>
    <t>cosplaymeg
Hey @Walmart , what gives? My order
wasn't delivered until half an
hour AFTER my delivery window,
and I received exactly ZERO updates
to let me know why. Really frustrating
when you order several hours in
advance and it's still late....
😕</t>
  </si>
  <si>
    <t>rohit_ochani
@Flipkart no reply on this tweet
says it all that how you are planning
to inflate your order numbers.
Totally unethical practices being
followed @jagograhakjago @Walmart
@walmartindia @WalmartInc @BuzzFeedIndia</t>
  </si>
  <si>
    <t xml:space="preserve">buzzfeedindia
</t>
  </si>
  <si>
    <t>ska_karolina
Just a reminder via our girl @MileyCyrus
that you can buy yourself flowers
this Valentine's Day. 😘💐</t>
  </si>
  <si>
    <t>shadmiller13
So… @CodyRhodes Funko Pop is sold
out… hope I find one in the wild
to go with my NJPW one… why a @Walmart
exclusive tho?</t>
  </si>
  <si>
    <t xml:space="preserve">codyrhodes
</t>
  </si>
  <si>
    <t>gomezinmalibu
Just a reminder via our girl @MileyCyrus
that you can buy yourself flowers
this Valentine's Day. 😘💐</t>
  </si>
  <si>
    <t>francisjared_
Just a reminder via our girl @MileyCyrus
that you can buy yourself flowers
this Valentine's Day. 😘💐</t>
  </si>
  <si>
    <t>thestellars
The red carpet premiere of the
Black History Honors was held at
the @freedomcenter! Hosted by @marcmorial
and attended by show host @malimusic
and the show's sponsors: @proctergamble
@walmart @chevrolet @verizon! For
a complete list of airings visit
https://t.co/jSG681bJYS https://t.co/qYCuVUfhtW</t>
  </si>
  <si>
    <t xml:space="preserve">verizon
</t>
  </si>
  <si>
    <t>freedomcenter
The red carpet premiere of the
Black History Honors was held at
the @freedomcenter! Hosted by @marcmorial
and attended by show host @malimusic
and the show's sponsors: @proctergamble
@walmart @chevrolet @verizon! For
a complete list of airings visit
https://t.co/jSG681bJYS https://t.co/qYCuVUfhtW</t>
  </si>
  <si>
    <t xml:space="preserve">chevrolet
</t>
  </si>
  <si>
    <t xml:space="preserve">proctergamble
</t>
  </si>
  <si>
    <t xml:space="preserve">malimusic
</t>
  </si>
  <si>
    <t xml:space="preserve">marcmorial
</t>
  </si>
  <si>
    <t>veronieray
@Walmart @MileyCyrus GET AWAY FROM
HER</t>
  </si>
  <si>
    <t>inalittledove
@Walmart @MileyCyrus Okay if You
apologize to Miley for what You
did to her in 2010 we might consider</t>
  </si>
  <si>
    <t>summdoja
@Walmart HOW THE FUCK DO I FAIL
AN APPLICATION TEST (?????) WITH
QUESTIONS PERTAINING TO ME????????
GO TO HELLLLLLL LMFAOOOOOOO</t>
  </si>
  <si>
    <t>stosspott
Well, shoppers just got kicked
out of @Walmart due to power issues.
TX oh TX.</t>
  </si>
  <si>
    <t>mutinymanx
@Xbox I need some serious help
regarding and XAA purchase. @Walmart
isn't helping. Citizens Pay isn't
helping. @FedEx was no help. Now
I'm stuck paying for console I
never received. What is the proper
support channel?</t>
  </si>
  <si>
    <t xml:space="preserve">fedex
</t>
  </si>
  <si>
    <t xml:space="preserve">xbox
</t>
  </si>
  <si>
    <t xml:space="preserve">ufcw
</t>
  </si>
  <si>
    <t>reformufcw
@Marc_Perrone Why did @ufcw stop
helping workers of @Walmart unionize?
You left us all in the dark through
COVID and now through the largest
labor movement in history. #Retire</t>
  </si>
  <si>
    <t xml:space="preserve">marc_perrone
</t>
  </si>
  <si>
    <t>thesportsbubba
@Lj_era8 That’s assault and he
should be arrested and fired. @Walmart
what’s up with this?</t>
  </si>
  <si>
    <t xml:space="preserve">lj_era8
</t>
  </si>
  <si>
    <t>mcgiftz
Just a reminder via our girl @MileyCyrus
that you can buy yourself flowers
this Valentine's Day. 😘💐</t>
  </si>
  <si>
    <t>placer_ai
.@Walmart debuts modern store design
in Springdale, AR. In Q4 2022,
it had 31.2% more visits than the
average Walmart and 66.6% more
than the average @Target. Full
story from @melissa_repko &amp;amp;
@CNBC: https://t.co/UgG22KiyZS</t>
  </si>
  <si>
    <t xml:space="preserve">cnbc
</t>
  </si>
  <si>
    <t>408nate
.@Walmart debuts modern store design
in Springdale, AR. In Q4 2022,
it had 31.2% more visits than the
average Walmart and 66.6% more
than the average @Target. Full
story from @melissa_repko &amp;amp;
@CNBC: https://t.co/UgG22KiyZS</t>
  </si>
  <si>
    <t xml:space="preserve">melissa_repko
</t>
  </si>
  <si>
    <t>callnit365
@Walmart you think I’m a god damn
criminal then maybe you should
have people at the check outs don’t
ask me for a fucking receipt after
I paid and walking out the door
your dumbass employ didn’t ask
one other person. Ain’t shipping
at your shit as store anymore</t>
  </si>
  <si>
    <t>artistaesoto
@Walmart I tip my hat to @Walmart
for throwing the spot on Shade!
Walmart+ improved its service &amp;amp;
I can get the items I was not able
to before. I will definitely will
be renewing my membership when
it is time to renew next year.</t>
  </si>
  <si>
    <t>areusing
It's #BlackHistoryMonth, which
means @Walmart is going to flood
us with posts about how they value
their Black workers while continuing
to: - pay Black workers less -
pass Black workers up for leadership
roles - &amp;amp; donate to politicians
and orgs that marginalize Black
communities https://t.co/uPIrlShSSg</t>
  </si>
  <si>
    <t>adayareisanur
You can be assured I'm already
looking at other companies &amp;amp;
will most likely return this phone
back to @Walmart @FamilyMobile
and move my phone# to another service!
It might cost me more, but at least
I'll have service!</t>
  </si>
  <si>
    <t xml:space="preserve">familymobile
</t>
  </si>
  <si>
    <t>leftysunite
It's #BlackHistoryMonth, which
means @Walmart is going to flood
us with posts about how they value
their Black workers while continuing
to: - pay Black workers less -
pass Black workers up for leadership
roles - &amp;amp; donate to politicians
and orgs that marginalize Black
communities https://t.co/uPIrlShSSg</t>
  </si>
  <si>
    <t>dirtybyrdgames
@DirtyByrdGames We love the new
setup! 🤩</t>
  </si>
  <si>
    <t>night_crawlingx
Just a reminder via our girl @MileyCyrus
that you can buy yourself flowers
this Valentine's Day. 😘💐</t>
  </si>
  <si>
    <t>cyrusonstats
Just a reminder via our girl @MileyCyrus
that you can buy yourself flowers
this Valentine's Day. 😘💐</t>
  </si>
  <si>
    <t>dennisrs10
Just a reminder via our girl @MileyCyrus
that you can buy yourself flowers
this Valentine's Day. 😘💐</t>
  </si>
  <si>
    <t>bb_legs
@DailyLoud Hey @nike what about
@Walmart 👮🏾‍♂️ https://t.co/I1OSpf5BFT</t>
  </si>
  <si>
    <t xml:space="preserve">dailyloud
</t>
  </si>
  <si>
    <t>chibi_nova21
@bb_legs @DailyLoud @Nike @Walmart
DONT WORRY ABOUT IT</t>
  </si>
  <si>
    <t xml:space="preserve">nike
</t>
  </si>
  <si>
    <t>kitkato8
Just a reminder via our girl @MileyCyrus
that you can buy yourself flowers
this Valentine's Day. 😘💐</t>
  </si>
  <si>
    <t>cristian_merigo
@Walmart @MileyCyrus our girl?</t>
  </si>
  <si>
    <t>pqgrigori
@Walmart @MileyCyrus we don’t forgive
nor forget</t>
  </si>
  <si>
    <t>mzhydedark
Just a reminder via our girl @MileyCyrus
that you can buy yourself flowers
this Valentine's Day. 😘💐</t>
  </si>
  <si>
    <t>liltoot62
Scoped up a couple dope rides @Walmart
today! 🗑️😃🚧 #ScopedUp | #Construction
| #Trash https://t.co/kRCoE9PhDY</t>
  </si>
  <si>
    <t>bornyhear
@Walmart There is a specific company,
apartment building in Miami, that
constantly STEALS your $1k+ shopping
carts to remove the anti-theft
device, in order for them to use
it as THEIR cart. DM me please
@Walmart @WalmartInc @WalmartAction
https://t.co/VcVaOx5ZPy</t>
  </si>
  <si>
    <t>skraaa_h
#MondayMotivation 💪 Suresh Kumar
Suresh Kumar, @Walmart's global
chief technology officer, is bullish
on #crypto as a means of payment.
🔥🔥 https://t.co/r1PWeU2iIo</t>
  </si>
  <si>
    <t>chicedr
It's #BlackHistoryMonth, which
means @Walmart is going to flood
us with posts about how they value
their Black workers while continuing
to: - pay Black workers less -
pass Black workers up for leadership
roles - &amp;amp; donate to politicians
and orgs that marginalize Black
communities https://t.co/uPIrlShSSg</t>
  </si>
  <si>
    <t>dogmaticprior
@MichaelNatelli @Walmart we love
this. Keep doing this.</t>
  </si>
  <si>
    <t xml:space="preserve">michaelnatelli
</t>
  </si>
  <si>
    <t>steffi21011
Just a reminder via our girl @MileyCyrus
that you can buy yourself flowers
this Valentine's Day. 😘💐</t>
  </si>
  <si>
    <t>functionalflu
We're so excited that @Walmart
considered Functional Fluidics
as a #BlackHealthHeroes to highlight
during #BlackHistoryMonth #Walmart
#BlackHealthHeroes #BuildingBetterTogether
Watch the video here: https://t.co/dW7jVpg6lM</t>
  </si>
  <si>
    <t>investdetroitvc
Congratulations @InvestDetroitVC
portfolio company @functionalflu
for being highlighted as a #BlackHealthHeroes
company by @Walmart during #BlackHistoryMonth!
#Walmart #BuildingBetterTogether
#FunctionalFluidics #IDVentures
#Startup #SickleCell https://t.co/rZOSQgHb2W</t>
  </si>
  <si>
    <t>mcvertulli
Just a reminder via our girl @MileyCyrus
that you can buy yourself flowers
this Valentine's Day. 😘💐</t>
  </si>
  <si>
    <t>alexuhperez
@Walmart There’s snow/ice here
in Texas. Will they be online?</t>
  </si>
  <si>
    <t>lmlj2012
@walmart @walmarthelp where is
my damn money!? Walmart's gift
card system has been compromised
and Walmart is allowing thieves
to steal physical gift cards digitally
and use them on walmart's website.
Walmart knows it is happening and
refuses to help customers or stop
the theft!</t>
  </si>
  <si>
    <t>taty_marc_blank
Just a reminder via our girl @MileyCyrus
that you can buy yourself flowers
this Valentine's Day. 😘💐</t>
  </si>
  <si>
    <t>dypiangco
14. Catalog Outfit Creator 15.
Weapon Fighting Simulator BRANDS
that have integrated other brands
into their Roblox Games: - @AustralianOpen
- @Walmart - @Vans - @Nickelodeon
- @iHeartRadio</t>
  </si>
  <si>
    <t xml:space="preserve">iheartradio
</t>
  </si>
  <si>
    <t xml:space="preserve">nickelodeon
</t>
  </si>
  <si>
    <t xml:space="preserve">vans
</t>
  </si>
  <si>
    <t xml:space="preserve">australianopen
</t>
  </si>
  <si>
    <t>heduardomatz
Just a reminder via our girl @MileyCyrus
that you can buy yourself flowers
this Valentine's Day. 😘💐</t>
  </si>
  <si>
    <t>gypsydesert
#CDC warns that a brand of #eyedrops
may be linked to #drugresistant
#infections ⁦@Walmart⁩ ⁦@WalmartInc⁩
https://t.co/pIdKzlbb04</t>
  </si>
  <si>
    <t>micklite7
So apparently, if you pay $10 for
@Walmart 's auto tire warranty...
It just saves you $25 ($95 instead
of $120) on getting a new tire
to replace the defective one they
gave you in the first place, a
month ago.</t>
  </si>
  <si>
    <t>space_dude93
@Walmart @MileyCyrus You literally
ended her contract for her fashion
line after she was caught smoking
salvia 👀</t>
  </si>
  <si>
    <t>purelyinspired
Just a reminder via our girl @MileyCyrus
that you can buy yourself flowers
this Valentine's Day. 😘💐</t>
  </si>
  <si>
    <t>deliciouslyso
@Walmart why are honeypot products
are not fsa eligible....pads isn't
this the law?</t>
  </si>
  <si>
    <t>nexttomileybu
Just a reminder via our girl @MileyCyrus
that you can buy yourself flowers
this Valentine's Day. 😘💐</t>
  </si>
  <si>
    <t>mileycyrussf
Just a reminder via our girl @MileyCyrus
that you can buy yourself flowers
this Valentine's Day. 😘💐</t>
  </si>
  <si>
    <t>newswest9
No, @Walmart is not charging customers
a $1 fee to use shopping carts.
Here's where the claim came from:
https://t.co/eRUf4iBDWw</t>
  </si>
  <si>
    <t>verifythis
@Walmart Get VERIFY’s Fast Facts
delivered every weekday to your
email inbox: https://t.co/eTzATY3hEM</t>
  </si>
  <si>
    <t>11alivenews
No, @Walmart is not charging customers
a $1 fee to use shopping carts.
Here's where the claim came from:
https://t.co/eRUf4iBDWw</t>
  </si>
  <si>
    <t>ksdknews
No, @Walmart is not charging customers
a $1 fee to use shopping carts.
Here's where the claim came from:
https://t.co/eRUf4iBDWw</t>
  </si>
  <si>
    <t>13newsnow
No, @Walmart is not charging customers
a $1 fee to use shopping carts.
Here's where the claim came from:
https://t.co/eRUf4iBDWw</t>
  </si>
  <si>
    <t>newscentermaine
No, @Walmart is not charging customers
a $1 fee to use shopping carts.
Here's where the claim came from:
https://t.co/eRUf4iBDWw</t>
  </si>
  <si>
    <t>wfmy
No, @Walmart is not charging customers
a $1 fee to use shopping carts.
Here's where the claim came from:
https://t.co/eRUf4iBDWw</t>
  </si>
  <si>
    <t>wzzm13
No, @Walmart is not charging customers
a $1 fee to use shopping carts.
Here's where the claim came from:
https://t.co/eRUf4iBDWw</t>
  </si>
  <si>
    <t>wltx
No, @Walmart is not charging customers
a $1 fee to use shopping carts.
Here's where the claim came from:
https://t.co/eRUf4iBDWw</t>
  </si>
  <si>
    <t>wkyc
No, @Walmart is not charging customers
a $1 fee to use shopping carts.
Here's where the claim came from:
https://t.co/eRUf4iBDWw</t>
  </si>
  <si>
    <t>wthrcom
No, @Walmart is not charging customers
a $1 fee to use shopping carts.
Here's where the claim came from:
https://t.co/eRUf4iBDWw</t>
  </si>
  <si>
    <t>6newsctx
No, @Walmart is not charging customers
a $1 fee to use shopping carts.
Here's where the claim came from:
https://t.co/eRUf4iBDWw</t>
  </si>
  <si>
    <t>thv11
No, @Walmart is not charging customers
a $1 fee to use shopping carts.
Here's where the claim came from:
https://t.co/eRUf4iBDWw</t>
  </si>
  <si>
    <t>kare11
No, @Walmart is not charging customers
a $1 fee to use shopping carts.
Here's where the claim came from:
https://t.co/eRUf4iBDWw</t>
  </si>
  <si>
    <t>fcn2go
No, @Walmart is not charging customers
a $1 fee to use shopping carts.
Here's where the claim came from:
https://t.co/eRUf4iBDWw</t>
  </si>
  <si>
    <t>fox43
No, @Walmart is not charging customers
a $1 fee to use shopping carts.
Here's where the claim came from:
https://t.co/eRUf4iBDWw</t>
  </si>
  <si>
    <t>wfaa
No, @Walmart is not charging customers
a $1 fee to use shopping carts.
Here's where the claim came from:
https://t.co/eRUf4iBDWw</t>
  </si>
  <si>
    <t>10tampabay
No, @Walmart is not charging customers
a $1 fee to use shopping carts.
Here's where the claim came from:
https://t.co/eRUf4iBDWw</t>
  </si>
  <si>
    <t>fox61news
No, @Walmart is not charging customers
a $1 fee to use shopping carts.
Here's where the claim came from:
https://t.co/eRUf4iBDWw</t>
  </si>
  <si>
    <t>wtol11toledo
No, @Walmart is not charging customers
a $1 fee to use shopping carts.
Here's where the claim came from:
https://t.co/eRUf4iBDWw</t>
  </si>
  <si>
    <t>kiii3news
No, @Walmart is not charging customers
a $1 fee to use shopping carts.
Here's where the claim came from:
https://t.co/eRUf4iBDWw</t>
  </si>
  <si>
    <t>whas11
No, @Walmart is not charging customers
a $1 fee to use shopping carts.
Here's where the claim came from:
https://t.co/eRUf4iBDWw</t>
  </si>
  <si>
    <t>wnep
No, @Walmart is not charging customers
a $1 fee to use shopping carts.
Here's where the claim came from:
https://t.co/eRUf4iBDWw</t>
  </si>
  <si>
    <t>cbs8
No, @Walmart is not charging customers
a $1 fee to use shopping carts.
Here's where the claim came from:
https://t.co/eRUf4iBDWw</t>
  </si>
  <si>
    <t>khou
No, @Walmart is not charging customers
a $1 fee to use shopping carts.
Here's where the claim came from:
https://t.co/eRUf4iBDWw</t>
  </si>
  <si>
    <t>ktvb
No, @Walmart is not charging customers
a $1 fee to use shopping carts.
Here's where the claim came from:
https://t.co/eRUf4iBDWw</t>
  </si>
  <si>
    <t>weareiowa5news
No, @Walmart is not charging customers
a $1 fee to use shopping carts.
Here's where the claim came from:
https://t.co/eRUf4iBDWw</t>
  </si>
  <si>
    <t>abc10
No, @Walmart is not charging customers
a $1 fee to use shopping carts.
Here's where the claim came from:
https://t.co/eRUf4iBDWw</t>
  </si>
  <si>
    <t>foxwesttexas
No, @Walmart is not charging customers
a $1 fee to use shopping carts.
Here's where the claim came from:
https://t.co/eRUf4iBDWw</t>
  </si>
  <si>
    <t>wusa9
No, @Walmart is not charging customers
a $1 fee to use shopping carts.
Here's where the claim came from:
https://t.co/eRUf4iBDWw</t>
  </si>
  <si>
    <t>wqad
No, @Walmart is not charging customers
a $1 fee to use shopping carts.
Here's where the claim came from:
https://t.co/eRUf4iBDWw</t>
  </si>
  <si>
    <t>wcnc
No, @Walmart is not charging customers
a $1 fee to use shopping carts.
Here's where the claim came from:
https://t.co/eRUf4iBDWw</t>
  </si>
  <si>
    <t>13wmaznews
No, @Walmart is not charging customers
a $1 fee to use shopping carts.
Here's where the claim came from:
https://t.co/eRUf4iBDWw</t>
  </si>
  <si>
    <t>9news
No, @Walmart is not charging customers
a $1 fee to use shopping carts.
Here's where the claim came from:
https://t.co/eRUf4iBDWw</t>
  </si>
  <si>
    <t>12news
No, @Walmart is not charging customers
a $1 fee to use shopping carts.
Here's where the claim came from:
https://t.co/eRUf4iBDWw</t>
  </si>
  <si>
    <t>krem2
No, @Walmart is not charging customers
a $1 fee to use shopping carts.
Here's where the claim came from:
https://t.co/eRUf4iBDWw</t>
  </si>
  <si>
    <t>12newsnow
No, @Walmart is not charging customers
a $1 fee to use shopping carts.
Here's where the claim came from:
https://t.co/eRUf4iBDWw</t>
  </si>
  <si>
    <t>kytxcbs19
No, @Walmart is not charging customers
a $1 fee to use shopping carts.
Here's where the claim came from:
https://t.co/eRUf4iBDWw</t>
  </si>
  <si>
    <t>kagsnews
No, @Walmart is not charging customers
a $1 fee to use shopping carts.
Here's where the claim came from:
https://t.co/eRUf4iBDWw</t>
  </si>
  <si>
    <t>wgrz
No, @Walmart is not charging customers
a $1 fee to use shopping carts.
Here's where the claim came from:
https://t.co/eRUf4iBDWw</t>
  </si>
  <si>
    <t>king5seattle
No, @Walmart is not charging customers
a $1 fee to use shopping carts.
Here's where the claim came from:
https://t.co/eRUf4iBDWw</t>
  </si>
  <si>
    <t>wwltv
No, @Walmart is not charging customers
a $1 fee to use shopping carts.
Here's where the claim came from:
https://t.co/eRUf4iBDWw</t>
  </si>
  <si>
    <t>kens5
No, @Walmart is not charging customers
a $1 fee to use shopping carts.
Here's where the claim came from:
https://t.co/eRUf4iBDWw</t>
  </si>
  <si>
    <t>10tv
No, @Walmart is not charging customers
a $1 fee to use shopping carts.
Here's where the claim came from:
https://t.co/eRUf4iBDWw</t>
  </si>
  <si>
    <t>5news
No, @Walmart is not charging customers
a $1 fee to use shopping carts.
Here's where the claim came from:
https://t.co/eRUf4iBDWw</t>
  </si>
  <si>
    <t>fox54news
No, @Walmart is not charging customers
a $1 fee to use shopping carts.
Here's where the claim came from:
https://t.co/eRUf4iBDWw</t>
  </si>
  <si>
    <t>kvue
No, @Walmart is not charging customers
a $1 fee to use shopping carts.
Here's where the claim came from:
https://t.co/eRUf4iBDWw</t>
  </si>
  <si>
    <t>arthurvm_
Just a reminder via our girl @MileyCyrus
that you can buy yourself flowers
this Valentine's Day. 😘💐</t>
  </si>
  <si>
    <t>delphicdeb
@DramaSimmy @lakeloonatic @Walmart
Did the managers share their rationale?
Just curious (as a person who has
to deal with my own managers' silly
orders from time to time.)</t>
  </si>
  <si>
    <t>lakeloonatic
@DramaSimmy @DelphicDeb @Walmart
It aggravates the customers if
you close it and don’t put a sign
up.</t>
  </si>
  <si>
    <t>dramasimmy
@DelphicDeb @lakeloonatic @Walmart
Omg she was the whitest, most racist
Karen I had ever met. And all my
coworkers were black, so she loved
putting us in those positions where
she knew people would show out.
😑 How does Karen speak to the
manager when she is the manager.
https://t.co/cye6TW4gZi</t>
  </si>
  <si>
    <t>bjorn501
No, @Walmart is not charging customers
a $1 fee to use shopping carts.
Here's where the claim came from:
https://t.co/eRUf4iBDWw</t>
  </si>
  <si>
    <t>glamorouge
Just a reminder via our girl @MileyCyrus
that you can buy yourself flowers
this Valentine's Day. 😘💐</t>
  </si>
  <si>
    <t>snakemannn
Day 4 of how @Walmart destroyed
my Order &amp;amp; said that my case
is closed, I will every day until
they actually do something, be
posting how they destroyed my @MarioAndretti
@OriginalFunko #FunkoPop! I do
not want a #REFUND! I want what
I ordered! I did not order to get
a refund! https://t.co/JnRZX228op</t>
  </si>
  <si>
    <t xml:space="preserve">marioandretti
</t>
  </si>
  <si>
    <t xml:space="preserve">originalfunko
</t>
  </si>
  <si>
    <t>oregakitaworld
No, @Walmart is not charging customers
a $1 fee to use shopping carts.
Here's where the claim came from:
https://t.co/eRUf4iBDWw</t>
  </si>
  <si>
    <t>dcomcustomized
No, @Walmart is not charging customers
a $1 fee to use shopping carts.
Here's where the claim came from:
https://t.co/eRUf4iBDWw</t>
  </si>
  <si>
    <t>gaygardner420
@VerifyThis @Walmart This is NOT
disability friendly! Sometimes
it's to much strain to have to
walk back to get coin back</t>
  </si>
  <si>
    <t>prestonsteger
No, @Walmart is not charging customers
a $1 fee to use shopping carts.
Here's where the claim came from:
https://t.co/eRUf4iBDWw</t>
  </si>
  <si>
    <t>jaydengross7
@Walmart We got an issue!!!!! I
bought your protein shakes on Sunday
January 29th 2023 and realized
today AFTER DRINKING ONE AND IT
BEING CHUNKY ON THE BOTTOM that
it expired January 16th! This shit
is a disgrace! Selling old food
! I got receipts and proof!</t>
  </si>
  <si>
    <t>myseattlenews
No, @Walmart is not charging customers
a $1 fee to use shopping carts.
Here's where the claim came from:
https://t.co/eRUf4iBDWw</t>
  </si>
  <si>
    <t>irfancyrus
Just a reminder via our girl @MileyCyrus
that you can buy yourself flowers
this Valentine's Day. 😘💐</t>
  </si>
  <si>
    <t>11nightsinjune
Just a reminder via our girl @MileyCyrus
that you can buy yourself flowers
this Valentine's Day. 😘💐</t>
  </si>
  <si>
    <t>katrochaacosta1
@WalmartInc have been trying to
get a refund from @Walmart that
I ordered online and returned walmart
kokomo with their "new convenient"
curbside returns. 10 to 14 business
days. 2 months later, no refund.
The manager told me they have problems
with people stealing. Scam!</t>
  </si>
  <si>
    <t>thesmithdeep
@Hotstreek718 @Walmart 4 queens
attacking the one with a job ?
Way to rise above .</t>
  </si>
  <si>
    <t xml:space="preserve">hotstreek718
</t>
  </si>
  <si>
    <t>gabsrayy
Just a reminder via our girl @MileyCyrus
that you can buy yourself flowers
this Valentine's Day. 😘💐</t>
  </si>
  <si>
    <t>madonnalovedale
Madonna -Holiday Winston-Salem
Walmart Dance Breaks the Internet
https://t.co/Lit7xIukjA via @YouTube
@HowardStern @sternshow @SternFBSuperfan
Watch Me Dancing To @Madonna Holiday
At @Walmart Let Love ❤️ Shine Holiday!
I Had Awesome Time @Rhino_Records</t>
  </si>
  <si>
    <t xml:space="preserve">rhino_records
</t>
  </si>
  <si>
    <t>aurorastarkey
Madonna -Holiday Winston-Salem
Walmart Dance Breaks the Internet
https://t.co/Lit7xIukjA via @YouTube
@HowardStern @sternshow @SternFBSuperfan
Watch Me Dancing To @Madonna Holiday
At @Walmart Let Love ❤️ Shine Holiday!
I Had Awesome Time @Rhino_Records</t>
  </si>
  <si>
    <t xml:space="preserve">madonna
</t>
  </si>
  <si>
    <t xml:space="preserve">sternfbsuperfan
</t>
  </si>
  <si>
    <t xml:space="preserve">sternshow
</t>
  </si>
  <si>
    <t xml:space="preserve">howardstern
</t>
  </si>
  <si>
    <t xml:space="preserve">youtube
</t>
  </si>
  <si>
    <t>123blarg456
Just a reminder via our girl @MileyCyrus
that you can buy yourself flowers
this Valentine's Day. 😘💐</t>
  </si>
  <si>
    <t>crystal4obama
No, @Walmart is not charging customers
a $1 fee to use shopping carts.
Here's where the claim came from:
https://t.co/eRUf4iBDWw</t>
  </si>
  <si>
    <t>natalie74737687
@Walmart Sounds really very Cool
😊</t>
  </si>
  <si>
    <t>dolce11312940
Preorder the all-new Samsung Galaxy
S23 Series today &amp;amp; share the
epic! Save up to $1,430 with qualified
purchase &amp;amp; trade-in. Terms
&amp;amp; conditions apply. https://t.co/dJssQQ5J90
https://t.co/4GgQBoxJDo</t>
  </si>
  <si>
    <t>juyeonisseur
Just a reminder via our girl @MileyCyrus
that you can buy yourself flowers
this Valentine's Day. 😘💐</t>
  </si>
  <si>
    <t>ariesdevll
@piercetheveil @Walmart I NEED
THIS.</t>
  </si>
  <si>
    <t xml:space="preserve">piercetheveil
</t>
  </si>
  <si>
    <t>jennydelbloc
Happy 2/1! 🫶🏽 Shop @doncosmetics
at @Walmart.com 🛒</t>
  </si>
  <si>
    <t xml:space="preserve">doncosmetics
</t>
  </si>
  <si>
    <t>summerdonbell
Happy 2/1! 🫶🏽 Shop @doncosmetics
at @Walmart.com 🛒</t>
  </si>
  <si>
    <t>kgwnews
No, @Walmart is not charging customers
a $1 fee to use shopping carts.
Here's where the claim came from:
https://t.co/eRUf4iBDWw</t>
  </si>
  <si>
    <t>romyyourock
@VerifyThis @KGWNews @Walmart But
you still gotta scavenge your own
from the parking lot.</t>
  </si>
  <si>
    <t>ianhillmedia
@Walmart Get VERIFY’s Fast Facts
delivered every weekday to your
email inbox: https://t.co/eTzATY3hEM</t>
  </si>
  <si>
    <t>thiccasz_jay
Walmart out here texting pple the
receipts but still dont have apple
pay @Walmart we need answers pls</t>
  </si>
  <si>
    <t>itsalejotinoco
@Walmart probably has the worst
Online Ordering and Customer Service
experience I have ever dealt with.
It’s like they want you to buy
from Amazon or something</t>
  </si>
  <si>
    <t>bannedb4u
@Walmart @MileyCyrus Just a reminder
that @Walmart will put your tires
on backwards despite there being
a huge rotation arrow on the tire…😞
https://t.co/p8ykI8LdSP</t>
  </si>
  <si>
    <t>thefrontnc
@Walmart @FoxNews #inflation hey
so I understand eggs are expensive..
I know the stores are 27 miles
apart! But does it why does it
cost $1.55 more in a poorer neighborhood?
https://t.co/yKkEb7r1hO</t>
  </si>
  <si>
    <t xml:space="preserve">foxnews
</t>
  </si>
  <si>
    <t>delroar
@veilowo glad he could leak he
joined @Walmart New Gaming Team!</t>
  </si>
  <si>
    <t xml:space="preserve">veilowo
</t>
  </si>
  <si>
    <t>its_natalie
Just a reminder via our girl @MileyCyrus
that you can buy yourself flowers
this Valentine's Day. 😘💐</t>
  </si>
  <si>
    <t>lauraknitstoys
Time to issue a refund @Walmart
https://t.co/5uOwC313HW</t>
  </si>
  <si>
    <t>itsmrmingtoyou
$INND @HearingAssistUS Products
@Walmart are officially classified
as #OTCHearingAids. Here is the
link to https://t.co/JE0LISGnlO
with @HearingAssistUS Products
in the OTC Hearing Aid Category:
https://t.co/Fos9t1vn9s https://t.co/1Vdy1DYPPM</t>
  </si>
  <si>
    <t>jbrames10
@Walmart The problem is you’re
Walmart. Your produce is garbage,
the quality of your product is
crap. And this reeks of an inferiority
complex. If you’re going after
Amazon, it means you’re afraid
and you acknowledge you’re #2.</t>
  </si>
  <si>
    <t>veebadddieee
Happy 2/1! 🫶🏽 Shop @doncosmetics
at @Walmart.com 🛒</t>
  </si>
  <si>
    <t>santi_barross
Just a reminder via our girl @MileyCyrus
that you can buy yourself flowers
this Valentine's Day. 😘💐</t>
  </si>
  <si>
    <t>mcyruscuba
Just a reminder via our girl @MileyCyrus
that you can buy yourself flowers
this Valentine's Day. 😘💐</t>
  </si>
  <si>
    <t>iedsonsmile
Just a reminder via our girl @MileyCyrus
that you can buy yourself flowers
this Valentine's Day. 😘💐</t>
  </si>
  <si>
    <t>drtimcavell
I applaud @Walmart for their efforts
on behalf of Black History Month,
and I take particular delight in
the fact that Walmart's HQ is in
Arkansas, where @SarahHuckabee
is governor! https://t.co/dpRbdoA5IN</t>
  </si>
  <si>
    <t xml:space="preserve">sarahhuckabee
</t>
  </si>
  <si>
    <t>gypsyhearttour
Just a reminder via our girl @MileyCyrus
that you can buy yourself flowers
this Valentine's Day. 😘💐</t>
  </si>
  <si>
    <t>_xidzelxx
Just a reminder via our girl @MileyCyrus
that you can buy yourself flowers
this Valentine's Day. 😘💐</t>
  </si>
  <si>
    <t>stpetemomma
@Walmart only had two cashiers
and the lane wasn't even moving.
Had to manually push all the groceries
forward for the cashier. Store
was hot and stuffy. Cashier said
they were remodeling. That explains
trailer pottys but not the rest.</t>
  </si>
  <si>
    <t>justinproctor20
@Walmart if an item is on the shelf
and has a corresponding price tag,
it should be for sale even if it’s
“discontinued.”</t>
  </si>
  <si>
    <t>getreworked
In this episode of Get Reworked,
Maren Dollwet Waggoner, Ph.D.,
VP of People, End-to-End Operations,
U.S. at @Walmart gives us an inside
look at how the company communicates
with — and hears from — the 1.2
million associates working in U.S.
operations. https://t.co/gDUskLgpyC
https://t.co/JYMHrh5gLg</t>
  </si>
  <si>
    <t>dbrooks2012
@Walmart whats going on with this
product?!?! Has it been discontinued?
Been out of stock all over for
quite some time now https://t.co/R8epku4S0k</t>
  </si>
  <si>
    <t>fruityrolce
@Walmart Cheeky</t>
  </si>
  <si>
    <t>jeffkagan
How Did Inflation Affect Target
Shoppers in 2022? https://t.co/oP4e9BLrv1
@jeffkagan @target #retail #inflation
@walmart @GOBankingRates #tech
#technology #wireless</t>
  </si>
  <si>
    <t xml:space="preserve">gobankingrates
</t>
  </si>
  <si>
    <t>navgireramdas
Knock out your holiday shopping
with Rollbacks on gifts for the
whole family. ❤️ this tweet to
shake up a gift idea for everyone
on your list. https://t.co/iNfNBL25A7</t>
  </si>
  <si>
    <t>ibeanewsie
No, @Walmart is not charging customers
a $1 fee to use shopping carts.
Here's where the claim came from:
https://t.co/eRUf4iBDWw</t>
  </si>
  <si>
    <t>ingeniouschi
NEW BOOK released on: @amazon @BNBuzz
@bookdepository @booktopia @AmazonKindle
@chaptersindigo @AppleBooks @Smashwords
@Waterstones @AbeBooks @booksamillion
@Walmart https://t.co/3ckow4sZ5b</t>
  </si>
  <si>
    <t xml:space="preserve">abebooks
</t>
  </si>
  <si>
    <t>unconsciousi
NEW BOOK released on: @amazon @BNBuzz
@bookdepository @booktopia @AmazonKindle
@chaptersindigo @AppleBooks @Smashwords
@Waterstones @AbeBooks @booksamillion
@Walmart https://t.co/3ckow4sZ5b</t>
  </si>
  <si>
    <t xml:space="preserve">smashwords
</t>
  </si>
  <si>
    <t xml:space="preserve">applebooks
</t>
  </si>
  <si>
    <t xml:space="preserve">chaptersindigo
</t>
  </si>
  <si>
    <t xml:space="preserve">amazonkindle
</t>
  </si>
  <si>
    <t xml:space="preserve">booktopia
</t>
  </si>
  <si>
    <t xml:space="preserve">bookdepository
</t>
  </si>
  <si>
    <t xml:space="preserve">waterstones
</t>
  </si>
  <si>
    <t>gr8musicvenues
No, @Walmart is not charging customers
a $1 fee to use shopping carts.
Here's where the claim came from:
https://t.co/eRUf4iBDWw</t>
  </si>
  <si>
    <t>birdseyefood
Look what I found on @Walmart+
App. #TheMostOreo https://t.co/TY7TUCzXzD</t>
  </si>
  <si>
    <t>theyouthscat1
@Walmart is price gouging. They
are completely price gouging.</t>
  </si>
  <si>
    <t>austinuzama
Preorder the all-new Samsung Galaxy
S23 Series today &amp;amp; share the
epic! Save up to $1,430 with qualified
purchase &amp;amp; trade-in. Terms
&amp;amp; conditions apply. https://t.co/dJssQQ5J90
https://t.co/4GgQBoxJDo</t>
  </si>
  <si>
    <t>eightifact
@Walmart @MileyCyrus “Drops flowers
trying to walk through the new
turnstile thing they didn't explain”</t>
  </si>
  <si>
    <t>humbleatomicboh
If Charlene doesn’t get a raise,
@Walmart, we ride at dawn https://t.co/Vje3OdVM8b</t>
  </si>
  <si>
    <t>danniwoohoo
STOP PRICE GOUGING MY GROCERIES.
@Walmart @FrysFoodStores y’all
are now just being greedy.</t>
  </si>
  <si>
    <t xml:space="preserve">frysfoodstores
</t>
  </si>
  <si>
    <t>carrie_oh99
@Walmart let your people that bring
our groceries out to us take a
tip. Get out of their way. It can
earn them a ton more money!!! They
deserve that.</t>
  </si>
  <si>
    <t>kyvan82
Thank you to @walmart for including
us in the Black &amp;amp; Unlimited.
https://t.co/PXn0C18Y4y #Walmartcom
#BHM #BlackHistoryMonth https://t.co/LT1542w4uF</t>
  </si>
  <si>
    <t>optimusgear
Can Herman Survivors leather lube,
that I bought at @Walmart, save
my polo sports shoes? No prep,
I’m just going to apply it on over
the mildew #goodluck #leather #shoes
#Challenge https://t.co/vtS7sIRN0N</t>
  </si>
  <si>
    <t>whisperamber
We found some Bum Bumz at @Walmart
They’re pretty cute! https://t.co/NystV5TqHS</t>
  </si>
  <si>
    <t>king____ricky
Just a reminder via our girl @MileyCyrus
that you can buy yourself flowers
this Valentine's Day. 😘💐</t>
  </si>
  <si>
    <t>gregwaynewilson
…didn’t think that pets were allowed
in @Walmart but somebody came out
with a dog in a cart…&amp;amp; go in
too see a purse left in a cart…very
safe!</t>
  </si>
  <si>
    <t>saartorijr
@Walmart @MileyCyrus We don't need
fake fan here. Didn't you rip a
contract with Miley back 2010?
Oh well https://t.co/maUxQyPA10</t>
  </si>
  <si>
    <t>thecarterfilez
Just a reminder via our girl @MileyCyrus
that you can buy yourself flowers
this Valentine's Day. 😘💐</t>
  </si>
  <si>
    <t>jramon23190792
Just a reminder via our girl @MileyCyrus
that you can buy yourself flowers
this Valentine's Day. 😘💐</t>
  </si>
  <si>
    <t>dynacraftwheels
Turns out camouflage serves a purpose
in your living room, too! Check
out the @realtreeoutdoors 6-volt
quad at @walmart. #FunOnWheels
https://t.co/f0SZ9PLJbm</t>
  </si>
  <si>
    <t>imchrisenriquez
Just a reminder via our girl @MileyCyrus
that you can buy yourself flowers
this Valentine's Day. 😘💐</t>
  </si>
  <si>
    <t>ahoffenbacker
I'm at @Walmart Supercenter in
Butte, MT https://t.co/DpfFRnOXTX</t>
  </si>
  <si>
    <t>motocitypizzaco
For all your #tailgating needs,
@Walmart has you covered, especially
when it comes to Motor City Pizza!
😋 Find our Detroit-style pizza
in the #frozen aisle for the best
price in town. 🙌 https://t.co/fF581qz8Sj</t>
  </si>
  <si>
    <t>ann14295260
@MotoCityPizzaCo @Walmart That
looks great. I’ll have to try it</t>
  </si>
  <si>
    <t>billymcdonald2
@Ann14295260 @MotoCityPizzaCo @Walmart
It’s really the best frozen pizza
I’ve had. Well worth the price.</t>
  </si>
  <si>
    <t>taillighttv
New work from Taillight’s branded
team! It was a joy working with
Olympian @shawnjohnson while sharing
how easy it can be for busy moms
to clean with the new @clorox Bathroom
Ultra Foamer from @walmart. #nashville
#nashvilleproduction #nashvilleproductioncompany
#brandedcontent https://t.co/HdyHteNPFN</t>
  </si>
  <si>
    <t xml:space="preserve">clorox
</t>
  </si>
  <si>
    <t xml:space="preserve">shawnjohnson
</t>
  </si>
  <si>
    <t>omnitalk
F-ing brilliant! Way to go @Walmart!
#Retail https://t.co/lO8ddqbP0r</t>
  </si>
  <si>
    <t>mmarsh222
@Walmart Walmart sucks</t>
  </si>
  <si>
    <t>cartercheeks
@TruGreen @SamsClub @goodyear @CintasCorp
@BWWAkron @EzGo @Walmart @BarS
@WasteConnection some of the jobs
I have applied @ in the past month.
I just need a J O B</t>
  </si>
  <si>
    <t xml:space="preserve">wasteconnection
</t>
  </si>
  <si>
    <t xml:space="preserve">bars
</t>
  </si>
  <si>
    <t xml:space="preserve">ezgo
</t>
  </si>
  <si>
    <t xml:space="preserve">bwwakron
</t>
  </si>
  <si>
    <t xml:space="preserve">cintascorp
</t>
  </si>
  <si>
    <t xml:space="preserve">goodyear
</t>
  </si>
  <si>
    <t xml:space="preserve">trugreen
</t>
  </si>
  <si>
    <t>sparklezonfire
Just a reminder via our girl @MileyCyrus
that you can buy yourself flowers
this Valentine's Day. 😘💐</t>
  </si>
  <si>
    <t>gregggggggggg4
Using the uw madison library computers
to photoshop drake deepthroating
hot dogs @walmart</t>
  </si>
  <si>
    <t>mattwroberts
@RobertIrvine That’s cheaper than
on the Costco website. I wonder
if @walmart or @SamsClub will run
any similar sales. I love the taste
of your bars!</t>
  </si>
  <si>
    <t xml:space="preserve">robertirvine
</t>
  </si>
  <si>
    <t>_above__average
#MondayMotivation 💪 Suresh Kumar
Suresh Kumar, @Walmart's global
chief technology officer, is bullish
on #crypto as a means of payment.
🔥🔥 https://t.co/r1PWeU2iIo</t>
  </si>
  <si>
    <t>mcbudman
@Tomlin_Sense @Walmart Those must
be from the brady "worn" collection</t>
  </si>
  <si>
    <t xml:space="preserve">tomlin_sense
</t>
  </si>
  <si>
    <t>anataeasia
@bangsupremacy @HYBEOFFICIALtwt
@realDonaldTrump @Walmart @gucci
WALMART SCREAMING 😭😭</t>
  </si>
  <si>
    <t xml:space="preserve">realdonaldtrump
</t>
  </si>
  <si>
    <t xml:space="preserve">hybeofficialtwt
</t>
  </si>
  <si>
    <t xml:space="preserve">bangsupremacy
</t>
  </si>
  <si>
    <t>alyssaottaviani
@Walmart @TargetDeals @BestBuy_Deals
Adidas Original Trefoil Street
Graphic Front Pocket Active Pullover
Hoodie https://t.co/DobAZkbokv</t>
  </si>
  <si>
    <t>dwaynepinckney5
Just a reminder via our girl @MileyCyrus
that you can buy yourself flowers
this Valentine's Day. 😘💐</t>
  </si>
  <si>
    <t>danielbeoni
@Walmart @MileyCyrus NOT THIS you
dropped miley years ago bc she
wasn’t the perfect girl you wanted,
so this bs is not welcomed now!</t>
  </si>
  <si>
    <t>irespectmiley
Just a reminder via our girl @MileyCyrus
that you can buy yourself flowers
this Valentine's Day. 😘💐</t>
  </si>
  <si>
    <t>mileymutual
@Walmart @MileyCyrus Remember when
yall couldn't handle her lol she
can definitely buy her own flowers</t>
  </si>
  <si>
    <t>oyster_bay_golf
#MondayMotivation 💪 Suresh Kumar
Suresh Kumar, @Walmart's global
chief technology officer, is bullish
on #crypto as a means of payment.
🔥🔥 https://t.co/r1PWeU2iIo</t>
  </si>
  <si>
    <t>jollygiant15
Just a reminder via our girl @MileyCyrus
that you can buy yourself flowers
this Valentine's Day. 😘💐</t>
  </si>
  <si>
    <t>amyjulissax33
@Walmart why is WIC no longer supported
at self checkout? But you also
only have 1 cashier open. You realize
me having a crying toddler makes
things much more uncomfortable
for everyone else right. I mean
Kroger is just around the corner,
I'll check them out</t>
  </si>
  <si>
    <t>uclaanderson
What happened to Anderson @UCLA_Alumni
Daniel Zakowski (’12), CEO @_ReadySetFood
after @ABCSharkTank? Hint: If you
shop at @Target or @Walmart, you
may already know the answer. #longla
| #uclaentrepreneurs https://t.co/DQY6dDGt7D</t>
  </si>
  <si>
    <t xml:space="preserve">abcsharktank
</t>
  </si>
  <si>
    <t>_readysetfood
What happened to Anderson @UCLA_Alumni
Daniel Zakowski (’12), CEO @_ReadySetFood
after @ABCSharkTank? Hint: If you
shop at @Target or @Walmart, you
may already know the answer. #longla
| #uclaentrepreneurs https://t.co/DQY6dDGt7D</t>
  </si>
  <si>
    <t xml:space="preserve">ucla_alumni
</t>
  </si>
  <si>
    <t>samanthapopstar
Just a reminder via our girl @MileyCyrus
that you can buy yourself flowers
this Valentine's Day. 😘💐</t>
  </si>
  <si>
    <t>lemongrass_farm
Plan for anything and Enjoy EVERYTHING!!
Stay tuned and follow because we’ll
be launching in more stores SOON!
Until then, we’re available at
your local @walmart or our website.
Link in bio! #trek #trekkids #allnatural
#bugrepellent #ecofriendly #skincare
#outdoorlife https://t.co/Duy9czWjWN</t>
  </si>
  <si>
    <t>kholtonkjd
You are OUT OF CONTROL with the
lock key @Walmart</t>
  </si>
  <si>
    <t>yadayada3857
Happy Birthday @Walmart PHX Central
&amp;amp; Dunlap, never heard a special
Birthday wish over the intercom
before. I just came from @WellsFargo
north 7th St as I deposited check.
It is suppose to scare me, but
now makes me feel sorrow for the
peeps who follow stupid instructions,
Staff?</t>
  </si>
  <si>
    <t xml:space="preserve">wellsfargo
</t>
  </si>
  <si>
    <t>bursigaga
@Walmart @MileyCyrus Delete this
shit asap.</t>
  </si>
  <si>
    <t>onlybmesb
@Walmart lol the delivery to my
door. Also the fact that I can
go in the store and don’t have
so wait in line- scan and go!</t>
  </si>
  <si>
    <t>chris27678863
@Walmart My last post of the day.
At the main building walmart has
a special code. It's called code
white for when employees have mental
breakdowns and have to be stretcherd
out. Learned that from a friend.
Happens alot. #walmartcares</t>
  </si>
  <si>
    <t>elisehansen53
I am probably going to transfer
my meds somewhere, because @Walmart
pharmacy always has a problem with
a couple of prescriptions of mine
and I'm done. My Dr has had to
call a few times, because they
cancelled my prescription, which
is on Walmart. @Walgreens here
I come!</t>
  </si>
  <si>
    <t>markthewrid
@Walmart ur awesome for keeping
kpop albums &amp;lt;3</t>
  </si>
  <si>
    <t>grandnannymom
@Walmart Save $1430!!?? How much
does the fool thing cost!!???</t>
  </si>
  <si>
    <t>lastchance4l
@LizCrokin @Poshmarkapp @PoshmarkSupport
Don't forget @walmart had some
high priced kids shoes too</t>
  </si>
  <si>
    <t xml:space="preserve">poshmarksupport
</t>
  </si>
  <si>
    <t xml:space="preserve">poshmarkapp
</t>
  </si>
  <si>
    <t xml:space="preserve">lizcrokin
</t>
  </si>
  <si>
    <t>mikebob115
@Walmart your Lincoln County and
st. Charles County locations have
the worst customer service. I have
never been answered by the store
operators and all I want is to
ask if they have adult neckties.
They can't be bothered to pick
up a damn phone.</t>
  </si>
  <si>
    <t>beccalyn2002
When the me@Walmart app won’t let
you sign in 🫠 @Walmart</t>
  </si>
  <si>
    <t>jmesunslave
A friend just sent me this while
she was at @Walmart ! @Mythical
@rhettmc @LinkNeal Glad to see
it! Congrats guys! https://t.co/ohO7FAH9YZ</t>
  </si>
  <si>
    <t xml:space="preserve">linkneal
</t>
  </si>
  <si>
    <t xml:space="preserve">rhettmc
</t>
  </si>
  <si>
    <t xml:space="preserve">mythical
</t>
  </si>
  <si>
    <t>nagitokomaeba
@Walmart I am glad</t>
  </si>
  <si>
    <t>envam
For our environment, our economy
and our people, we should install
more #SolarOnSuperstores. Walmart’s
roofs alone could generate enough
solar energy to power 660,000 American
homes. Call on @Walmart to #GoSolar
by signing our petition: https://t.co/KvDE8rhPMi
https://t.co/mE3ujjYJlt</t>
  </si>
  <si>
    <t>jiprk99
For our environment, our economy
and our people, we should install
more #SolarOnSuperstores. Walmart’s
roofs alone could generate enough
solar energy to power 660,000 American
homes. Call on @Walmart to #GoSolar
by signing our petition: https://t.co/KvDE8rhPMi
https://t.co/mE3ujjYJlt</t>
  </si>
  <si>
    <t>realtatheer
@NorthupWilma @Walmart @MsPattiPatti
Why are cancelled order any solution
??</t>
  </si>
  <si>
    <t xml:space="preserve">northupwilma
</t>
  </si>
  <si>
    <t xml:space="preserve">mspattipatti
</t>
  </si>
  <si>
    <t>falconhorny
Just a reminder via our girl @MileyCyrus
that you can buy yourself flowers
this Valentine's Day. 😘💐</t>
  </si>
  <si>
    <t>priscillalpayne
-Been OBSESSED with creating content
with mirrors lately. ✨ This little
mirror was from the dollar spot
at @Walmart! #ugcbeauty #ugc #ugccommunity
#ugcmarketing #socialmediamarketing
#usergeneratedcontent @Smashbox
https://t.co/rA7093sdaN</t>
  </si>
  <si>
    <t xml:space="preserve">smashbox
</t>
  </si>
  <si>
    <t>93_babybatch
Last minute savings are on! Give
the gift of Apple Watch SE (1st
Gen), starting at only $199. Order
today &amp;amp; get it in time for
the big morning. https://t.co/mR1JjMD09L
https://t.co/hXQSzCkvFQ</t>
  </si>
  <si>
    <t>airborne8890
@RedRangerChris Damn, at quick
glance I thought they had put the
@Walmart logo on his helmet and
as his face tattoo… lmfao 🤣 #CHC
#Walmart #CollectorsHelpingCollectors
https://t.co/gNWa9pyrJS</t>
  </si>
  <si>
    <t>redrangerchris
@RedRangerChris Damn, at quick
glance I thought they had put the
@Walmart logo on his helmet and
as his face tattoo… lmfao 🤣 #CHC
#Walmart #CollectorsHelpingCollectors
https://t.co/gNWa9pyrJS</t>
  </si>
  <si>
    <t>anjuli_mack
@xrockytrejo @GhostLifestyle @Walmart
I hope New Zealand gets the sour
patch blue and red here soon 😭
I love them</t>
  </si>
  <si>
    <t>waleed51_1
#MondayMotivation 💪 Suresh Kumar
Suresh Kumar, @Walmart's global
chief technology officer, is bullish
on #crypto as a means of payment.
🔥🔥 https://t.co/r1PWeU2iIo</t>
  </si>
  <si>
    <t>getphysicool
Just a reminder via our girl @MileyCyrus
that you can buy yourself flowers
this Valentine's Day. 😘💐</t>
  </si>
  <si>
    <t>jill_lammey
@ShelleyBlodgett @Walmart Nothing
surprises me anymore. No one takes
pride in their work. 🙏 your dad
will be okay.</t>
  </si>
  <si>
    <t xml:space="preserve">shelleyblodgett
</t>
  </si>
  <si>
    <t>deirdreja
@ShelleyBlodgett @Walmart That’s
concerning. So glad you all were
so observant and figured it out.
There’s nothing like family! You
know your dad. ❤️</t>
  </si>
  <si>
    <t>juangota44
@Walmart @WalmartInc use to have
store security. https://t.co/7224gZE65z</t>
  </si>
  <si>
    <t>thomascomputes
@Walmart I was just at Walmart
in Vernon hills,illinois, the self
check registers all of a sudden
would not allow dairy items to
be scanned and the registers locked
up. The workers were super and
did their best to get all working
again. Great staff at the front
end this afternoon</t>
  </si>
  <si>
    <t>tallrobbrowne
So, a question. Can one buy @ChickfilA
sauce on a Sunday at @kroger or
@Walmart? Seems odd that one could.
Asking for a friend… https://t.co/IIfIn6OtB8</t>
  </si>
  <si>
    <t xml:space="preserve">chickfila
</t>
  </si>
  <si>
    <t>daniel_dennison
So, a question. Can one buy @ChickfilA
sauce on a Sunday at @kroger or
@Walmart? Seems odd that one could.
Asking for a friend… https://t.co/IIfIn6OtB8</t>
  </si>
  <si>
    <t>gisellebaumet
And it isn’t exploiting as is?
😂 We have places like @Walmart
still not paying living wage. Come
on. https://t.co/yNeCV6xwbD</t>
  </si>
  <si>
    <t>lifeofbreee__
Ummm @Walmart why y’all don’t have
NOTHING for Black History Month?
🤦🏽‍♀️ @Target here I come ‼️</t>
  </si>
  <si>
    <t>tonytouch_28
@Walmart Thank you!</t>
  </si>
  <si>
    <t>cunnygriffin
@BigDickBarclay @Walmart ADDRESS
THIS</t>
  </si>
  <si>
    <t xml:space="preserve">bigdickbarclay
</t>
  </si>
  <si>
    <t>thekid_dex
@Walmart store #3741 needs some
help with Walmart pick up! They
literally letting people get their
own groceries and load them in
their own car this highly unprofessional!!</t>
  </si>
  <si>
    <t>matt_rojas24
Omfg @Walmart this is totally unacceptable.
Honestly, does your team even look
at pre-ordered merchandise before
shipping them out? Now I’m gonna
have to pry this open and fix his
head. 🤬 #Walmart #FunkoPop #StarWars
#BobaFett https://t.co/RH5L6CmXvM</t>
  </si>
  <si>
    <t>kahoiwai3
#MondayMotivation 💪 Suresh Kumar
Suresh Kumar, @Walmart's global
chief technology officer, is bullish
on #crypto as a means of payment.
🔥🔥 https://t.co/r1PWeU2iIo</t>
  </si>
  <si>
    <t>elonscumstain
I don't go shopping @Target or
@Walmart or any mall. why? because
you can get shot and these companies
support @NRA candidates. Amazon
prime doesn't shoot https://t.co/j5Fzrp53Gw</t>
  </si>
  <si>
    <t xml:space="preserve">nra
</t>
  </si>
  <si>
    <t>rockybrillo
That everyday low price tho. @Walmart
😮‍💨👌 📍6360 Lake Worth Blvd,
Lake Worth, TX 76135 https://t.co/9ICajumnYC</t>
  </si>
  <si>
    <t>gfuelenergy
That everyday low price tho. @Walmart
😮‍💨👌 📍6360 Lake Worth Blvd,
Lake Worth, TX 76135 https://t.co/9ICajumnYC</t>
  </si>
  <si>
    <t>dlegg236
That everyday low price tho. @Walmart
😮‍💨👌 📍6360 Lake Worth Blvd,
Lake Worth, TX 76135 https://t.co/9ICajumnYC</t>
  </si>
  <si>
    <t>nickmanly2
@GFuelEnergy @Walmart Not at my
Walmart in South Carolina</t>
  </si>
  <si>
    <t>drkateendocrine
Arizona BCBS I have a patient who
has gone without his long acting
insulin for the whole month of
January. First It was @walmart
pharmacy who told him just to take
his short acting while they worked
on it until I was involved 1/23.
Now my office has been trying for
a week to</t>
  </si>
  <si>
    <t>dnomyer1234
@GFuelEnergy @Walmart Me when my
Walmart got rid of the cans</t>
  </si>
  <si>
    <t>misshydecosplay
@GFuelEnergy @Walmart I am so jealous.
I am lucky if my Walmart even has
a case worth of cans!</t>
  </si>
  <si>
    <t>danlong31416940
@GFuelEnergy @Walmart 😮‍💨😮‍💨😮‍💨
I needa find that Pac-Man can …right
now I’m just finding the powder
for hype sauce Pewdiepie and blueberry
😭😭😭😢</t>
  </si>
  <si>
    <t>apmix_yt
@GFuelEnergy @Walmart ...dang...
My Walmart doesn't sell cans anymore...</t>
  </si>
  <si>
    <t>nfranklin3d
💥lets help my book appear on shelves💥
🙏Attention friends and supporters!!!
🙏Thank you for love and support!
📸 Send me pictures reading the
book 🙏Retweet and like 🙏Support
the dream 🙏God bless you all @booksamillion
@Walmart @Target @amazon https://t.co/0cm0aIzJaJ</t>
  </si>
  <si>
    <t>atlayton
💥lets help my book appear on shelves💥
🙏Attention friends and supporters!!!
🙏Thank you for love and support!
📸 Send me pictures reading the
book 🙏Retweet and like 🙏Support
the dream 🙏God bless you all @booksamillion
@Walmart @Target @amazon https://t.co/0cm0aIzJaJ</t>
  </si>
  <si>
    <t>saccharineqq
@GFuelEnergy @Walmart I have stolen
hundreds of GFuel products from
multiple Walmart's across the country.</t>
  </si>
  <si>
    <t>dpghittmann
That everyday low price tho. @Walmart
😮‍💨👌 📍6360 Lake Worth Blvd,
Lake Worth, TX 76135 https://t.co/9ICajumnYC</t>
  </si>
  <si>
    <t>the_movie_guy_
That everyday low price tho. @Walmart
😮‍💨👌 📍6360 Lake Worth Blvd,
Lake Worth, TX 76135 https://t.co/9ICajumnYC</t>
  </si>
  <si>
    <t>andykillingback
Just a reminder via our girl @MileyCyrus
that you can buy yourself flowers
this Valentine's Day. 😘💐</t>
  </si>
  <si>
    <t>codjunkiedotcom
@GFuelEnergy @Walmart I can’t wait
for those cherry lollipop and Spyro
cans to hit the shelves here in
Vancouver Washington!</t>
  </si>
  <si>
    <t>buchananbunch_4
@buchananbunch_4 We're glad to
hear you're enjoying all our services!</t>
  </si>
  <si>
    <t>lightofsileence
Just a reminder via our girl @MileyCyrus
that you can buy yourself flowers
this Valentine's Day. 😘💐</t>
  </si>
  <si>
    <t>scottolling
@ManagerTactical there is nothing
on the line in @MLS - I can go
watch the parking lot @Walmart
as they take on @Target &amp;amp; get
more thrills</t>
  </si>
  <si>
    <t xml:space="preserve">mls
</t>
  </si>
  <si>
    <t xml:space="preserve">managertactical
</t>
  </si>
  <si>
    <t>shoecrazywine
Get Sweet With your Love this Valentines
Day… Purchase Shoe Crazy Wines
@FoodLion @TotalWine @Walmart @Target
#SCW #Wine #ValentinesDay 👠 🍷
https://t.co/NSjjE8vKEd</t>
  </si>
  <si>
    <t xml:space="preserve">totalwine
</t>
  </si>
  <si>
    <t xml:space="preserve">foodlion
</t>
  </si>
  <si>
    <t>deadestpet
@Walmart @MileyCyrus give her another
clothing line for us to buy pls
🤑</t>
  </si>
  <si>
    <t>lashartim
@paulous1975 @RepMTG @Walmart Not
in CT.</t>
  </si>
  <si>
    <t xml:space="preserve">repmtg
</t>
  </si>
  <si>
    <t xml:space="preserve">paulous1975
</t>
  </si>
  <si>
    <t>younagh2000
@GFuelEnergy @Walmart my local
walmart betrayed you guys. They
replaced u guys with prime 💀like
i was so disappointed</t>
  </si>
  <si>
    <t>writter48
#MondayMotivation 💪 Suresh Kumar
Suresh Kumar, @Walmart's global
chief technology officer, is bullish
on #crypto as a means of payment.
🔥🔥 https://t.co/r1PWeU2iIo</t>
  </si>
  <si>
    <t>haydenj05329340
@Walmart @MileyCyrus can I? idk
I might scan them, pay and try
to leave and then get accused of
theft at the exit 💁🏻💁🏻</t>
  </si>
  <si>
    <t>the_kelvinator_
@GFuelEnergy @Walmart HEAVEN 😍</t>
  </si>
  <si>
    <t xml:space="preserve">gammalabs
</t>
  </si>
  <si>
    <t>fortnitemidas95
@Publix @Walmart @cvspharmacy I’m
going into my nearest location
of your store with GeForce installed
and I’m going to redeem a vbuck
card while in the bathroom https://t.co/iHvj43F8qO</t>
  </si>
  <si>
    <t xml:space="preserve">publix
</t>
  </si>
  <si>
    <t>jguess12
@GFuelEnergy @Walmart And my Walmart
in Pittsburgh probably has 2 flavors.
Always wanna try the new ones but
they’re never here.</t>
  </si>
  <si>
    <t>jrwoodwardmsw
Enter the New Gods universe where
Chinese mythology is reimagined
in a wildly original, steampunk-inspired
world. NEW GODS: YANG JIAN is a
visual feast from the creators
of WHITE SNAKE. Pre-order at @Walmart,
initial run includes a limited-edition
poster! https://t.co/HfY2zIIf0L
https://t.co/FGKSNVNZqx</t>
  </si>
  <si>
    <t>simpneelix
@BigDickBarclay I also received
that racist email from @walmart</t>
  </si>
  <si>
    <t>savage_skeletor
@SimpNeelix @BigDickBarclay @Walmart
They always say it's a deal but
tbh inflation has really ruined
the appeal of chitlins to me</t>
  </si>
  <si>
    <t>rmexico11
@ClownWorld_ @Walmart what up?</t>
  </si>
  <si>
    <t>jendaissues
@squishmallows @Pokemon My local
@Walmart said they aren't selling
them yet 😤😤😤😤</t>
  </si>
  <si>
    <t xml:space="preserve">pokemon
</t>
  </si>
  <si>
    <t>giras0ul
Happy 2/1! 🫶🏽 Shop @doncosmetics
at @Walmart.com 🛒</t>
  </si>
  <si>
    <t>dethdeelindale
@AshKickerUSA @Walmart #TheCount
🤵🏻‍♂️ aint not mad up hiz mind
yet…I tell em it shud b #HevyWateChamp
🏆 #BigDikDale 🍆 layz pipe 🏗️
n supamodel 🍑 but well c wat he
say</t>
  </si>
  <si>
    <t xml:space="preserve">ashkickerusa
</t>
  </si>
  <si>
    <t>tammyha13715584
High-performing and skin perfecting?!
The Photo Focus Foundation is essential
for your everyday routine 💛 Get
it @walmart @amazon @target @ultabeauty
@walgreens @riteaid @cvspharmacy
and shop our #Amazon store at #LinkInBio
#wetnwildbeauty https://t.co/O4uypearsb</t>
  </si>
  <si>
    <t>miamigosevrywhr
@GFuelEnergy @Walmart Ahhh, getting
close to home.</t>
  </si>
  <si>
    <t>wakingup80film
Available as an eBook or Paperback
from @amazonpublishing, @waterstones,
@barnesandnoble, @walmart and The
British Library. ____________ #wakingupeighty
#becarefulwhatyouwishfor • • #wakingup80
#wakingup80 #comedy #Sholalawrence
#wakingupeighty #wakingup80 #booktoscreen
https://t.co/c6tQQOGCwU</t>
  </si>
  <si>
    <t xml:space="preserve">barnesandnoble
</t>
  </si>
  <si>
    <t>wakingup80
Available as an eBook or Paperback
from @amazonpublishing, @waterstones,
@barnesandnoble, @walmart and The
British Library. ____________ #wakingupeighty
#becarefulwhatyouwishfor • • #wakingup80
#wakingup80 #comedy #Sholalawrence
#wakingupeighty #wakingup80 #booktoscreen
https://t.co/0wANYdYT8D</t>
  </si>
  <si>
    <t>beaaar
My day at #ogp @Walmart https://t.co/GDaII7QbkH</t>
  </si>
  <si>
    <t>mileyknows
Just a reminder via our girl @MileyCyrus
that you can buy yourself flowers
this Valentine's Day. 😘💐</t>
  </si>
  <si>
    <t>jennerjann
$15 Walmart e-Gift Card Giveaway!
@walmart #walmart via @gaynycdad
#sweepstakes https://t.co/7SwcX7hW6C</t>
  </si>
  <si>
    <t>gaynycdad
$15 Walmart e-Gift Card Giveaway!
@walmart #walmart https://t.co/ugp54G8hDh
via @gaynycdad</t>
  </si>
  <si>
    <t>pdsmith1969
So @LoblawsON , @Walmart, time
to step up and help those folk
that are struggling for groceries.
Take a leaf from the book of @AldiUK
and offer low cost boxes of expiring
food. #TooGoodToGo</t>
  </si>
  <si>
    <t xml:space="preserve">aldiuk
</t>
  </si>
  <si>
    <t>94hoo
@Walmart please fix your on line
ordering system. Can’t place order
now for 2 weeks due to alcohol
disclosure box missing. Can only
order using mobile phone.</t>
  </si>
  <si>
    <t>dgarcia_ctw
Thank you Horizon City Police,
@Walmart Associates, Unified Special
Olympics El Paso Charter, for sharing
the love of reading this morning
with our Panthers! https://t.co/Ki76lM7FYe</t>
  </si>
  <si>
    <t xml:space="preserve">elizapasill
</t>
  </si>
  <si>
    <t>jparker_cisd
@TristeCoach @tullius_john @gabrielle_clint
@ctwpanthers @ctw_library @mlerma78
@ElizaPasill Thank you @Walmart
Associates for partnering up and
sharing the love of reading with
our panthers!</t>
  </si>
  <si>
    <t xml:space="preserve">mlerma78
</t>
  </si>
  <si>
    <t xml:space="preserve">ctw_library
</t>
  </si>
  <si>
    <t xml:space="preserve">gabrielle_clint
</t>
  </si>
  <si>
    <t xml:space="preserve">tullius_john
</t>
  </si>
  <si>
    <t xml:space="preserve">tristecoach
</t>
  </si>
  <si>
    <t>ctwpanthers
Thank you Horizon City Police,
@Walmart Associates, Unified Special
Olympics El Paso Charter, for sharing
the love of reading this morning
with our Panthers! https://t.co/Ki76lM7FYe</t>
  </si>
  <si>
    <t>calitaylorrr
Just a reminder via our girl @MileyCyrus
that you can buy yourself flowers
this Valentine's Day. 😘💐</t>
  </si>
  <si>
    <t>mileycyrusmus23
Just a reminder via our girl @MileyCyrus
that you can buy yourself flowers
this Valentine's Day. 😘💐</t>
  </si>
  <si>
    <t>lindackbl
@ShelleyBlodgett @Walmart Oh no!
Glad you all figured it out</t>
  </si>
  <si>
    <t>darcevader66
I ❤ that @HardyMusic Mocking Bird
box set was delivered quickly.
Conner is going 2 ❤ it! Now, if
only @Walmart will ever come thru
on the online only exclusive preorder
vinyl I placed an order 4 back
on December 11. It's really going
2 suck if they don't! @bigloudrock
@BigLoud</t>
  </si>
  <si>
    <t xml:space="preserve">bigloudrock
</t>
  </si>
  <si>
    <t>king_voudon
Dear @Walmart (and all other stores
that are predominantly self checkout),
You are almost exclusively self-checkout
now. The last time I was there
the lady checking receipts at the
exit was stopping everyone. I chose
not to participate in that foolishness!
Put the cashiers back!</t>
  </si>
  <si>
    <t>endlessmart94
@Walmart @MileyCyrus We will never
forget... https://t.co/jTEV6WGfUj</t>
  </si>
  <si>
    <t>juugya1
@Ecclesi41663287 @pfffbeep @khouryrt
@AndroidAuth @CIA @VickyPJWard
@Walmart @elonmusk Not the going
bald way</t>
  </si>
  <si>
    <t xml:space="preserve">nbcnewyork
</t>
  </si>
  <si>
    <t>chiefmucker
@ShelleyBlodgett @Walmart Yikes!
Great fast work figuring out what
was causing the changes in your
dad.</t>
  </si>
  <si>
    <t>ecclesi41663287
@plkpauIFMTP0Zvg @juugya1 @pfffbeep
@khouryrt @AndroidAuth @CIA @VickyPJWard
@Walmart @elonmusk @USNavy @DBanksy
redhook</t>
  </si>
  <si>
    <t xml:space="preserve">dbanksy
</t>
  </si>
  <si>
    <t xml:space="preserve">usnavy
</t>
  </si>
  <si>
    <t xml:space="preserve">vickypjward
</t>
  </si>
  <si>
    <t xml:space="preserve">androidauth
</t>
  </si>
  <si>
    <t xml:space="preserve">khouryrt
</t>
  </si>
  <si>
    <t xml:space="preserve">pfffbeep
</t>
  </si>
  <si>
    <t xml:space="preserve">cia
</t>
  </si>
  <si>
    <t xml:space="preserve">plkpauifmtp0zvg
</t>
  </si>
  <si>
    <t>mileymorphia
Just a reminder via our girl @MileyCyrus
that you can buy yourself flowers
this Valentine's Day. 😘💐</t>
  </si>
  <si>
    <t>battistoni_kyle
Whoever had Beyoncé announcing
her world tour on their bingo card,
we bow down. 👑🐝🎶 #RENAISSANCEWorldTour</t>
  </si>
  <si>
    <t>janabananaky
Whoever had Beyoncé announcing
her world tour on their bingo card,
we bow down. 👑🐝🎶 #RENAISSANCEWorldTour</t>
  </si>
  <si>
    <t>eggswiffyshady
Whoever had Beyoncé announcing
her world tour on their bingo card,
we bow down. 👑🐝🎶 #RENAISSANCEWorldTour</t>
  </si>
  <si>
    <t>mstinamarii
Whoever had Beyoncé announcing
her world tour on their bingo card,
we bow down. 👑🐝🎶 #RENAISSANCEWorldTour</t>
  </si>
  <si>
    <t>kenissupreme
@Walmart I need some money for
tickets 😭😭</t>
  </si>
  <si>
    <t>amala_flamvell
@kenissupreme @Walmart @Walmart
Give them a job so they can get
the money for the tickets please
😭</t>
  </si>
  <si>
    <t>frye1965
@Walmart Pay your Associates a
living wage.</t>
  </si>
  <si>
    <t>sebrango_9
@mikhannahsmom @Walmart Ellen -
these experiences are awful. In
the end the best way to make a
point is spending elsewhere.</t>
  </si>
  <si>
    <t xml:space="preserve">djnontario
</t>
  </si>
  <si>
    <t xml:space="preserve">mikhannahsmom
</t>
  </si>
  <si>
    <t>msangela9111
@Walmart Congratulations 😊</t>
  </si>
  <si>
    <t>keyannasposts
Why tf does @Walmart not have Apple
Pay…what tf is Walmart pay smh</t>
  </si>
  <si>
    <t>notmachine2
@BionicBeauty I've looked at them
and have an interest for them,
but my brain doesn't let me make
purchases like that, so no, I have
a POS @Walmart @Tracfone. Worst
phone I've ever bought. But I also
don't use my phone for much more
than Twitter, so...</t>
  </si>
  <si>
    <t xml:space="preserve">tracfone
</t>
  </si>
  <si>
    <t xml:space="preserve">bionicbeauty
</t>
  </si>
  <si>
    <t>donrull
@Walmart do you bow down, or do
you start issuing abuse like your
manager dished out to me today?
https://t.co/6IW3iBwfup https://t.co/KUs9HuqOem</t>
  </si>
  <si>
    <t xml:space="preserve">samsclubhelp
</t>
  </si>
  <si>
    <t>daddy_eh30
That everyday low price tho. @Walmart
😮‍💨👌 📍6360 Lake Worth Blvd,
Lake Worth, TX 76135 https://t.co/9ICajumnYC</t>
  </si>
  <si>
    <t>silvrscrnqueen
Whoever had Beyoncé announcing
her world tour on their bingo card,
we bow down. 👑🐝🎶 #RENAISSANCEWorldTour</t>
  </si>
  <si>
    <t>earnmoney2012
@Walmart @TargetDeals @BestBuy_Deals
Adidas Trefoil Logo Graphic Pouch
Pocket Pullover Hoodie https://t.co/5vPLkxfl6u</t>
  </si>
  <si>
    <t>jcrawfordfsu
I can't hear you. Don't mean to
be insensitive, but what are you
healing?? @Walmart @ZanfelPoisonIvy
#hellaears https://t.co/vUrFUNNgTd</t>
  </si>
  <si>
    <t xml:space="preserve">zanfelpoisonivy
</t>
  </si>
  <si>
    <t>sqldusty
⁦@Walmart⁩ Finance standardizes
on #PowerBI for #reporting and
#analytics #cloud #msbi #azure
https://t.co/07HWXWXDTx</t>
  </si>
  <si>
    <t>tweakx
@Scrub__Zero @GFuelEnergy @Walmart
I work for a local distributor
and gfuel we had in the local walmarts
and then 3 weeks ago they pulled
all flavors out of the system.
No reason has been given to me
yet from my boss or the stores</t>
  </si>
  <si>
    <t>scrub__zero
@TweakX @GFuelEnergy @Walmart I
know, I'm a manager at a Neighbordhood
Market, which if you didn't know
(because I didn't before I worked
here) is a just Walmart Grocery
store. I oversee the team that
sets modulars, and noticed it was
removed, I was then sad.</t>
  </si>
  <si>
    <t>jaredcruzaedo
Here is my cat who wears his @Walmart
sweater when it’s cold https://t.co/8ETASluVGC</t>
  </si>
  <si>
    <t>h3artonf1r3
$15 Walmart e-Gift Card Giveaway!
@walmart #walmart via @gaynycdad
#sweepstakes https://t.co/Kk6Ls3F9gQ</t>
  </si>
  <si>
    <t>brielleprincess
$15 Walmart e-Gift Card Giveaway!
@walmart #walmart via @gaynycdad
#sweepstakes https://t.co/m390n4ScBG</t>
  </si>
  <si>
    <t>jennifer57
$15 Walmart e-Gift Card Giveaway!
@walmart #walmart via @gaynycdad
#sweepstakes https://t.co/pMTAUX8PbH</t>
  </si>
  <si>
    <t>sstrode
$15 Walmart e-Gift Card Giveaway!
@walmart #walmart https://t.co/ugp54G8hDh
via @gaynycdad</t>
  </si>
  <si>
    <t>drthomasfalls
So once again unable to use my
@Chase debit card at @Walmart and
@SamsClub Apparently a known issue.
Ongoing for months. Largest bank
and largest retailer in the US
and they can’t fix this? Sounds
like a good @planetmoney story.
Or @ABC story. Incredible corporate
incompetence</t>
  </si>
  <si>
    <t xml:space="preserve">abc
</t>
  </si>
  <si>
    <t xml:space="preserve">planetmoney
</t>
  </si>
  <si>
    <t xml:space="preserve">chase
</t>
  </si>
  <si>
    <t>ericatxrealtor
@Walmart Please remove these #Alligator
#MardiGras costumes from the Galveston,
#Texas location since Nobody is
Buying them for $129.00 PLEASE
replace it with Mardi Gras door
cover panels like you always have
over the last several years.(2nd
Pic) PLEASE 🙏🏼 Starts Feb 10th
👑🎉🥳 https://t.co/vOShGEz5Iw</t>
  </si>
  <si>
    <t>tedbowe
@MajorWFPod @OriginalFunko @Walmart
@Target @CodyRhodes @RheaRipley_WWE
@BiancaBelairWWE @MDMTedDiBiase
@HulkHogan @MrT I definitely want
that Cody pop!</t>
  </si>
  <si>
    <t xml:space="preserve">mrt
</t>
  </si>
  <si>
    <t xml:space="preserve">hulkhogan
</t>
  </si>
  <si>
    <t xml:space="preserve">mdmteddibiase
</t>
  </si>
  <si>
    <t xml:space="preserve">biancabelairwwe
</t>
  </si>
  <si>
    <t xml:space="preserve">rhearipley_wwe
</t>
  </si>
  <si>
    <t xml:space="preserve">majorwfpod
</t>
  </si>
  <si>
    <t>billatq
@davoice @Walmart It might depend
on where you live, because I’ve
had the reverse experience. Walmart
pickup and delivery is far from
perfect, but it gets the job done
most of the time for me.</t>
  </si>
  <si>
    <t xml:space="preserve">davoice
</t>
  </si>
  <si>
    <t>thilleshiem__
Look what I bought @walmart today
pair of stitch pants #nightmarebeforechristmas
cup #harrypotter cup and a doggy
bed for Ozzy @ Richland Center,
Wisconsin https://t.co/wWZi8RorUU</t>
  </si>
  <si>
    <t>trwoodauthor
@Walmart You take my money, say
my reserve expired. Then you want
to hold my money for four days?
So, a person who has a budget for
groceries is stuck waiting 4 days
to get their money back so they
can get their groceries elsewhere.
What do you expect them to do in
the meantime?</t>
  </si>
  <si>
    <t>vagablondviking
If Charlene doesn’t get a raise,
@Walmart, we ride at dawn https://t.co/Vje3OdVM8b</t>
  </si>
  <si>
    <t>mileycardi
Just a reminder via our girl @MileyCyrus
that you can buy yourself flowers
this Valentine's Day. 😘💐</t>
  </si>
  <si>
    <t>zekonurlos
@GFuelEnergy @Walmart Might buy
one of these for myself on my birthday
on 2/13 for that price (: if it's
still that price :D</t>
  </si>
  <si>
    <t>cattitude_girl
@Walmart @MileyCyrus We don't need
fake fan here. Didn't you rip a
contract with Miley back 2010?
Oh well</t>
  </si>
  <si>
    <t>asmilersince06
@Walmart @MileyCyrus Bitch don’t
even</t>
  </si>
  <si>
    <t>killerangelfrog
@Walmart @MileyCyrus You guys owe
her an written apology https://t.co/si9HeGTsxi</t>
  </si>
  <si>
    <t>legendcyruss
@Walmart @MileyCyrus we don’t forgive
and forget easily Walmart 😠</t>
  </si>
  <si>
    <t>ohspacefool
@Walmart @MileyCyrus i think it’s
time to apologise to ‘your girl’
for trying to sabotage her back
in the day. . we didn’t forget.</t>
  </si>
  <si>
    <t>oshes
@Walmart @MileyCyrus Bitch don’t
even</t>
  </si>
  <si>
    <t>eugivola
@Walmart just a reminder I think
before you tweet like that, you
need to apologize to Miley for
what you did in 2010. https://t.co/9H0zB1GJFk</t>
  </si>
  <si>
    <t>spaceaur0ras
@dannielvb9 @Walmart @MileyCyrus
Miley may forgive but I can’t</t>
  </si>
  <si>
    <t>mileybase
@Walmart @MileyCyrus Is Miley your
girl now? 🙄🤌 https://t.co/D7qGIWrAyQ</t>
  </si>
  <si>
    <t>rickywrldv2
That everyday low price tho. @Walmart
😮‍💨👌 📍6360 Lake Worth Blvd,
Lake Worth, TX 76135 https://t.co/9ICajumnYC</t>
  </si>
  <si>
    <t>prims525
Just a reminder via our girl @MileyCyrus
that you can buy yourself flowers
this Valentine's Day. 😘💐</t>
  </si>
  <si>
    <t>woodyfmartin
@ChilisSupport Y’all had one job…
what I ordered vs what I got… guess
Ill go cook to @Walmart to get
the rest of the items to finish
making my salad. Short handed shouldn’t
mean lack of customer service or
attention to detail. https://t.co/vabRo4IUnE</t>
  </si>
  <si>
    <t xml:space="preserve">chilissupport
</t>
  </si>
  <si>
    <t>ibe_joh
Just a reminder via our girl @MileyCyrus
that you can buy yourself flowers
this Valentine's Day. 😘💐</t>
  </si>
  <si>
    <t>stlfoodbank
Did you know that every time you
shop on https://t.co/Jxj5lWthkb
or the @Walmart app, you can round
up your change and donate it to
the St. Louis Area Foodbank? Learn
how small acts can lead to big
impact at #WalmartSparkGood https://t.co/MrqlvSPfQR.
https://t.co/S2B6YQIsp8</t>
  </si>
  <si>
    <t>john1966olsen
Did you know that every time you
shop on https://t.co/Jxj5lWthkb
or the @Walmart app, you can round
up your change and donate it to
the St. Louis Area Foodbank? Learn
how small acts can lead to big
impact at #WalmartSparkGood https://t.co/MrqlvSPfQR.
https://t.co/S2B6YQIsp8</t>
  </si>
  <si>
    <t>aquixoticpisces
I just want to know why @Walmart
won’t price match to their own
website</t>
  </si>
  <si>
    <t>swprvic
@kimkomando @amazon I’ll stick
with @Walmart.</t>
  </si>
  <si>
    <t xml:space="preserve">kimkomando
</t>
  </si>
  <si>
    <t>ohsnap17860397
😬 Wanna finish off that random
#StarWars release of surprise store
exclusive Clone teams? Sigh… 🤦🏻‍♂️
This better be available for more
than 5min @Walmart @Hasbro coming
soon… or maybe later. Who knows
🤷🏻‍♂️ https://t.co/76Y1kDq8ZK</t>
  </si>
  <si>
    <t xml:space="preserve">hasbro
</t>
  </si>
  <si>
    <t>rogel_guerrerog
Just a reminder via our girl @MileyCyrus
that you can buy yourself flowers
this Valentine's Day. 😘💐</t>
  </si>
  <si>
    <t>p0pularloner_
for the love of jesus, mary, and
joseph, please go back to being
24/7 @Walmart</t>
  </si>
  <si>
    <t>adamcorbinmusic
@Walmart @WalmartInc is there an
easier way to find a lost receipt
that was paid in cash instead of
going through 7,000 receipts? Asking
for a friend</t>
  </si>
  <si>
    <t>lindamarcelino3
@AmberMiller86 @Walmart Congratulations
very lucky indeed!</t>
  </si>
  <si>
    <t xml:space="preserve">ambermiller86
</t>
  </si>
  <si>
    <t>psissy514platt
@ShelleyBlodgett @Walmart Thank
Goodness 🙌🙏🙏🙏♥️</t>
  </si>
  <si>
    <t>mrghoulishguy
Check your local @Walmart for @Pokemon
#Squishmallows https://t.co/VmAJVFA2hX</t>
  </si>
  <si>
    <t>aceves_king
@Walmart yo what is in my great
value bacon?!? Am I gonna die if
I eat it I literally just bought
the pack to day chopped it up and
some pieces looked like this https://t.co/IBbOuaVTnS</t>
  </si>
  <si>
    <t>lolhelppls
whoever picked out my groceries
for my @Walmart delivery order
the other day got all nasty fruit
😭</t>
  </si>
  <si>
    <t>boneknightmare
No, @Walmart is not charging customers
a $1 fee to use shopping carts.
Here's where the claim came from:
https://t.co/eRUf4iBDWw</t>
  </si>
  <si>
    <t>angedeusrex
-Damn it! @CodyRhodes @OriginalFunko
#FunkoPop is sold out on @Walmart!
Any more? Seriously?!!</t>
  </si>
  <si>
    <t>oldlady12345
Whoever had Beyoncé announcing
her world tour on their bingo card,
we bow down. 👑🐝🎶 #RENAISSANCEWorldTour</t>
  </si>
  <si>
    <t>thetealady574
@davidhogg111 This IS fking ridiculous.
I'll start having groceries delivered.
I refuse to be some crazy gun ghoul's
collateral dmg. Of course I'll
spend LESS @walmart, @publix, @target
&amp;amp; any other stores I will no
longer go to. No more beach too.
The pool will hopefully be safer.
And CHEAPER!</t>
  </si>
  <si>
    <t xml:space="preserve">davidhogg111
</t>
  </si>
  <si>
    <t>bigassakmoose
Is it just me? Or is @paramountplus
like the $5 dvd bin @Walmart of
movie/tvshow apps?</t>
  </si>
  <si>
    <t xml:space="preserve">paramountplus
</t>
  </si>
  <si>
    <t>folklorecory
Just a reminder via our girl @MileyCyrus
that you can buy yourself flowers
this Valentine's Day. 😘💐</t>
  </si>
  <si>
    <t>geekgirldiva
If Charlene doesn’t get a raise,
@Walmart, we ride at dawn https://t.co/Vje3OdVM8b</t>
  </si>
  <si>
    <t>cognac62
@REMASCULATE Got two boxes in closet
from @Walmart</t>
  </si>
  <si>
    <t xml:space="preserve">remasculate
</t>
  </si>
  <si>
    <t>artskills
This artist used our watercolor
paper to bring life to the creatures
of the coast! Art by: @meganmreaves
Made with: ArtSkills #Watercolor
Essentials Pad, available at @Walmart.
Link: https://t.co/nE0dkqqwVk #ArtSkills
#CustomerCreations #ArtOfTheWeek
#FunWithArtSkills https://t.co/SLoOLONP6T</t>
  </si>
  <si>
    <t xml:space="preserve">meganmreaves
</t>
  </si>
  <si>
    <t>vikingirishgod
This artist used our watercolor
paper to bring life to the creatures
of the coast! Art by: @meganmreaves
Made with: ArtSkills #Watercolor
Essentials Pad, available at @Walmart.
Link: https://t.co/nE0dkqqwVk #ArtSkills
#CustomerCreations #ArtOfTheWeek
#FunWithArtSkills https://t.co/SLoOLONP6T</t>
  </si>
  <si>
    <t>laurenscountych
Anyone get a video of the fight
outside the @walmart tonight? @Laurens55High</t>
  </si>
  <si>
    <t xml:space="preserve">laurens55high
</t>
  </si>
  <si>
    <t>savion2k
@Walmart @WalmartInc @WalmartAction
yall fucking suck. How yall take
an order and cant fulfill it and
want me to wait 4-10 days? Fuck
out of here this why people steal
from yall</t>
  </si>
  <si>
    <t>gregpacknett
If Charlene doesn’t get a raise,
@Walmart, we ride at dawn https://t.co/Vje3OdVM8b</t>
  </si>
  <si>
    <t>trinhnguynth18
Enter the New Gods universe where
Chinese mythology is reimagined
in a wildly original, steampunk-inspired
world. NEW GODS: YANG JIAN is a
visual feast from the creators
of WHITE SNAKE. Pre-order at @Walmart,
initial run includes a limited-edition
poster! https://t.co/HfY2zIIf0L
https://t.co/FGKSNVNZqx</t>
  </si>
  <si>
    <t>nrfnews
Learn how @Walmart uses teamwork
and collaboration to ensure their
commitment to regeneration and
how #sustainability underpins every
aspect of the retailers’ complex
#supplychain at #NRFSupplyChain360.
https://t.co/2fQlQlTF2u https://t.co/uapqmfQJLR</t>
  </si>
  <si>
    <t>scotcase
Learn how @Walmart uses teamwork
and collaboration to ensure their
commitment to regeneration and
how #sustainability underpins every
aspect of the retailers’ complex
#supplychain at #NRFSupplyChain360.
https://t.co/2fQlQlTF2u https://t.co/uapqmfQJLR</t>
  </si>
  <si>
    <t>trill_looch
My girlfriends grandma calls n
tells us to shop @Walmart every
single day. It’s hysterical and
we look forward to it. Today she
name dropped @Walmart 17 times
in 4 minutes and we weren’t even
talking about shopping. It’s almost
like she’s doing an ad. Everyday!</t>
  </si>
  <si>
    <t>mmaryjanerae
My girlfriends grandma calls n
tells us to shop @Walmart every
single day. It’s hysterical and
we look forward to it. Today she
name dropped @Walmart 17 times
in 4 minutes and we weren’t even
talking about shopping. It’s almost
like she’s doing an ad. Everyday!</t>
  </si>
  <si>
    <t>whoawaitwalmart
💘Better Homes and Gardens brought
back their propagation stations!
We all need one of these in our
kitchen windows. Under $15 in @walmart
stores and online. The link is
in our Instagram stories. #home
#whoawaitwalmart #propagation #plants
#plantlady https://t.co/sBc7lfsbCd
https://t.co/WOoHqyB7QO</t>
  </si>
  <si>
    <t>bettafold
@Walmart @walmarthelp is there
ever a time at which only self-checkout's
are available? i.e. No one to run
a register, scan items, assist
in bagging, etc...? That gentleman
had to be in his 80's... ...asking
for @AAPD #ADA</t>
  </si>
  <si>
    <t xml:space="preserve">aapd
</t>
  </si>
  <si>
    <t>autonomymodelx
Preorder the all-new Samsung Galaxy
S23 Series today &amp;amp; share the
epic! Save up to $1,430 with qualified
purchase &amp;amp; trade-in. Terms
&amp;amp; conditions apply. https://t.co/dJssQQ5J90
https://t.co/4GgQBoxJDo</t>
  </si>
  <si>
    <t>natesart95
@Walmart Your store policies regarding
your employees and how they profile
people needs an upgrade at store
4611 State Highway 29 S Alexandria,
Minnesota 56308. Following people
or a person around the store and
through checkout is harassment.</t>
  </si>
  <si>
    <t>margaran2
@Walmart WTLF? You used to be affordable
for the avg Joe/Jane. Now your
as spendy as DJT.! Where/when did
WallyWorld come up w/ the idea
that folks that could buy better
products wouldn’t &amp;amp; would pee
their $ away @ noisy, dirty Walmart??
&amp;amp; THEN go out to find their
car looted?</t>
  </si>
  <si>
    <t>echopulse
@JamesZaky @MrcLucien @NikiasMolina
In the US, there are 10 major brands
that don't take contactless: @Walmart
@Samsclub @Kroger @HomeDepot @Lowes
@HobbyLobby @HEB @Menards @WinCoFoods
&amp;amp; @restorationhard</t>
  </si>
  <si>
    <t xml:space="preserve">restorationhard
</t>
  </si>
  <si>
    <t xml:space="preserve">wincofoods
</t>
  </si>
  <si>
    <t xml:space="preserve">menards
</t>
  </si>
  <si>
    <t xml:space="preserve">hobbylobby
</t>
  </si>
  <si>
    <t xml:space="preserve">nikiasmolina
</t>
  </si>
  <si>
    <t xml:space="preserve">mrclucien
</t>
  </si>
  <si>
    <t xml:space="preserve">jameszaky
</t>
  </si>
  <si>
    <t xml:space="preserve">homedepot
</t>
  </si>
  <si>
    <t>cptngusmccrae
@Walmart I was one day late to
save my photos from being deleted
from my account. I apologize. Can
you please help me get my old pictures
back? It's my fault but so many
memories in those pictures. I can
order prints or whatever is necessary.
Please help .........</t>
  </si>
  <si>
    <t>stephthegroupie
Just a reminder via our girl @MileyCyrus
that you can buy yourself flowers
this Valentine's Day. 😘💐</t>
  </si>
  <si>
    <t>fabulousheathen
@_bilaire I'm so glad I don't buy
@Walmart shit.</t>
  </si>
  <si>
    <t xml:space="preserve">_bilaire
</t>
  </si>
  <si>
    <t>smtd0
@Walmart @Roblox Hi Walmart Land
on Roblox, a friend of mine didn't
get the fruit hat nor the badge
today when she passed by the pineapple
arch...took the Walmart dollari
but at the end no UGC got...please
fix this bug!</t>
  </si>
  <si>
    <t xml:space="preserve">roblox
</t>
  </si>
  <si>
    <t>sururdarmadi
Just a reminder via our girl @MileyCyrus
that you can buy yourself flowers
this Valentine's Day. 😘💐</t>
  </si>
  <si>
    <t>coupleyfit
We are thrilled that @Walmart considered
@CoupleyFit as Black Health Heroes
to highlight during #BlackHistoryMonth
This week, the focus is on changemakers
and nonprofit orgs that have made
and are making physical health
&amp;amp; wellness a priority for the
community #BlackHealthHeroes https://t.co/EP5VltLhjz</t>
  </si>
  <si>
    <t>wolfygangg
If Charlene doesn’t get a raise,
@Walmart, we ride at dawn https://t.co/Vje3OdVM8b</t>
  </si>
  <si>
    <t>mileylegndcyrus
Just a reminder via our girl @MileyCyrus
that you can buy yourself flowers
this Valentine's Day. 😘💐</t>
  </si>
  <si>
    <t>pattyplainjane
@kroger and @Walmart lame as fuck
for not taking Apple Pay.</t>
  </si>
  <si>
    <t>cornichie
@Walmart I’ve been getting the
run around for months. Someone
put a fake gift card in one of
your gifts cards at a local Walmart
store in Pennsylvania. Apparently
this is a big problem lately..anyway
I’m out 200 dollars. Haven’t heard
back from corporate yet. Please
help! TIA.</t>
  </si>
  <si>
    <t>illiano938
Just a reminder via our girl @MileyCyrus
that you can buy yourself flowers
this Valentine's Day. 😘💐</t>
  </si>
  <si>
    <t>d1v3dd
Watching @AEW, @bryandanielson
take on some guy name Thacher who
instead of wearing a robe to the
ring, he actually came out wearing
a @Walmart "housecoat." LLH 🤣😂😅</t>
  </si>
  <si>
    <t xml:space="preserve">bryandanielson
</t>
  </si>
  <si>
    <t xml:space="preserve">aew
</t>
  </si>
  <si>
    <t>earwaxcandy
@MayanProfit @drpepper I heard
about it today and drove through
ice and snow to find it. I grabbed
the last 12 pack on the shelf at
@Walmart</t>
  </si>
  <si>
    <t xml:space="preserve">mayanprofit
</t>
  </si>
  <si>
    <t xml:space="preserve">drpepper
</t>
  </si>
  <si>
    <t>amonra_stbrown
Royal Oils by @Headshoulders has
been keeping my hair and scalp
fresh, just like how my dad taught
my bros and me always to stay fresh.
Go cop some at @Walmart. https://t.co/hORMQuBm1s
#FathersDay #ad #RoyalOilsPartner
https://t.co/fgFPh50W8p</t>
  </si>
  <si>
    <t xml:space="preserve">headshoulders
</t>
  </si>
  <si>
    <t>uscallday1
Royal Oils by @Headshoulders has
been keeping my hair and scalp
fresh, just like how my dad taught
my bros and me always to stay fresh.
Go cop some at @Walmart. https://t.co/hORMQuBm1s
#FathersDay #ad #RoyalOilsPartner
https://t.co/fgFPh50W8p</t>
  </si>
  <si>
    <t>o_aidee
High-performing and skin perfecting?!
The Photo Focus Foundation is essential
for your everyday routine 💛 Get
it @walmart @amazon @target @ultabeauty
@walgreens @riteaid @cvspharmacy
and shop our #Amazon store at #LinkInBio
#wetnwildbeauty https://t.co/O4uypearsb</t>
  </si>
  <si>
    <t>thecremeshop
OH, ZIT! 👀❤️⚡️our “what acne?”
clarifying k-beauty best sellers
help ban blemishes &amp;amp; future
breakouts. NOW AVAILABLE at select
@Walmart stores! ✨ run, besties!
https://t.co/6IFAwRRDWt</t>
  </si>
  <si>
    <t>jasonpyyc
Funny how even @Walmart can make
a profit selling the same product
for a dollar less and doesn’t force
you to buy 2 to save money. Not
that I’m a huge fan of Walmart
but the obvious greed and price-gouging
by @LoblawsON/Galen Weston is disgusting!
#greed #Loblaws #ripoff https://t.co/iOmPQEAmCJ</t>
  </si>
  <si>
    <t>anabm9anabm10
Just a reminder via our girl @MileyCyrus
that you can buy yourself flowers
this Valentine's Day. 😘💐</t>
  </si>
  <si>
    <t>rk_theprolific1
@Walmart on a roll with the 10th
and 11th cancellations of preorders
in the last year. @pickett_shaun
u have any luck? Terrible for #chc
https://t.co/EyS0sM5Bg5</t>
  </si>
  <si>
    <t xml:space="preserve">pickett_shaun
</t>
  </si>
  <si>
    <t>deanna_helene
I’m thankful that @Walmart considered
us Black Health Heroes to highlight
during black history month! https://t.co/3wKXj0bRGB</t>
  </si>
  <si>
    <t>john_graham19
I went on a walmart run! @smartsweets
@Walmart https://t.co/89gd44QQwq</t>
  </si>
  <si>
    <t xml:space="preserve">reallunchables
</t>
  </si>
  <si>
    <t xml:space="preserve">smartsweets
</t>
  </si>
  <si>
    <t>1mmastatistic
It would be a dream if W+, did
a spindown program like @Amazon
does for those getting government
assistance on a low income. I would
have kept @Walmart + had it not
been for the rising cost &amp;amp;
inflation. I loved my 30-day free
trial. I really did. So muchhhhhhh!</t>
  </si>
  <si>
    <t>fanyuksze35355
95% of the ocean is unexplored
which means the recipe for Chick-fil-a
sauce could be down there 🤐</t>
  </si>
  <si>
    <t>kurtmangum2
I’m extremely grateful that @Walmart
considered us Black Health Heroes
to highlight during black history
month! https://t.co/7bwVFAb22Q</t>
  </si>
  <si>
    <t>haideriam5
@Walmart I live in Sugar Land TX.
During Black Friday sale on 11/07/22
I bought a printer from: 345 Hwy
6 Sugar Land, TX 77478 The printer
isn't compatible with my laptop.
On 12/19/ 2022 I went to Walmart
to return it but the store manager
refused.</t>
  </si>
  <si>
    <t>_mileywood
@Walmart @MileyCyrus “Our girl”
lmao fu https://t.co/1808junSpP</t>
  </si>
  <si>
    <t>angel13224
@Walmart love the bait and switch
pricing going on at the South Muncie
store. Totally contacting the #indianaattorneygeneral
@ToddRokitaIN</t>
  </si>
  <si>
    <t xml:space="preserve">toddrokitain
</t>
  </si>
  <si>
    <t>morganjhudson
No one ever tells you how a weird
part about growing up is how you
wake up one day and suddenly like
sauerkraut….and post about it.
@Walmart in Fayetteville carries
@ClevelandKitchn Kraut and I gotta
say… 🔥. Should expect nothing
less from the city of magic, @RAGEKAGE57.
https://t.co/vAiInx9jrW</t>
  </si>
  <si>
    <t xml:space="preserve">ragekage57
</t>
  </si>
  <si>
    <t xml:space="preserve">clevelandkitchn
</t>
  </si>
  <si>
    <t>ashgogate
DAY 59! Simply unbelievable! I'm
still trying to buy a new TV using
your buyback guarantee commitment
@Flipkart @flipkartsupport @jagograhakjago
@PiyushGoyalOffc @PiyushGoyal @WalmartInc
@walmartindia @Walmart #countonflipkarttoscrewitup
https://t.co/hFqi3mShpH</t>
  </si>
  <si>
    <t xml:space="preserve">rohitksingh
</t>
  </si>
  <si>
    <t xml:space="preserve">mygovindia
</t>
  </si>
  <si>
    <t xml:space="preserve">pib_india
</t>
  </si>
  <si>
    <t xml:space="preserve">sadhviniranjan
</t>
  </si>
  <si>
    <t xml:space="preserve">ashwinikchoubey
</t>
  </si>
  <si>
    <t xml:space="preserve">piyushgoyal
</t>
  </si>
  <si>
    <t xml:space="preserve">piyushgoyaloffc
</t>
  </si>
  <si>
    <t>susej916777
@Walmart Why you treat your employees
like slaves. From the moment they
joined this organization they badly
treated. Your DC centers are the
worst your wages are the lowest
and the support for your employees
is not existant. #Shame</t>
  </si>
  <si>
    <t>goodadvicepub
Why the shift to #selfcheckout
may be longer than #retailers think.
https://t.co/ZqZNzs2m7I #retail
#retailers #shop #shopping #tech
#technology #consumerbehavior #marketing
#management #strategy #advertising
#grocery #news @Walmart @Lowes
@Target @HomeDepot @CivicScience
@Medium</t>
  </si>
  <si>
    <t xml:space="preserve">medium
</t>
  </si>
  <si>
    <t xml:space="preserve">civicscience
</t>
  </si>
  <si>
    <t>beardboss20
In case anybody else hasn’t cried
enough from @LastOfUsHBO the Bill
and Frank wine is at @Walmart for
$15 #LastOfUsHBO #imnotcrying https://t.co/JBdMTMm3QH</t>
  </si>
  <si>
    <t xml:space="preserve">lastofushbo
</t>
  </si>
  <si>
    <t>drhorrid
OH, ZIT! 👀❤️⚡️our “what acne?”
clarifying k-beauty best sellers
help ban blemishes &amp;amp; future
breakouts. NOW AVAILABLE at select
@Walmart stores! ✨ run, besties!
https://t.co/6IFAwRRDWt</t>
  </si>
  <si>
    <t>frank_butterfly
@DargonLuce @Walmart The overlord
is going to tomorrow.</t>
  </si>
  <si>
    <t>dargonluce
@Frank_Butterfly @Walmart Good.</t>
  </si>
  <si>
    <t>ballengee_herb
@Walmart I paid $104 for membership
for WalMart+ and on the Tuesday
before Christmas, I placed an order
for groceries to be delivered the
next day. No delivery on Wednesday,
Thursday, or Friday and on Saturday
WALMART cancelled my order because
they said no drivers were available!</t>
  </si>
  <si>
    <t>gus37884863
@Walmart @MileyCyrus Are you bored
Walmart?</t>
  </si>
  <si>
    <t>queenbrealtor
@Walmart … I sent a tweet last
night regarding 2 separate orders
that were cancelled by Walmart
because I was told my order was
out of stock. WHY DID I GO IN THE
STORE TODAY AND THE ITEMS I ORDERED
WERE THERE ON THE SHELF AND THE
EXACT AMOUNT WHAT I ORDERED!!😡
Get it together!!</t>
  </si>
  <si>
    <t>smilingtomiley
@Walmart @MileyCyrus She’s not
your girl until you apologize for
what you did to her</t>
  </si>
  <si>
    <t>clarkinfamous
@Walmart Can you please make a
Peanut Butter Peanut Butter ONLY
Package of the Peanut Butter Dipped
Ice Cream Cones Please? I buy a
6-Pack of Peanut Butter Cones just
to eat 1 or 2 Cones in each box
because those are the only ones
I enjoy. #PeanutButterLovers https://t.co/L2iLqZThs0</t>
  </si>
  <si>
    <t>chaco661
Delano @Walmart is literally the
WORST Walmart I’ve ever been to
when it comes to customer service!
Never again.</t>
  </si>
  <si>
    <t>_sara_noh
Today was the first and only time
I’ve ever placed a @Walmart pickup
order &amp;amp; they had every single
item in stock. No substitutions.
I am favored 😹😹</t>
  </si>
  <si>
    <t>lsfaeth
Delicious and gluten-free, these
@oceanshalo Organic vegan dressings
make the perfect dipping sauce!
Want to know more? Read my review
@socialnature! #GotItFree available
at @walmart https://t.co/yARv34RAwo</t>
  </si>
  <si>
    <t>that1tman
Hey @KyleClark I have an idea for
a story. Seems odd to me that @Walmart
could change prices on the exact
same product so drastically. It’s
happening with many products/brands
https://t.co/iywltYZUen</t>
  </si>
  <si>
    <t xml:space="preserve">kyleclark
</t>
  </si>
  <si>
    <t>vgag77
Just a reminder via our girl @MileyCyrus
that you can buy yourself flowers
this Valentine's Day. 😘💐</t>
  </si>
  <si>
    <t>jewelnadua
Just a reminder via our girl @MileyCyrus
that you can buy yourself flowers
this Valentine's Day. 😘💐</t>
  </si>
  <si>
    <t>luisfgalicia
Just a reminder via our girl @MileyCyrus
that you can buy yourself flowers
this Valentine's Day. 😘💐</t>
  </si>
  <si>
    <t>xzr56
@andi0304 @mantarnyc @ManhattanDA
@MontCoExec That's why @Walgreens
closed so many of its stores in
San Francisco, and @Walmart is
now talking of closing stores.
Read the book #WhenMoneyDies. It's
history repeating itself, right
now, here in the good old USA .</t>
  </si>
  <si>
    <t xml:space="preserve">montcoexec
</t>
  </si>
  <si>
    <t xml:space="preserve">manhattanda
</t>
  </si>
  <si>
    <t xml:space="preserve">mantarnyc
</t>
  </si>
  <si>
    <t xml:space="preserve">andi0304
</t>
  </si>
  <si>
    <t>imdanian
@Walmart @MileyCyrus I’LL DO IT!💐💐💐</t>
  </si>
  <si>
    <t>schlottgsarah
@EllyDeLaCruz22 @Walmart Yep, I
get it. "F*** your feelings" and
all that. It's all good. Happy
trails. 👋</t>
  </si>
  <si>
    <t>ellydelacruz22
@schlottgsarah @Walmart Happy trails
amigo. So regardless if a employee
is competent or not a business
has no right to fire them? Absolutely
insane. I hate it for people with
IDD or any disability but if they
are hired to do a job then they
can’t perform said job the business
has a right to fire them</t>
  </si>
  <si>
    <t>beautybybrittn1
Tried the “new” RELOVE by @MakeupRVLTN
line found at my local @Walmart
&amp;amp; well I’m blown away 😱 check
out my two part videos on my tiktok
below ⬇️ https://t.co/yO8fNhQx8i
https://t.co/8XcMlOfx6t</t>
  </si>
  <si>
    <t xml:space="preserve">makeuprvltn
</t>
  </si>
  <si>
    <t>laura22123010
Tried the “new” RELOVE by @MakeupRVLTN
line found at my local @Walmart
&amp;amp; well I’m blown away 😱 check
out my two part videos on my tiktok
below ⬇️ https://t.co/yO8fNhQx8i
https://t.co/8XcMlOfx6t</t>
  </si>
  <si>
    <t>lourdes61179889
Just a reminder via our girl @MileyCyrus
that you can buy yourself flowers
this Valentine's Day. 😘💐</t>
  </si>
  <si>
    <t>tiffcavanaugh
@lolgeselle Same! Hopefully we
get ones from @Target @Walmart
&amp;amp; @UrbanOutfitters 🤞❤️</t>
  </si>
  <si>
    <t xml:space="preserve">urbanoutfitters
</t>
  </si>
  <si>
    <t xml:space="preserve">lolgeselle
</t>
  </si>
  <si>
    <t>brenman8scott
we out here mining these streets...@Walmart
😂 $XYO https://t.co/DoNlTt9ZNa</t>
  </si>
  <si>
    <t>arteinoz
Just a reminder via our girl @MileyCyrus
that you can buy yourself flowers
this Valentine's Day. 😘💐</t>
  </si>
  <si>
    <t>ohdangitsnate
@Walmart great Roblox event! https://t.co/iPdBEte2JS</t>
  </si>
  <si>
    <t>ny_youth_sports
1st annual "KING OF NEW YORK CIVIL
WAR YOUTH ALL STAR SHOWCASE" UPSTATE
NY VS DOWNSTATE NY AGES 8-14 Actively
Looking for #sponsorship to have
naming rights to event. @Battle
@DrinkBODYARMOR @Walmart @RalphsFamous
@Delta @JetBlue @SouthwestAir @Nike
https://t.co/K9WpKoL9tQ</t>
  </si>
  <si>
    <t xml:space="preserve">southwestair
</t>
  </si>
  <si>
    <t xml:space="preserve">jetblue
</t>
  </si>
  <si>
    <t xml:space="preserve">delta
</t>
  </si>
  <si>
    <t xml:space="preserve">ralphsfamous
</t>
  </si>
  <si>
    <t xml:space="preserve">drinkbodyarmor
</t>
  </si>
  <si>
    <t xml:space="preserve">battle
</t>
  </si>
  <si>
    <t>explica_miley
@Walmart @MileyCyrus Get a Job
Stay away from her https://t.co/pxL2NrTjc8</t>
  </si>
  <si>
    <t>ghostpantsdaily
@squishmallows @Pokemon My girlfriend
absolutely loves the Gengar Squishmallow,
and we were lucky enough to find
one in store the other day! Unfortunately,
@Walmart literally wouldn't let
my girlfriend buy it, which really
sucked.</t>
  </si>
  <si>
    <t>justanother_ofc
@GhostPantsDaily @squishmallows
@Pokemon @Walmart Today is the
day to go. The system flags if
an item is pushed out before street
date. They were dated for feburary
but now they are on the floor.</t>
  </si>
  <si>
    <t>officialmillye
If you get caught stealing in @Walmart
u jus don’t know how to steal !😂😂</t>
  </si>
  <si>
    <t>ctrapawomen
Congratulations to the 2023 Asian
Pacific American Women's Leadership
Institute (APAWLI) class! @StateFarm
@Walmart @Deloitte @EsteeLauder
https://t.co/m3pXMwWW8c</t>
  </si>
  <si>
    <t xml:space="preserve">cocacola
</t>
  </si>
  <si>
    <t xml:space="preserve">aarp
</t>
  </si>
  <si>
    <t xml:space="preserve">att
</t>
  </si>
  <si>
    <t xml:space="preserve">adp
</t>
  </si>
  <si>
    <t xml:space="preserve">esteelauder
</t>
  </si>
  <si>
    <t xml:space="preserve">deloitte
</t>
  </si>
  <si>
    <t>sourabhcjain
Since morning you are asking me
DM , i have DM you since 7am, resulting
to no update till now. @flipkartsupport
@Flipkart @Walmart @WalmartInc
@walmartindia please help @jagograhakjago
@PiyushGoyalOffc</t>
  </si>
  <si>
    <t xml:space="preserve">_sachinbansal
</t>
  </si>
  <si>
    <t>thomasdbradley
As expected there's very little
supplies of bread and eggs at the
@Walmart in Hulen area of Fort
Worth Texas due to the weather
@NBCDFWWeather @NBCDFW. #txwx #dfwwx
https://t.co/I9JI5V08nb</t>
  </si>
  <si>
    <t xml:space="preserve">nbcdfw
</t>
  </si>
  <si>
    <t>rhuntington3
@ThomasDBradley @Walmart @NBCDFWWeather
@NBCDFW Holy Moly!</t>
  </si>
  <si>
    <t xml:space="preserve">nbcdfwweather
</t>
  </si>
  <si>
    <t>pickle_thebeast
@Walmart tell your CEO to improve
the Spark delivery system. I have
15 orders to choose from because
none of them are ready due to hour
decreases for employees. So the
items don’t get picked on time
since there are fewer employees
there to pick the items. Customer
first.</t>
  </si>
  <si>
    <t>joyce5775linda
@douglas_laster @Walmart Hi handsome</t>
  </si>
  <si>
    <t xml:space="preserve">douglas_laster
</t>
  </si>
  <si>
    <t xml:space="preserve">yuhelenyu
</t>
  </si>
  <si>
    <t>cuttertweets
Exceptional leadership requires
counterintuition, courage &amp;amp;
clarity. @Walmart exemplifies how
that rare combination accelerates
#DigitalTransformation, elevates
customer experience &amp;amp; fortifies
strategic readiness. @BetaMoroney
@aldoceccarelli @YuHelenYu https://t.co/Gz7x0vaRcb</t>
  </si>
  <si>
    <t xml:space="preserve">aldoceccarelli
</t>
  </si>
  <si>
    <t>banker____
@Walmart consistently has the slowest
checkouts at every store. Good
job guys 👏</t>
  </si>
  <si>
    <t>gyancita
@ShelleyBlodgett @Walmart Holy
moly, unacceptable! So glad your
sis noticed, and you got him help...🙏🏼</t>
  </si>
  <si>
    <t>piramgoole
@Walmart Cindy Poole @SECNetwork
@Nissan @UTKnoxville @VandyMBB
@Lakers ADULT ENTERTAINMENT HIRAM
AXEHEAD POOLE HARDSHIP https://t.co/kvlj3bWTpz</t>
  </si>
  <si>
    <t xml:space="preserve">lakers
</t>
  </si>
  <si>
    <t xml:space="preserve">vandymbb
</t>
  </si>
  <si>
    <t xml:space="preserve">utknoxville
</t>
  </si>
  <si>
    <t xml:space="preserve">nissan
</t>
  </si>
  <si>
    <t xml:space="preserve">secnetwork
</t>
  </si>
  <si>
    <t>boojiemonroe
Make @Walmart 24 hrs again🙄</t>
  </si>
  <si>
    <t>shioma_al3meeri
@alkulaib @trylolli @Walmart @BestBuy
I’ve been doing this since Nov
… thank to you 😆 …</t>
  </si>
  <si>
    <t>alkulaib
@shioma_al3meeri @trylolli @Walmart
@BestBuy 😂😂 I love Lolli and
i am glad you are on board 🙏🏽💜</t>
  </si>
  <si>
    <t>trylolli
@shioma_al3meeri @alkulaib @Walmart
@BestBuy smart 🫡</t>
  </si>
  <si>
    <t>musiqcitywalls
The wait is over! PRE-ORDER our
brand new album “Four Walls” starting
Friday, January 27th at @target
@walmart and @amazonmusic. Pre-order
on all digital streaming platforms
starting Friday, February 3rd and
album available everywhere on February
24th! https://t.co/rfTTaZ009I</t>
  </si>
  <si>
    <t>amazonmusic
@Walmart @MileyCyrus Good idea,
@Walmart!</t>
  </si>
  <si>
    <t>shea_jordan
The wait is over! PRE-ORDER our
brand new album “Four Walls” starting
Friday, January 27th at @target
@walmart and @amazonmusic. Pre-order
on all digital streaming platforms
starting Friday, February 3rd and
album available everywhere on February
24th! https://t.co/rfTTaZ009I</t>
  </si>
  <si>
    <t>piscesmiley32
Just a reminder via our girl @MileyCyrus
that you can buy yourself flowers
this Valentine's Day. 😘💐</t>
  </si>
  <si>
    <t>twistedbruvver
Just a reminder via our girl @MileyCyrus
that you can buy yourself flowers
this Valentine's Day. 😘💐</t>
  </si>
  <si>
    <t>firestormfox1
@walmarthelp @Walmart There's only
one claw machine in the store.
You don't need my phone number,
you don't need my address, you
don't need my email address. You
only need to put 1 + 1 together
This isn't rocket science, it's
a machine Walmart allowed in it's
store that's ripping people off.</t>
  </si>
  <si>
    <t>paxultek
@preterniadotcom I'll pick it up
on @EntEarth once @Walmart screws
over everyone who preorders it
as they have with other exclusives
time and time and time again.</t>
  </si>
  <si>
    <t xml:space="preserve">entearth
</t>
  </si>
  <si>
    <t>monkeyflop
So @Walmart is price gouging now?
@squishmallows @Pokemon are sold
out everywhere and only scalpers
are reselling for 3x https://t.co/5bU4YK50B4</t>
  </si>
  <si>
    <t>redstag92gaming
@MonkeyFlop @Walmart @squishmallows
@Pokemon Yeah its because of all
the sold by *insert company name*
on there. It's ridiculous how many
times I've found something that's
being sold by some super sketchy
company on another country. Might
as well be eBay</t>
  </si>
  <si>
    <t>mrcreager
@Walmart It says the DM is no longer
available. My order sat in the
waiting area for 4 hours. I called
the store many times and talked
to associates online chat several
times. I was only offered promo
codes instead of a solution.</t>
  </si>
  <si>
    <t>tmillinerbbn
@TMillinerBBN Look at those scores,
Trenton! ⚾ 🏀</t>
  </si>
  <si>
    <t>qam__yasharahla
@Walmart when did you start charging
fee for $35 minimum for Plus members?
I should cancel my membership if
I can’t get free delivery from
my store anymore.</t>
  </si>
  <si>
    <t>xhaytonn
@Walmart @MileyCyrus She can buy
herself flowers, LEAVE HER ALONE.
If you can’t handle her in 2010
, you don’t deserve her in ‘23</t>
  </si>
  <si>
    <t>r_hernandez11
So, because @Walmart refuses to
pay a livable wage, or to have
an actual person work the cash
register, they're still going to
raise prices on the products they're
responsible for causing the theft
of? 🤔🧐🤨 https://t.co/unEqqdrAFO</t>
  </si>
  <si>
    <t>mikebarnica11
@GeneralMills @oldelpaso @Walmart
soooo, bugles that don’t identify
as bugles?</t>
  </si>
  <si>
    <t xml:space="preserve">oldelpaso
</t>
  </si>
  <si>
    <t xml:space="preserve">generalmills
</t>
  </si>
  <si>
    <t>seleena6166
And @Target and @Walmart I am on
yall ass too 😂 because yall stay
saying yall hiring and never HIRE
NOBODY 😭</t>
  </si>
  <si>
    <t>murjanian
And @Target and @Walmart I am on
yall ass too 😂 because yall stay
saying yall hiring and never HIRE
NOBODY 😭</t>
  </si>
  <si>
    <t>danielshire05
@Walmart @MileyCyrus Yeah we still
remember. NEVER FORGET. ✊🏽https://t.co/Roi4VPDCxs</t>
  </si>
  <si>
    <t>realshawncyrus
Just a reminder via our girl @MileyCyrus
that you can buy yourself flowers
this Valentine's Day. 😘💐</t>
  </si>
  <si>
    <t>blondenevadan
Just got back from @Walmart. Did
you know they now lock up pencils?
Yes, phuquing pencils. ✏✏ Needless
to say, I'd still be there waiting
for someone to unlock the case.
They lost out on 79 cent sale,
lol.</t>
  </si>
  <si>
    <t>arock52
Biggest flop in @Walmart history.
The release of the Pokémon squishmallows….</t>
  </si>
  <si>
    <t>gobuxgal
Yesterday @Walmart tried to overcharge
me $10, I had to insist on a solution,
Your team works hard Walmart, give
them a POS system up to the task.
#CustomerService</t>
  </si>
  <si>
    <t>rlplnpeaceee
@rlplnpeaceee We hope you're having
an awesome jam sesh! 😎 🎵</t>
  </si>
  <si>
    <t>ellieburlton
Haven't stopped, but have SEVERELY
cut back on buying EGGS. What is
going on with eggs @Walmart?!?!?!?!?!?!?!
https://t.co/SXH20mnAoT https://t.co/nRyIWABTq4</t>
  </si>
  <si>
    <t>sloangallimore
@kxvelz stealer!!!! @Walmart</t>
  </si>
  <si>
    <t>kxvelz
@sloangallimore @Walmart STOP 😭😭🤦🏽‍♀️</t>
  </si>
  <si>
    <t>michael_napkins
If Charlene doesn’t get a raise,
@Walmart, we ride at dawn https://t.co/Vje3OdVM8b</t>
  </si>
  <si>
    <t>fothunniebee
Thank you so fucking much @Walmart,
for underwear that cost more and
lasts less than 2 weeks. This shit
is thinner than paper. Maybe I
should just steal it liel everyone
else. You deserve worse.</t>
  </si>
  <si>
    <t>netuserms
@omgpodcast22 @Walmart I get my
deliveries from Meijer, NEVER had
a problem! If I have to use Walmart,
I pick them up!</t>
  </si>
  <si>
    <t>omgpodcast22
Still waiting for @Walmart + to
deliver groceries already paid
for. Supposed to be here about
9 hours ago. Anyone else having
trouble?</t>
  </si>
  <si>
    <t>uninguest
this is a multinational issue!!
@elonmusk @Ukraine @Sweden @CIA
@TwitterSupport @FBI @McDonalds
@Wendys @IndEmbMexico @Walmart
@MrBeast @bongbongmarcos</t>
  </si>
  <si>
    <t xml:space="preserve">bongbongmarcos
</t>
  </si>
  <si>
    <t xml:space="preserve">mrbeast
</t>
  </si>
  <si>
    <t xml:space="preserve">indembmexico
</t>
  </si>
  <si>
    <t xml:space="preserve">wendys
</t>
  </si>
  <si>
    <t xml:space="preserve">fbi
</t>
  </si>
  <si>
    <t xml:space="preserve">twittersupport
</t>
  </si>
  <si>
    <t xml:space="preserve">sweden
</t>
  </si>
  <si>
    <t xml:space="preserve">ukraine
</t>
  </si>
  <si>
    <t xml:space="preserve">mcdonalds
</t>
  </si>
  <si>
    <t>laura121953
@ninaturner Have you told @Walmart?</t>
  </si>
  <si>
    <t xml:space="preserve">ninaturner
</t>
  </si>
  <si>
    <t>deadpeul
@omgpodcast22 @Walmart I'm still
wondering if they just decided
that it's okay policy to not show
up and not tell you, or if the
employees just hate doing it. Corporate
said they weren't able to get a
manager at the store. "They make
their own hours". Either way, got
w+ and inhome refunded.</t>
  </si>
  <si>
    <t>optix_c
Don’t shop ⁦@Walmart⁩ Marketplace
it’s a #Scam ⁦@Twitter⁩ https://t.co/hBeMSYvY27</t>
  </si>
  <si>
    <t>lavishbarbie8
Just a reminder via our girl @MileyCyrus
that you can buy yourself flowers
this Valentine's Day. 😘💐</t>
  </si>
  <si>
    <t>yearlikethis
@Walmart @MileyCyrus @Walmart just
a reminder I think before you tweet
like that, you need to apologize
to Miley for what you did in 2010.</t>
  </si>
  <si>
    <t>metalashell26
I noticed @Walmart is selling bottles
of @Arbys sauce and I'm wondering
if anyone's tried that on wings
yet</t>
  </si>
  <si>
    <t xml:space="preserve">arbys
</t>
  </si>
  <si>
    <t>nanceeewin
@Walmart i ordered something online
and it came damaged and with missing
product. Can i get a refund? https://t.co/bsccSoIp9G</t>
  </si>
  <si>
    <t>souravishwas96
Surfing from Flipkart Bad response
from last 2 weeks, no one interested
in fixing the issue, It's very
bad service by Flipkart... My order
ID :- OD426984820430593100 Complete
No:- IN23011917292392571575 @Flipkart
@flipkartsupport @Walmart @walmartindia
@_Kalyan_K</t>
  </si>
  <si>
    <t xml:space="preserve">samaggarwal_
</t>
  </si>
  <si>
    <t>he1fineartist
No, @Walmart is not charging customers
a $1 fee to use shopping carts.
Here's where the claim came from:
https://t.co/eRUf4iBDWw</t>
  </si>
  <si>
    <t>jkmileycyruss
Just a reminder via our girl @MileyCyrus
that you can buy yourself flowers
this Valentine's Day. 😘💐</t>
  </si>
  <si>
    <t>mysticalmaven
@omgpodcast22 @Walmart I've not
stepped foot in Walmart, so, no.</t>
  </si>
  <si>
    <t>pazagnya
How Did Inflation Affect Target
Shoppers in 2022? https://t.co/oP4e9BKTFt
@jeffkagan #shopping #shoppers
#inflation @target @walmart #coupon
#technology #wireless</t>
  </si>
  <si>
    <t>taneldanilo
@leiane1 @bugattigrp bridges web2
&amp;amp; web3 with immersive web3
phygital shopping experience, which
gives holders access to partner
and have a merch line on Major
Retail stores like @Walmart @Costco,
@Nordstrom &amp;amp; other major retailers.
And physical products per NFT https://t.co/mo6z71cRDn
https://t.co/CpnJygosH2</t>
  </si>
  <si>
    <t xml:space="preserve">potus
</t>
  </si>
  <si>
    <t xml:space="preserve">nordstrom
</t>
  </si>
  <si>
    <t xml:space="preserve">costco
</t>
  </si>
  <si>
    <t xml:space="preserve">bugattigrp
</t>
  </si>
  <si>
    <t xml:space="preserve">leiane1
</t>
  </si>
  <si>
    <t>amity_alpha
Still waiting for @Walmart + to
deliver groceries already paid
for. Supposed to be here about
9 hours ago. Anyone else having
trouble?</t>
  </si>
  <si>
    <t>guycaveofficial
@JaniceKapner @TMobile Too bad
for all the outsourced divisions
in Care including Messaging, and
how SEGA has been so poorly mismanaged
that nearly all the best reps are
gone. Does @Apple, @Walmart, and
@CenturyLink know their SEGA reps
are probably gonna be outsourced?</t>
  </si>
  <si>
    <t xml:space="preserve">centurylink
</t>
  </si>
  <si>
    <t xml:space="preserve">tmobile
</t>
  </si>
  <si>
    <t xml:space="preserve">janicekapner
</t>
  </si>
  <si>
    <t>alicesmonkey
@ShelleyBlodgett @Walmart Glad
you caught it, thanks for the warning</t>
  </si>
  <si>
    <t>grimgamingtech
@flipkartsupport @Flipkart @Walmart
@jagograhakjago It's happening
a lot, see when chat started for
help and what i received as reply
after waiting a lot. Customer support
is a joke for Flipkart. They don't
know compensation system for their
activities harming customers https://t.co/b5KQmCk2Fy</t>
  </si>
  <si>
    <t>procurement2030
.@Walmart #Recession-Proofs #Retail
Reign With 3 Rare Moves https://t.co/jkckgJ5gdo
By @NoahBarsky v/ @BetaMoroney
#RetailTech #DigitalTransformation
@Xbond49 @efipm @psb_dc @helene_wpli
@jblefevre60 @CurieuxExplorer @mvollmer1
@Damien_CABADI @chboursin @gvalan
@ravidugh https://t.co/Mv5ZbLEsQ1</t>
  </si>
  <si>
    <t>veniceawong
@Queenie4ever @Walmart @sozie So
stylish 👍🥰</t>
  </si>
  <si>
    <t xml:space="preserve">sozie
</t>
  </si>
  <si>
    <t>queenie4ever
Thanks @Walmart for the dress #shirts
#pants #walmart https://t.co/tHkcm19WIH</t>
  </si>
  <si>
    <t>bestmoneyworld
@Walmart Sign Up and get Money
in your wallets , Only 15 users
Left, Join Fast. Only Usa Site:
https://t.co/lbzHIkbWfq Others
Country https://t.co/Ppu03lsCiR
@GiftCards_com @CashApp @GiftoftheGivers
https://t.co/bTUGDvy8TN</t>
  </si>
  <si>
    <t xml:space="preserve">giftofthegivers
</t>
  </si>
  <si>
    <t xml:space="preserve">cashapp
</t>
  </si>
  <si>
    <t xml:space="preserve">giftcards_com
</t>
  </si>
  <si>
    <t>fittobe100120
#FitToBeWilliamson Available at
all major retailers @Walmart @booksamillion
@amazon Executive Producer: Arminta
McKinney Director: Wayne Polk Jr.
Sound Design: Derrick Davis Camera
Work: PSCM Imagery, LLC Photographer:
Derrick L. Davis Cinematic Concierge:
Candace Polk https://t.co/0nSzmVz9gc</t>
  </si>
  <si>
    <t>chris68946672
@bstokley14 @SeanPayton Fired up
that our ownership seems fired
up! @Walmart was what 26th best
this year? They aren’t used to
losing &amp;amp; I like that. Nor are
we in #BroncosCountry We gota focus
on Draft &amp;amp; Free agency now.
I’m back engaged and pumped to
see this engaged ownership!</t>
  </si>
  <si>
    <t xml:space="preserve">bstokley14
</t>
  </si>
  <si>
    <t>benbowers5
@GFuelEnergy @Walmart The 4 Walmarts
near me need a massive over haul
desperately lol</t>
  </si>
  <si>
    <t>chef_bruce
@omgpodcast22 @Walmart They’re
waiting for you to self checkout</t>
  </si>
  <si>
    <t>rdd91290
@Jazwares @squishmallows @Pokemon
@Target @Walmart @GameStop all
sold out….</t>
  </si>
  <si>
    <t xml:space="preserve">jazwares
</t>
  </si>
  <si>
    <t>evtolinsights
America: @Walmart to Ramp Up Drone
Delivery By Using Multiple 5G Carriers.
https://t.co/dEGnftu28v https://t.co/5IgBINLuDQ</t>
  </si>
  <si>
    <t>nickjonas
A flavor that could’ve only come
from the distinguished palate of
@kellyclarkson herself! You can
grab the newest @robspopcorn flavor
Kelly’s Classic Barbecue at your
closest @Walmart and @Albertsons
now🍿 https://t.co/sr0JhzT9WQ</t>
  </si>
  <si>
    <t>jobrosfanwis
A flavor that could’ve only come
from the distinguished palate of
@kellyclarkson herself! You can
grab the newest @robspopcorn flavor
Kelly’s Classic Barbecue at your
closest @Walmart and @Albertsons
now🍿 https://t.co/sr0JhzT9WQ</t>
  </si>
  <si>
    <t xml:space="preserve">robspopcorn
</t>
  </si>
  <si>
    <t xml:space="preserve">kellyclarkson
</t>
  </si>
  <si>
    <t>mohammed_saif70
@Flipkar93321588 @flipkartsupport
@samaggarwal_ @_Kalyan_K @Walmart
I don't even think how @Flipkart
is doing right now. I am chasing
them for a long time and they are
not interested to assist their
customer. It's really pathetic
uncultured attitude. 9667864611
@PMOIndia @barcouncilindia @BandBajaateRaho
plz help</t>
  </si>
  <si>
    <t xml:space="preserve">rashtrapatibhvn
</t>
  </si>
  <si>
    <t>bandbajaateraho
@Flipkar93321588 @flipkartsupport
@samaggarwal_ @_Kalyan_K @Walmart
I don't even think how @Flipkart
is doing right now. I am chasing
them for a long time and they are
not interested to assist their
customer. It's really pathetic
uncultured attitude. 9667864611
@PMOIndia @barcouncilindia @BandBajaateRaho
plz help</t>
  </si>
  <si>
    <t>aapkiawaaz_rk
@PrashantJhaveri @_Kalyan_K @FlipkartHealth
@Flipkart @CCI_India @PMOIndia
@BandBajaateRaho @ndtv @aajtak
@NMC_IND @WHO @indianews Another
Scam, 1st they pretend do partial
refund where credit actually never
happens. Great work by @Walmart
this is how you planned to grow
guys ? https://t.co/BaJbbVFBcx
https://t.co/tmr4atsP27</t>
  </si>
  <si>
    <t xml:space="preserve">barcouncilindia
</t>
  </si>
  <si>
    <t xml:space="preserve">pmoindia
</t>
  </si>
  <si>
    <t xml:space="preserve">flipkar93321588
</t>
  </si>
  <si>
    <t>aagupta88
@PrashantJhaveri @_Kalyan_K @FlipkartHealth
@Flipkart @CCI_India @PMOIndia
@BandBajaateRaho @ndtv @aajtak
@NMC_IND @WHO @indianews Another
Scam, 2nd Im still awaiting for
return pickup of Nurokind-LC. Great
work by @Walmart this is how you
planned to grow guys ? https://t.co/LH9AsaZr3P</t>
  </si>
  <si>
    <t xml:space="preserve">indianews
</t>
  </si>
  <si>
    <t xml:space="preserve">who
</t>
  </si>
  <si>
    <t xml:space="preserve">nmc_ind
</t>
  </si>
  <si>
    <t xml:space="preserve">aajtak
</t>
  </si>
  <si>
    <t xml:space="preserve">ndtv
</t>
  </si>
  <si>
    <t xml:space="preserve">cci_india
</t>
  </si>
  <si>
    <t xml:space="preserve">flipkarthealth
</t>
  </si>
  <si>
    <t xml:space="preserve">prashantjhaveri
</t>
  </si>
  <si>
    <t>abdulwhelan
@GFuelEnergy @Walmart the holy
grail of @Walmart Gfuel!!!</t>
  </si>
  <si>
    <t>ihateyou677
@WalmartAction @Walmart a worker
from one of your Ohio locations
is posting nude photos of himself
online with his work uniform on
doing disgusting things. Highly
inappropriate for the standards
you set.</t>
  </si>
  <si>
    <t>indica_star1
@Walmart What’s wrong with your
app? For two days, everything has
been saying “out of stock.” Fix
it please!</t>
  </si>
  <si>
    <t>sunny33183498
@sonukumar_21 @Flipkart @flipkartsupport
@_Kalyan_K @flipkartsupport @Walmart
Please work on this issue on priority.
Don't let the customer trust break...</t>
  </si>
  <si>
    <t xml:space="preserve">sonukumar_21
</t>
  </si>
  <si>
    <t>twitfbonlyallr1
@Walmart complete utter joke i
have to wait for my account to
stop hold on a order that was not
listed as back order fuck you seriously
you guys fucking suck and take
up two ten fucking days for refund
what fucking joke. how the hell
is this on backorder? store don't
sell it https://t.co/u9WSD9WSp2</t>
  </si>
  <si>
    <t>basstard78
@WhiteHouse So @Walmart gets to
pay 15%, but my wife and I are
required to pay 24%? This is why
Republicans want to remove the
IRS and abolish income tax.....</t>
  </si>
  <si>
    <t xml:space="preserve">whitehouse
</t>
  </si>
  <si>
    <t>jlmb0b
@its_the_Dr @Walmart lovely. As
if self checkout couldn’t get any
better</t>
  </si>
  <si>
    <t xml:space="preserve">its_the_dr
</t>
  </si>
  <si>
    <t>kicinski_md1
@USMarshalsHQ Can I get AIDS from
sexual assault by Bin Laden RObert
Oneil who said he killed him but
forgot his entire ARMY ? @Walgreens
@Walmart YOU BETTER TURN YOUR RADIO
OFF WHEN I COME IN YOUR STORE I
AM NOT PAYING SALES TAX TO LISTEN
TO FAMOUS BIN LADEN ON YOUR FREE
RADIO https://t.co/4mF200XQJB</t>
  </si>
  <si>
    <t xml:space="preserve">usmarshalshq
</t>
  </si>
  <si>
    <t>honestl21630063
@Walmart can your A.I. count the
number of donuts, fruits, and vegetables
your self-checkout fraudsters ACTUALLY
have in those boxes/produce bags?</t>
  </si>
  <si>
    <t>yehtutsoe20
Just a reminder via our girl @MileyCyrus
that you can buy yourself flowers
this Valentine's Day. 😘💐</t>
  </si>
  <si>
    <t>madfangelo2020
Just a reminder via our girl @MileyCyrus
that you can buy yourself flowers
this Valentine's Day. 😘💐</t>
  </si>
  <si>
    <t>joeclark947
@amazon @eBay @Shopify @Walmart
@Target @AliExpress_EN @AlibabaGroup
@BestBuy @Inc @Forbes @Entrepreneur
@FastCompany @businessinsider @business
#onlineshopping #Sales 30 #Trending
#Products to Sell Online on your
#ecommerce &amp;amp; #dropshipping
#store https://t.co/qfIkeiqowQ
https://t.co/YD5HGnI9t0</t>
  </si>
  <si>
    <t xml:space="preserve">business
</t>
  </si>
  <si>
    <t xml:space="preserve">businessinsider
</t>
  </si>
  <si>
    <t xml:space="preserve">fastcompany
</t>
  </si>
  <si>
    <t xml:space="preserve">entrepreneur
</t>
  </si>
  <si>
    <t xml:space="preserve">inc
</t>
  </si>
  <si>
    <t xml:space="preserve">alibabagroup
</t>
  </si>
  <si>
    <t xml:space="preserve">aliexpress_en
</t>
  </si>
  <si>
    <t>reminiscentxc
That everyday low price tho. @Walmart
😮‍💨👌 📍6360 Lake Worth Blvd,
Lake Worth, TX 76135 https://t.co/9ICajumnYC</t>
  </si>
  <si>
    <t>dwntwndwn
Heading out at 6:16 am to Terre
Haute for another fun day watching
more than 65,000 packages of #GirlScoutCookies
roll in to one town! (How do morning
radio/TV people do this every day?!)
See you in a couple of hours, @Walmart
and @WTHITV! @girlscoutsIN https://t.co/kzj4agZOV1</t>
  </si>
  <si>
    <t xml:space="preserve">girlscoutsin
</t>
  </si>
  <si>
    <t xml:space="preserve">wthitv
</t>
  </si>
  <si>
    <t>lrbitisnot
Other #GigEconomy predators exist,
like @Walmart with its @WalmartSparkers
gigapp. However, @DoorDash is unrivaled
by its manic focus upon the never-ending
and #BOUNDLESS mission to #Exploit
laborers of the world through the
"DoorDash - Dasher App" scheme.
https://t.co/FWtjEsBSKn</t>
  </si>
  <si>
    <t xml:space="preserve">doordash
</t>
  </si>
  <si>
    <t>rowdy8nation
@Rowdy8Nation A perfect addition
to any movie night, Kim! 🍿 🎬</t>
  </si>
  <si>
    <t>thatgirlhaylz
Just a reminder via our girl @MileyCyrus
that you can buy yourself flowers
this Valentine's Day. 😘💐</t>
  </si>
  <si>
    <t>whytmanga
We're also in Almost every other
store @BNBuzz Barnes and Noble,
@Walmart, @WHSmith , @rightstufanime
and more, go here to see all the
stores each books is in, as some
stores have sales and discounts!
https://t.co/qiBfQzZf7W</t>
  </si>
  <si>
    <t xml:space="preserve">rightstufanime
</t>
  </si>
  <si>
    <t>hinatauzumakipo
We're also in Almost every other
store @BNBuzz Barnes and Noble,
@Walmart, @WHSmith , @rightstufanime
and more, go here to see all the
stores each books is in, as some
stores have sales and discounts!
https://t.co/qiBfQzZf7W</t>
  </si>
  <si>
    <t xml:space="preserve">whsmith
</t>
  </si>
  <si>
    <t>niallhwalls
Just a reminder via our girl @MileyCyrus
that you can buy yourself flowers
this Valentine's Day. 😘💐</t>
  </si>
  <si>
    <t>derekkage
@Walmart As a W+ member, why was
I charged a "Below Minimum Order"
fee for adding to a pickup order?!?</t>
  </si>
  <si>
    <t>butterflybby333
@Walmart omg thank u walmart!!!&amp;lt;333</t>
  </si>
  <si>
    <t>rickandbubba
Black Friday Deals happening now
on @Moultrie Products •NEW Edge
Camera - $79.99 (Normally $99.99)
•Mobile Edge 2Pack - $149.99 (Normally
$179.99) •Delta Base - $59.99 (Normally
$99.99)  https://t.co/mlewhV9djA
or @BassProShops @Cabelas @dickssportingss
@Walmart @Academy https://t.co/UCHnCjeoPn</t>
  </si>
  <si>
    <t xml:space="preserve">academy
</t>
  </si>
  <si>
    <t>totlinda2
Black Friday Deals happening now
on @Moultrie Products •NEW Edge
Camera - $79.99 (Normally $99.99)
•Mobile Edge 2Pack - $149.99 (Normally
$179.99) •Delta Base - $59.99 (Normally
$99.99)  https://t.co/mlewhV9djA
or @BassProShops @Cabelas @dickssportingss
@Walmart @Academy https://t.co/UCHnCjeoPn</t>
  </si>
  <si>
    <t xml:space="preserve">dickssportingss
</t>
  </si>
  <si>
    <t xml:space="preserve">cabelas
</t>
  </si>
  <si>
    <t xml:space="preserve">bassproshops
</t>
  </si>
  <si>
    <t xml:space="preserve">moultrie
</t>
  </si>
  <si>
    <t>iainms
@SpeakerMcCarthy Quit throwing
our money away on billionaire tax
cuts and subsidizing corporations
like .@McDonalds and .@Walmart
Stop legalizing medical bankruptcy
and childhood poverty. You're the
party of greed, selfishness, cruelty,
and self importance. You're not
conservatives but sadists</t>
  </si>
  <si>
    <t xml:space="preserve">speakermccarthy
</t>
  </si>
  <si>
    <t>jboogiebrown
#morningjoe Wow?😃 #SteveRattner
get a #GoldStar🌟for being #correct
that #COMPETITION is the reason
for @amazon's dip in #profits,
&amp;amp; @Walmart is 1, reason without
even 1, chart!📊#AndAlsoToo, #HigherWages
#dude have given a breather to
us #WorkingClass, people who #PAY
#TAXES!🤑 https://t.co/KpRWOnGU1b</t>
  </si>
  <si>
    <t>john_piper01
@ClownWorld_ @Walmart had 3 billion
in theft 2022 We all pay…</t>
  </si>
  <si>
    <t>rekuuwu
@Volzuloof_ Nuh uh, Chia @awilddoggo_1
. You can get yours today @Walmart
, @Target , and locally at your
own Build-a-Fuuk locations. If
you have Complaints, or need any
refunds, email me @ buildafuukcorp@chiafuuk.com
and we can discuss it more. We
pride ourselves with great customer
service</t>
  </si>
  <si>
    <t xml:space="preserve">awilddoggo_1
</t>
  </si>
  <si>
    <t xml:space="preserve">volzuloof_
</t>
  </si>
  <si>
    <t>ejayarrow
Whoever had Beyoncé announcing
her world tour on their bingo card,
we bow down. 👑🐝🎶 #RENAISSANCEWorldTour</t>
  </si>
  <si>
    <t>fresh248_
@Walmart since when y’all started
picking and choosing to deliver
in residential areas????</t>
  </si>
  <si>
    <t>yourbestlifebiz
@shopifreaks @Shopify @Walmart
@amazon @mcuban @stripe @Google
And the plot thickens... Shopify
just officially added a Native
Integration directly into OpenAi
right inside Shopify Flow itself?!
Check it out here... https://t.co/DcZefDlPxk</t>
  </si>
  <si>
    <t xml:space="preserve">google
</t>
  </si>
  <si>
    <t xml:space="preserve">stripe
</t>
  </si>
  <si>
    <t xml:space="preserve">mcuban
</t>
  </si>
  <si>
    <t xml:space="preserve">shopifreaks
</t>
  </si>
  <si>
    <t>ninjacart
[Thread 2/4] In the limelight were
@NandanNilekani, Co-founder of
@Infosys and the driving force
behind India's Aadhar; Leigh Hopkins,
Regional CEO at @Walmart @subratamitra
Investing Partner at @Accel_India
and @raghugnandan Co-founder of
Taxi For Sure and the Founder of
Zolve https://t.co/njhHgAzAQc</t>
  </si>
  <si>
    <t xml:space="preserve">raghugnandan
</t>
  </si>
  <si>
    <t xml:space="preserve">accel_india
</t>
  </si>
  <si>
    <t xml:space="preserve">subratamitra
</t>
  </si>
  <si>
    <t xml:space="preserve">infosys
</t>
  </si>
  <si>
    <t xml:space="preserve">nandannilekani
</t>
  </si>
  <si>
    <t>karonwilson4
@omgpodcast22 @Walmart I ordered
on Sunday and got some delivered
on Monday.</t>
  </si>
  <si>
    <t>dannielvb9
@spaceaur0ras @Walmart @MileyCyrus
Yeah but "I forgive every word
you said" Flowers, 2023</t>
  </si>
  <si>
    <t>jeremysilbert
@finksta @Walmart One could argue
that your first mistake was ordering
a sink grate from Walmart…</t>
  </si>
  <si>
    <t>finksta
@JeremySilbert @Walmart True. I
blame Google, I was searching for
a very specific grate. Still, I
never knew companies could take
your money because you're a patient
customer. Maybe that's the secret
behind Walmart's success!</t>
  </si>
  <si>
    <t>jeyodin
Go pick up a @Saturday_am title
at @Walmart. HAMMER should be next
to #SevenDeadlySins https://t.co/y3O3uNwGPU</t>
  </si>
  <si>
    <t>saturday_am
Go pick up a @Saturday_am title
at @Walmart. HAMMER should be next
to #SevenDeadlySins https://t.co/y3O3uNwGPU</t>
  </si>
  <si>
    <t>sterlingcat1200
@confluentinc Replenishment? Not,
always out of stuff everytime I
shop online or at delivery. Thinking
about shopping where there are
decent managers to keep things
stocked. @Walmart</t>
  </si>
  <si>
    <t xml:space="preserve">confluentinc
</t>
  </si>
  <si>
    <t>bmlfowler
@Walmart so Walmart is banning
people for not showing receipts
now? Last time I checked this wasn’t
sams club</t>
  </si>
  <si>
    <t>imrajat1
Flipkart is a fraud kart, i ordered
something from Flipkart and found
that the product was used before,
so i made a return but somehow
my return was cancelled and query
shown resolved.. what is this @flipkartsupport
@Flipkart @WalmartWorld @Walmart</t>
  </si>
  <si>
    <t>whodo66712820
@Walmart opposes #SchoolChoice
for their customers and employees
in Virginia. Demand @SpeakerGilbert
bring it to a floor vote NOW. @PACTstopcrt
@SUV_GOP @Virginia10GOP @Moms4LibLoudoun</t>
  </si>
  <si>
    <t xml:space="preserve">moms4libloudoun
</t>
  </si>
  <si>
    <t xml:space="preserve">virginia10gop
</t>
  </si>
  <si>
    <t xml:space="preserve">suv_gop
</t>
  </si>
  <si>
    <t xml:space="preserve">pactstopcrt
</t>
  </si>
  <si>
    <t xml:space="preserve">speakergilbert
</t>
  </si>
  <si>
    <t>jenneccentric
My dog kept staring at that guy
on the roof of the @Walmart over
there. 1/3 https://t.co/KqaCkmEfqN</t>
  </si>
  <si>
    <t>laurelworlds
Why does it take two tries to get
a @Walmart delivery anymore? Second
week in a row my order is not arriving
and likely will have to try again
on another day.</t>
  </si>
  <si>
    <t>hinataswish
Cancelling my @Walmart + subscription
cause why they trying to make me
pay $35 cause I only want a box
of brownies 💀 https://t.co/BPxeuH24eB</t>
  </si>
  <si>
    <t>richlandrams
Congrats to RHS Student of the Month Winners for
January. 12-Jenna Rucosky 11-Jillian
Fetsko 10-Savannah Artim 9-Spencer
Kovalsky 8-Dakota Titus 7-Liam
George Winners receive prizes from
@814games, @pbrosjohnstown, @Sheetz,
@Starbucks, @Walmart, @RichlandCinemas,
and O'Sheas https://t.co/NC8R871Pbx</t>
  </si>
  <si>
    <t xml:space="preserve">richlandcinemas
</t>
  </si>
  <si>
    <t xml:space="preserve">starbucks
</t>
  </si>
  <si>
    <t xml:space="preserve">sheetz
</t>
  </si>
  <si>
    <t xml:space="preserve">pbrosjohnstown
</t>
  </si>
  <si>
    <t xml:space="preserve">814games
</t>
  </si>
  <si>
    <t>cxrioxs
Just a reminder via our girl @MileyCyrus
that you can buy yourself flowers
this Valentine's Day. 😘💐</t>
  </si>
  <si>
    <t>arielinvests
We partnered with @Healthcare_ABC,
@Amgen, @BallmerGroup, Hobson/Lucas
Family Foundation, @Lowes, @Merck,
@nexteraenergy, @NuveenInv, Qatar
Investment Authority, @salesforce,
@synchrony, @TruistNews, @Walmart
and @jpmorgan.</t>
  </si>
  <si>
    <t>dextercmason
We partnered with @Healthcare_ABC,
@Amgen, @BallmerGroup, Hobson/Lucas
Family Foundation, @Lowes, @Merck,
@nexteraenergy, @NuveenInv, Qatar
Investment Authority, @salesforce,
@synchrony, @TruistNews, @Walmart
and @jpmorgan.</t>
  </si>
  <si>
    <t>garzanil
@Walmart @MileyCyrus I sure will!!
And a gift as well like every year🙄</t>
  </si>
  <si>
    <t>the_og_hipiap
@wendyc78757 @JuddLegum @kroger
@Walmart @HEB @HEB uses @AlliedUniversal
Armed Guard at the Plano and Frisco
locations.</t>
  </si>
  <si>
    <t xml:space="preserve">allieduniversal
</t>
  </si>
  <si>
    <t xml:space="preserve">juddlegum
</t>
  </si>
  <si>
    <t xml:space="preserve">wendyc78757
</t>
  </si>
  <si>
    <t>yuupisaidthat
Are @Walmart workers not allowed
to talk to customers? Like, is
it policy? Because they will look
you dead in the eye as they pass
you and say NOTHING. 😂 It's almost
like rudeness is a qualification.</t>
  </si>
  <si>
    <t>bluegone
@Walmart why would your associates
at the Sandersville store fire
a hardworking mother who goes above
and beyond, on time, works late
when needed who is trying to provide
for her family and disabled husband?</t>
  </si>
  <si>
    <t>whas11hasch
30 years of smiles: The Walmart
employee pushing equal amounts
of carts and kindness https://t.co/NECnK392Ty
@Walmart Remember Luke? @shelbycountysch
@RocketPrincipal</t>
  </si>
  <si>
    <t xml:space="preserve">rocketprincipal
</t>
  </si>
  <si>
    <t xml:space="preserve">shelbycountysch
</t>
  </si>
  <si>
    <t>jayelucky
That Fresh $150 free delivery minimum
is looking pretty stale right about
now. 😵‍💫 https://t.co/q8EVmYa6w2</t>
  </si>
  <si>
    <t>angel_kidwell
@Walmart @MileyCyrus Umm no, this
smiler will be going to Target.
https://t.co/UZlzGJm96c</t>
  </si>
  <si>
    <t>francbenphoto
@Walmart @Walmart hello?</t>
  </si>
  <si>
    <t>artiedraws
@Walmart hi can I talk to someone
?</t>
  </si>
  <si>
    <t>realneustreet
ALSO, most ecomm platforms like
@amazon @eBay and @Walmart are
building live commerce Fanatics
has hired Nick Bell, previously
Snap's global head of Content and
Partnerships, to run Fanatics Live
So can Fanatics compete well in
this crowded market? https://t.co/S0iTdFlIw2</t>
  </si>
  <si>
    <t>shreyashgupta55
@Walmart Oh absolutely! Watched
Top Gun on the first day of signing
up.</t>
  </si>
  <si>
    <t>elinamaffeo
The Runway Looks is now available
at Walmart! @Walmart https://t.co/4CwH0GKRH2</t>
  </si>
  <si>
    <t>onceatweeter
@Walmart FedEx lost a delivery
in their warehouse two weeks ago
which included a Walmart gift card.
How do I find out if and when/where
the gift card was used? Please
DM. The toll free number doesn’t
help. Thanks!</t>
  </si>
  <si>
    <t>nando052705
@drpepper I would think @Walmart
can roll that price back a few
bucks! https://t.co/b3FPhpDB5j</t>
  </si>
  <si>
    <t>juanteddoa
I really really wanted to try @NoCow
&amp;amp; have it be a good alternative
to all the protein bars/snacks/etc.
out there. I purchased the chocolate
chip peanut butter bars from @Walmart.
Unfortunately, they’re awful it’s
like eating chalky playdoh. I’m
powering through them, but 👎🏼</t>
  </si>
  <si>
    <t xml:space="preserve">nocow
</t>
  </si>
  <si>
    <t>yahairardz_
The perfect nude lips for any makeup
look 🤎 @__makeupbysel__ is wearing
our Lipliner Pencil in 'Cappuccino
😍 Select shades available at select
@walmart stores! https://t.co/qARZEPBimD</t>
  </si>
  <si>
    <t>thepennyhoarder
Starting Feb. 28, @Amazon Prime
members will need to spend at least
$150 to qualify for free grocery
delivery. Is @Walmart Plus a better
deal?🤔 https://t.co/NZnmnxPlfH</t>
  </si>
  <si>
    <t>nancykirkbride3
@thepennyhoarder @amazon @Walmart
I shop at a grocery store just
a few stores down from a Walmart.
I do not see as a general rule
that Walmart is more than a penny
or so less than the grocery store
per the items I buy.</t>
  </si>
  <si>
    <t>uslynnukandrew
@Walmart you have an idea how much
pain and loss of time you caused
me today? Auto renew on Walmart
+ was awful!!!!! Auto renew doesn’t
mean I have to do stuff!!</t>
  </si>
  <si>
    <t>sber2dth
@Walmart @touchtonegay why didn't
u tag me walmart i love u</t>
  </si>
  <si>
    <t>GraphSource░TwitterSearch▓GraphTerm░@Walmart lang:en▓ImportDescription░The graph represents a network of 1,350 Twitter users whose recent tweets contained "@Walmart lang:en", or who were replied to or mentioned in those tweets, taken from a data set limited to a maximum of 1,000 tweets.  The network was obtained from Twitter on Thursday, 02 February 2023 at 14:37 UTC._x000D_
_x000D_
The tweets in the network were tweeted over the 1-day, 7-hour, 52-minute period from Wednesday, 01 February 2023 at 06:42 UTC to Thursday, 02 February 2023 at 14:35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"mentions".▓ImportSuggestedTitle░@Walmart lang:en Twitter NodeXL SNA Map and Report for Thursday, 02 February 2023 at 14:35 UTC▓ImportSuggestedFileNameNoExtension░2023-02-02 14-35-44 NodeXL Twitter Search @Walmart lang:en</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</si>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</sst>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0">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22" fontId="0" fillId="0" borderId="0" xfId="0" applyNumberFormat="1"/>
    <xf numFmtId="0" fontId="13" fillId="0" borderId="0" xfId="9" applyFill="1" applyAlignment="1"/>
    <xf numFmtId="0" fontId="0" fillId="0" borderId="0" xfId="0" quotePrefix="1"/>
    <xf numFmtId="0" fontId="13" fillId="0" borderId="0" xfId="9" applyAlignment="1"/>
    <xf numFmtId="14" fontId="0" fillId="0" borderId="0" xfId="0" applyNumberForma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16" fontId="0" fillId="0" borderId="0" xfId="0" applyNumberFormat="1"/>
    <xf numFmtId="0" fontId="13" fillId="5" borderId="1" xfId="9" applyNumberFormat="1" applyFill="1" applyBorder="1" applyAlignment="1"/>
    <xf numFmtId="0" fontId="13" fillId="5" borderId="11" xfId="9" applyNumberFormat="1" applyFill="1" applyBorder="1" applyAlignment="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62">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61"/>
      <tableStyleElement type="headerRow" dxfId="160"/>
    </tableStyle>
    <tableStyle name="NodeXL Table" pivot="0" count="1" xr9:uid="{00000000-0011-0000-FFFF-FFFF01000000}">
      <tableStyleElement type="headerRow" dxfId="15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96E6-47E9-863B-330D988A66ED}"/>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08F-4825-B80D-B54F6AFD032D}"/>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1B6-4D45-9B1E-E06BAA31C0BB}"/>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3CF-47F0-8796-5E874E596C14}"/>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C8E-4212-B1BF-8E95E9DE63E0}"/>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2D4C-4A92-8BF3-0BA6DE9CBACE}"/>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A4C-49C2-B25F-BE417DC171DD}"/>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F28-450F-936A-42D0065D8399}"/>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EA7-4AC9-980E-8B899DC1270C}"/>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B2835" totalsRowShown="0" headerRowDxfId="158" dataDxfId="157">
  <autoFilter ref="A2:BB2835" xr:uid="{00000000-0009-0000-0100-000001000000}"/>
  <sortState xmlns:xlrd2="http://schemas.microsoft.com/office/spreadsheetml/2017/richdata2" ref="A3:BB2835">
    <sortCondition ref="S2:S2835"/>
  </sortState>
  <tableColumns count="54">
    <tableColumn id="1" xr3:uid="{00000000-0010-0000-0000-000001000000}" name="Vertex 1" dataDxfId="156" dataCellStyle="NodeXL Required"/>
    <tableColumn id="2" xr3:uid="{00000000-0010-0000-0000-000002000000}" name="Vertex 2" dataDxfId="155" dataCellStyle="NodeXL Required"/>
    <tableColumn id="3" xr3:uid="{00000000-0010-0000-0000-000003000000}" name="Color" dataDxfId="154" dataCellStyle="NodeXL Visual Property"/>
    <tableColumn id="4" xr3:uid="{00000000-0010-0000-0000-000004000000}" name="Width" dataDxfId="153" dataCellStyle="NodeXL Visual Property"/>
    <tableColumn id="11" xr3:uid="{00000000-0010-0000-0000-00000B000000}" name="Style" dataDxfId="152" dataCellStyle="NodeXL Visual Property"/>
    <tableColumn id="5" xr3:uid="{00000000-0010-0000-0000-000005000000}" name="Opacity" dataDxfId="151" dataCellStyle="NodeXL Visual Property"/>
    <tableColumn id="6" xr3:uid="{00000000-0010-0000-0000-000006000000}" name="Visibility" dataDxfId="150" dataCellStyle="NodeXL Visual Property"/>
    <tableColumn id="10" xr3:uid="{00000000-0010-0000-0000-00000A000000}" name="Label" dataDxfId="149" dataCellStyle="NodeXL Label"/>
    <tableColumn id="12" xr3:uid="{00000000-0010-0000-0000-00000C000000}" name="Label Text Color" dataDxfId="148" dataCellStyle="NodeXL Label"/>
    <tableColumn id="13" xr3:uid="{00000000-0010-0000-0000-00000D000000}" name="Label Font Size" dataDxfId="147" dataCellStyle="NodeXL Label"/>
    <tableColumn id="14" xr3:uid="{00000000-0010-0000-0000-00000E000000}" name="Reciprocated?" dataDxfId="146" dataCellStyle="NodeXL Graph Metric"/>
    <tableColumn id="7" xr3:uid="{00000000-0010-0000-0000-000007000000}" name="ID" dataDxfId="145" dataCellStyle="NodeXL Do Not Edit"/>
    <tableColumn id="9" xr3:uid="{00000000-0010-0000-0000-000009000000}" name="Dynamic Filter" dataDxfId="144" dataCellStyle="NodeXL Do Not Edit"/>
    <tableColumn id="8" xr3:uid="{00000000-0010-0000-0000-000008000000}" name="Add Your Own Columns Here" dataDxfId="143" dataCellStyle="NodeXL Other Column"/>
    <tableColumn id="15" xr3:uid="{E9517A43-C829-4EEC-9BAF-2B92756888CD}" name="Relationship" dataDxfId="142" dataCellStyle="Normal"/>
    <tableColumn id="16" xr3:uid="{CB6568E2-D43E-427B-8D74-2799D5E5DBB2}" name="Relationship Date (UTC)" dataDxfId="141" dataCellStyle="Normal"/>
    <tableColumn id="17" xr3:uid="{111EE856-FCE0-407D-9919-5B86165643C9}" name="Tweet" dataDxfId="140" dataCellStyle="Normal"/>
    <tableColumn id="18" xr3:uid="{A409CF5D-C58C-4926-9582-0D1447A7DA45}" name="URLs in Tweet" dataDxfId="139" dataCellStyle="Normal"/>
    <tableColumn id="19" xr3:uid="{C873A262-5782-41E4-BE97-BC783F514EC1}" name="Domains in Tweet" dataDxfId="138" dataCellStyle="Normal"/>
    <tableColumn id="20" xr3:uid="{32B5E09F-6252-4845-8994-FC4B195ACDBF}" name="Hashtags in Tweet" dataDxfId="137" dataCellStyle="Normal"/>
    <tableColumn id="21" xr3:uid="{294E7E0E-7EA1-4EBD-8A83-C2AC40C5E742}" name="Media in Tweet" dataDxfId="136" dataCellStyle="Normal"/>
    <tableColumn id="22" xr3:uid="{3E096257-CB9C-4C17-B0E9-DA818B240FD4}" name="Tweet Image File" dataDxfId="135" dataCellStyle="Normal"/>
    <tableColumn id="23" xr3:uid="{045DDB42-863F-4DEB-B7F8-F7D1E4B995F6}" name="Tweet Date (UTC)" dataDxfId="134" dataCellStyle="Normal"/>
    <tableColumn id="24" xr3:uid="{D4FC35F6-574D-4C98-8F0D-A8D7C6740F02}" name="Date" dataDxfId="133" dataCellStyle="Normal"/>
    <tableColumn id="25" xr3:uid="{C6CE726D-959E-47F8-BAD0-CF50204B3B42}" name="Time" dataDxfId="132" dataCellStyle="Normal"/>
    <tableColumn id="26" xr3:uid="{221D7219-C84E-4BC1-8202-46B5B6C678E3}" name="Twitter Page for Tweet" dataDxfId="131" dataCellStyle="Normal"/>
    <tableColumn id="27" xr3:uid="{1D41ECAA-F44D-4E5C-8A43-EA285993C093}" name="Latitude" dataDxfId="130" dataCellStyle="Normal"/>
    <tableColumn id="28" xr3:uid="{0EB440C1-5182-4D6E-B3B8-ACAEA0C10523}" name="Longitude" dataDxfId="129" dataCellStyle="Normal"/>
    <tableColumn id="29" xr3:uid="{45B09D5E-51F7-4302-8AF4-18C996B36A71}" name="Imported ID" dataDxfId="128" dataCellStyle="Normal"/>
    <tableColumn id="30" xr3:uid="{A7432F5D-045E-4632-8FA9-AEF1EAB8FA6C}" name="In-Reply-To Tweet ID" dataDxfId="127" dataCellStyle="Normal"/>
    <tableColumn id="31" xr3:uid="{871E5353-C1D2-4305-9B10-015D829ACFE5}" name="Favorited" dataDxfId="126" dataCellStyle="Normal"/>
    <tableColumn id="32" xr3:uid="{906661E4-3DA0-4267-BDE7-DE9296AAA02D}" name="Favorite Count" dataDxfId="125" dataCellStyle="Normal"/>
    <tableColumn id="33" xr3:uid="{112E70AF-C0EB-416F-8B4A-CB8B56BFACD3}" name="In-Reply-To User ID" dataDxfId="124" dataCellStyle="Normal"/>
    <tableColumn id="34" xr3:uid="{24C62EFA-A1F4-4ED0-AB15-63F18057E466}" name="Is Quote Status" dataDxfId="123" dataCellStyle="Normal"/>
    <tableColumn id="35" xr3:uid="{6EF43308-3A01-467D-A928-78462BEDF4BA}" name="Language" dataDxfId="122" dataCellStyle="Normal"/>
    <tableColumn id="36" xr3:uid="{140EC687-E75F-4DCA-B11E-A520A8985F39}" name="Possibly Sensitive" dataDxfId="121" dataCellStyle="Normal"/>
    <tableColumn id="37" xr3:uid="{9C660DDB-78E1-4D16-AA25-3686ACC870E4}" name="Quoted Status ID" dataDxfId="120" dataCellStyle="Normal"/>
    <tableColumn id="38" xr3:uid="{50D3058C-23F3-40C2-A5E9-2BAD57ADB338}" name="Retweeted" dataDxfId="119" dataCellStyle="Normal"/>
    <tableColumn id="39" xr3:uid="{A9152C79-1E57-4ED1-A2C2-EAFF3150456B}" name="Retweet Count" dataDxfId="118" dataCellStyle="Normal"/>
    <tableColumn id="40" xr3:uid="{83AB56D0-4F79-4491-9064-F876998D9FE3}" name="Retweet ID" dataDxfId="117" dataCellStyle="Normal"/>
    <tableColumn id="41" xr3:uid="{1716143D-DC4D-4B13-809F-31D495C57A39}" name="Source" dataDxfId="116" dataCellStyle="Normal"/>
    <tableColumn id="42" xr3:uid="{830B90BF-E3C0-41A9-8220-EEDF36DAA89B}" name="Truncated" dataDxfId="115" dataCellStyle="Normal"/>
    <tableColumn id="43" xr3:uid="{8FC7D0C8-BF3C-4226-A372-1544378C1131}" name="Unified Twitter ID" dataDxfId="114" dataCellStyle="Normal"/>
    <tableColumn id="44" xr3:uid="{806B58E6-379D-473A-96CC-00D554BC224D}" name="Imported Tweet Type" dataDxfId="113" dataCellStyle="Normal"/>
    <tableColumn id="45" xr3:uid="{A0184574-F0BA-44EC-B20F-7AD82EF3E9C2}" name="Added By Extended Analysis" dataDxfId="112" dataCellStyle="Normal"/>
    <tableColumn id="46" xr3:uid="{85FC0583-AE68-4CB0-A586-056742B14DFA}" name="Corrected By Extended Analysis" dataDxfId="111" dataCellStyle="Normal"/>
    <tableColumn id="47" xr3:uid="{70436003-2F71-4982-9F7C-7E66A6F2948E}" name="Place Bounding Box" dataDxfId="110" dataCellStyle="Normal"/>
    <tableColumn id="48" xr3:uid="{B1931C8C-E7AE-48B9-8850-64F1FF6C0410}" name="Place Country" dataDxfId="109" dataCellStyle="Normal"/>
    <tableColumn id="49" xr3:uid="{CF253597-D882-479B-BCB3-8F87C2BD3936}" name="Place Country Code" dataDxfId="108" dataCellStyle="Normal"/>
    <tableColumn id="50" xr3:uid="{82D393D2-DE41-4A07-83FF-65F6AC155D3C}" name="Place Full Name" dataDxfId="107" dataCellStyle="Normal"/>
    <tableColumn id="51" xr3:uid="{84985AD6-5132-4927-B40D-35A4F8466F8C}" name="Place ID" dataDxfId="106" dataCellStyle="Normal"/>
    <tableColumn id="52" xr3:uid="{0E89E26D-8766-450C-BDFD-AA4FC12F2C3A}" name="Place Name" dataDxfId="105" dataCellStyle="Normal"/>
    <tableColumn id="53" xr3:uid="{F68E2730-B13B-4245-B427-4AC258A5F62B}" name="Place Type" dataDxfId="104" dataCellStyle="Normal"/>
    <tableColumn id="54" xr3:uid="{4F391803-5394-4ECE-B457-B84A82A8FEE6}" name="Place URL" dataDxfId="103"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Z1352" totalsRowShown="0" headerRowDxfId="102" dataDxfId="101">
  <autoFilter ref="A2:AZ1352" xr:uid="{00000000-0009-0000-0100-000002000000}"/>
  <sortState xmlns:xlrd2="http://schemas.microsoft.com/office/spreadsheetml/2017/richdata2" ref="A3:AZ1352">
    <sortCondition descending="1" ref="AG2:AG1352"/>
  </sortState>
  <tableColumns count="52">
    <tableColumn id="1" xr3:uid="{00000000-0010-0000-0100-000001000000}" name="Vertex" dataDxfId="100" dataCellStyle="NodeXL Required"/>
    <tableColumn id="2" xr3:uid="{00000000-0010-0000-0100-000002000000}" name="Color" dataDxfId="99" dataCellStyle="NodeXL Visual Property"/>
    <tableColumn id="5" xr3:uid="{00000000-0010-0000-0100-000005000000}" name="Shape" dataDxfId="98" dataCellStyle="NodeXL Visual Property"/>
    <tableColumn id="6" xr3:uid="{00000000-0010-0000-0100-000006000000}" name="Size" dataDxfId="97" dataCellStyle="NodeXL Visual Property"/>
    <tableColumn id="4" xr3:uid="{00000000-0010-0000-0100-000004000000}" name="Opacity" dataDxfId="96" dataCellStyle="NodeXL Visual Property"/>
    <tableColumn id="7" xr3:uid="{00000000-0010-0000-0100-000007000000}" name="Image File" dataDxfId="95" dataCellStyle="NodeXL Visual Property"/>
    <tableColumn id="3" xr3:uid="{00000000-0010-0000-0100-000003000000}" name="Visibility" dataDxfId="94" dataCellStyle="NodeXL Visual Property"/>
    <tableColumn id="10" xr3:uid="{00000000-0010-0000-0100-00000A000000}" name="Label" dataDxfId="93" dataCellStyle="NodeXL Label"/>
    <tableColumn id="16" xr3:uid="{00000000-0010-0000-0100-000010000000}" name="Label Fill Color" dataDxfId="92" dataCellStyle="NodeXL Label"/>
    <tableColumn id="9" xr3:uid="{00000000-0010-0000-0100-000009000000}" name="Label Position" dataDxfId="91" dataCellStyle="NodeXL Label"/>
    <tableColumn id="8" xr3:uid="{00000000-0010-0000-0100-000008000000}" name="Tooltip" dataDxfId="90" dataCellStyle="NodeXL Label"/>
    <tableColumn id="18" xr3:uid="{00000000-0010-0000-0100-000012000000}" name="Layout Order" dataDxfId="89" dataCellStyle="NodeXL Layout"/>
    <tableColumn id="13" xr3:uid="{00000000-0010-0000-0100-00000D000000}" name="X" dataDxfId="88" dataCellStyle="NodeXL Layout"/>
    <tableColumn id="14" xr3:uid="{00000000-0010-0000-0100-00000E000000}" name="Y" dataDxfId="87" dataCellStyle="NodeXL Layout"/>
    <tableColumn id="12" xr3:uid="{00000000-0010-0000-0100-00000C000000}" name="Locked?" dataDxfId="86" dataCellStyle="NodeXL Layout"/>
    <tableColumn id="19" xr3:uid="{00000000-0010-0000-0100-000013000000}" name="Polar R" dataDxfId="85" dataCellStyle="NodeXL Layout"/>
    <tableColumn id="20" xr3:uid="{00000000-0010-0000-0100-000014000000}" name="Polar Angle" dataDxfId="84" dataCellStyle="NodeXL Layout"/>
    <tableColumn id="21" xr3:uid="{00000000-0010-0000-0100-000015000000}" name="Degree" dataDxfId="83" dataCellStyle="NodeXL Graph Metric"/>
    <tableColumn id="22" xr3:uid="{00000000-0010-0000-0100-000016000000}" name="In-Degree" dataDxfId="82" dataCellStyle="NodeXL Graph Metric"/>
    <tableColumn id="23" xr3:uid="{00000000-0010-0000-0100-000017000000}" name="Out-Degree" dataDxfId="81" dataCellStyle="NodeXL Graph Metric"/>
    <tableColumn id="24" xr3:uid="{00000000-0010-0000-0100-000018000000}" name="Betweenness Centrality" dataDxfId="80" dataCellStyle="NodeXL Graph Metric"/>
    <tableColumn id="25" xr3:uid="{00000000-0010-0000-0100-000019000000}" name="Closeness Centrality" dataDxfId="79" dataCellStyle="NodeXL Graph Metric"/>
    <tableColumn id="26" xr3:uid="{00000000-0010-0000-0100-00001A000000}" name="Eigenvector Centrality" dataDxfId="78" dataCellStyle="NodeXL Graph Metric"/>
    <tableColumn id="15" xr3:uid="{00000000-0010-0000-0100-00000F000000}" name="PageRank" dataDxfId="77" dataCellStyle="NodeXL Graph Metric"/>
    <tableColumn id="27" xr3:uid="{00000000-0010-0000-0100-00001B000000}" name="Clustering Coefficient" dataDxfId="76" dataCellStyle="NodeXL Graph Metric"/>
    <tableColumn id="29" xr3:uid="{00000000-0010-0000-0100-00001D000000}" name="Reciprocated Vertex Pair Ratio" dataDxfId="75" dataCellStyle="NodeXL Graph Metric"/>
    <tableColumn id="11" xr3:uid="{00000000-0010-0000-0100-00000B000000}" name="ID" dataDxfId="74" dataCellStyle="NodeXL Do Not Edit"/>
    <tableColumn id="28" xr3:uid="{00000000-0010-0000-0100-00001C000000}" name="Dynamic Filter" dataDxfId="73" dataCellStyle="NodeXL Do Not Edit"/>
    <tableColumn id="17" xr3:uid="{00000000-0010-0000-0100-000011000000}" name="Add Your Own Columns Here" dataDxfId="72" dataCellStyle="NodeXL Other Column"/>
    <tableColumn id="30" xr3:uid="{CEDE6D88-2BEB-488E-AF7E-A39A8C6A7B21}" name="Name" dataDxfId="71" dataCellStyle="Normal"/>
    <tableColumn id="31" xr3:uid="{8F6D075C-1113-4B6D-8653-E6086EAC6313}" name="User ID" dataDxfId="70" dataCellStyle="Normal"/>
    <tableColumn id="32" xr3:uid="{80D7FBAF-7518-4472-9255-0DC9E99B5AF9}" name="Followed" dataDxfId="69" dataCellStyle="Normal"/>
    <tableColumn id="33" xr3:uid="{B126541F-9155-4832-9D23-6A948060661E}" name="Followers" dataDxfId="68" dataCellStyle="Normal"/>
    <tableColumn id="34" xr3:uid="{25A8360C-42CD-4984-9362-92AFA5C4DFA4}" name="Tweets" dataDxfId="67" dataCellStyle="Normal"/>
    <tableColumn id="35" xr3:uid="{9CE59A60-2368-40B5-AE5B-E2527DCDE5E7}" name="Favorites" dataDxfId="66" dataCellStyle="Normal"/>
    <tableColumn id="36" xr3:uid="{B37A3FC2-64A0-443A-8B98-1A364D692249}" name="Time Zone UTC Offset (Seconds)" dataDxfId="65" dataCellStyle="Normal"/>
    <tableColumn id="37" xr3:uid="{5D30E127-B3D6-4B2A-85D6-22CF9573D11C}" name="Description" dataDxfId="64" dataCellStyle="Normal"/>
    <tableColumn id="38" xr3:uid="{A409CAAF-ACB6-4612-AADE-BE5CCF841C31}" name="Location" dataDxfId="63" dataCellStyle="Normal"/>
    <tableColumn id="39" xr3:uid="{304A4CA0-9F14-40A2-BBC5-6D3EA8E26F8F}" name="Web" dataDxfId="62" dataCellStyle="Normal"/>
    <tableColumn id="40" xr3:uid="{E0DFD811-FAB3-4775-9D2E-F7B232C9C43D}" name="Time Zone" dataDxfId="61" dataCellStyle="Normal"/>
    <tableColumn id="41" xr3:uid="{AA6FB274-9F89-4CF8-9C3D-197356B534ED}" name="Joined Twitter Date (UTC)" dataDxfId="60" dataCellStyle="Normal"/>
    <tableColumn id="42" xr3:uid="{2272201D-0CDD-4446-8AE1-FFC845861E67}" name="Profile Banner Url" dataDxfId="59" dataCellStyle="Normal"/>
    <tableColumn id="43" xr3:uid="{6509B96F-57E1-4C21-989B-6B0B7BF0CD9E}" name="Default Profile" dataDxfId="58" dataCellStyle="Normal"/>
    <tableColumn id="44" xr3:uid="{F7647E5C-A6EF-43AD-A00E-A2C1A1D0DE10}" name="Default Profile Image" dataDxfId="57" dataCellStyle="Normal"/>
    <tableColumn id="45" xr3:uid="{9AD934AB-0A42-4570-B08F-E39CE412E378}" name="Geo Enabled" dataDxfId="56" dataCellStyle="Normal"/>
    <tableColumn id="46" xr3:uid="{DF771E6F-CA34-416B-88C7-D5AB3F886D70}" name="Language" dataDxfId="55" dataCellStyle="Normal"/>
    <tableColumn id="47" xr3:uid="{7373A2C1-8D19-40AB-8FE7-2FD667A301FE}" name="Listed Count" dataDxfId="54" dataCellStyle="Normal"/>
    <tableColumn id="48" xr3:uid="{D8D454D8-A26A-4314-A2C7-6603EB4A7B27}" name="Profile Background Image Url" dataDxfId="53" dataCellStyle="Normal"/>
    <tableColumn id="49" xr3:uid="{8AD052EB-A25B-4E7B-84B8-B4758696CAA9}" name="Verified" dataDxfId="52" dataCellStyle="Normal"/>
    <tableColumn id="50" xr3:uid="{4F1AC31B-691D-45DB-99E9-1008787F3581}" name="Custom Menu Item Text" dataDxfId="51" dataCellStyle="Normal"/>
    <tableColumn id="51" xr3:uid="{B19A55F2-E622-4DB6-9244-81B87AC0B621}" name="Custom Menu Item Action" dataDxfId="50" dataCellStyle="Normal"/>
    <tableColumn id="52" xr3:uid="{58FEFE5F-145F-4C40-B3BC-6A8BB80D53B0}" name="Tweeted Search Term?" dataDxfId="4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48">
  <autoFilter ref="A2:X3" xr:uid="{00000000-0009-0000-0100-000004000000}"/>
  <tableColumns count="24">
    <tableColumn id="1" xr3:uid="{00000000-0010-0000-0200-000001000000}" name="Group" dataDxfId="47" dataCellStyle="NodeXL Required"/>
    <tableColumn id="2" xr3:uid="{00000000-0010-0000-0200-000002000000}" name="Vertex Color" dataDxfId="46" dataCellStyle="NodeXL Visual Property"/>
    <tableColumn id="3" xr3:uid="{00000000-0010-0000-0200-000003000000}" name="Vertex Shape" dataDxfId="45" dataCellStyle="NodeXL Visual Property"/>
    <tableColumn id="22" xr3:uid="{00000000-0010-0000-0200-000016000000}" name="Visibility" dataDxfId="44" dataCellStyle="NodeXL Visual Property"/>
    <tableColumn id="4" xr3:uid="{00000000-0010-0000-0200-000004000000}" name="Collapsed?" dataCellStyle="NodeXL Visual Property"/>
    <tableColumn id="18" xr3:uid="{00000000-0010-0000-0200-000012000000}" name="Label" dataDxfId="4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42" dataCellStyle="NodeXL Do Not Edit"/>
    <tableColumn id="19" xr3:uid="{00000000-0010-0000-0200-000013000000}" name="Collapsed Properties" dataDxfId="41" dataCellStyle="NodeXL Do Not Edit"/>
    <tableColumn id="5" xr3:uid="{00000000-0010-0000-0200-000005000000}" name="Vertices" dataDxfId="40" dataCellStyle="NodeXL Graph Metric"/>
    <tableColumn id="7" xr3:uid="{00000000-0010-0000-0200-000007000000}" name="Unique Edges" dataDxfId="39" dataCellStyle="NodeXL Graph Metric"/>
    <tableColumn id="8" xr3:uid="{00000000-0010-0000-0200-000008000000}" name="Edges With Duplicates" dataDxfId="38" dataCellStyle="NodeXL Graph Metric"/>
    <tableColumn id="9" xr3:uid="{00000000-0010-0000-0200-000009000000}" name="Total Edges" dataDxfId="37" dataCellStyle="NodeXL Graph Metric"/>
    <tableColumn id="10" xr3:uid="{00000000-0010-0000-0200-00000A000000}" name="Self-Loops" dataDxfId="36" dataCellStyle="NodeXL Graph Metric"/>
    <tableColumn id="24" xr3:uid="{00000000-0010-0000-0200-000018000000}" name="Reciprocated Vertex Pair Ratio" dataDxfId="35" dataCellStyle="NodeXL Graph Metric"/>
    <tableColumn id="25" xr3:uid="{00000000-0010-0000-0200-000019000000}" name="Reciprocated Edge Ratio" dataDxfId="34" dataCellStyle="NodeXL Graph Metric"/>
    <tableColumn id="11" xr3:uid="{00000000-0010-0000-0200-00000B000000}" name="Connected Components" dataDxfId="33" dataCellStyle="NodeXL Graph Metric"/>
    <tableColumn id="12" xr3:uid="{00000000-0010-0000-0200-00000C000000}" name="Single-Vertex Connected Components" dataDxfId="32" dataCellStyle="NodeXL Graph Metric"/>
    <tableColumn id="13" xr3:uid="{00000000-0010-0000-0200-00000D000000}" name="Maximum Vertices in a Connected Component" dataDxfId="31" dataCellStyle="NodeXL Graph Metric"/>
    <tableColumn id="14" xr3:uid="{00000000-0010-0000-0200-00000E000000}" name="Maximum Edges in a Connected Component" dataDxfId="30" dataCellStyle="NodeXL Graph Metric"/>
    <tableColumn id="15" xr3:uid="{00000000-0010-0000-0200-00000F000000}" name="Maximum Geodesic Distance (Diameter)" dataDxfId="29" dataCellStyle="NodeXL Graph Metric"/>
    <tableColumn id="16" xr3:uid="{00000000-0010-0000-0200-000010000000}" name="Average Geodesic Distance" dataDxfId="28" dataCellStyle="NodeXL Graph Metric"/>
    <tableColumn id="17" xr3:uid="{00000000-0010-0000-0200-000011000000}" name="Graph Density" dataDxfId="27"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26" dataDxfId="25">
  <autoFilter ref="A1:C2" xr:uid="{00000000-0009-0000-0100-000005000000}"/>
  <tableColumns count="3">
    <tableColumn id="1" xr3:uid="{00000000-0010-0000-0300-000001000000}" name="Group" dataDxfId="24"/>
    <tableColumn id="2" xr3:uid="{00000000-0010-0000-0300-000002000000}" name="Vertex" dataDxfId="23"/>
    <tableColumn id="3" xr3:uid="{00000000-0010-0000-0300-000003000000}" name="Vertex ID" dataDxfId="2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21" dataCellStyle="NodeXL Graph Metric"/>
    <tableColumn id="2" xr3:uid="{00000000-0010-0000-0400-000002000000}" name="Value" dataDxfId="20"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9"/>
    <tableColumn id="2" xr3:uid="{00000000-0010-0000-0500-000002000000}" name="Degree Frequency" dataDxfId="18">
      <calculatedColumnFormula>COUNTIF(Vertices[Degree], "&gt;= " &amp; D2) - COUNTIF(Vertices[Degree], "&gt;=" &amp; D3)</calculatedColumnFormula>
    </tableColumn>
    <tableColumn id="3" xr3:uid="{00000000-0010-0000-0500-000003000000}" name="In-Degree Bin" dataDxfId="17"/>
    <tableColumn id="4" xr3:uid="{00000000-0010-0000-0500-000004000000}" name="In-Degree Frequency" dataDxfId="16">
      <calculatedColumnFormula>COUNTIF(Vertices[In-Degree], "&gt;= " &amp; F2) - COUNTIF(Vertices[In-Degree], "&gt;=" &amp; F3)</calculatedColumnFormula>
    </tableColumn>
    <tableColumn id="5" xr3:uid="{00000000-0010-0000-0500-000005000000}" name="Out-Degree Bin" dataDxfId="15"/>
    <tableColumn id="6" xr3:uid="{00000000-0010-0000-0500-000006000000}" name="Out-Degree Frequency" dataDxfId="14">
      <calculatedColumnFormula>COUNTIF(Vertices[Out-Degree], "&gt;= " &amp; H2) - COUNTIF(Vertices[Out-Degree], "&gt;=" &amp; H3)</calculatedColumnFormula>
    </tableColumn>
    <tableColumn id="7" xr3:uid="{00000000-0010-0000-0500-000007000000}" name="Betweenness Centrality Bin" dataDxfId="13"/>
    <tableColumn id="8" xr3:uid="{00000000-0010-0000-0500-000008000000}" name="Betweenness Centrality Frequency" dataDxfId="12">
      <calculatedColumnFormula>COUNTIF(Vertices[Betweenness Centrality], "&gt;= " &amp; J2) - COUNTIF(Vertices[Betweenness Centrality], "&gt;=" &amp; J3)</calculatedColumnFormula>
    </tableColumn>
    <tableColumn id="9" xr3:uid="{00000000-0010-0000-0500-000009000000}" name="Closeness Centrality Bin" dataDxfId="11"/>
    <tableColumn id="10" xr3:uid="{00000000-0010-0000-0500-00000A000000}" name="Closeness Centrality Frequency" dataDxfId="10">
      <calculatedColumnFormula>COUNTIF(Vertices[Closeness Centrality], "&gt;= " &amp; L2) - COUNTIF(Vertices[Closeness Centrality], "&gt;=" &amp; L3)</calculatedColumnFormula>
    </tableColumn>
    <tableColumn id="11" xr3:uid="{00000000-0010-0000-0500-00000B000000}" name="Eigenvector Centrality Bin" dataDxfId="9"/>
    <tableColumn id="12" xr3:uid="{00000000-0010-0000-0500-00000C000000}" name="Eigenvector Centrality Frequency" dataDxfId="8">
      <calculatedColumnFormula>COUNTIF(Vertices[Eigenvector Centrality], "&gt;= " &amp; N2) - COUNTIF(Vertices[Eigenvector Centrality], "&gt;=" &amp; N3)</calculatedColumnFormula>
    </tableColumn>
    <tableColumn id="18" xr3:uid="{00000000-0010-0000-0500-000012000000}" name="PageRank Bin" dataDxfId="7"/>
    <tableColumn id="17" xr3:uid="{00000000-0010-0000-0500-000011000000}" name="PageRank Frequency" dataDxfId="6">
      <calculatedColumnFormula>COUNTIF(Vertices[Eigenvector Centrality], "&gt;= " &amp; P2) - COUNTIF(Vertices[Eigenvector Centrality], "&gt;=" &amp; P3)</calculatedColumnFormula>
    </tableColumn>
    <tableColumn id="13" xr3:uid="{00000000-0010-0000-0500-00000D000000}" name="Clustering Coefficient Bin" dataDxfId="5"/>
    <tableColumn id="14" xr3:uid="{00000000-0010-0000-0500-00000E000000}" name="Clustering Coefficient Frequency" dataDxfId="4">
      <calculatedColumnFormula>COUNTIF(Vertices[Clustering Coefficient], "&gt;= " &amp; R2) - COUNTIF(Vertices[Clustering Coefficient], "&gt;=" &amp; R3)</calculatedColumnFormula>
    </tableColumn>
    <tableColumn id="15" xr3:uid="{00000000-0010-0000-0500-00000F000000}" name="Dynamic Filter Bin" dataDxfId="3"/>
    <tableColumn id="16" xr3:uid="{00000000-0010-0000-0500-000010000000}" name="Dynamic Filter Frequency" dataDxfId="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0">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thepennyhoarder.com/save-money/walmart-plus-vs-amazon-prime/?aff_id=128&amp;utm_source=twitter&amp;utm_medium=social-organic&amp;utm_campaign=/save-money/walmart-plus-vs-amazon-prime/&amp;utm_content=20230202&amp;aff_sub3=/save-money/walmart-plus-vs-amazon-prime/_20230202_social-organic_twitter" TargetMode="External"/><Relationship Id="rId13" Type="http://schemas.openxmlformats.org/officeDocument/2006/relationships/comments" Target="../comments1.xml"/><Relationship Id="rId3" Type="http://schemas.openxmlformats.org/officeDocument/2006/relationships/hyperlink" Target="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TargetMode="External"/><Relationship Id="rId7" Type="http://schemas.openxmlformats.org/officeDocument/2006/relationships/hyperlink" Target="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TargetMode="External"/><Relationship Id="rId12" Type="http://schemas.openxmlformats.org/officeDocument/2006/relationships/table" Target="../tables/table1.xml"/><Relationship Id="rId2" Type="http://schemas.openxmlformats.org/officeDocument/2006/relationships/hyperlink" Target="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TargetMode="External"/><Relationship Id="rId1" Type="http://schemas.openxmlformats.org/officeDocument/2006/relationships/hyperlink" Target="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TargetMode="External"/><Relationship Id="rId6" Type="http://schemas.openxmlformats.org/officeDocument/2006/relationships/hyperlink" Target="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TargetMode="External"/><Relationship Id="rId11" Type="http://schemas.openxmlformats.org/officeDocument/2006/relationships/vmlDrawing" Target="../drawings/vmlDrawing1.vml"/><Relationship Id="rId5" Type="http://schemas.openxmlformats.org/officeDocument/2006/relationships/hyperlink" Target="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TargetMode="External"/><Relationship Id="rId10" Type="http://schemas.openxmlformats.org/officeDocument/2006/relationships/printerSettings" Target="../printerSettings/printerSettings1.bin"/><Relationship Id="rId4" Type="http://schemas.openxmlformats.org/officeDocument/2006/relationships/hyperlink" Target="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TargetMode="External"/><Relationship Id="rId9" Type="http://schemas.openxmlformats.org/officeDocument/2006/relationships/hyperlink" Target="https://www.thepennyhoarder.com/save-money/walmart-plus-vs-amazon-prime/?aff_id=128&amp;utm_source=twitter&amp;utm_medium=social-organic&amp;utm_campaign=/save-money/walmart-plus-vs-amazon-prime/&amp;utm_content=20230202&amp;aff_sub3=/save-money/walmart-plus-vs-amazon-prime/_20230202_social-organic_twitter"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2835"/>
  <sheetViews>
    <sheetView tabSelected="1" zoomScale="90" zoomScaleNormal="90" workbookViewId="0">
      <pane xSplit="2" ySplit="2" topLeftCell="N707" activePane="bottomRight" state="frozen"/>
      <selection pane="topRight" activeCell="C1" sqref="C1"/>
      <selection pane="bottomLeft" activeCell="A3" sqref="A3"/>
      <selection pane="bottomRight" activeCell="T595" sqref="T595"/>
    </sheetView>
  </sheetViews>
  <sheetFormatPr defaultRowHeight="14.25" x14ac:dyDescent="0.45"/>
  <cols>
    <col min="1" max="2" width="10.46484375" style="1" customWidth="1"/>
    <col min="3" max="3" width="7.86328125" bestFit="1" customWidth="1"/>
    <col min="4" max="4" width="8.6640625" style="2" bestFit="1" customWidth="1"/>
    <col min="5" max="5" width="7.6640625" style="2" bestFit="1" customWidth="1"/>
    <col min="6" max="6" width="9.86328125" style="2" bestFit="1" customWidth="1"/>
    <col min="7" max="7" width="11" bestFit="1" customWidth="1"/>
    <col min="8" max="8" width="8" style="1" bestFit="1" customWidth="1"/>
    <col min="9" max="9" width="12.33203125" bestFit="1" customWidth="1"/>
    <col min="10" max="10" width="12.46484375" bestFit="1" customWidth="1"/>
    <col min="11" max="11" width="15.53125" hidden="1" customWidth="1"/>
    <col min="12" max="12" width="11" hidden="1" customWidth="1"/>
    <col min="13" max="13" width="10.86328125" hidden="1" customWidth="1"/>
    <col min="14" max="14" width="16" bestFit="1" customWidth="1"/>
    <col min="15" max="16" width="12.6640625" bestFit="1" customWidth="1"/>
    <col min="17" max="17" width="7.796875" bestFit="1" customWidth="1"/>
    <col min="18" max="18" width="8.73046875" bestFit="1" customWidth="1"/>
    <col min="19" max="19" width="11.73046875" bestFit="1" customWidth="1"/>
    <col min="20" max="20" width="12" bestFit="1" customWidth="1"/>
    <col min="21" max="21" width="9.86328125" bestFit="1" customWidth="1"/>
    <col min="22" max="22" width="13.06640625" bestFit="1" customWidth="1"/>
    <col min="23" max="23" width="12" bestFit="1" customWidth="1"/>
    <col min="24" max="24" width="6.6640625" bestFit="1" customWidth="1"/>
    <col min="25" max="25" width="6.796875" bestFit="1" customWidth="1"/>
    <col min="26" max="26" width="12.9296875" bestFit="1" customWidth="1"/>
    <col min="27" max="27" width="9.3984375" bestFit="1" customWidth="1"/>
    <col min="28" max="28" width="10.73046875" bestFit="1" customWidth="1"/>
    <col min="29" max="29" width="12.33203125" bestFit="1" customWidth="1"/>
    <col min="30" max="30" width="11.86328125" bestFit="1" customWidth="1"/>
    <col min="31" max="31" width="10.33203125" bestFit="1" customWidth="1"/>
    <col min="32" max="32" width="9.33203125" bestFit="1" customWidth="1"/>
    <col min="33" max="33" width="11.86328125" bestFit="1" customWidth="1"/>
    <col min="34" max="34" width="9.53125" bestFit="1" customWidth="1"/>
    <col min="35" max="35" width="10.3984375" bestFit="1" customWidth="1"/>
    <col min="36" max="36" width="9.86328125" bestFit="1" customWidth="1"/>
    <col min="37" max="37" width="9.9296875" bestFit="1" customWidth="1"/>
    <col min="38" max="38" width="11.46484375" bestFit="1" customWidth="1"/>
    <col min="39" max="39" width="9.53125" bestFit="1" customWidth="1"/>
    <col min="40" max="40" width="11.6640625" bestFit="1" customWidth="1"/>
    <col min="41" max="41" width="8.19921875" bestFit="1" customWidth="1"/>
    <col min="42" max="42" width="10.86328125" bestFit="1" customWidth="1"/>
    <col min="43" max="43" width="10.796875" bestFit="1" customWidth="1"/>
    <col min="44" max="44" width="12" bestFit="1" customWidth="1"/>
    <col min="45" max="45" width="18.265625" bestFit="1" customWidth="1"/>
    <col min="46" max="46" width="17.1328125" bestFit="1" customWidth="1"/>
    <col min="47" max="47" width="15.06640625" bestFit="1" customWidth="1"/>
    <col min="48" max="48" width="9.1328125" bestFit="1" customWidth="1"/>
    <col min="49" max="49" width="13.73046875" bestFit="1" customWidth="1"/>
    <col min="50" max="50" width="10.33203125" bestFit="1" customWidth="1"/>
    <col min="51" max="51" width="9.19921875" bestFit="1" customWidth="1"/>
    <col min="52" max="52" width="7.59765625" bestFit="1" customWidth="1"/>
    <col min="53" max="53" width="11.265625" bestFit="1" customWidth="1"/>
    <col min="54" max="54" width="10.6640625" bestFit="1" customWidth="1"/>
  </cols>
  <sheetData>
    <row r="1" spans="1:54" x14ac:dyDescent="0.45">
      <c r="C1" s="15" t="s">
        <v>39</v>
      </c>
      <c r="D1" s="16"/>
      <c r="E1" s="16"/>
      <c r="F1" s="16"/>
      <c r="G1" s="15"/>
      <c r="H1" s="13" t="s">
        <v>43</v>
      </c>
      <c r="I1" s="50"/>
      <c r="J1" s="50"/>
      <c r="K1" s="31" t="s">
        <v>42</v>
      </c>
      <c r="L1" s="17" t="s">
        <v>40</v>
      </c>
      <c r="M1" s="17"/>
      <c r="N1" s="14" t="s">
        <v>41</v>
      </c>
    </row>
    <row r="2" spans="1:54" ht="30" customHeight="1" x14ac:dyDescent="0.4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row>
    <row r="3" spans="1:54" ht="15" customHeight="1" x14ac:dyDescent="0.45">
      <c r="A3" s="62" t="s">
        <v>297</v>
      </c>
      <c r="B3" s="62" t="s">
        <v>1113</v>
      </c>
      <c r="C3" s="63"/>
      <c r="D3" s="64"/>
      <c r="E3" s="65"/>
      <c r="F3" s="66"/>
      <c r="G3" s="63"/>
      <c r="H3" s="67"/>
      <c r="I3" s="68"/>
      <c r="J3" s="68"/>
      <c r="K3" s="32"/>
      <c r="L3" s="75"/>
      <c r="M3" s="75"/>
      <c r="N3" s="70"/>
      <c r="O3" t="s">
        <v>1568</v>
      </c>
      <c r="P3" s="76">
        <v>44958.583356481482</v>
      </c>
      <c r="Q3" t="s">
        <v>1640</v>
      </c>
      <c r="R3" s="77" t="str">
        <f>HYPERLINK("https://www.amazon.com/Cloudy-Mountain-Yilong-Zhu/dp/B0BNJVM5TG")</f>
        <v>https://www.amazon.com/Cloudy-Mountain-Yilong-Zhu/dp/B0BNJVM5TG</v>
      </c>
      <c r="S3" t="s">
        <v>2270</v>
      </c>
      <c r="T3" s="78" t="s">
        <v>2320</v>
      </c>
      <c r="V3" s="77" t="str">
        <f>HYPERLINK("https://pbs.twimg.com/profile_images/1613217956737224704/L-CylGVA_normal.jpg")</f>
        <v>https://pbs.twimg.com/profile_images/1613217956737224704/L-CylGVA_normal.jpg</v>
      </c>
      <c r="W3" s="76">
        <v>44958.583356481482</v>
      </c>
      <c r="X3" s="80">
        <v>44958</v>
      </c>
      <c r="Y3" s="78" t="s">
        <v>2506</v>
      </c>
      <c r="Z3" s="77" t="str">
        <f>HYPERLINK("https://twitter.com/chinalionfilm/status/1620784040331689984")</f>
        <v>https://twitter.com/chinalionfilm/status/1620784040331689984</v>
      </c>
      <c r="AC3" s="78" t="s">
        <v>3521</v>
      </c>
      <c r="AE3" t="b">
        <v>0</v>
      </c>
      <c r="AF3">
        <v>1</v>
      </c>
      <c r="AG3" s="78" t="s">
        <v>4640</v>
      </c>
      <c r="AH3" t="b">
        <v>0</v>
      </c>
      <c r="AI3" t="s">
        <v>4829</v>
      </c>
      <c r="AK3" s="78" t="s">
        <v>4640</v>
      </c>
      <c r="AL3" t="b">
        <v>0</v>
      </c>
      <c r="AM3">
        <v>0</v>
      </c>
      <c r="AN3" s="78" t="s">
        <v>4640</v>
      </c>
      <c r="AO3" s="78" t="s">
        <v>4851</v>
      </c>
      <c r="AP3" t="b">
        <v>0</v>
      </c>
      <c r="AQ3" s="78" t="s">
        <v>3521</v>
      </c>
      <c r="AR3" t="s">
        <v>179</v>
      </c>
      <c r="AS3">
        <v>0</v>
      </c>
      <c r="AT3">
        <v>0</v>
      </c>
    </row>
    <row r="4" spans="1:54" ht="15" customHeight="1" x14ac:dyDescent="0.45">
      <c r="A4" s="62" t="s">
        <v>297</v>
      </c>
      <c r="B4" s="62" t="s">
        <v>242</v>
      </c>
      <c r="C4" s="63"/>
      <c r="D4" s="64"/>
      <c r="E4" s="65"/>
      <c r="F4" s="66"/>
      <c r="G4" s="63"/>
      <c r="H4" s="67"/>
      <c r="I4" s="68"/>
      <c r="J4" s="68"/>
      <c r="K4" s="32"/>
      <c r="L4" s="75"/>
      <c r="M4" s="75"/>
      <c r="N4" s="70"/>
      <c r="O4" t="s">
        <v>1568</v>
      </c>
      <c r="P4" s="76">
        <v>44958.583356481482</v>
      </c>
      <c r="Q4" t="s">
        <v>1640</v>
      </c>
      <c r="R4" s="77" t="str">
        <f>HYPERLINK("https://www.amazon.com/Cloudy-Mountain-Yilong-Zhu/dp/B0BNJVM5TG")</f>
        <v>https://www.amazon.com/Cloudy-Mountain-Yilong-Zhu/dp/B0BNJVM5TG</v>
      </c>
      <c r="S4" t="s">
        <v>2270</v>
      </c>
      <c r="T4" s="78" t="s">
        <v>2320</v>
      </c>
      <c r="V4" s="77" t="str">
        <f>HYPERLINK("https://pbs.twimg.com/profile_images/1613217956737224704/L-CylGVA_normal.jpg")</f>
        <v>https://pbs.twimg.com/profile_images/1613217956737224704/L-CylGVA_normal.jpg</v>
      </c>
      <c r="W4" s="76">
        <v>44958.583356481482</v>
      </c>
      <c r="X4" s="80">
        <v>44958</v>
      </c>
      <c r="Y4" s="78" t="s">
        <v>2506</v>
      </c>
      <c r="Z4" s="77" t="str">
        <f>HYPERLINK("https://twitter.com/chinalionfilm/status/1620784040331689984")</f>
        <v>https://twitter.com/chinalionfilm/status/1620784040331689984</v>
      </c>
      <c r="AC4" s="78" t="s">
        <v>3521</v>
      </c>
      <c r="AE4" t="b">
        <v>0</v>
      </c>
      <c r="AF4">
        <v>1</v>
      </c>
      <c r="AG4" s="78" t="s">
        <v>4640</v>
      </c>
      <c r="AH4" t="b">
        <v>0</v>
      </c>
      <c r="AI4" t="s">
        <v>4829</v>
      </c>
      <c r="AK4" s="78" t="s">
        <v>4640</v>
      </c>
      <c r="AL4" t="b">
        <v>0</v>
      </c>
      <c r="AM4">
        <v>0</v>
      </c>
      <c r="AN4" s="78" t="s">
        <v>4640</v>
      </c>
      <c r="AO4" s="78" t="s">
        <v>4851</v>
      </c>
      <c r="AP4" t="b">
        <v>0</v>
      </c>
      <c r="AQ4" s="78" t="s">
        <v>3521</v>
      </c>
      <c r="AR4" t="s">
        <v>179</v>
      </c>
      <c r="AS4">
        <v>0</v>
      </c>
      <c r="AT4">
        <v>0</v>
      </c>
    </row>
    <row r="5" spans="1:54" x14ac:dyDescent="0.45">
      <c r="A5" s="62" t="s">
        <v>431</v>
      </c>
      <c r="B5" s="62" t="s">
        <v>1230</v>
      </c>
      <c r="C5" s="63"/>
      <c r="D5" s="64"/>
      <c r="E5" s="65"/>
      <c r="F5" s="66"/>
      <c r="G5" s="63"/>
      <c r="H5" s="67"/>
      <c r="I5" s="68"/>
      <c r="J5" s="68"/>
      <c r="K5" s="32"/>
      <c r="L5" s="75"/>
      <c r="M5" s="75"/>
      <c r="N5" s="70"/>
      <c r="O5" t="s">
        <v>1568</v>
      </c>
      <c r="P5" s="76">
        <v>44958.71435185185</v>
      </c>
      <c r="Q5" t="s">
        <v>1743</v>
      </c>
      <c r="R5" s="77" t="str">
        <f>HYPERLINK("https://music.apple.com/us/album/flowers/1663973555?i=1663973562")</f>
        <v>https://music.apple.com/us/album/flowers/1663973555?i=1663973562</v>
      </c>
      <c r="S5" t="s">
        <v>2279</v>
      </c>
      <c r="V5" s="77" t="str">
        <f>HYPERLINK("https://pbs.twimg.com/profile_images/1612267938932736001/LOMZJHNT_normal.jpg")</f>
        <v>https://pbs.twimg.com/profile_images/1612267938932736001/LOMZJHNT_normal.jpg</v>
      </c>
      <c r="W5" s="76">
        <v>44958.71435185185</v>
      </c>
      <c r="X5" s="80">
        <v>44958</v>
      </c>
      <c r="Y5" s="78" t="s">
        <v>2660</v>
      </c>
      <c r="Z5" s="77" t="str">
        <f>HYPERLINK("https://twitter.com/puertoricano4g/status/1620831511342714890")</f>
        <v>https://twitter.com/puertoricano4g/status/1620831511342714890</v>
      </c>
      <c r="AC5" s="78" t="s">
        <v>3678</v>
      </c>
      <c r="AD5" s="78" t="s">
        <v>4473</v>
      </c>
      <c r="AE5" t="b">
        <v>0</v>
      </c>
      <c r="AF5">
        <v>2</v>
      </c>
      <c r="AG5" s="78" t="s">
        <v>4639</v>
      </c>
      <c r="AH5" t="b">
        <v>0</v>
      </c>
      <c r="AI5" t="s">
        <v>4829</v>
      </c>
      <c r="AK5" s="78" t="s">
        <v>4640</v>
      </c>
      <c r="AL5" t="b">
        <v>0</v>
      </c>
      <c r="AM5">
        <v>0</v>
      </c>
      <c r="AN5" s="78" t="s">
        <v>4640</v>
      </c>
      <c r="AO5" s="78" t="s">
        <v>4849</v>
      </c>
      <c r="AP5" t="b">
        <v>0</v>
      </c>
      <c r="AQ5" s="78" t="s">
        <v>4473</v>
      </c>
      <c r="AR5" t="s">
        <v>179</v>
      </c>
      <c r="AS5">
        <v>0</v>
      </c>
      <c r="AT5">
        <v>0</v>
      </c>
    </row>
    <row r="6" spans="1:54" x14ac:dyDescent="0.45">
      <c r="A6" s="62" t="s">
        <v>431</v>
      </c>
      <c r="B6" s="62" t="s">
        <v>242</v>
      </c>
      <c r="C6" s="63"/>
      <c r="D6" s="64"/>
      <c r="E6" s="65"/>
      <c r="F6" s="66"/>
      <c r="G6" s="63"/>
      <c r="H6" s="67"/>
      <c r="I6" s="68"/>
      <c r="J6" s="68"/>
      <c r="K6" s="32"/>
      <c r="L6" s="75"/>
      <c r="M6" s="75"/>
      <c r="N6" s="70"/>
      <c r="O6" t="s">
        <v>1567</v>
      </c>
      <c r="P6" s="76">
        <v>44958.71435185185</v>
      </c>
      <c r="Q6" t="s">
        <v>1743</v>
      </c>
      <c r="R6" s="77" t="str">
        <f>HYPERLINK("https://music.apple.com/us/album/flowers/1663973555?i=1663973562")</f>
        <v>https://music.apple.com/us/album/flowers/1663973555?i=1663973562</v>
      </c>
      <c r="S6" t="s">
        <v>2279</v>
      </c>
      <c r="V6" s="77" t="str">
        <f>HYPERLINK("https://pbs.twimg.com/profile_images/1612267938932736001/LOMZJHNT_normal.jpg")</f>
        <v>https://pbs.twimg.com/profile_images/1612267938932736001/LOMZJHNT_normal.jpg</v>
      </c>
      <c r="W6" s="76">
        <v>44958.71435185185</v>
      </c>
      <c r="X6" s="80">
        <v>44958</v>
      </c>
      <c r="Y6" s="78" t="s">
        <v>2660</v>
      </c>
      <c r="Z6" s="77" t="str">
        <f>HYPERLINK("https://twitter.com/puertoricano4g/status/1620831511342714890")</f>
        <v>https://twitter.com/puertoricano4g/status/1620831511342714890</v>
      </c>
      <c r="AC6" s="78" t="s">
        <v>3678</v>
      </c>
      <c r="AD6" s="78" t="s">
        <v>4473</v>
      </c>
      <c r="AE6" t="b">
        <v>0</v>
      </c>
      <c r="AF6">
        <v>2</v>
      </c>
      <c r="AG6" s="78" t="s">
        <v>4639</v>
      </c>
      <c r="AH6" t="b">
        <v>0</v>
      </c>
      <c r="AI6" t="s">
        <v>4829</v>
      </c>
      <c r="AK6" s="78" t="s">
        <v>4640</v>
      </c>
      <c r="AL6" t="b">
        <v>0</v>
      </c>
      <c r="AM6">
        <v>0</v>
      </c>
      <c r="AN6" s="78" t="s">
        <v>4640</v>
      </c>
      <c r="AO6" s="78" t="s">
        <v>4849</v>
      </c>
      <c r="AP6" t="b">
        <v>0</v>
      </c>
      <c r="AQ6" s="78" t="s">
        <v>4473</v>
      </c>
      <c r="AR6" t="s">
        <v>179</v>
      </c>
      <c r="AS6">
        <v>0</v>
      </c>
      <c r="AT6">
        <v>0</v>
      </c>
    </row>
    <row r="7" spans="1:54" x14ac:dyDescent="0.45">
      <c r="A7" s="62" t="s">
        <v>288</v>
      </c>
      <c r="B7" s="62" t="s">
        <v>1169</v>
      </c>
      <c r="C7" s="63"/>
      <c r="D7" s="64"/>
      <c r="E7" s="65"/>
      <c r="F7" s="66"/>
      <c r="G7" s="63"/>
      <c r="H7" s="67"/>
      <c r="I7" s="68"/>
      <c r="J7" s="68"/>
      <c r="K7" s="32"/>
      <c r="L7" s="75"/>
      <c r="M7" s="75"/>
      <c r="N7" s="70"/>
      <c r="O7" t="s">
        <v>1568</v>
      </c>
      <c r="P7" s="76">
        <v>44958.552997685183</v>
      </c>
      <c r="Q7" t="s">
        <v>1632</v>
      </c>
      <c r="R7" s="77" t="str">
        <f>HYPERLINK("https://news.bloomberglaw.com/business-and-practice/wake-up-call-walmarts-longtime-top-lawyer-announces-exit")</f>
        <v>https://news.bloomberglaw.com/business-and-practice/wake-up-call-walmarts-longtime-top-lawyer-announces-exit</v>
      </c>
      <c r="S7" t="s">
        <v>2267</v>
      </c>
      <c r="T7" s="78" t="s">
        <v>2317</v>
      </c>
      <c r="V7" s="77" t="str">
        <f>HYPERLINK("https://pbs.twimg.com/profile_images/1097874028067520512/nnoE1wKN_normal.png")</f>
        <v>https://pbs.twimg.com/profile_images/1097874028067520512/nnoE1wKN_normal.png</v>
      </c>
      <c r="W7" s="76">
        <v>44958.552997685183</v>
      </c>
      <c r="X7" s="80">
        <v>44958</v>
      </c>
      <c r="Y7" s="78" t="s">
        <v>2497</v>
      </c>
      <c r="Z7" s="77" t="str">
        <f>HYPERLINK("https://twitter.com/wakeuprickm/status/1620773039955910656")</f>
        <v>https://twitter.com/wakeuprickm/status/1620773039955910656</v>
      </c>
      <c r="AC7" s="78" t="s">
        <v>3512</v>
      </c>
      <c r="AE7" t="b">
        <v>0</v>
      </c>
      <c r="AF7">
        <v>0</v>
      </c>
      <c r="AG7" s="78" t="s">
        <v>4639</v>
      </c>
      <c r="AH7" t="b">
        <v>0</v>
      </c>
      <c r="AI7" t="s">
        <v>4829</v>
      </c>
      <c r="AK7" s="78" t="s">
        <v>4640</v>
      </c>
      <c r="AL7" t="b">
        <v>0</v>
      </c>
      <c r="AM7">
        <v>0</v>
      </c>
      <c r="AN7" s="78" t="s">
        <v>4640</v>
      </c>
      <c r="AO7" s="78" t="s">
        <v>4851</v>
      </c>
      <c r="AP7" t="b">
        <v>0</v>
      </c>
      <c r="AQ7" s="78" t="s">
        <v>3512</v>
      </c>
      <c r="AR7" t="s">
        <v>179</v>
      </c>
      <c r="AS7">
        <v>0</v>
      </c>
      <c r="AT7">
        <v>0</v>
      </c>
    </row>
    <row r="8" spans="1:54" x14ac:dyDescent="0.45">
      <c r="A8" s="62" t="s">
        <v>288</v>
      </c>
      <c r="B8" s="62" t="s">
        <v>242</v>
      </c>
      <c r="C8" s="63"/>
      <c r="D8" s="64"/>
      <c r="E8" s="65"/>
      <c r="F8" s="66"/>
      <c r="G8" s="63"/>
      <c r="H8" s="67"/>
      <c r="I8" s="68"/>
      <c r="J8" s="68"/>
      <c r="K8" s="32"/>
      <c r="L8" s="75"/>
      <c r="M8" s="75"/>
      <c r="N8" s="70"/>
      <c r="O8" t="s">
        <v>1567</v>
      </c>
      <c r="P8" s="76">
        <v>44958.552997685183</v>
      </c>
      <c r="Q8" t="s">
        <v>1632</v>
      </c>
      <c r="R8" s="77" t="str">
        <f>HYPERLINK("https://news.bloomberglaw.com/business-and-practice/wake-up-call-walmarts-longtime-top-lawyer-announces-exit")</f>
        <v>https://news.bloomberglaw.com/business-and-practice/wake-up-call-walmarts-longtime-top-lawyer-announces-exit</v>
      </c>
      <c r="S8" t="s">
        <v>2267</v>
      </c>
      <c r="T8" s="78" t="s">
        <v>2317</v>
      </c>
      <c r="V8" s="77" t="str">
        <f>HYPERLINK("https://pbs.twimg.com/profile_images/1097874028067520512/nnoE1wKN_normal.png")</f>
        <v>https://pbs.twimg.com/profile_images/1097874028067520512/nnoE1wKN_normal.png</v>
      </c>
      <c r="W8" s="76">
        <v>44958.552997685183</v>
      </c>
      <c r="X8" s="80">
        <v>44958</v>
      </c>
      <c r="Y8" s="78" t="s">
        <v>2497</v>
      </c>
      <c r="Z8" s="77" t="str">
        <f>HYPERLINK("https://twitter.com/wakeuprickm/status/1620773039955910656")</f>
        <v>https://twitter.com/wakeuprickm/status/1620773039955910656</v>
      </c>
      <c r="AC8" s="78" t="s">
        <v>3512</v>
      </c>
      <c r="AE8" t="b">
        <v>0</v>
      </c>
      <c r="AF8">
        <v>0</v>
      </c>
      <c r="AG8" s="78" t="s">
        <v>4639</v>
      </c>
      <c r="AH8" t="b">
        <v>0</v>
      </c>
      <c r="AI8" t="s">
        <v>4829</v>
      </c>
      <c r="AK8" s="78" t="s">
        <v>4640</v>
      </c>
      <c r="AL8" t="b">
        <v>0</v>
      </c>
      <c r="AM8">
        <v>0</v>
      </c>
      <c r="AN8" s="78" t="s">
        <v>4640</v>
      </c>
      <c r="AO8" s="78" t="s">
        <v>4851</v>
      </c>
      <c r="AP8" t="b">
        <v>0</v>
      </c>
      <c r="AQ8" s="78" t="s">
        <v>3512</v>
      </c>
      <c r="AR8" t="s">
        <v>179</v>
      </c>
      <c r="AS8">
        <v>0</v>
      </c>
      <c r="AT8">
        <v>0</v>
      </c>
    </row>
    <row r="9" spans="1:54" x14ac:dyDescent="0.45">
      <c r="A9" s="62" t="s">
        <v>275</v>
      </c>
      <c r="B9" s="62" t="s">
        <v>242</v>
      </c>
      <c r="C9" s="63"/>
      <c r="D9" s="64"/>
      <c r="E9" s="65"/>
      <c r="F9" s="66"/>
      <c r="G9" s="63"/>
      <c r="H9" s="67"/>
      <c r="I9" s="68"/>
      <c r="J9" s="68"/>
      <c r="K9" s="32"/>
      <c r="L9" s="75"/>
      <c r="M9" s="75"/>
      <c r="N9" s="70"/>
      <c r="O9" t="s">
        <v>1568</v>
      </c>
      <c r="P9" s="76">
        <v>44958.521874999999</v>
      </c>
      <c r="Q9" t="s">
        <v>1618</v>
      </c>
      <c r="R9" s="77" t="str">
        <f>HYPERLINK("https://markets.businessinsider.com/news/stocks/edible-garden-greenthumb-agtech-solution-drives-sustainability-impact-for-walmart-project-gigaton-1031221874")</f>
        <v>https://markets.businessinsider.com/news/stocks/edible-garden-greenthumb-agtech-solution-drives-sustainability-impact-for-walmart-project-gigaton-1031221874</v>
      </c>
      <c r="S9" t="s">
        <v>2265</v>
      </c>
      <c r="T9" s="78" t="s">
        <v>2316</v>
      </c>
      <c r="U9" s="77" t="str">
        <f>HYPERLINK("https://pbs.twimg.com/media/FMTBkebXEAITa3o.jpg")</f>
        <v>https://pbs.twimg.com/media/FMTBkebXEAITa3o.jpg</v>
      </c>
      <c r="V9" s="77" t="str">
        <f>HYPERLINK("https://pbs.twimg.com/media/FMTBkebXEAITa3o.jpg")</f>
        <v>https://pbs.twimg.com/media/FMTBkebXEAITa3o.jpg</v>
      </c>
      <c r="W9" s="76">
        <v>44958.521874999999</v>
      </c>
      <c r="X9" s="80">
        <v>44958</v>
      </c>
      <c r="Y9" s="78" t="s">
        <v>2481</v>
      </c>
      <c r="Z9" s="77" t="str">
        <f>HYPERLINK("https://twitter.com/jamesvgingerich/status/1620761758813114370")</f>
        <v>https://twitter.com/jamesvgingerich/status/1620761758813114370</v>
      </c>
      <c r="AC9" s="78" t="s">
        <v>3496</v>
      </c>
      <c r="AE9" t="b">
        <v>0</v>
      </c>
      <c r="AF9">
        <v>0</v>
      </c>
      <c r="AG9" s="78" t="s">
        <v>4640</v>
      </c>
      <c r="AH9" t="b">
        <v>0</v>
      </c>
      <c r="AI9" t="s">
        <v>4829</v>
      </c>
      <c r="AK9" s="78" t="s">
        <v>4640</v>
      </c>
      <c r="AL9" t="b">
        <v>0</v>
      </c>
      <c r="AM9">
        <v>0</v>
      </c>
      <c r="AN9" s="78" t="s">
        <v>4640</v>
      </c>
      <c r="AO9" s="78" t="s">
        <v>4856</v>
      </c>
      <c r="AP9" t="b">
        <v>0</v>
      </c>
      <c r="AQ9" s="78" t="s">
        <v>3496</v>
      </c>
      <c r="AR9" t="s">
        <v>179</v>
      </c>
      <c r="AS9">
        <v>0</v>
      </c>
      <c r="AT9">
        <v>0</v>
      </c>
    </row>
    <row r="10" spans="1:54" x14ac:dyDescent="0.45">
      <c r="A10" s="62" t="s">
        <v>494</v>
      </c>
      <c r="B10" s="62" t="s">
        <v>1280</v>
      </c>
      <c r="C10" s="63"/>
      <c r="D10" s="64"/>
      <c r="E10" s="65"/>
      <c r="F10" s="66"/>
      <c r="G10" s="63"/>
      <c r="H10" s="67"/>
      <c r="I10" s="68"/>
      <c r="J10" s="68"/>
      <c r="K10" s="32"/>
      <c r="L10" s="75"/>
      <c r="M10" s="75"/>
      <c r="N10" s="70"/>
      <c r="O10" t="s">
        <v>1568</v>
      </c>
      <c r="P10" s="76">
        <v>44958.736145833333</v>
      </c>
      <c r="Q10" t="s">
        <v>1783</v>
      </c>
      <c r="R10" s="77" t="str">
        <f>HYPERLINK("https://www.change.org/walmartpay")</f>
        <v>https://www.change.org/walmartpay</v>
      </c>
      <c r="S10" t="s">
        <v>2280</v>
      </c>
      <c r="T10" s="78" t="s">
        <v>2344</v>
      </c>
      <c r="V10" s="77" t="str">
        <f>HYPERLINK("https://pbs.twimg.com/profile_images/1620849130103767053/NZkpaIi8_normal.jpg")</f>
        <v>https://pbs.twimg.com/profile_images/1620849130103767053/NZkpaIi8_normal.jpg</v>
      </c>
      <c r="W10" s="76">
        <v>44958.736145833333</v>
      </c>
      <c r="X10" s="80">
        <v>44958</v>
      </c>
      <c r="Y10" s="78" t="s">
        <v>2735</v>
      </c>
      <c r="Z10" s="77" t="str">
        <f>HYPERLINK("https://twitter.com/labordayworx/status/1620839410936971264")</f>
        <v>https://twitter.com/labordayworx/status/1620839410936971264</v>
      </c>
      <c r="AC10" s="78" t="s">
        <v>3754</v>
      </c>
      <c r="AD10" s="78" t="s">
        <v>4541</v>
      </c>
      <c r="AE10" t="b">
        <v>0</v>
      </c>
      <c r="AF10">
        <v>2</v>
      </c>
      <c r="AG10" s="78" t="s">
        <v>4705</v>
      </c>
      <c r="AH10" t="b">
        <v>0</v>
      </c>
      <c r="AI10" t="s">
        <v>4829</v>
      </c>
      <c r="AK10" s="78" t="s">
        <v>4640</v>
      </c>
      <c r="AL10" t="b">
        <v>0</v>
      </c>
      <c r="AM10">
        <v>1</v>
      </c>
      <c r="AN10" s="78" t="s">
        <v>4640</v>
      </c>
      <c r="AO10" s="78" t="s">
        <v>4851</v>
      </c>
      <c r="AP10" t="b">
        <v>0</v>
      </c>
      <c r="AQ10" s="78" t="s">
        <v>4541</v>
      </c>
      <c r="AR10" t="s">
        <v>179</v>
      </c>
      <c r="AS10">
        <v>0</v>
      </c>
      <c r="AT10">
        <v>0</v>
      </c>
    </row>
    <row r="11" spans="1:54" x14ac:dyDescent="0.45">
      <c r="A11" s="62" t="s">
        <v>494</v>
      </c>
      <c r="B11" s="62" t="s">
        <v>496</v>
      </c>
      <c r="C11" s="63"/>
      <c r="D11" s="64"/>
      <c r="E11" s="65"/>
      <c r="F11" s="66"/>
      <c r="G11" s="63"/>
      <c r="H11" s="67"/>
      <c r="I11" s="68"/>
      <c r="J11" s="68"/>
      <c r="K11" s="32"/>
      <c r="L11" s="75"/>
      <c r="M11" s="75"/>
      <c r="N11" s="70"/>
      <c r="O11" t="s">
        <v>1567</v>
      </c>
      <c r="P11" s="76">
        <v>44958.736145833333</v>
      </c>
      <c r="Q11" t="s">
        <v>1783</v>
      </c>
      <c r="R11" s="77" t="str">
        <f>HYPERLINK("https://www.change.org/walmartpay")</f>
        <v>https://www.change.org/walmartpay</v>
      </c>
      <c r="S11" t="s">
        <v>2280</v>
      </c>
      <c r="T11" s="78" t="s">
        <v>2344</v>
      </c>
      <c r="V11" s="77" t="str">
        <f>HYPERLINK("https://pbs.twimg.com/profile_images/1620849130103767053/NZkpaIi8_normal.jpg")</f>
        <v>https://pbs.twimg.com/profile_images/1620849130103767053/NZkpaIi8_normal.jpg</v>
      </c>
      <c r="W11" s="76">
        <v>44958.736145833333</v>
      </c>
      <c r="X11" s="80">
        <v>44958</v>
      </c>
      <c r="Y11" s="78" t="s">
        <v>2735</v>
      </c>
      <c r="Z11" s="77" t="str">
        <f>HYPERLINK("https://twitter.com/labordayworx/status/1620839410936971264")</f>
        <v>https://twitter.com/labordayworx/status/1620839410936971264</v>
      </c>
      <c r="AC11" s="78" t="s">
        <v>3754</v>
      </c>
      <c r="AD11" s="78" t="s">
        <v>4541</v>
      </c>
      <c r="AE11" t="b">
        <v>0</v>
      </c>
      <c r="AF11">
        <v>2</v>
      </c>
      <c r="AG11" s="78" t="s">
        <v>4705</v>
      </c>
      <c r="AH11" t="b">
        <v>0</v>
      </c>
      <c r="AI11" t="s">
        <v>4829</v>
      </c>
      <c r="AK11" s="78" t="s">
        <v>4640</v>
      </c>
      <c r="AL11" t="b">
        <v>0</v>
      </c>
      <c r="AM11">
        <v>1</v>
      </c>
      <c r="AN11" s="78" t="s">
        <v>4640</v>
      </c>
      <c r="AO11" s="78" t="s">
        <v>4851</v>
      </c>
      <c r="AP11" t="b">
        <v>0</v>
      </c>
      <c r="AQ11" s="78" t="s">
        <v>4541</v>
      </c>
      <c r="AR11" t="s">
        <v>179</v>
      </c>
      <c r="AS11">
        <v>0</v>
      </c>
      <c r="AT11">
        <v>0</v>
      </c>
    </row>
    <row r="12" spans="1:54" x14ac:dyDescent="0.45">
      <c r="A12" s="62" t="s">
        <v>494</v>
      </c>
      <c r="B12" s="62" t="s">
        <v>242</v>
      </c>
      <c r="C12" s="63"/>
      <c r="D12" s="64"/>
      <c r="E12" s="65"/>
      <c r="F12" s="66"/>
      <c r="G12" s="63"/>
      <c r="H12" s="67"/>
      <c r="I12" s="68"/>
      <c r="J12" s="68"/>
      <c r="K12" s="32"/>
      <c r="L12" s="75"/>
      <c r="M12" s="75"/>
      <c r="N12" s="70"/>
      <c r="O12" t="s">
        <v>1568</v>
      </c>
      <c r="P12" s="76">
        <v>44958.736145833333</v>
      </c>
      <c r="Q12" t="s">
        <v>1783</v>
      </c>
      <c r="R12" s="77" t="str">
        <f>HYPERLINK("https://www.change.org/walmartpay")</f>
        <v>https://www.change.org/walmartpay</v>
      </c>
      <c r="S12" t="s">
        <v>2280</v>
      </c>
      <c r="T12" s="78" t="s">
        <v>2344</v>
      </c>
      <c r="V12" s="77" t="str">
        <f>HYPERLINK("https://pbs.twimg.com/profile_images/1620849130103767053/NZkpaIi8_normal.jpg")</f>
        <v>https://pbs.twimg.com/profile_images/1620849130103767053/NZkpaIi8_normal.jpg</v>
      </c>
      <c r="W12" s="76">
        <v>44958.736145833333</v>
      </c>
      <c r="X12" s="80">
        <v>44958</v>
      </c>
      <c r="Y12" s="78" t="s">
        <v>2735</v>
      </c>
      <c r="Z12" s="77" t="str">
        <f>HYPERLINK("https://twitter.com/labordayworx/status/1620839410936971264")</f>
        <v>https://twitter.com/labordayworx/status/1620839410936971264</v>
      </c>
      <c r="AC12" s="78" t="s">
        <v>3754</v>
      </c>
      <c r="AD12" s="78" t="s">
        <v>4541</v>
      </c>
      <c r="AE12" t="b">
        <v>0</v>
      </c>
      <c r="AF12">
        <v>2</v>
      </c>
      <c r="AG12" s="78" t="s">
        <v>4705</v>
      </c>
      <c r="AH12" t="b">
        <v>0</v>
      </c>
      <c r="AI12" t="s">
        <v>4829</v>
      </c>
      <c r="AK12" s="78" t="s">
        <v>4640</v>
      </c>
      <c r="AL12" t="b">
        <v>0</v>
      </c>
      <c r="AM12">
        <v>1</v>
      </c>
      <c r="AN12" s="78" t="s">
        <v>4640</v>
      </c>
      <c r="AO12" s="78" t="s">
        <v>4851</v>
      </c>
      <c r="AP12" t="b">
        <v>0</v>
      </c>
      <c r="AQ12" s="78" t="s">
        <v>4541</v>
      </c>
      <c r="AR12" t="s">
        <v>179</v>
      </c>
      <c r="AS12">
        <v>0</v>
      </c>
      <c r="AT12">
        <v>0</v>
      </c>
    </row>
    <row r="13" spans="1:54" x14ac:dyDescent="0.45">
      <c r="A13" s="62" t="s">
        <v>496</v>
      </c>
      <c r="B13" s="62" t="s">
        <v>1280</v>
      </c>
      <c r="C13" s="63"/>
      <c r="D13" s="64"/>
      <c r="E13" s="65"/>
      <c r="F13" s="66"/>
      <c r="G13" s="63"/>
      <c r="H13" s="67"/>
      <c r="I13" s="68"/>
      <c r="J13" s="68"/>
      <c r="K13" s="32"/>
      <c r="L13" s="75"/>
      <c r="M13" s="75"/>
      <c r="N13" s="70"/>
      <c r="O13" t="s">
        <v>1570</v>
      </c>
      <c r="P13" s="76">
        <v>44958.751250000001</v>
      </c>
      <c r="Q13" t="s">
        <v>1783</v>
      </c>
      <c r="R13" s="77" t="str">
        <f>HYPERLINK("https://www.change.org/walmartpay")</f>
        <v>https://www.change.org/walmartpay</v>
      </c>
      <c r="S13" t="s">
        <v>2280</v>
      </c>
      <c r="T13" s="78" t="s">
        <v>2344</v>
      </c>
      <c r="V13" s="77" t="str">
        <f>HYPERLINK("https://pbs.twimg.com/profile_images/1507307104507473924/i8IayUlK_normal.png")</f>
        <v>https://pbs.twimg.com/profile_images/1507307104507473924/i8IayUlK_normal.png</v>
      </c>
      <c r="W13" s="76">
        <v>44958.751250000001</v>
      </c>
      <c r="X13" s="80">
        <v>44958</v>
      </c>
      <c r="Y13" s="78" t="s">
        <v>2736</v>
      </c>
      <c r="Z13" s="77" t="str">
        <f>HYPERLINK("https://twitter.com/prolewiki/status/1620844882452701184")</f>
        <v>https://twitter.com/prolewiki/status/1620844882452701184</v>
      </c>
      <c r="AC13" s="78" t="s">
        <v>3755</v>
      </c>
      <c r="AE13" t="b">
        <v>0</v>
      </c>
      <c r="AF13">
        <v>0</v>
      </c>
      <c r="AG13" s="78" t="s">
        <v>4640</v>
      </c>
      <c r="AH13" t="b">
        <v>0</v>
      </c>
      <c r="AI13" t="s">
        <v>4829</v>
      </c>
      <c r="AK13" s="78" t="s">
        <v>4640</v>
      </c>
      <c r="AL13" t="b">
        <v>0</v>
      </c>
      <c r="AM13">
        <v>1</v>
      </c>
      <c r="AN13" s="78" t="s">
        <v>3754</v>
      </c>
      <c r="AO13" s="78" t="s">
        <v>4851</v>
      </c>
      <c r="AP13" t="b">
        <v>0</v>
      </c>
      <c r="AQ13" s="78" t="s">
        <v>3754</v>
      </c>
      <c r="AR13" t="s">
        <v>179</v>
      </c>
      <c r="AS13">
        <v>0</v>
      </c>
      <c r="AT13">
        <v>0</v>
      </c>
    </row>
    <row r="14" spans="1:54" x14ac:dyDescent="0.45">
      <c r="A14" s="62" t="s">
        <v>496</v>
      </c>
      <c r="B14" s="62" t="s">
        <v>242</v>
      </c>
      <c r="C14" s="63"/>
      <c r="D14" s="64"/>
      <c r="E14" s="65"/>
      <c r="F14" s="66"/>
      <c r="G14" s="63"/>
      <c r="H14" s="67"/>
      <c r="I14" s="68"/>
      <c r="J14" s="68"/>
      <c r="K14" s="32"/>
      <c r="L14" s="75"/>
      <c r="M14" s="75"/>
      <c r="N14" s="70"/>
      <c r="O14" t="s">
        <v>1570</v>
      </c>
      <c r="P14" s="76">
        <v>44958.751250000001</v>
      </c>
      <c r="Q14" t="s">
        <v>1783</v>
      </c>
      <c r="R14" s="77" t="str">
        <f>HYPERLINK("https://www.change.org/walmartpay")</f>
        <v>https://www.change.org/walmartpay</v>
      </c>
      <c r="S14" t="s">
        <v>2280</v>
      </c>
      <c r="T14" s="78" t="s">
        <v>2344</v>
      </c>
      <c r="V14" s="77" t="str">
        <f>HYPERLINK("https://pbs.twimg.com/profile_images/1507307104507473924/i8IayUlK_normal.png")</f>
        <v>https://pbs.twimg.com/profile_images/1507307104507473924/i8IayUlK_normal.png</v>
      </c>
      <c r="W14" s="76">
        <v>44958.751250000001</v>
      </c>
      <c r="X14" s="80">
        <v>44958</v>
      </c>
      <c r="Y14" s="78" t="s">
        <v>2736</v>
      </c>
      <c r="Z14" s="77" t="str">
        <f>HYPERLINK("https://twitter.com/prolewiki/status/1620844882452701184")</f>
        <v>https://twitter.com/prolewiki/status/1620844882452701184</v>
      </c>
      <c r="AC14" s="78" t="s">
        <v>3755</v>
      </c>
      <c r="AE14" t="b">
        <v>0</v>
      </c>
      <c r="AF14">
        <v>0</v>
      </c>
      <c r="AG14" s="78" t="s">
        <v>4640</v>
      </c>
      <c r="AH14" t="b">
        <v>0</v>
      </c>
      <c r="AI14" t="s">
        <v>4829</v>
      </c>
      <c r="AK14" s="78" t="s">
        <v>4640</v>
      </c>
      <c r="AL14" t="b">
        <v>0</v>
      </c>
      <c r="AM14">
        <v>1</v>
      </c>
      <c r="AN14" s="78" t="s">
        <v>3754</v>
      </c>
      <c r="AO14" s="78" t="s">
        <v>4851</v>
      </c>
      <c r="AP14" t="b">
        <v>0</v>
      </c>
      <c r="AQ14" s="78" t="s">
        <v>3754</v>
      </c>
      <c r="AR14" t="s">
        <v>179</v>
      </c>
      <c r="AS14">
        <v>0</v>
      </c>
      <c r="AT14">
        <v>0</v>
      </c>
    </row>
    <row r="15" spans="1:54" x14ac:dyDescent="0.45">
      <c r="A15" s="62" t="s">
        <v>496</v>
      </c>
      <c r="B15" s="62" t="s">
        <v>494</v>
      </c>
      <c r="C15" s="63"/>
      <c r="D15" s="64"/>
      <c r="E15" s="65"/>
      <c r="F15" s="66"/>
      <c r="G15" s="63"/>
      <c r="H15" s="67"/>
      <c r="I15" s="68"/>
      <c r="J15" s="68"/>
      <c r="K15" s="32"/>
      <c r="L15" s="75"/>
      <c r="M15" s="75"/>
      <c r="N15" s="70"/>
      <c r="O15" t="s">
        <v>1569</v>
      </c>
      <c r="P15" s="76">
        <v>44958.751250000001</v>
      </c>
      <c r="Q15" t="s">
        <v>1783</v>
      </c>
      <c r="R15" s="77" t="str">
        <f>HYPERLINK("https://www.change.org/walmartpay")</f>
        <v>https://www.change.org/walmartpay</v>
      </c>
      <c r="S15" t="s">
        <v>2280</v>
      </c>
      <c r="T15" s="78" t="s">
        <v>2344</v>
      </c>
      <c r="V15" s="77" t="str">
        <f>HYPERLINK("https://pbs.twimg.com/profile_images/1507307104507473924/i8IayUlK_normal.png")</f>
        <v>https://pbs.twimg.com/profile_images/1507307104507473924/i8IayUlK_normal.png</v>
      </c>
      <c r="W15" s="76">
        <v>44958.751250000001</v>
      </c>
      <c r="X15" s="80">
        <v>44958</v>
      </c>
      <c r="Y15" s="78" t="s">
        <v>2736</v>
      </c>
      <c r="Z15" s="77" t="str">
        <f>HYPERLINK("https://twitter.com/prolewiki/status/1620844882452701184")</f>
        <v>https://twitter.com/prolewiki/status/1620844882452701184</v>
      </c>
      <c r="AC15" s="78" t="s">
        <v>3755</v>
      </c>
      <c r="AE15" t="b">
        <v>0</v>
      </c>
      <c r="AF15">
        <v>0</v>
      </c>
      <c r="AG15" s="78" t="s">
        <v>4640</v>
      </c>
      <c r="AH15" t="b">
        <v>0</v>
      </c>
      <c r="AI15" t="s">
        <v>4829</v>
      </c>
      <c r="AK15" s="78" t="s">
        <v>4640</v>
      </c>
      <c r="AL15" t="b">
        <v>0</v>
      </c>
      <c r="AM15">
        <v>1</v>
      </c>
      <c r="AN15" s="78" t="s">
        <v>3754</v>
      </c>
      <c r="AO15" s="78" t="s">
        <v>4851</v>
      </c>
      <c r="AP15" t="b">
        <v>0</v>
      </c>
      <c r="AQ15" s="78" t="s">
        <v>3754</v>
      </c>
      <c r="AR15" t="s">
        <v>179</v>
      </c>
      <c r="AS15">
        <v>0</v>
      </c>
      <c r="AT15">
        <v>0</v>
      </c>
    </row>
    <row r="16" spans="1:54" x14ac:dyDescent="0.45">
      <c r="A16" s="62" t="s">
        <v>494</v>
      </c>
      <c r="B16" s="62" t="s">
        <v>1277</v>
      </c>
      <c r="C16" s="63"/>
      <c r="D16" s="64"/>
      <c r="E16" s="65"/>
      <c r="F16" s="66"/>
      <c r="G16" s="63"/>
      <c r="H16" s="67"/>
      <c r="I16" s="68"/>
      <c r="J16" s="68"/>
      <c r="K16" s="32"/>
      <c r="L16" s="75"/>
      <c r="M16" s="75"/>
      <c r="N16" s="70"/>
      <c r="O16" t="s">
        <v>1568</v>
      </c>
      <c r="P16" s="76">
        <v>44958.736805555556</v>
      </c>
      <c r="Q16" t="s">
        <v>1781</v>
      </c>
      <c r="R16" s="77" t="str">
        <f>HYPERLINK("https://www.change.org/walmartpay")</f>
        <v>https://www.change.org/walmartpay</v>
      </c>
      <c r="S16" t="s">
        <v>2280</v>
      </c>
      <c r="V16" s="77" t="str">
        <f>HYPERLINK("https://pbs.twimg.com/profile_images/1620849130103767053/NZkpaIi8_normal.jpg")</f>
        <v>https://pbs.twimg.com/profile_images/1620849130103767053/NZkpaIi8_normal.jpg</v>
      </c>
      <c r="W16" s="76">
        <v>44958.736805555556</v>
      </c>
      <c r="X16" s="80">
        <v>44958</v>
      </c>
      <c r="Y16" s="78" t="s">
        <v>2710</v>
      </c>
      <c r="Z16" s="77" t="str">
        <f>HYPERLINK("https://twitter.com/labordayworx/status/1620839647806103552")</f>
        <v>https://twitter.com/labordayworx/status/1620839647806103552</v>
      </c>
      <c r="AC16" s="78" t="s">
        <v>3752</v>
      </c>
      <c r="AD16" s="78" t="s">
        <v>4539</v>
      </c>
      <c r="AE16" t="b">
        <v>0</v>
      </c>
      <c r="AF16">
        <v>1</v>
      </c>
      <c r="AG16" s="78" t="s">
        <v>4703</v>
      </c>
      <c r="AH16" t="b">
        <v>0</v>
      </c>
      <c r="AI16" t="s">
        <v>4829</v>
      </c>
      <c r="AK16" s="78" t="s">
        <v>4640</v>
      </c>
      <c r="AL16" t="b">
        <v>0</v>
      </c>
      <c r="AM16">
        <v>0</v>
      </c>
      <c r="AN16" s="78" t="s">
        <v>4640</v>
      </c>
      <c r="AO16" s="78" t="s">
        <v>4851</v>
      </c>
      <c r="AP16" t="b">
        <v>0</v>
      </c>
      <c r="AQ16" s="78" t="s">
        <v>4539</v>
      </c>
      <c r="AR16" t="s">
        <v>179</v>
      </c>
      <c r="AS16">
        <v>0</v>
      </c>
      <c r="AT16">
        <v>0</v>
      </c>
    </row>
    <row r="17" spans="1:46" x14ac:dyDescent="0.45">
      <c r="A17" s="62" t="s">
        <v>494</v>
      </c>
      <c r="B17" s="62" t="s">
        <v>1278</v>
      </c>
      <c r="C17" s="63"/>
      <c r="D17" s="64"/>
      <c r="E17" s="65"/>
      <c r="F17" s="66"/>
      <c r="G17" s="63"/>
      <c r="H17" s="67"/>
      <c r="I17" s="68"/>
      <c r="J17" s="68"/>
      <c r="K17" s="32"/>
      <c r="L17" s="75"/>
      <c r="M17" s="75"/>
      <c r="N17" s="70"/>
      <c r="O17" t="s">
        <v>1567</v>
      </c>
      <c r="P17" s="76">
        <v>44958.736805555556</v>
      </c>
      <c r="Q17" t="s">
        <v>1781</v>
      </c>
      <c r="R17" s="77" t="str">
        <f>HYPERLINK("https://www.change.org/walmartpay")</f>
        <v>https://www.change.org/walmartpay</v>
      </c>
      <c r="S17" t="s">
        <v>2280</v>
      </c>
      <c r="V17" s="77" t="str">
        <f>HYPERLINK("https://pbs.twimg.com/profile_images/1620849130103767053/NZkpaIi8_normal.jpg")</f>
        <v>https://pbs.twimg.com/profile_images/1620849130103767053/NZkpaIi8_normal.jpg</v>
      </c>
      <c r="W17" s="76">
        <v>44958.736805555556</v>
      </c>
      <c r="X17" s="80">
        <v>44958</v>
      </c>
      <c r="Y17" s="78" t="s">
        <v>2710</v>
      </c>
      <c r="Z17" s="77" t="str">
        <f>HYPERLINK("https://twitter.com/labordayworx/status/1620839647806103552")</f>
        <v>https://twitter.com/labordayworx/status/1620839647806103552</v>
      </c>
      <c r="AC17" s="78" t="s">
        <v>3752</v>
      </c>
      <c r="AD17" s="78" t="s">
        <v>4539</v>
      </c>
      <c r="AE17" t="b">
        <v>0</v>
      </c>
      <c r="AF17">
        <v>1</v>
      </c>
      <c r="AG17" s="78" t="s">
        <v>4703</v>
      </c>
      <c r="AH17" t="b">
        <v>0</v>
      </c>
      <c r="AI17" t="s">
        <v>4829</v>
      </c>
      <c r="AK17" s="78" t="s">
        <v>4640</v>
      </c>
      <c r="AL17" t="b">
        <v>0</v>
      </c>
      <c r="AM17">
        <v>0</v>
      </c>
      <c r="AN17" s="78" t="s">
        <v>4640</v>
      </c>
      <c r="AO17" s="78" t="s">
        <v>4851</v>
      </c>
      <c r="AP17" t="b">
        <v>0</v>
      </c>
      <c r="AQ17" s="78" t="s">
        <v>4539</v>
      </c>
      <c r="AR17" t="s">
        <v>179</v>
      </c>
      <c r="AS17">
        <v>0</v>
      </c>
      <c r="AT17">
        <v>0</v>
      </c>
    </row>
    <row r="18" spans="1:46" x14ac:dyDescent="0.45">
      <c r="A18" s="62" t="s">
        <v>494</v>
      </c>
      <c r="B18" s="62" t="s">
        <v>242</v>
      </c>
      <c r="C18" s="63"/>
      <c r="D18" s="64"/>
      <c r="E18" s="65"/>
      <c r="F18" s="66"/>
      <c r="G18" s="63"/>
      <c r="H18" s="67"/>
      <c r="I18" s="68"/>
      <c r="J18" s="68"/>
      <c r="K18" s="32"/>
      <c r="L18" s="75"/>
      <c r="M18" s="75"/>
      <c r="N18" s="70"/>
      <c r="O18" t="s">
        <v>1568</v>
      </c>
      <c r="P18" s="76">
        <v>44958.736805555556</v>
      </c>
      <c r="Q18" t="s">
        <v>1781</v>
      </c>
      <c r="R18" s="77" t="str">
        <f>HYPERLINK("https://www.change.org/walmartpay")</f>
        <v>https://www.change.org/walmartpay</v>
      </c>
      <c r="S18" t="s">
        <v>2280</v>
      </c>
      <c r="V18" s="77" t="str">
        <f>HYPERLINK("https://pbs.twimg.com/profile_images/1620849130103767053/NZkpaIi8_normal.jpg")</f>
        <v>https://pbs.twimg.com/profile_images/1620849130103767053/NZkpaIi8_normal.jpg</v>
      </c>
      <c r="W18" s="76">
        <v>44958.736805555556</v>
      </c>
      <c r="X18" s="80">
        <v>44958</v>
      </c>
      <c r="Y18" s="78" t="s">
        <v>2710</v>
      </c>
      <c r="Z18" s="77" t="str">
        <f>HYPERLINK("https://twitter.com/labordayworx/status/1620839647806103552")</f>
        <v>https://twitter.com/labordayworx/status/1620839647806103552</v>
      </c>
      <c r="AC18" s="78" t="s">
        <v>3752</v>
      </c>
      <c r="AD18" s="78" t="s">
        <v>4539</v>
      </c>
      <c r="AE18" t="b">
        <v>0</v>
      </c>
      <c r="AF18">
        <v>1</v>
      </c>
      <c r="AG18" s="78" t="s">
        <v>4703</v>
      </c>
      <c r="AH18" t="b">
        <v>0</v>
      </c>
      <c r="AI18" t="s">
        <v>4829</v>
      </c>
      <c r="AK18" s="78" t="s">
        <v>4640</v>
      </c>
      <c r="AL18" t="b">
        <v>0</v>
      </c>
      <c r="AM18">
        <v>0</v>
      </c>
      <c r="AN18" s="78" t="s">
        <v>4640</v>
      </c>
      <c r="AO18" s="78" t="s">
        <v>4851</v>
      </c>
      <c r="AP18" t="b">
        <v>0</v>
      </c>
      <c r="AQ18" s="78" t="s">
        <v>4539</v>
      </c>
      <c r="AR18" t="s">
        <v>179</v>
      </c>
      <c r="AS18">
        <v>0</v>
      </c>
      <c r="AT18">
        <v>0</v>
      </c>
    </row>
    <row r="19" spans="1:46" x14ac:dyDescent="0.45">
      <c r="A19" s="62" t="s">
        <v>517</v>
      </c>
      <c r="B19" s="62" t="s">
        <v>1293</v>
      </c>
      <c r="C19" s="63"/>
      <c r="D19" s="64"/>
      <c r="E19" s="65"/>
      <c r="F19" s="66"/>
      <c r="G19" s="63"/>
      <c r="H19" s="67"/>
      <c r="I19" s="68"/>
      <c r="J19" s="68"/>
      <c r="K19" s="32"/>
      <c r="L19" s="75"/>
      <c r="M19" s="75"/>
      <c r="N19" s="70"/>
      <c r="O19" t="s">
        <v>1568</v>
      </c>
      <c r="P19" s="76">
        <v>44958.739583333336</v>
      </c>
      <c r="Q19" t="s">
        <v>1796</v>
      </c>
      <c r="R19" s="77" t="str">
        <f>HYPERLINK("https://www.cnbc.com/2023/01/28/walmart-new-sleek-store-designs.html")</f>
        <v>https://www.cnbc.com/2023/01/28/walmart-new-sleek-store-designs.html</v>
      </c>
      <c r="S19" t="s">
        <v>2282</v>
      </c>
      <c r="V19" s="77" t="str">
        <f>HYPERLINK("https://pbs.twimg.com/profile_images/1611402928496984082/dDgHN86O_normal.jpg")</f>
        <v>https://pbs.twimg.com/profile_images/1611402928496984082/dDgHN86O_normal.jpg</v>
      </c>
      <c r="W19" s="76">
        <v>44958.739583333336</v>
      </c>
      <c r="X19" s="80">
        <v>44958</v>
      </c>
      <c r="Y19" s="78" t="s">
        <v>2758</v>
      </c>
      <c r="Z19" s="77" t="str">
        <f>HYPERLINK("https://twitter.com/placer_ai/status/1620840655701577728")</f>
        <v>https://twitter.com/placer_ai/status/1620840655701577728</v>
      </c>
      <c r="AC19" s="78" t="s">
        <v>3777</v>
      </c>
      <c r="AE19" t="b">
        <v>0</v>
      </c>
      <c r="AF19">
        <v>2</v>
      </c>
      <c r="AG19" s="78" t="s">
        <v>4640</v>
      </c>
      <c r="AH19" t="b">
        <v>0</v>
      </c>
      <c r="AI19" t="s">
        <v>4829</v>
      </c>
      <c r="AK19" s="78" t="s">
        <v>4640</v>
      </c>
      <c r="AL19" t="b">
        <v>0</v>
      </c>
      <c r="AM19">
        <v>1</v>
      </c>
      <c r="AN19" s="78" t="s">
        <v>4640</v>
      </c>
      <c r="AO19" s="78" t="s">
        <v>4851</v>
      </c>
      <c r="AP19" t="b">
        <v>0</v>
      </c>
      <c r="AQ19" s="78" t="s">
        <v>3777</v>
      </c>
      <c r="AR19" t="s">
        <v>179</v>
      </c>
      <c r="AS19">
        <v>0</v>
      </c>
      <c r="AT19">
        <v>0</v>
      </c>
    </row>
    <row r="20" spans="1:46" x14ac:dyDescent="0.45">
      <c r="A20" s="62" t="s">
        <v>517</v>
      </c>
      <c r="B20" s="62" t="s">
        <v>1294</v>
      </c>
      <c r="C20" s="63"/>
      <c r="D20" s="64"/>
      <c r="E20" s="65"/>
      <c r="F20" s="66"/>
      <c r="G20" s="63"/>
      <c r="H20" s="67"/>
      <c r="I20" s="68"/>
      <c r="J20" s="68"/>
      <c r="K20" s="32"/>
      <c r="L20" s="75"/>
      <c r="M20" s="75"/>
      <c r="N20" s="70"/>
      <c r="O20" t="s">
        <v>1568</v>
      </c>
      <c r="P20" s="76">
        <v>44958.739583333336</v>
      </c>
      <c r="Q20" t="s">
        <v>1796</v>
      </c>
      <c r="R20" s="77" t="str">
        <f>HYPERLINK("https://www.cnbc.com/2023/01/28/walmart-new-sleek-store-designs.html")</f>
        <v>https://www.cnbc.com/2023/01/28/walmart-new-sleek-store-designs.html</v>
      </c>
      <c r="S20" t="s">
        <v>2282</v>
      </c>
      <c r="V20" s="77" t="str">
        <f>HYPERLINK("https://pbs.twimg.com/profile_images/1611402928496984082/dDgHN86O_normal.jpg")</f>
        <v>https://pbs.twimg.com/profile_images/1611402928496984082/dDgHN86O_normal.jpg</v>
      </c>
      <c r="W20" s="76">
        <v>44958.739583333336</v>
      </c>
      <c r="X20" s="80">
        <v>44958</v>
      </c>
      <c r="Y20" s="78" t="s">
        <v>2758</v>
      </c>
      <c r="Z20" s="77" t="str">
        <f>HYPERLINK("https://twitter.com/placer_ai/status/1620840655701577728")</f>
        <v>https://twitter.com/placer_ai/status/1620840655701577728</v>
      </c>
      <c r="AC20" s="78" t="s">
        <v>3777</v>
      </c>
      <c r="AE20" t="b">
        <v>0</v>
      </c>
      <c r="AF20">
        <v>2</v>
      </c>
      <c r="AG20" s="78" t="s">
        <v>4640</v>
      </c>
      <c r="AH20" t="b">
        <v>0</v>
      </c>
      <c r="AI20" t="s">
        <v>4829</v>
      </c>
      <c r="AK20" s="78" t="s">
        <v>4640</v>
      </c>
      <c r="AL20" t="b">
        <v>0</v>
      </c>
      <c r="AM20">
        <v>1</v>
      </c>
      <c r="AN20" s="78" t="s">
        <v>4640</v>
      </c>
      <c r="AO20" s="78" t="s">
        <v>4851</v>
      </c>
      <c r="AP20" t="b">
        <v>0</v>
      </c>
      <c r="AQ20" s="78" t="s">
        <v>3777</v>
      </c>
      <c r="AR20" t="s">
        <v>179</v>
      </c>
      <c r="AS20">
        <v>0</v>
      </c>
      <c r="AT20">
        <v>0</v>
      </c>
    </row>
    <row r="21" spans="1:46" x14ac:dyDescent="0.45">
      <c r="A21" s="62" t="s">
        <v>517</v>
      </c>
      <c r="B21" s="62" t="s">
        <v>1181</v>
      </c>
      <c r="C21" s="63"/>
      <c r="D21" s="64"/>
      <c r="E21" s="65"/>
      <c r="F21" s="66"/>
      <c r="G21" s="63"/>
      <c r="H21" s="67"/>
      <c r="I21" s="68"/>
      <c r="J21" s="68"/>
      <c r="K21" s="32"/>
      <c r="L21" s="75"/>
      <c r="M21" s="75"/>
      <c r="N21" s="70"/>
      <c r="O21" t="s">
        <v>1568</v>
      </c>
      <c r="P21" s="76">
        <v>44958.739583333336</v>
      </c>
      <c r="Q21" t="s">
        <v>1796</v>
      </c>
      <c r="R21" s="77" t="str">
        <f>HYPERLINK("https://www.cnbc.com/2023/01/28/walmart-new-sleek-store-designs.html")</f>
        <v>https://www.cnbc.com/2023/01/28/walmart-new-sleek-store-designs.html</v>
      </c>
      <c r="S21" t="s">
        <v>2282</v>
      </c>
      <c r="V21" s="77" t="str">
        <f>HYPERLINK("https://pbs.twimg.com/profile_images/1611402928496984082/dDgHN86O_normal.jpg")</f>
        <v>https://pbs.twimg.com/profile_images/1611402928496984082/dDgHN86O_normal.jpg</v>
      </c>
      <c r="W21" s="76">
        <v>44958.739583333336</v>
      </c>
      <c r="X21" s="80">
        <v>44958</v>
      </c>
      <c r="Y21" s="78" t="s">
        <v>2758</v>
      </c>
      <c r="Z21" s="77" t="str">
        <f>HYPERLINK("https://twitter.com/placer_ai/status/1620840655701577728")</f>
        <v>https://twitter.com/placer_ai/status/1620840655701577728</v>
      </c>
      <c r="AC21" s="78" t="s">
        <v>3777</v>
      </c>
      <c r="AE21" t="b">
        <v>0</v>
      </c>
      <c r="AF21">
        <v>2</v>
      </c>
      <c r="AG21" s="78" t="s">
        <v>4640</v>
      </c>
      <c r="AH21" t="b">
        <v>0</v>
      </c>
      <c r="AI21" t="s">
        <v>4829</v>
      </c>
      <c r="AK21" s="78" t="s">
        <v>4640</v>
      </c>
      <c r="AL21" t="b">
        <v>0</v>
      </c>
      <c r="AM21">
        <v>1</v>
      </c>
      <c r="AN21" s="78" t="s">
        <v>4640</v>
      </c>
      <c r="AO21" s="78" t="s">
        <v>4851</v>
      </c>
      <c r="AP21" t="b">
        <v>0</v>
      </c>
      <c r="AQ21" s="78" t="s">
        <v>3777</v>
      </c>
      <c r="AR21" t="s">
        <v>179</v>
      </c>
      <c r="AS21">
        <v>0</v>
      </c>
      <c r="AT21">
        <v>0</v>
      </c>
    </row>
    <row r="22" spans="1:46" x14ac:dyDescent="0.45">
      <c r="A22" s="62" t="s">
        <v>517</v>
      </c>
      <c r="B22" s="62" t="s">
        <v>242</v>
      </c>
      <c r="C22" s="63"/>
      <c r="D22" s="64"/>
      <c r="E22" s="65"/>
      <c r="F22" s="66"/>
      <c r="G22" s="63"/>
      <c r="H22" s="67"/>
      <c r="I22" s="68"/>
      <c r="J22" s="68"/>
      <c r="K22" s="32"/>
      <c r="L22" s="75"/>
      <c r="M22" s="75"/>
      <c r="N22" s="70"/>
      <c r="O22" t="s">
        <v>1568</v>
      </c>
      <c r="P22" s="76">
        <v>44958.739583333336</v>
      </c>
      <c r="Q22" t="s">
        <v>1796</v>
      </c>
      <c r="R22" s="77" t="str">
        <f>HYPERLINK("https://www.cnbc.com/2023/01/28/walmart-new-sleek-store-designs.html")</f>
        <v>https://www.cnbc.com/2023/01/28/walmart-new-sleek-store-designs.html</v>
      </c>
      <c r="S22" t="s">
        <v>2282</v>
      </c>
      <c r="V22" s="77" t="str">
        <f>HYPERLINK("https://pbs.twimg.com/profile_images/1611402928496984082/dDgHN86O_normal.jpg")</f>
        <v>https://pbs.twimg.com/profile_images/1611402928496984082/dDgHN86O_normal.jpg</v>
      </c>
      <c r="W22" s="76">
        <v>44958.739583333336</v>
      </c>
      <c r="X22" s="80">
        <v>44958</v>
      </c>
      <c r="Y22" s="78" t="s">
        <v>2758</v>
      </c>
      <c r="Z22" s="77" t="str">
        <f>HYPERLINK("https://twitter.com/placer_ai/status/1620840655701577728")</f>
        <v>https://twitter.com/placer_ai/status/1620840655701577728</v>
      </c>
      <c r="AC22" s="78" t="s">
        <v>3777</v>
      </c>
      <c r="AE22" t="b">
        <v>0</v>
      </c>
      <c r="AF22">
        <v>2</v>
      </c>
      <c r="AG22" s="78" t="s">
        <v>4640</v>
      </c>
      <c r="AH22" t="b">
        <v>0</v>
      </c>
      <c r="AI22" t="s">
        <v>4829</v>
      </c>
      <c r="AK22" s="78" t="s">
        <v>4640</v>
      </c>
      <c r="AL22" t="b">
        <v>0</v>
      </c>
      <c r="AM22">
        <v>1</v>
      </c>
      <c r="AN22" s="78" t="s">
        <v>4640</v>
      </c>
      <c r="AO22" s="78" t="s">
        <v>4851</v>
      </c>
      <c r="AP22" t="b">
        <v>0</v>
      </c>
      <c r="AQ22" s="78" t="s">
        <v>3777</v>
      </c>
      <c r="AR22" t="s">
        <v>179</v>
      </c>
      <c r="AS22">
        <v>0</v>
      </c>
      <c r="AT22">
        <v>0</v>
      </c>
    </row>
    <row r="23" spans="1:46" x14ac:dyDescent="0.45">
      <c r="A23" s="62" t="s">
        <v>518</v>
      </c>
      <c r="B23" s="62" t="s">
        <v>1293</v>
      </c>
      <c r="C23" s="63"/>
      <c r="D23" s="64"/>
      <c r="E23" s="65"/>
      <c r="F23" s="66"/>
      <c r="G23" s="63"/>
      <c r="H23" s="67"/>
      <c r="I23" s="68"/>
      <c r="J23" s="68"/>
      <c r="K23" s="32"/>
      <c r="L23" s="75"/>
      <c r="M23" s="75"/>
      <c r="N23" s="70"/>
      <c r="O23" t="s">
        <v>1570</v>
      </c>
      <c r="P23" s="76">
        <v>44958.772523148145</v>
      </c>
      <c r="Q23" t="s">
        <v>1796</v>
      </c>
      <c r="R23" s="77" t="str">
        <f>HYPERLINK("https://www.cnbc.com/2023/01/28/walmart-new-sleek-store-designs.html")</f>
        <v>https://www.cnbc.com/2023/01/28/walmart-new-sleek-store-designs.html</v>
      </c>
      <c r="S23" t="s">
        <v>2282</v>
      </c>
      <c r="V23" s="77" t="str">
        <f>HYPERLINK("https://pbs.twimg.com/profile_images/1335026243511541760/Ne-Y3Cif_normal.jpg")</f>
        <v>https://pbs.twimg.com/profile_images/1335026243511541760/Ne-Y3Cif_normal.jpg</v>
      </c>
      <c r="W23" s="76">
        <v>44958.772523148145</v>
      </c>
      <c r="X23" s="80">
        <v>44958</v>
      </c>
      <c r="Y23" s="78" t="s">
        <v>2759</v>
      </c>
      <c r="Z23" s="77" t="str">
        <f>HYPERLINK("https://twitter.com/408nate/status/1620852592392941569")</f>
        <v>https://twitter.com/408nate/status/1620852592392941569</v>
      </c>
      <c r="AC23" s="78" t="s">
        <v>3778</v>
      </c>
      <c r="AE23" t="b">
        <v>0</v>
      </c>
      <c r="AF23">
        <v>0</v>
      </c>
      <c r="AG23" s="78" t="s">
        <v>4640</v>
      </c>
      <c r="AH23" t="b">
        <v>0</v>
      </c>
      <c r="AI23" t="s">
        <v>4829</v>
      </c>
      <c r="AK23" s="78" t="s">
        <v>4640</v>
      </c>
      <c r="AL23" t="b">
        <v>0</v>
      </c>
      <c r="AM23">
        <v>1</v>
      </c>
      <c r="AN23" s="78" t="s">
        <v>3777</v>
      </c>
      <c r="AO23" s="78" t="s">
        <v>4850</v>
      </c>
      <c r="AP23" t="b">
        <v>0</v>
      </c>
      <c r="AQ23" s="78" t="s">
        <v>3777</v>
      </c>
      <c r="AR23" t="s">
        <v>179</v>
      </c>
      <c r="AS23">
        <v>0</v>
      </c>
      <c r="AT23">
        <v>0</v>
      </c>
    </row>
    <row r="24" spans="1:46" x14ac:dyDescent="0.45">
      <c r="A24" s="62" t="s">
        <v>518</v>
      </c>
      <c r="B24" s="62" t="s">
        <v>1294</v>
      </c>
      <c r="C24" s="63"/>
      <c r="D24" s="64"/>
      <c r="E24" s="65"/>
      <c r="F24" s="66"/>
      <c r="G24" s="63"/>
      <c r="H24" s="67"/>
      <c r="I24" s="68"/>
      <c r="J24" s="68"/>
      <c r="K24" s="32"/>
      <c r="L24" s="75"/>
      <c r="M24" s="75"/>
      <c r="N24" s="70"/>
      <c r="O24" t="s">
        <v>1570</v>
      </c>
      <c r="P24" s="76">
        <v>44958.772523148145</v>
      </c>
      <c r="Q24" t="s">
        <v>1796</v>
      </c>
      <c r="R24" s="77" t="str">
        <f>HYPERLINK("https://www.cnbc.com/2023/01/28/walmart-new-sleek-store-designs.html")</f>
        <v>https://www.cnbc.com/2023/01/28/walmart-new-sleek-store-designs.html</v>
      </c>
      <c r="S24" t="s">
        <v>2282</v>
      </c>
      <c r="V24" s="77" t="str">
        <f>HYPERLINK("https://pbs.twimg.com/profile_images/1335026243511541760/Ne-Y3Cif_normal.jpg")</f>
        <v>https://pbs.twimg.com/profile_images/1335026243511541760/Ne-Y3Cif_normal.jpg</v>
      </c>
      <c r="W24" s="76">
        <v>44958.772523148145</v>
      </c>
      <c r="X24" s="80">
        <v>44958</v>
      </c>
      <c r="Y24" s="78" t="s">
        <v>2759</v>
      </c>
      <c r="Z24" s="77" t="str">
        <f>HYPERLINK("https://twitter.com/408nate/status/1620852592392941569")</f>
        <v>https://twitter.com/408nate/status/1620852592392941569</v>
      </c>
      <c r="AC24" s="78" t="s">
        <v>3778</v>
      </c>
      <c r="AE24" t="b">
        <v>0</v>
      </c>
      <c r="AF24">
        <v>0</v>
      </c>
      <c r="AG24" s="78" t="s">
        <v>4640</v>
      </c>
      <c r="AH24" t="b">
        <v>0</v>
      </c>
      <c r="AI24" t="s">
        <v>4829</v>
      </c>
      <c r="AK24" s="78" t="s">
        <v>4640</v>
      </c>
      <c r="AL24" t="b">
        <v>0</v>
      </c>
      <c r="AM24">
        <v>1</v>
      </c>
      <c r="AN24" s="78" t="s">
        <v>3777</v>
      </c>
      <c r="AO24" s="78" t="s">
        <v>4850</v>
      </c>
      <c r="AP24" t="b">
        <v>0</v>
      </c>
      <c r="AQ24" s="78" t="s">
        <v>3777</v>
      </c>
      <c r="AR24" t="s">
        <v>179</v>
      </c>
      <c r="AS24">
        <v>0</v>
      </c>
      <c r="AT24">
        <v>0</v>
      </c>
    </row>
    <row r="25" spans="1:46" x14ac:dyDescent="0.45">
      <c r="A25" s="62" t="s">
        <v>518</v>
      </c>
      <c r="B25" s="62" t="s">
        <v>517</v>
      </c>
      <c r="C25" s="63"/>
      <c r="D25" s="64"/>
      <c r="E25" s="65"/>
      <c r="F25" s="66"/>
      <c r="G25" s="63"/>
      <c r="H25" s="67"/>
      <c r="I25" s="68"/>
      <c r="J25" s="68"/>
      <c r="K25" s="32"/>
      <c r="L25" s="75"/>
      <c r="M25" s="75"/>
      <c r="N25" s="70"/>
      <c r="O25" t="s">
        <v>1569</v>
      </c>
      <c r="P25" s="76">
        <v>44958.772523148145</v>
      </c>
      <c r="Q25" t="s">
        <v>1796</v>
      </c>
      <c r="R25" s="77" t="str">
        <f>HYPERLINK("https://www.cnbc.com/2023/01/28/walmart-new-sleek-store-designs.html")</f>
        <v>https://www.cnbc.com/2023/01/28/walmart-new-sleek-store-designs.html</v>
      </c>
      <c r="S25" t="s">
        <v>2282</v>
      </c>
      <c r="V25" s="77" t="str">
        <f>HYPERLINK("https://pbs.twimg.com/profile_images/1335026243511541760/Ne-Y3Cif_normal.jpg")</f>
        <v>https://pbs.twimg.com/profile_images/1335026243511541760/Ne-Y3Cif_normal.jpg</v>
      </c>
      <c r="W25" s="76">
        <v>44958.772523148145</v>
      </c>
      <c r="X25" s="80">
        <v>44958</v>
      </c>
      <c r="Y25" s="78" t="s">
        <v>2759</v>
      </c>
      <c r="Z25" s="77" t="str">
        <f>HYPERLINK("https://twitter.com/408nate/status/1620852592392941569")</f>
        <v>https://twitter.com/408nate/status/1620852592392941569</v>
      </c>
      <c r="AC25" s="78" t="s">
        <v>3778</v>
      </c>
      <c r="AE25" t="b">
        <v>0</v>
      </c>
      <c r="AF25">
        <v>0</v>
      </c>
      <c r="AG25" s="78" t="s">
        <v>4640</v>
      </c>
      <c r="AH25" t="b">
        <v>0</v>
      </c>
      <c r="AI25" t="s">
        <v>4829</v>
      </c>
      <c r="AK25" s="78" t="s">
        <v>4640</v>
      </c>
      <c r="AL25" t="b">
        <v>0</v>
      </c>
      <c r="AM25">
        <v>1</v>
      </c>
      <c r="AN25" s="78" t="s">
        <v>3777</v>
      </c>
      <c r="AO25" s="78" t="s">
        <v>4850</v>
      </c>
      <c r="AP25" t="b">
        <v>0</v>
      </c>
      <c r="AQ25" s="78" t="s">
        <v>3777</v>
      </c>
      <c r="AR25" t="s">
        <v>179</v>
      </c>
      <c r="AS25">
        <v>0</v>
      </c>
      <c r="AT25">
        <v>0</v>
      </c>
    </row>
    <row r="26" spans="1:46" x14ac:dyDescent="0.45">
      <c r="A26" s="62" t="s">
        <v>518</v>
      </c>
      <c r="B26" s="62" t="s">
        <v>1181</v>
      </c>
      <c r="C26" s="63"/>
      <c r="D26" s="64"/>
      <c r="E26" s="65"/>
      <c r="F26" s="66"/>
      <c r="G26" s="63"/>
      <c r="H26" s="67"/>
      <c r="I26" s="68"/>
      <c r="J26" s="68"/>
      <c r="K26" s="32"/>
      <c r="L26" s="75"/>
      <c r="M26" s="75"/>
      <c r="N26" s="70"/>
      <c r="O26" t="s">
        <v>1570</v>
      </c>
      <c r="P26" s="76">
        <v>44958.772523148145</v>
      </c>
      <c r="Q26" t="s">
        <v>1796</v>
      </c>
      <c r="R26" s="77" t="str">
        <f>HYPERLINK("https://www.cnbc.com/2023/01/28/walmart-new-sleek-store-designs.html")</f>
        <v>https://www.cnbc.com/2023/01/28/walmart-new-sleek-store-designs.html</v>
      </c>
      <c r="S26" t="s">
        <v>2282</v>
      </c>
      <c r="V26" s="77" t="str">
        <f>HYPERLINK("https://pbs.twimg.com/profile_images/1335026243511541760/Ne-Y3Cif_normal.jpg")</f>
        <v>https://pbs.twimg.com/profile_images/1335026243511541760/Ne-Y3Cif_normal.jpg</v>
      </c>
      <c r="W26" s="76">
        <v>44958.772523148145</v>
      </c>
      <c r="X26" s="80">
        <v>44958</v>
      </c>
      <c r="Y26" s="78" t="s">
        <v>2759</v>
      </c>
      <c r="Z26" s="77" t="str">
        <f>HYPERLINK("https://twitter.com/408nate/status/1620852592392941569")</f>
        <v>https://twitter.com/408nate/status/1620852592392941569</v>
      </c>
      <c r="AC26" s="78" t="s">
        <v>3778</v>
      </c>
      <c r="AE26" t="b">
        <v>0</v>
      </c>
      <c r="AF26">
        <v>0</v>
      </c>
      <c r="AG26" s="78" t="s">
        <v>4640</v>
      </c>
      <c r="AH26" t="b">
        <v>0</v>
      </c>
      <c r="AI26" t="s">
        <v>4829</v>
      </c>
      <c r="AK26" s="78" t="s">
        <v>4640</v>
      </c>
      <c r="AL26" t="b">
        <v>0</v>
      </c>
      <c r="AM26">
        <v>1</v>
      </c>
      <c r="AN26" s="78" t="s">
        <v>3777</v>
      </c>
      <c r="AO26" s="78" t="s">
        <v>4850</v>
      </c>
      <c r="AP26" t="b">
        <v>0</v>
      </c>
      <c r="AQ26" s="78" t="s">
        <v>3777</v>
      </c>
      <c r="AR26" t="s">
        <v>179</v>
      </c>
      <c r="AS26">
        <v>0</v>
      </c>
      <c r="AT26">
        <v>0</v>
      </c>
    </row>
    <row r="27" spans="1:46" x14ac:dyDescent="0.45">
      <c r="A27" s="62" t="s">
        <v>518</v>
      </c>
      <c r="B27" s="62" t="s">
        <v>242</v>
      </c>
      <c r="C27" s="63"/>
      <c r="D27" s="64"/>
      <c r="E27" s="65"/>
      <c r="F27" s="66"/>
      <c r="G27" s="63"/>
      <c r="H27" s="67"/>
      <c r="I27" s="68"/>
      <c r="J27" s="68"/>
      <c r="K27" s="32"/>
      <c r="L27" s="75"/>
      <c r="M27" s="75"/>
      <c r="N27" s="70"/>
      <c r="O27" t="s">
        <v>1570</v>
      </c>
      <c r="P27" s="76">
        <v>44958.772523148145</v>
      </c>
      <c r="Q27" t="s">
        <v>1796</v>
      </c>
      <c r="R27" s="77" t="str">
        <f>HYPERLINK("https://www.cnbc.com/2023/01/28/walmart-new-sleek-store-designs.html")</f>
        <v>https://www.cnbc.com/2023/01/28/walmart-new-sleek-store-designs.html</v>
      </c>
      <c r="S27" t="s">
        <v>2282</v>
      </c>
      <c r="V27" s="77" t="str">
        <f>HYPERLINK("https://pbs.twimg.com/profile_images/1335026243511541760/Ne-Y3Cif_normal.jpg")</f>
        <v>https://pbs.twimg.com/profile_images/1335026243511541760/Ne-Y3Cif_normal.jpg</v>
      </c>
      <c r="W27" s="76">
        <v>44958.772523148145</v>
      </c>
      <c r="X27" s="80">
        <v>44958</v>
      </c>
      <c r="Y27" s="78" t="s">
        <v>2759</v>
      </c>
      <c r="Z27" s="77" t="str">
        <f>HYPERLINK("https://twitter.com/408nate/status/1620852592392941569")</f>
        <v>https://twitter.com/408nate/status/1620852592392941569</v>
      </c>
      <c r="AC27" s="78" t="s">
        <v>3778</v>
      </c>
      <c r="AE27" t="b">
        <v>0</v>
      </c>
      <c r="AF27">
        <v>0</v>
      </c>
      <c r="AG27" s="78" t="s">
        <v>4640</v>
      </c>
      <c r="AH27" t="b">
        <v>0</v>
      </c>
      <c r="AI27" t="s">
        <v>4829</v>
      </c>
      <c r="AK27" s="78" t="s">
        <v>4640</v>
      </c>
      <c r="AL27" t="b">
        <v>0</v>
      </c>
      <c r="AM27">
        <v>1</v>
      </c>
      <c r="AN27" s="78" t="s">
        <v>3777</v>
      </c>
      <c r="AO27" s="78" t="s">
        <v>4850</v>
      </c>
      <c r="AP27" t="b">
        <v>0</v>
      </c>
      <c r="AQ27" s="78" t="s">
        <v>3777</v>
      </c>
      <c r="AR27" t="s">
        <v>179</v>
      </c>
      <c r="AS27">
        <v>0</v>
      </c>
      <c r="AT27">
        <v>0</v>
      </c>
    </row>
    <row r="28" spans="1:46" x14ac:dyDescent="0.45">
      <c r="A28" s="62" t="s">
        <v>1095</v>
      </c>
      <c r="B28" s="62" t="s">
        <v>1175</v>
      </c>
      <c r="C28" s="63"/>
      <c r="D28" s="64"/>
      <c r="E28" s="65"/>
      <c r="F28" s="66"/>
      <c r="G28" s="63"/>
      <c r="H28" s="67"/>
      <c r="I28" s="68"/>
      <c r="J28" s="68"/>
      <c r="K28" s="32"/>
      <c r="L28" s="75"/>
      <c r="M28" s="75"/>
      <c r="N28" s="70"/>
      <c r="O28" t="s">
        <v>1568</v>
      </c>
      <c r="P28" s="76">
        <v>44959.596643518518</v>
      </c>
      <c r="Q28" t="s">
        <v>2240</v>
      </c>
      <c r="R28" s="77" t="str">
        <f>HYPERLINK("https://www.cnbc.com/amp/2023/02/02/fanatics-to-start-livestreamed-shopping-of-trading-cards-collectibles.html")</f>
        <v>https://www.cnbc.com/amp/2023/02/02/fanatics-to-start-livestreamed-shopping-of-trading-cards-collectibles.html</v>
      </c>
      <c r="S28" t="s">
        <v>2282</v>
      </c>
      <c r="V28" s="77" t="str">
        <f>HYPERLINK("https://pbs.twimg.com/profile_images/1552408035284361217/UA9hYX-f_normal.jpg")</f>
        <v>https://pbs.twimg.com/profile_images/1552408035284361217/UA9hYX-f_normal.jpg</v>
      </c>
      <c r="W28" s="76">
        <v>44959.596643518518</v>
      </c>
      <c r="X28" s="80">
        <v>44959</v>
      </c>
      <c r="Y28" s="78" t="s">
        <v>3412</v>
      </c>
      <c r="Z28" s="77" t="str">
        <f>HYPERLINK("https://twitter.com/realneustreet/status/1621151241073197058")</f>
        <v>https://twitter.com/realneustreet/status/1621151241073197058</v>
      </c>
      <c r="AC28" s="78" t="s">
        <v>4477</v>
      </c>
      <c r="AD28" s="78" t="s">
        <v>4637</v>
      </c>
      <c r="AE28" t="b">
        <v>0</v>
      </c>
      <c r="AF28">
        <v>0</v>
      </c>
      <c r="AG28" s="78" t="s">
        <v>4826</v>
      </c>
      <c r="AH28" t="b">
        <v>0</v>
      </c>
      <c r="AI28" t="s">
        <v>4829</v>
      </c>
      <c r="AK28" s="78" t="s">
        <v>4640</v>
      </c>
      <c r="AL28" t="b">
        <v>0</v>
      </c>
      <c r="AM28">
        <v>0</v>
      </c>
      <c r="AN28" s="78" t="s">
        <v>4640</v>
      </c>
      <c r="AO28" s="78" t="s">
        <v>4851</v>
      </c>
      <c r="AP28" t="b">
        <v>0</v>
      </c>
      <c r="AQ28" s="78" t="s">
        <v>4637</v>
      </c>
      <c r="AR28" t="s">
        <v>179</v>
      </c>
      <c r="AS28">
        <v>0</v>
      </c>
      <c r="AT28">
        <v>0</v>
      </c>
    </row>
    <row r="29" spans="1:46" x14ac:dyDescent="0.45">
      <c r="A29" s="62" t="s">
        <v>1095</v>
      </c>
      <c r="B29" s="62" t="s">
        <v>242</v>
      </c>
      <c r="C29" s="63"/>
      <c r="D29" s="64"/>
      <c r="E29" s="65"/>
      <c r="F29" s="66"/>
      <c r="G29" s="63"/>
      <c r="H29" s="67"/>
      <c r="I29" s="68"/>
      <c r="J29" s="68"/>
      <c r="K29" s="32"/>
      <c r="L29" s="75"/>
      <c r="M29" s="75"/>
      <c r="N29" s="70"/>
      <c r="O29" t="s">
        <v>1568</v>
      </c>
      <c r="P29" s="76">
        <v>44959.596643518518</v>
      </c>
      <c r="Q29" t="s">
        <v>2240</v>
      </c>
      <c r="R29" s="77" t="str">
        <f>HYPERLINK("https://www.cnbc.com/amp/2023/02/02/fanatics-to-start-livestreamed-shopping-of-trading-cards-collectibles.html")</f>
        <v>https://www.cnbc.com/amp/2023/02/02/fanatics-to-start-livestreamed-shopping-of-trading-cards-collectibles.html</v>
      </c>
      <c r="S29" t="s">
        <v>2282</v>
      </c>
      <c r="V29" s="77" t="str">
        <f>HYPERLINK("https://pbs.twimg.com/profile_images/1552408035284361217/UA9hYX-f_normal.jpg")</f>
        <v>https://pbs.twimg.com/profile_images/1552408035284361217/UA9hYX-f_normal.jpg</v>
      </c>
      <c r="W29" s="76">
        <v>44959.596643518518</v>
      </c>
      <c r="X29" s="80">
        <v>44959</v>
      </c>
      <c r="Y29" s="78" t="s">
        <v>3412</v>
      </c>
      <c r="Z29" s="77" t="str">
        <f>HYPERLINK("https://twitter.com/realneustreet/status/1621151241073197058")</f>
        <v>https://twitter.com/realneustreet/status/1621151241073197058</v>
      </c>
      <c r="AC29" s="78" t="s">
        <v>4477</v>
      </c>
      <c r="AD29" s="78" t="s">
        <v>4637</v>
      </c>
      <c r="AE29" t="b">
        <v>0</v>
      </c>
      <c r="AF29">
        <v>0</v>
      </c>
      <c r="AG29" s="78" t="s">
        <v>4826</v>
      </c>
      <c r="AH29" t="b">
        <v>0</v>
      </c>
      <c r="AI29" t="s">
        <v>4829</v>
      </c>
      <c r="AK29" s="78" t="s">
        <v>4640</v>
      </c>
      <c r="AL29" t="b">
        <v>0</v>
      </c>
      <c r="AM29">
        <v>0</v>
      </c>
      <c r="AN29" s="78" t="s">
        <v>4640</v>
      </c>
      <c r="AO29" s="78" t="s">
        <v>4851</v>
      </c>
      <c r="AP29" t="b">
        <v>0</v>
      </c>
      <c r="AQ29" s="78" t="s">
        <v>4637</v>
      </c>
      <c r="AR29" t="s">
        <v>179</v>
      </c>
      <c r="AS29">
        <v>0</v>
      </c>
      <c r="AT29">
        <v>0</v>
      </c>
    </row>
    <row r="30" spans="1:46" x14ac:dyDescent="0.45">
      <c r="A30" s="62" t="s">
        <v>1095</v>
      </c>
      <c r="B30" s="62" t="s">
        <v>1113</v>
      </c>
      <c r="C30" s="63"/>
      <c r="D30" s="64"/>
      <c r="E30" s="65"/>
      <c r="F30" s="66"/>
      <c r="G30" s="63"/>
      <c r="H30" s="67"/>
      <c r="I30" s="68"/>
      <c r="J30" s="68"/>
      <c r="K30" s="32"/>
      <c r="L30" s="75"/>
      <c r="M30" s="75"/>
      <c r="N30" s="70"/>
      <c r="O30" t="s">
        <v>1568</v>
      </c>
      <c r="P30" s="76">
        <v>44959.596643518518</v>
      </c>
      <c r="Q30" t="s">
        <v>2240</v>
      </c>
      <c r="R30" s="77" t="str">
        <f>HYPERLINK("https://www.cnbc.com/amp/2023/02/02/fanatics-to-start-livestreamed-shopping-of-trading-cards-collectibles.html")</f>
        <v>https://www.cnbc.com/amp/2023/02/02/fanatics-to-start-livestreamed-shopping-of-trading-cards-collectibles.html</v>
      </c>
      <c r="S30" t="s">
        <v>2282</v>
      </c>
      <c r="V30" s="77" t="str">
        <f>HYPERLINK("https://pbs.twimg.com/profile_images/1552408035284361217/UA9hYX-f_normal.jpg")</f>
        <v>https://pbs.twimg.com/profile_images/1552408035284361217/UA9hYX-f_normal.jpg</v>
      </c>
      <c r="W30" s="76">
        <v>44959.596643518518</v>
      </c>
      <c r="X30" s="80">
        <v>44959</v>
      </c>
      <c r="Y30" s="78" t="s">
        <v>3412</v>
      </c>
      <c r="Z30" s="77" t="str">
        <f>HYPERLINK("https://twitter.com/realneustreet/status/1621151241073197058")</f>
        <v>https://twitter.com/realneustreet/status/1621151241073197058</v>
      </c>
      <c r="AC30" s="78" t="s">
        <v>4477</v>
      </c>
      <c r="AD30" s="78" t="s">
        <v>4637</v>
      </c>
      <c r="AE30" t="b">
        <v>0</v>
      </c>
      <c r="AF30">
        <v>0</v>
      </c>
      <c r="AG30" s="78" t="s">
        <v>4826</v>
      </c>
      <c r="AH30" t="b">
        <v>0</v>
      </c>
      <c r="AI30" t="s">
        <v>4829</v>
      </c>
      <c r="AK30" s="78" t="s">
        <v>4640</v>
      </c>
      <c r="AL30" t="b">
        <v>0</v>
      </c>
      <c r="AM30">
        <v>0</v>
      </c>
      <c r="AN30" s="78" t="s">
        <v>4640</v>
      </c>
      <c r="AO30" s="78" t="s">
        <v>4851</v>
      </c>
      <c r="AP30" t="b">
        <v>0</v>
      </c>
      <c r="AQ30" s="78" t="s">
        <v>4637</v>
      </c>
      <c r="AR30" t="s">
        <v>179</v>
      </c>
      <c r="AS30">
        <v>0</v>
      </c>
      <c r="AT30">
        <v>0</v>
      </c>
    </row>
    <row r="31" spans="1:46" x14ac:dyDescent="0.45">
      <c r="A31" s="62" t="s">
        <v>365</v>
      </c>
      <c r="B31" s="62" t="s">
        <v>242</v>
      </c>
      <c r="C31" s="63"/>
      <c r="D31" s="64"/>
      <c r="E31" s="65"/>
      <c r="F31" s="66"/>
      <c r="G31" s="63"/>
      <c r="H31" s="67"/>
      <c r="I31" s="68"/>
      <c r="J31" s="68"/>
      <c r="K31" s="32"/>
      <c r="L31" s="75"/>
      <c r="M31" s="75"/>
      <c r="N31" s="70"/>
      <c r="O31" t="s">
        <v>1568</v>
      </c>
      <c r="P31" s="76">
        <v>44958.682662037034</v>
      </c>
      <c r="Q31" t="s">
        <v>1704</v>
      </c>
      <c r="R31" s="77" t="str">
        <f>HYPERLINK("https://www.cybersecuritydive.com/news/walmart-security-operations-headquarters/641450/")</f>
        <v>https://www.cybersecuritydive.com/news/walmart-security-operations-headquarters/641450/</v>
      </c>
      <c r="S31" t="s">
        <v>2275</v>
      </c>
      <c r="T31" s="78" t="s">
        <v>2334</v>
      </c>
      <c r="U31" s="77" t="str">
        <f>HYPERLINK("https://pbs.twimg.com/media/Fn5POMHXwAAnvmt.jpg")</f>
        <v>https://pbs.twimg.com/media/Fn5POMHXwAAnvmt.jpg</v>
      </c>
      <c r="V31" s="77" t="str">
        <f>HYPERLINK("https://pbs.twimg.com/media/Fn5POMHXwAAnvmt.jpg")</f>
        <v>https://pbs.twimg.com/media/Fn5POMHXwAAnvmt.jpg</v>
      </c>
      <c r="W31" s="76">
        <v>44958.682662037034</v>
      </c>
      <c r="X31" s="80">
        <v>44958</v>
      </c>
      <c r="Y31" s="78" t="s">
        <v>2587</v>
      </c>
      <c r="Z31" s="77" t="str">
        <f>HYPERLINK("https://twitter.com/cybersecdive/status/1620820027615154176")</f>
        <v>https://twitter.com/cybersecdive/status/1620820027615154176</v>
      </c>
      <c r="AC31" s="78" t="s">
        <v>3604</v>
      </c>
      <c r="AE31" t="b">
        <v>0</v>
      </c>
      <c r="AF31">
        <v>0</v>
      </c>
      <c r="AG31" s="78" t="s">
        <v>4640</v>
      </c>
      <c r="AH31" t="b">
        <v>0</v>
      </c>
      <c r="AI31" t="s">
        <v>4829</v>
      </c>
      <c r="AK31" s="78" t="s">
        <v>4640</v>
      </c>
      <c r="AL31" t="b">
        <v>0</v>
      </c>
      <c r="AM31">
        <v>0</v>
      </c>
      <c r="AN31" s="78" t="s">
        <v>4640</v>
      </c>
      <c r="AO31" s="78" t="s">
        <v>4860</v>
      </c>
      <c r="AP31" t="b">
        <v>0</v>
      </c>
      <c r="AQ31" s="78" t="s">
        <v>3604</v>
      </c>
      <c r="AR31" t="s">
        <v>179</v>
      </c>
      <c r="AS31">
        <v>0</v>
      </c>
      <c r="AT31">
        <v>0</v>
      </c>
    </row>
    <row r="32" spans="1:46" x14ac:dyDescent="0.45">
      <c r="A32" s="62" t="s">
        <v>347</v>
      </c>
      <c r="B32" s="62" t="s">
        <v>242</v>
      </c>
      <c r="C32" s="63"/>
      <c r="D32" s="64"/>
      <c r="E32" s="65"/>
      <c r="F32" s="66"/>
      <c r="G32" s="63"/>
      <c r="H32" s="67"/>
      <c r="I32" s="68"/>
      <c r="J32" s="68"/>
      <c r="K32" s="32"/>
      <c r="L32" s="75"/>
      <c r="M32" s="75"/>
      <c r="N32" s="70"/>
      <c r="O32" t="s">
        <v>1568</v>
      </c>
      <c r="P32" s="76">
        <v>44958.670162037037</v>
      </c>
      <c r="Q32" t="s">
        <v>1692</v>
      </c>
      <c r="R32" s="77" t="str">
        <f>HYPERLINK("https://www.delimarketnews.com/well-paired/walmart-owned-sams-club-announces-plans-open-30-clubs-kathryn-mclay-and-joseph-godsey-comment/jenna-plasterer/tue-01312023-0847/14926")</f>
        <v>https://www.delimarketnews.com/well-paired/walmart-owned-sams-club-announces-plans-open-30-clubs-kathryn-mclay-and-joseph-godsey-comment/jenna-plasterer/tue-01312023-0847/14926</v>
      </c>
      <c r="S32" t="s">
        <v>2273</v>
      </c>
      <c r="T32" s="78" t="s">
        <v>2332</v>
      </c>
      <c r="V32" s="77" t="str">
        <f>HYPERLINK("https://pbs.twimg.com/profile_images/606218691940712448/zl__JZzZ_normal.jpg")</f>
        <v>https://pbs.twimg.com/profile_images/606218691940712448/zl__JZzZ_normal.jpg</v>
      </c>
      <c r="W32" s="76">
        <v>44958.670162037037</v>
      </c>
      <c r="X32" s="80">
        <v>44958</v>
      </c>
      <c r="Y32" s="78" t="s">
        <v>2568</v>
      </c>
      <c r="Z32" s="77" t="str">
        <f>HYPERLINK("https://twitter.com/delimarketnews/status/1620815497553145856")</f>
        <v>https://twitter.com/delimarketnews/status/1620815497553145856</v>
      </c>
      <c r="AC32" s="78" t="s">
        <v>3585</v>
      </c>
      <c r="AE32" t="b">
        <v>0</v>
      </c>
      <c r="AF32">
        <v>0</v>
      </c>
      <c r="AG32" s="78" t="s">
        <v>4640</v>
      </c>
      <c r="AH32" t="b">
        <v>0</v>
      </c>
      <c r="AI32" t="s">
        <v>4829</v>
      </c>
      <c r="AK32" s="78" t="s">
        <v>4640</v>
      </c>
      <c r="AL32" t="b">
        <v>0</v>
      </c>
      <c r="AM32">
        <v>0</v>
      </c>
      <c r="AN32" s="78" t="s">
        <v>4640</v>
      </c>
      <c r="AO32" s="78" t="s">
        <v>4859</v>
      </c>
      <c r="AP32" t="b">
        <v>0</v>
      </c>
      <c r="AQ32" s="78" t="s">
        <v>3585</v>
      </c>
      <c r="AR32" t="s">
        <v>179</v>
      </c>
      <c r="AS32">
        <v>0</v>
      </c>
      <c r="AT32">
        <v>0</v>
      </c>
    </row>
    <row r="33" spans="1:46" x14ac:dyDescent="0.45">
      <c r="A33" s="62" t="s">
        <v>229</v>
      </c>
      <c r="B33" s="62" t="s">
        <v>1121</v>
      </c>
      <c r="C33" s="63"/>
      <c r="D33" s="64"/>
      <c r="E33" s="65"/>
      <c r="F33" s="66"/>
      <c r="G33" s="63"/>
      <c r="H33" s="67"/>
      <c r="I33" s="68"/>
      <c r="J33" s="68"/>
      <c r="K33" s="32"/>
      <c r="L33" s="75"/>
      <c r="M33" s="75"/>
      <c r="N33" s="70"/>
      <c r="O33" t="s">
        <v>1568</v>
      </c>
      <c r="P33" s="76">
        <v>44958.208333333336</v>
      </c>
      <c r="Q33" t="s">
        <v>1583</v>
      </c>
      <c r="R33" s="77" t="str">
        <f>HYPERLINK("https://dronexl.co/2023/01/30/drone-delivery-at-scale-walmart/")</f>
        <v>https://dronexl.co/2023/01/30/drone-delivery-at-scale-walmart/</v>
      </c>
      <c r="S33" t="s">
        <v>2259</v>
      </c>
      <c r="T33" s="78" t="s">
        <v>2310</v>
      </c>
      <c r="V33" s="77" t="str">
        <f>HYPERLINK("https://pbs.twimg.com/profile_images/1245109392065863681/B5K9Hb8G_normal.jpg")</f>
        <v>https://pbs.twimg.com/profile_images/1245109392065863681/B5K9Hb8G_normal.jpg</v>
      </c>
      <c r="W33" s="76">
        <v>44958.208333333336</v>
      </c>
      <c r="X33" s="80">
        <v>44958</v>
      </c>
      <c r="Y33" s="78" t="s">
        <v>2432</v>
      </c>
      <c r="Z33" s="77" t="str">
        <f>HYPERLINK("https://twitter.com/dronexl1/status/1620648137764536321")</f>
        <v>https://twitter.com/dronexl1/status/1620648137764536321</v>
      </c>
      <c r="AC33" s="78" t="s">
        <v>3447</v>
      </c>
      <c r="AE33" t="b">
        <v>0</v>
      </c>
      <c r="AF33">
        <v>9</v>
      </c>
      <c r="AG33" s="78" t="s">
        <v>4640</v>
      </c>
      <c r="AH33" t="b">
        <v>0</v>
      </c>
      <c r="AI33" t="s">
        <v>4829</v>
      </c>
      <c r="AK33" s="78" t="s">
        <v>4640</v>
      </c>
      <c r="AL33" t="b">
        <v>0</v>
      </c>
      <c r="AM33">
        <v>3</v>
      </c>
      <c r="AN33" s="78" t="s">
        <v>4640</v>
      </c>
      <c r="AO33" s="78" t="s">
        <v>4854</v>
      </c>
      <c r="AP33" t="b">
        <v>0</v>
      </c>
      <c r="AQ33" s="78" t="s">
        <v>3447</v>
      </c>
      <c r="AR33" t="s">
        <v>1569</v>
      </c>
      <c r="AS33">
        <v>0</v>
      </c>
      <c r="AT33">
        <v>0</v>
      </c>
    </row>
    <row r="34" spans="1:46" x14ac:dyDescent="0.45">
      <c r="A34" s="62" t="s">
        <v>229</v>
      </c>
      <c r="B34" s="62" t="s">
        <v>242</v>
      </c>
      <c r="C34" s="63"/>
      <c r="D34" s="64"/>
      <c r="E34" s="65"/>
      <c r="F34" s="66"/>
      <c r="G34" s="63"/>
      <c r="H34" s="67"/>
      <c r="I34" s="68"/>
      <c r="J34" s="68"/>
      <c r="K34" s="32"/>
      <c r="L34" s="75"/>
      <c r="M34" s="75"/>
      <c r="N34" s="70"/>
      <c r="O34" t="s">
        <v>1568</v>
      </c>
      <c r="P34" s="76">
        <v>44958.208333333336</v>
      </c>
      <c r="Q34" t="s">
        <v>1583</v>
      </c>
      <c r="R34" s="77" t="str">
        <f>HYPERLINK("https://dronexl.co/2023/01/30/drone-delivery-at-scale-walmart/")</f>
        <v>https://dronexl.co/2023/01/30/drone-delivery-at-scale-walmart/</v>
      </c>
      <c r="S34" t="s">
        <v>2259</v>
      </c>
      <c r="T34" s="78" t="s">
        <v>2310</v>
      </c>
      <c r="V34" s="77" t="str">
        <f>HYPERLINK("https://pbs.twimg.com/profile_images/1245109392065863681/B5K9Hb8G_normal.jpg")</f>
        <v>https://pbs.twimg.com/profile_images/1245109392065863681/B5K9Hb8G_normal.jpg</v>
      </c>
      <c r="W34" s="76">
        <v>44958.208333333336</v>
      </c>
      <c r="X34" s="80">
        <v>44958</v>
      </c>
      <c r="Y34" s="78" t="s">
        <v>2432</v>
      </c>
      <c r="Z34" s="77" t="str">
        <f>HYPERLINK("https://twitter.com/dronexl1/status/1620648137764536321")</f>
        <v>https://twitter.com/dronexl1/status/1620648137764536321</v>
      </c>
      <c r="AC34" s="78" t="s">
        <v>3447</v>
      </c>
      <c r="AE34" t="b">
        <v>0</v>
      </c>
      <c r="AF34">
        <v>9</v>
      </c>
      <c r="AG34" s="78" t="s">
        <v>4640</v>
      </c>
      <c r="AH34" t="b">
        <v>0</v>
      </c>
      <c r="AI34" t="s">
        <v>4829</v>
      </c>
      <c r="AK34" s="78" t="s">
        <v>4640</v>
      </c>
      <c r="AL34" t="b">
        <v>0</v>
      </c>
      <c r="AM34">
        <v>3</v>
      </c>
      <c r="AN34" s="78" t="s">
        <v>4640</v>
      </c>
      <c r="AO34" s="78" t="s">
        <v>4854</v>
      </c>
      <c r="AP34" t="b">
        <v>0</v>
      </c>
      <c r="AQ34" s="78" t="s">
        <v>3447</v>
      </c>
      <c r="AR34" t="s">
        <v>1569</v>
      </c>
      <c r="AS34">
        <v>0</v>
      </c>
      <c r="AT34">
        <v>0</v>
      </c>
    </row>
    <row r="35" spans="1:46" x14ac:dyDescent="0.45">
      <c r="A35" s="62" t="s">
        <v>230</v>
      </c>
      <c r="B35" s="62" t="s">
        <v>1121</v>
      </c>
      <c r="C35" s="63"/>
      <c r="D35" s="64"/>
      <c r="E35" s="65"/>
      <c r="F35" s="66"/>
      <c r="G35" s="63"/>
      <c r="H35" s="67"/>
      <c r="I35" s="68"/>
      <c r="J35" s="68"/>
      <c r="K35" s="32"/>
      <c r="L35" s="75"/>
      <c r="M35" s="75"/>
      <c r="N35" s="70"/>
      <c r="O35" t="s">
        <v>1570</v>
      </c>
      <c r="P35" s="76">
        <v>44958.314421296294</v>
      </c>
      <c r="Q35" t="s">
        <v>1583</v>
      </c>
      <c r="R35" s="77" t="str">
        <f>HYPERLINK("https://dronexl.co/2023/01/30/drone-delivery-at-scale-walmart/")</f>
        <v>https://dronexl.co/2023/01/30/drone-delivery-at-scale-walmart/</v>
      </c>
      <c r="S35" t="s">
        <v>2259</v>
      </c>
      <c r="T35" s="78" t="s">
        <v>2310</v>
      </c>
      <c r="V35" s="77" t="str">
        <f>HYPERLINK("https://pbs.twimg.com/profile_images/1350869984575180808/04-m0Fap_normal.jpg")</f>
        <v>https://pbs.twimg.com/profile_images/1350869984575180808/04-m0Fap_normal.jpg</v>
      </c>
      <c r="W35" s="76">
        <v>44958.314421296294</v>
      </c>
      <c r="X35" s="80">
        <v>44958</v>
      </c>
      <c r="Y35" s="78" t="s">
        <v>2433</v>
      </c>
      <c r="Z35" s="77" t="str">
        <f>HYPERLINK("https://twitter.com/dronilabeu/status/1620686582276820992")</f>
        <v>https://twitter.com/dronilabeu/status/1620686582276820992</v>
      </c>
      <c r="AC35" s="78" t="s">
        <v>3448</v>
      </c>
      <c r="AE35" t="b">
        <v>0</v>
      </c>
      <c r="AF35">
        <v>0</v>
      </c>
      <c r="AG35" s="78" t="s">
        <v>4640</v>
      </c>
      <c r="AH35" t="b">
        <v>0</v>
      </c>
      <c r="AI35" t="s">
        <v>4829</v>
      </c>
      <c r="AK35" s="78" t="s">
        <v>4640</v>
      </c>
      <c r="AL35" t="b">
        <v>0</v>
      </c>
      <c r="AM35">
        <v>3</v>
      </c>
      <c r="AN35" s="78" t="s">
        <v>3447</v>
      </c>
      <c r="AO35" s="78" t="s">
        <v>4851</v>
      </c>
      <c r="AP35" t="b">
        <v>0</v>
      </c>
      <c r="AQ35" s="78" t="s">
        <v>3447</v>
      </c>
      <c r="AR35" t="s">
        <v>179</v>
      </c>
      <c r="AS35">
        <v>0</v>
      </c>
      <c r="AT35">
        <v>0</v>
      </c>
    </row>
    <row r="36" spans="1:46" x14ac:dyDescent="0.45">
      <c r="A36" s="62" t="s">
        <v>230</v>
      </c>
      <c r="B36" s="62" t="s">
        <v>229</v>
      </c>
      <c r="C36" s="63"/>
      <c r="D36" s="64"/>
      <c r="E36" s="65"/>
      <c r="F36" s="66"/>
      <c r="G36" s="63"/>
      <c r="H36" s="67"/>
      <c r="I36" s="68"/>
      <c r="J36" s="68"/>
      <c r="K36" s="32"/>
      <c r="L36" s="75"/>
      <c r="M36" s="75"/>
      <c r="N36" s="70"/>
      <c r="O36" t="s">
        <v>1569</v>
      </c>
      <c r="P36" s="76">
        <v>44958.314421296294</v>
      </c>
      <c r="Q36" t="s">
        <v>1583</v>
      </c>
      <c r="R36" s="77" t="str">
        <f>HYPERLINK("https://dronexl.co/2023/01/30/drone-delivery-at-scale-walmart/")</f>
        <v>https://dronexl.co/2023/01/30/drone-delivery-at-scale-walmart/</v>
      </c>
      <c r="S36" t="s">
        <v>2259</v>
      </c>
      <c r="T36" s="78" t="s">
        <v>2310</v>
      </c>
      <c r="V36" s="77" t="str">
        <f>HYPERLINK("https://pbs.twimg.com/profile_images/1350869984575180808/04-m0Fap_normal.jpg")</f>
        <v>https://pbs.twimg.com/profile_images/1350869984575180808/04-m0Fap_normal.jpg</v>
      </c>
      <c r="W36" s="76">
        <v>44958.314421296294</v>
      </c>
      <c r="X36" s="80">
        <v>44958</v>
      </c>
      <c r="Y36" s="78" t="s">
        <v>2433</v>
      </c>
      <c r="Z36" s="77" t="str">
        <f>HYPERLINK("https://twitter.com/dronilabeu/status/1620686582276820992")</f>
        <v>https://twitter.com/dronilabeu/status/1620686582276820992</v>
      </c>
      <c r="AC36" s="78" t="s">
        <v>3448</v>
      </c>
      <c r="AE36" t="b">
        <v>0</v>
      </c>
      <c r="AF36">
        <v>0</v>
      </c>
      <c r="AG36" s="78" t="s">
        <v>4640</v>
      </c>
      <c r="AH36" t="b">
        <v>0</v>
      </c>
      <c r="AI36" t="s">
        <v>4829</v>
      </c>
      <c r="AK36" s="78" t="s">
        <v>4640</v>
      </c>
      <c r="AL36" t="b">
        <v>0</v>
      </c>
      <c r="AM36">
        <v>3</v>
      </c>
      <c r="AN36" s="78" t="s">
        <v>3447</v>
      </c>
      <c r="AO36" s="78" t="s">
        <v>4851</v>
      </c>
      <c r="AP36" t="b">
        <v>0</v>
      </c>
      <c r="AQ36" s="78" t="s">
        <v>3447</v>
      </c>
      <c r="AR36" t="s">
        <v>179</v>
      </c>
      <c r="AS36">
        <v>0</v>
      </c>
      <c r="AT36">
        <v>0</v>
      </c>
    </row>
    <row r="37" spans="1:46" x14ac:dyDescent="0.45">
      <c r="A37" s="62" t="s">
        <v>230</v>
      </c>
      <c r="B37" s="62" t="s">
        <v>242</v>
      </c>
      <c r="C37" s="63"/>
      <c r="D37" s="64"/>
      <c r="E37" s="65"/>
      <c r="F37" s="66"/>
      <c r="G37" s="63"/>
      <c r="H37" s="67"/>
      <c r="I37" s="68"/>
      <c r="J37" s="68"/>
      <c r="K37" s="32"/>
      <c r="L37" s="75"/>
      <c r="M37" s="75"/>
      <c r="N37" s="70"/>
      <c r="O37" t="s">
        <v>1570</v>
      </c>
      <c r="P37" s="76">
        <v>44958.314421296294</v>
      </c>
      <c r="Q37" t="s">
        <v>1583</v>
      </c>
      <c r="R37" s="77" t="str">
        <f>HYPERLINK("https://dronexl.co/2023/01/30/drone-delivery-at-scale-walmart/")</f>
        <v>https://dronexl.co/2023/01/30/drone-delivery-at-scale-walmart/</v>
      </c>
      <c r="S37" t="s">
        <v>2259</v>
      </c>
      <c r="T37" s="78" t="s">
        <v>2310</v>
      </c>
      <c r="V37" s="77" t="str">
        <f>HYPERLINK("https://pbs.twimg.com/profile_images/1350869984575180808/04-m0Fap_normal.jpg")</f>
        <v>https://pbs.twimg.com/profile_images/1350869984575180808/04-m0Fap_normal.jpg</v>
      </c>
      <c r="W37" s="76">
        <v>44958.314421296294</v>
      </c>
      <c r="X37" s="80">
        <v>44958</v>
      </c>
      <c r="Y37" s="78" t="s">
        <v>2433</v>
      </c>
      <c r="Z37" s="77" t="str">
        <f>HYPERLINK("https://twitter.com/dronilabeu/status/1620686582276820992")</f>
        <v>https://twitter.com/dronilabeu/status/1620686582276820992</v>
      </c>
      <c r="AC37" s="78" t="s">
        <v>3448</v>
      </c>
      <c r="AE37" t="b">
        <v>0</v>
      </c>
      <c r="AF37">
        <v>0</v>
      </c>
      <c r="AG37" s="78" t="s">
        <v>4640</v>
      </c>
      <c r="AH37" t="b">
        <v>0</v>
      </c>
      <c r="AI37" t="s">
        <v>4829</v>
      </c>
      <c r="AK37" s="78" t="s">
        <v>4640</v>
      </c>
      <c r="AL37" t="b">
        <v>0</v>
      </c>
      <c r="AM37">
        <v>3</v>
      </c>
      <c r="AN37" s="78" t="s">
        <v>3447</v>
      </c>
      <c r="AO37" s="78" t="s">
        <v>4851</v>
      </c>
      <c r="AP37" t="b">
        <v>0</v>
      </c>
      <c r="AQ37" s="78" t="s">
        <v>3447</v>
      </c>
      <c r="AR37" t="s">
        <v>179</v>
      </c>
      <c r="AS37">
        <v>0</v>
      </c>
      <c r="AT37">
        <v>0</v>
      </c>
    </row>
    <row r="38" spans="1:46" x14ac:dyDescent="0.45">
      <c r="A38" s="62" t="s">
        <v>329</v>
      </c>
      <c r="B38" s="62" t="s">
        <v>1217</v>
      </c>
      <c r="C38" s="63"/>
      <c r="D38" s="64"/>
      <c r="E38" s="65"/>
      <c r="F38" s="66"/>
      <c r="G38" s="63"/>
      <c r="H38" s="67"/>
      <c r="I38" s="68"/>
      <c r="J38" s="68"/>
      <c r="K38" s="32"/>
      <c r="L38" s="75"/>
      <c r="M38" s="75"/>
      <c r="N38" s="70"/>
      <c r="O38" t="s">
        <v>1568</v>
      </c>
      <c r="P38" s="76">
        <v>44957.831550925926</v>
      </c>
      <c r="Q38" t="s">
        <v>1675</v>
      </c>
      <c r="R38" s="77" t="str">
        <f>HYPERLINK("https://www.ebay.com/itm/265238437431")</f>
        <v>https://www.ebay.com/itm/265238437431</v>
      </c>
      <c r="S38" t="s">
        <v>2272</v>
      </c>
      <c r="V38" s="77" t="str">
        <f>HYPERLINK("https://pbs.twimg.com/profile_images/761413518742523904/uY39EfvT_normal.jpg")</f>
        <v>https://pbs.twimg.com/profile_images/761413518742523904/uY39EfvT_normal.jpg</v>
      </c>
      <c r="W38" s="76">
        <v>44957.831550925926</v>
      </c>
      <c r="X38" s="80">
        <v>44957</v>
      </c>
      <c r="Y38" s="78" t="s">
        <v>2546</v>
      </c>
      <c r="Z38" s="77" t="str">
        <f>HYPERLINK("https://twitter.com/earnmoney_now/status/1620511594970234880")</f>
        <v>https://twitter.com/earnmoney_now/status/1620511594970234880</v>
      </c>
      <c r="AC38" s="78" t="s">
        <v>3563</v>
      </c>
      <c r="AE38" t="b">
        <v>0</v>
      </c>
      <c r="AF38">
        <v>0</v>
      </c>
      <c r="AG38" s="78" t="s">
        <v>4639</v>
      </c>
      <c r="AH38" t="b">
        <v>0</v>
      </c>
      <c r="AI38" t="s">
        <v>4829</v>
      </c>
      <c r="AK38" s="78" t="s">
        <v>4640</v>
      </c>
      <c r="AL38" t="b">
        <v>0</v>
      </c>
      <c r="AM38">
        <v>1</v>
      </c>
      <c r="AN38" s="78" t="s">
        <v>4640</v>
      </c>
      <c r="AO38" s="78" t="s">
        <v>4849</v>
      </c>
      <c r="AP38" t="b">
        <v>0</v>
      </c>
      <c r="AQ38" s="78" t="s">
        <v>3563</v>
      </c>
      <c r="AR38" t="s">
        <v>1569</v>
      </c>
      <c r="AS38">
        <v>0</v>
      </c>
      <c r="AT38">
        <v>0</v>
      </c>
    </row>
    <row r="39" spans="1:46" x14ac:dyDescent="0.45">
      <c r="A39" s="62" t="s">
        <v>329</v>
      </c>
      <c r="B39" s="62" t="s">
        <v>1218</v>
      </c>
      <c r="C39" s="63"/>
      <c r="D39" s="64"/>
      <c r="E39" s="65"/>
      <c r="F39" s="66"/>
      <c r="G39" s="63"/>
      <c r="H39" s="67"/>
      <c r="I39" s="68"/>
      <c r="J39" s="68"/>
      <c r="K39" s="32"/>
      <c r="L39" s="75"/>
      <c r="M39" s="75"/>
      <c r="N39" s="70"/>
      <c r="O39" t="s">
        <v>1568</v>
      </c>
      <c r="P39" s="76">
        <v>44957.831550925926</v>
      </c>
      <c r="Q39" t="s">
        <v>1675</v>
      </c>
      <c r="R39" s="77" t="str">
        <f>HYPERLINK("https://www.ebay.com/itm/265238437431")</f>
        <v>https://www.ebay.com/itm/265238437431</v>
      </c>
      <c r="S39" t="s">
        <v>2272</v>
      </c>
      <c r="V39" s="77" t="str">
        <f>HYPERLINK("https://pbs.twimg.com/profile_images/761413518742523904/uY39EfvT_normal.jpg")</f>
        <v>https://pbs.twimg.com/profile_images/761413518742523904/uY39EfvT_normal.jpg</v>
      </c>
      <c r="W39" s="76">
        <v>44957.831550925926</v>
      </c>
      <c r="X39" s="80">
        <v>44957</v>
      </c>
      <c r="Y39" s="78" t="s">
        <v>2546</v>
      </c>
      <c r="Z39" s="77" t="str">
        <f>HYPERLINK("https://twitter.com/earnmoney_now/status/1620511594970234880")</f>
        <v>https://twitter.com/earnmoney_now/status/1620511594970234880</v>
      </c>
      <c r="AC39" s="78" t="s">
        <v>3563</v>
      </c>
      <c r="AE39" t="b">
        <v>0</v>
      </c>
      <c r="AF39">
        <v>0</v>
      </c>
      <c r="AG39" s="78" t="s">
        <v>4639</v>
      </c>
      <c r="AH39" t="b">
        <v>0</v>
      </c>
      <c r="AI39" t="s">
        <v>4829</v>
      </c>
      <c r="AK39" s="78" t="s">
        <v>4640</v>
      </c>
      <c r="AL39" t="b">
        <v>0</v>
      </c>
      <c r="AM39">
        <v>1</v>
      </c>
      <c r="AN39" s="78" t="s">
        <v>4640</v>
      </c>
      <c r="AO39" s="78" t="s">
        <v>4849</v>
      </c>
      <c r="AP39" t="b">
        <v>0</v>
      </c>
      <c r="AQ39" s="78" t="s">
        <v>3563</v>
      </c>
      <c r="AR39" t="s">
        <v>1569</v>
      </c>
      <c r="AS39">
        <v>0</v>
      </c>
      <c r="AT39">
        <v>0</v>
      </c>
    </row>
    <row r="40" spans="1:46" x14ac:dyDescent="0.45">
      <c r="A40" s="62" t="s">
        <v>329</v>
      </c>
      <c r="B40" s="62" t="s">
        <v>1219</v>
      </c>
      <c r="C40" s="63"/>
      <c r="D40" s="64"/>
      <c r="E40" s="65"/>
      <c r="F40" s="66"/>
      <c r="G40" s="63"/>
      <c r="H40" s="67"/>
      <c r="I40" s="68"/>
      <c r="J40" s="68"/>
      <c r="K40" s="32"/>
      <c r="L40" s="75"/>
      <c r="M40" s="75"/>
      <c r="N40" s="70"/>
      <c r="O40" t="s">
        <v>1568</v>
      </c>
      <c r="P40" s="76">
        <v>44957.831550925926</v>
      </c>
      <c r="Q40" t="s">
        <v>1675</v>
      </c>
      <c r="R40" s="77" t="str">
        <f>HYPERLINK("https://www.ebay.com/itm/265238437431")</f>
        <v>https://www.ebay.com/itm/265238437431</v>
      </c>
      <c r="S40" t="s">
        <v>2272</v>
      </c>
      <c r="V40" s="77" t="str">
        <f>HYPERLINK("https://pbs.twimg.com/profile_images/761413518742523904/uY39EfvT_normal.jpg")</f>
        <v>https://pbs.twimg.com/profile_images/761413518742523904/uY39EfvT_normal.jpg</v>
      </c>
      <c r="W40" s="76">
        <v>44957.831550925926</v>
      </c>
      <c r="X40" s="80">
        <v>44957</v>
      </c>
      <c r="Y40" s="78" t="s">
        <v>2546</v>
      </c>
      <c r="Z40" s="77" t="str">
        <f>HYPERLINK("https://twitter.com/earnmoney_now/status/1620511594970234880")</f>
        <v>https://twitter.com/earnmoney_now/status/1620511594970234880</v>
      </c>
      <c r="AC40" s="78" t="s">
        <v>3563</v>
      </c>
      <c r="AE40" t="b">
        <v>0</v>
      </c>
      <c r="AF40">
        <v>0</v>
      </c>
      <c r="AG40" s="78" t="s">
        <v>4639</v>
      </c>
      <c r="AH40" t="b">
        <v>0</v>
      </c>
      <c r="AI40" t="s">
        <v>4829</v>
      </c>
      <c r="AK40" s="78" t="s">
        <v>4640</v>
      </c>
      <c r="AL40" t="b">
        <v>0</v>
      </c>
      <c r="AM40">
        <v>1</v>
      </c>
      <c r="AN40" s="78" t="s">
        <v>4640</v>
      </c>
      <c r="AO40" s="78" t="s">
        <v>4849</v>
      </c>
      <c r="AP40" t="b">
        <v>0</v>
      </c>
      <c r="AQ40" s="78" t="s">
        <v>3563</v>
      </c>
      <c r="AR40" t="s">
        <v>1569</v>
      </c>
      <c r="AS40">
        <v>0</v>
      </c>
      <c r="AT40">
        <v>0</v>
      </c>
    </row>
    <row r="41" spans="1:46" x14ac:dyDescent="0.45">
      <c r="A41" s="62" t="s">
        <v>329</v>
      </c>
      <c r="B41" s="62" t="s">
        <v>1181</v>
      </c>
      <c r="C41" s="63"/>
      <c r="D41" s="64"/>
      <c r="E41" s="65"/>
      <c r="F41" s="66"/>
      <c r="G41" s="63"/>
      <c r="H41" s="67"/>
      <c r="I41" s="68"/>
      <c r="J41" s="68"/>
      <c r="K41" s="32"/>
      <c r="L41" s="75"/>
      <c r="M41" s="75"/>
      <c r="N41" s="70"/>
      <c r="O41" t="s">
        <v>1568</v>
      </c>
      <c r="P41" s="76">
        <v>44957.831550925926</v>
      </c>
      <c r="Q41" t="s">
        <v>1675</v>
      </c>
      <c r="R41" s="77" t="str">
        <f>HYPERLINK("https://www.ebay.com/itm/265238437431")</f>
        <v>https://www.ebay.com/itm/265238437431</v>
      </c>
      <c r="S41" t="s">
        <v>2272</v>
      </c>
      <c r="V41" s="77" t="str">
        <f>HYPERLINK("https://pbs.twimg.com/profile_images/761413518742523904/uY39EfvT_normal.jpg")</f>
        <v>https://pbs.twimg.com/profile_images/761413518742523904/uY39EfvT_normal.jpg</v>
      </c>
      <c r="W41" s="76">
        <v>44957.831550925926</v>
      </c>
      <c r="X41" s="80">
        <v>44957</v>
      </c>
      <c r="Y41" s="78" t="s">
        <v>2546</v>
      </c>
      <c r="Z41" s="77" t="str">
        <f>HYPERLINK("https://twitter.com/earnmoney_now/status/1620511594970234880")</f>
        <v>https://twitter.com/earnmoney_now/status/1620511594970234880</v>
      </c>
      <c r="AC41" s="78" t="s">
        <v>3563</v>
      </c>
      <c r="AE41" t="b">
        <v>0</v>
      </c>
      <c r="AF41">
        <v>0</v>
      </c>
      <c r="AG41" s="78" t="s">
        <v>4639</v>
      </c>
      <c r="AH41" t="b">
        <v>0</v>
      </c>
      <c r="AI41" t="s">
        <v>4829</v>
      </c>
      <c r="AK41" s="78" t="s">
        <v>4640</v>
      </c>
      <c r="AL41" t="b">
        <v>0</v>
      </c>
      <c r="AM41">
        <v>1</v>
      </c>
      <c r="AN41" s="78" t="s">
        <v>4640</v>
      </c>
      <c r="AO41" s="78" t="s">
        <v>4849</v>
      </c>
      <c r="AP41" t="b">
        <v>0</v>
      </c>
      <c r="AQ41" s="78" t="s">
        <v>3563</v>
      </c>
      <c r="AR41" t="s">
        <v>1569</v>
      </c>
      <c r="AS41">
        <v>0</v>
      </c>
      <c r="AT41">
        <v>0</v>
      </c>
    </row>
    <row r="42" spans="1:46" x14ac:dyDescent="0.45">
      <c r="A42" s="62" t="s">
        <v>329</v>
      </c>
      <c r="B42" s="62" t="s">
        <v>242</v>
      </c>
      <c r="C42" s="63"/>
      <c r="D42" s="64"/>
      <c r="E42" s="65"/>
      <c r="F42" s="66"/>
      <c r="G42" s="63"/>
      <c r="H42" s="67"/>
      <c r="I42" s="68"/>
      <c r="J42" s="68"/>
      <c r="K42" s="32"/>
      <c r="L42" s="75"/>
      <c r="M42" s="75"/>
      <c r="N42" s="70"/>
      <c r="O42" t="s">
        <v>1567</v>
      </c>
      <c r="P42" s="76">
        <v>44957.831550925926</v>
      </c>
      <c r="Q42" t="s">
        <v>1675</v>
      </c>
      <c r="R42" s="77" t="str">
        <f>HYPERLINK("https://www.ebay.com/itm/265238437431")</f>
        <v>https://www.ebay.com/itm/265238437431</v>
      </c>
      <c r="S42" t="s">
        <v>2272</v>
      </c>
      <c r="V42" s="77" t="str">
        <f>HYPERLINK("https://pbs.twimg.com/profile_images/761413518742523904/uY39EfvT_normal.jpg")</f>
        <v>https://pbs.twimg.com/profile_images/761413518742523904/uY39EfvT_normal.jpg</v>
      </c>
      <c r="W42" s="76">
        <v>44957.831550925926</v>
      </c>
      <c r="X42" s="80">
        <v>44957</v>
      </c>
      <c r="Y42" s="78" t="s">
        <v>2546</v>
      </c>
      <c r="Z42" s="77" t="str">
        <f>HYPERLINK("https://twitter.com/earnmoney_now/status/1620511594970234880")</f>
        <v>https://twitter.com/earnmoney_now/status/1620511594970234880</v>
      </c>
      <c r="AC42" s="78" t="s">
        <v>3563</v>
      </c>
      <c r="AE42" t="b">
        <v>0</v>
      </c>
      <c r="AF42">
        <v>0</v>
      </c>
      <c r="AG42" s="78" t="s">
        <v>4639</v>
      </c>
      <c r="AH42" t="b">
        <v>0</v>
      </c>
      <c r="AI42" t="s">
        <v>4829</v>
      </c>
      <c r="AK42" s="78" t="s">
        <v>4640</v>
      </c>
      <c r="AL42" t="b">
        <v>0</v>
      </c>
      <c r="AM42">
        <v>1</v>
      </c>
      <c r="AN42" s="78" t="s">
        <v>4640</v>
      </c>
      <c r="AO42" s="78" t="s">
        <v>4849</v>
      </c>
      <c r="AP42" t="b">
        <v>0</v>
      </c>
      <c r="AQ42" s="78" t="s">
        <v>3563</v>
      </c>
      <c r="AR42" t="s">
        <v>1569</v>
      </c>
      <c r="AS42">
        <v>0</v>
      </c>
      <c r="AT42">
        <v>0</v>
      </c>
    </row>
    <row r="43" spans="1:46" x14ac:dyDescent="0.45">
      <c r="A43" s="62" t="s">
        <v>329</v>
      </c>
      <c r="B43" s="62" t="s">
        <v>1219</v>
      </c>
      <c r="C43" s="63"/>
      <c r="D43" s="64"/>
      <c r="E43" s="65"/>
      <c r="F43" s="66"/>
      <c r="G43" s="63"/>
      <c r="H43" s="67"/>
      <c r="I43" s="68"/>
      <c r="J43" s="68"/>
      <c r="K43" s="32"/>
      <c r="L43" s="75"/>
      <c r="M43" s="75"/>
      <c r="N43" s="70"/>
      <c r="O43" t="s">
        <v>1568</v>
      </c>
      <c r="P43" s="76">
        <v>44957.685717592591</v>
      </c>
      <c r="Q43" t="s">
        <v>1676</v>
      </c>
      <c r="R43" s="77" t="s">
        <v>2250</v>
      </c>
      <c r="S43" t="s">
        <v>2272</v>
      </c>
      <c r="V43" s="77" t="str">
        <f>HYPERLINK("https://pbs.twimg.com/profile_images/761413518742523904/uY39EfvT_normal.jpg")</f>
        <v>https://pbs.twimg.com/profile_images/761413518742523904/uY39EfvT_normal.jpg</v>
      </c>
      <c r="W43" s="76">
        <v>44957.685717592591</v>
      </c>
      <c r="X43" s="80">
        <v>44957</v>
      </c>
      <c r="Y43" s="78" t="s">
        <v>2547</v>
      </c>
      <c r="Z43" s="77" t="str">
        <f>HYPERLINK("https://twitter.com/earnmoney_now/status/1620458747272519682")</f>
        <v>https://twitter.com/earnmoney_now/status/1620458747272519682</v>
      </c>
      <c r="AC43" s="78" t="s">
        <v>3564</v>
      </c>
      <c r="AE43" t="b">
        <v>0</v>
      </c>
      <c r="AF43">
        <v>0</v>
      </c>
      <c r="AG43" s="78" t="s">
        <v>4639</v>
      </c>
      <c r="AH43" t="b">
        <v>0</v>
      </c>
      <c r="AI43" t="s">
        <v>4829</v>
      </c>
      <c r="AK43" s="78" t="s">
        <v>4640</v>
      </c>
      <c r="AL43" t="b">
        <v>0</v>
      </c>
      <c r="AM43">
        <v>1</v>
      </c>
      <c r="AN43" s="78" t="s">
        <v>4640</v>
      </c>
      <c r="AO43" s="78" t="s">
        <v>4849</v>
      </c>
      <c r="AP43" t="b">
        <v>0</v>
      </c>
      <c r="AQ43" s="78" t="s">
        <v>3564</v>
      </c>
      <c r="AR43" t="s">
        <v>1569</v>
      </c>
      <c r="AS43">
        <v>0</v>
      </c>
      <c r="AT43">
        <v>0</v>
      </c>
    </row>
    <row r="44" spans="1:46" x14ac:dyDescent="0.45">
      <c r="A44" s="62" t="s">
        <v>329</v>
      </c>
      <c r="B44" s="62" t="s">
        <v>1181</v>
      </c>
      <c r="C44" s="63"/>
      <c r="D44" s="64"/>
      <c r="E44" s="65"/>
      <c r="F44" s="66"/>
      <c r="G44" s="63"/>
      <c r="H44" s="67"/>
      <c r="I44" s="68"/>
      <c r="J44" s="68"/>
      <c r="K44" s="32"/>
      <c r="L44" s="75"/>
      <c r="M44" s="75"/>
      <c r="N44" s="70"/>
      <c r="O44" t="s">
        <v>1568</v>
      </c>
      <c r="P44" s="76">
        <v>44957.685717592591</v>
      </c>
      <c r="Q44" t="s">
        <v>1676</v>
      </c>
      <c r="R44" s="77" t="s">
        <v>2250</v>
      </c>
      <c r="S44" t="s">
        <v>2272</v>
      </c>
      <c r="V44" s="77" t="str">
        <f>HYPERLINK("https://pbs.twimg.com/profile_images/761413518742523904/uY39EfvT_normal.jpg")</f>
        <v>https://pbs.twimg.com/profile_images/761413518742523904/uY39EfvT_normal.jpg</v>
      </c>
      <c r="W44" s="76">
        <v>44957.685717592591</v>
      </c>
      <c r="X44" s="80">
        <v>44957</v>
      </c>
      <c r="Y44" s="78" t="s">
        <v>2547</v>
      </c>
      <c r="Z44" s="77" t="str">
        <f>HYPERLINK("https://twitter.com/earnmoney_now/status/1620458747272519682")</f>
        <v>https://twitter.com/earnmoney_now/status/1620458747272519682</v>
      </c>
      <c r="AC44" s="78" t="s">
        <v>3564</v>
      </c>
      <c r="AE44" t="b">
        <v>0</v>
      </c>
      <c r="AF44">
        <v>0</v>
      </c>
      <c r="AG44" s="78" t="s">
        <v>4639</v>
      </c>
      <c r="AH44" t="b">
        <v>0</v>
      </c>
      <c r="AI44" t="s">
        <v>4829</v>
      </c>
      <c r="AK44" s="78" t="s">
        <v>4640</v>
      </c>
      <c r="AL44" t="b">
        <v>0</v>
      </c>
      <c r="AM44">
        <v>1</v>
      </c>
      <c r="AN44" s="78" t="s">
        <v>4640</v>
      </c>
      <c r="AO44" s="78" t="s">
        <v>4849</v>
      </c>
      <c r="AP44" t="b">
        <v>0</v>
      </c>
      <c r="AQ44" s="78" t="s">
        <v>3564</v>
      </c>
      <c r="AR44" t="s">
        <v>1569</v>
      </c>
      <c r="AS44">
        <v>0</v>
      </c>
      <c r="AT44">
        <v>0</v>
      </c>
    </row>
    <row r="45" spans="1:46" x14ac:dyDescent="0.45">
      <c r="A45" s="62" t="s">
        <v>329</v>
      </c>
      <c r="B45" s="62" t="s">
        <v>242</v>
      </c>
      <c r="C45" s="63"/>
      <c r="D45" s="64"/>
      <c r="E45" s="65"/>
      <c r="F45" s="66"/>
      <c r="G45" s="63"/>
      <c r="H45" s="67"/>
      <c r="I45" s="68"/>
      <c r="J45" s="68"/>
      <c r="K45" s="32"/>
      <c r="L45" s="75"/>
      <c r="M45" s="75"/>
      <c r="N45" s="70"/>
      <c r="O45" t="s">
        <v>1567</v>
      </c>
      <c r="P45" s="76">
        <v>44957.685717592591</v>
      </c>
      <c r="Q45" t="s">
        <v>1676</v>
      </c>
      <c r="R45" s="77" t="s">
        <v>2250</v>
      </c>
      <c r="S45" t="s">
        <v>2272</v>
      </c>
      <c r="V45" s="77" t="str">
        <f>HYPERLINK("https://pbs.twimg.com/profile_images/761413518742523904/uY39EfvT_normal.jpg")</f>
        <v>https://pbs.twimg.com/profile_images/761413518742523904/uY39EfvT_normal.jpg</v>
      </c>
      <c r="W45" s="76">
        <v>44957.685717592591</v>
      </c>
      <c r="X45" s="80">
        <v>44957</v>
      </c>
      <c r="Y45" s="78" t="s">
        <v>2547</v>
      </c>
      <c r="Z45" s="77" t="str">
        <f>HYPERLINK("https://twitter.com/earnmoney_now/status/1620458747272519682")</f>
        <v>https://twitter.com/earnmoney_now/status/1620458747272519682</v>
      </c>
      <c r="AC45" s="78" t="s">
        <v>3564</v>
      </c>
      <c r="AE45" t="b">
        <v>0</v>
      </c>
      <c r="AF45">
        <v>0</v>
      </c>
      <c r="AG45" s="78" t="s">
        <v>4639</v>
      </c>
      <c r="AH45" t="b">
        <v>0</v>
      </c>
      <c r="AI45" t="s">
        <v>4829</v>
      </c>
      <c r="AK45" s="78" t="s">
        <v>4640</v>
      </c>
      <c r="AL45" t="b">
        <v>0</v>
      </c>
      <c r="AM45">
        <v>1</v>
      </c>
      <c r="AN45" s="78" t="s">
        <v>4640</v>
      </c>
      <c r="AO45" s="78" t="s">
        <v>4849</v>
      </c>
      <c r="AP45" t="b">
        <v>0</v>
      </c>
      <c r="AQ45" s="78" t="s">
        <v>3564</v>
      </c>
      <c r="AR45" t="s">
        <v>1569</v>
      </c>
      <c r="AS45">
        <v>0</v>
      </c>
      <c r="AT45">
        <v>0</v>
      </c>
    </row>
    <row r="46" spans="1:46" x14ac:dyDescent="0.45">
      <c r="A46" s="62" t="s">
        <v>329</v>
      </c>
      <c r="B46" s="62" t="s">
        <v>1217</v>
      </c>
      <c r="C46" s="63"/>
      <c r="D46" s="64"/>
      <c r="E46" s="65"/>
      <c r="F46" s="66"/>
      <c r="G46" s="63"/>
      <c r="H46" s="67"/>
      <c r="I46" s="68"/>
      <c r="J46" s="68"/>
      <c r="K46" s="32"/>
      <c r="L46" s="75"/>
      <c r="M46" s="75"/>
      <c r="N46" s="70"/>
      <c r="O46" t="s">
        <v>1570</v>
      </c>
      <c r="P46" s="76">
        <v>44958.641446759262</v>
      </c>
      <c r="Q46" t="s">
        <v>1675</v>
      </c>
      <c r="R46" s="77" t="str">
        <f>HYPERLINK("https://www.ebay.com/itm/265238437431")</f>
        <v>https://www.ebay.com/itm/265238437431</v>
      </c>
      <c r="S46" t="s">
        <v>2272</v>
      </c>
      <c r="V46" s="77" t="str">
        <f>HYPERLINK("https://pbs.twimg.com/profile_images/761413518742523904/uY39EfvT_normal.jpg")</f>
        <v>https://pbs.twimg.com/profile_images/761413518742523904/uY39EfvT_normal.jpg</v>
      </c>
      <c r="W46" s="76">
        <v>44958.641446759262</v>
      </c>
      <c r="X46" s="80">
        <v>44958</v>
      </c>
      <c r="Y46" s="78" t="s">
        <v>2548</v>
      </c>
      <c r="Z46" s="77" t="str">
        <f>HYPERLINK("https://twitter.com/earnmoney_now/status/1620805090738311168")</f>
        <v>https://twitter.com/earnmoney_now/status/1620805090738311168</v>
      </c>
      <c r="AC46" s="78" t="s">
        <v>3565</v>
      </c>
      <c r="AE46" t="b">
        <v>0</v>
      </c>
      <c r="AF46">
        <v>0</v>
      </c>
      <c r="AG46" s="78" t="s">
        <v>4640</v>
      </c>
      <c r="AH46" t="b">
        <v>0</v>
      </c>
      <c r="AI46" t="s">
        <v>4829</v>
      </c>
      <c r="AK46" s="78" t="s">
        <v>4640</v>
      </c>
      <c r="AL46" t="b">
        <v>0</v>
      </c>
      <c r="AM46">
        <v>1</v>
      </c>
      <c r="AN46" s="78" t="s">
        <v>3563</v>
      </c>
      <c r="AO46" s="78" t="s">
        <v>4849</v>
      </c>
      <c r="AP46" t="b">
        <v>0</v>
      </c>
      <c r="AQ46" s="78" t="s">
        <v>3563</v>
      </c>
      <c r="AR46" t="s">
        <v>179</v>
      </c>
      <c r="AS46">
        <v>0</v>
      </c>
      <c r="AT46">
        <v>0</v>
      </c>
    </row>
    <row r="47" spans="1:46" x14ac:dyDescent="0.45">
      <c r="A47" s="62" t="s">
        <v>329</v>
      </c>
      <c r="B47" s="62" t="s">
        <v>1218</v>
      </c>
      <c r="C47" s="63"/>
      <c r="D47" s="64"/>
      <c r="E47" s="65"/>
      <c r="F47" s="66"/>
      <c r="G47" s="63"/>
      <c r="H47" s="67"/>
      <c r="I47" s="68"/>
      <c r="J47" s="68"/>
      <c r="K47" s="32"/>
      <c r="L47" s="75"/>
      <c r="M47" s="75"/>
      <c r="N47" s="70"/>
      <c r="O47" t="s">
        <v>1570</v>
      </c>
      <c r="P47" s="76">
        <v>44958.641446759262</v>
      </c>
      <c r="Q47" t="s">
        <v>1675</v>
      </c>
      <c r="R47" s="77" t="str">
        <f>HYPERLINK("https://www.ebay.com/itm/265238437431")</f>
        <v>https://www.ebay.com/itm/265238437431</v>
      </c>
      <c r="S47" t="s">
        <v>2272</v>
      </c>
      <c r="V47" s="77" t="str">
        <f>HYPERLINK("https://pbs.twimg.com/profile_images/761413518742523904/uY39EfvT_normal.jpg")</f>
        <v>https://pbs.twimg.com/profile_images/761413518742523904/uY39EfvT_normal.jpg</v>
      </c>
      <c r="W47" s="76">
        <v>44958.641446759262</v>
      </c>
      <c r="X47" s="80">
        <v>44958</v>
      </c>
      <c r="Y47" s="78" t="s">
        <v>2548</v>
      </c>
      <c r="Z47" s="77" t="str">
        <f>HYPERLINK("https://twitter.com/earnmoney_now/status/1620805090738311168")</f>
        <v>https://twitter.com/earnmoney_now/status/1620805090738311168</v>
      </c>
      <c r="AC47" s="78" t="s">
        <v>3565</v>
      </c>
      <c r="AE47" t="b">
        <v>0</v>
      </c>
      <c r="AF47">
        <v>0</v>
      </c>
      <c r="AG47" s="78" t="s">
        <v>4640</v>
      </c>
      <c r="AH47" t="b">
        <v>0</v>
      </c>
      <c r="AI47" t="s">
        <v>4829</v>
      </c>
      <c r="AK47" s="78" t="s">
        <v>4640</v>
      </c>
      <c r="AL47" t="b">
        <v>0</v>
      </c>
      <c r="AM47">
        <v>1</v>
      </c>
      <c r="AN47" s="78" t="s">
        <v>3563</v>
      </c>
      <c r="AO47" s="78" t="s">
        <v>4849</v>
      </c>
      <c r="AP47" t="b">
        <v>0</v>
      </c>
      <c r="AQ47" s="78" t="s">
        <v>3563</v>
      </c>
      <c r="AR47" t="s">
        <v>179</v>
      </c>
      <c r="AS47">
        <v>0</v>
      </c>
      <c r="AT47">
        <v>0</v>
      </c>
    </row>
    <row r="48" spans="1:46" x14ac:dyDescent="0.45">
      <c r="A48" s="62" t="s">
        <v>329</v>
      </c>
      <c r="B48" s="62" t="s">
        <v>1219</v>
      </c>
      <c r="C48" s="63"/>
      <c r="D48" s="64"/>
      <c r="E48" s="65"/>
      <c r="F48" s="66"/>
      <c r="G48" s="63"/>
      <c r="H48" s="67"/>
      <c r="I48" s="68"/>
      <c r="J48" s="68"/>
      <c r="K48" s="32"/>
      <c r="L48" s="75"/>
      <c r="M48" s="75"/>
      <c r="N48" s="70"/>
      <c r="O48" t="s">
        <v>1570</v>
      </c>
      <c r="P48" s="76">
        <v>44958.641446759262</v>
      </c>
      <c r="Q48" t="s">
        <v>1675</v>
      </c>
      <c r="R48" s="77" t="str">
        <f>HYPERLINK("https://www.ebay.com/itm/265238437431")</f>
        <v>https://www.ebay.com/itm/265238437431</v>
      </c>
      <c r="S48" t="s">
        <v>2272</v>
      </c>
      <c r="V48" s="77" t="str">
        <f>HYPERLINK("https://pbs.twimg.com/profile_images/761413518742523904/uY39EfvT_normal.jpg")</f>
        <v>https://pbs.twimg.com/profile_images/761413518742523904/uY39EfvT_normal.jpg</v>
      </c>
      <c r="W48" s="76">
        <v>44958.641446759262</v>
      </c>
      <c r="X48" s="80">
        <v>44958</v>
      </c>
      <c r="Y48" s="78" t="s">
        <v>2548</v>
      </c>
      <c r="Z48" s="77" t="str">
        <f>HYPERLINK("https://twitter.com/earnmoney_now/status/1620805090738311168")</f>
        <v>https://twitter.com/earnmoney_now/status/1620805090738311168</v>
      </c>
      <c r="AC48" s="78" t="s">
        <v>3565</v>
      </c>
      <c r="AE48" t="b">
        <v>0</v>
      </c>
      <c r="AF48">
        <v>0</v>
      </c>
      <c r="AG48" s="78" t="s">
        <v>4640</v>
      </c>
      <c r="AH48" t="b">
        <v>0</v>
      </c>
      <c r="AI48" t="s">
        <v>4829</v>
      </c>
      <c r="AK48" s="78" t="s">
        <v>4640</v>
      </c>
      <c r="AL48" t="b">
        <v>0</v>
      </c>
      <c r="AM48">
        <v>1</v>
      </c>
      <c r="AN48" s="78" t="s">
        <v>3563</v>
      </c>
      <c r="AO48" s="78" t="s">
        <v>4849</v>
      </c>
      <c r="AP48" t="b">
        <v>0</v>
      </c>
      <c r="AQ48" s="78" t="s">
        <v>3563</v>
      </c>
      <c r="AR48" t="s">
        <v>179</v>
      </c>
      <c r="AS48">
        <v>0</v>
      </c>
      <c r="AT48">
        <v>0</v>
      </c>
    </row>
    <row r="49" spans="1:46" x14ac:dyDescent="0.45">
      <c r="A49" s="62" t="s">
        <v>329</v>
      </c>
      <c r="B49" s="62" t="s">
        <v>1181</v>
      </c>
      <c r="C49" s="63"/>
      <c r="D49" s="64"/>
      <c r="E49" s="65"/>
      <c r="F49" s="66"/>
      <c r="G49" s="63"/>
      <c r="H49" s="67"/>
      <c r="I49" s="68"/>
      <c r="J49" s="68"/>
      <c r="K49" s="32"/>
      <c r="L49" s="75"/>
      <c r="M49" s="75"/>
      <c r="N49" s="70"/>
      <c r="O49" t="s">
        <v>1570</v>
      </c>
      <c r="P49" s="76">
        <v>44958.641446759262</v>
      </c>
      <c r="Q49" t="s">
        <v>1675</v>
      </c>
      <c r="R49" s="77" t="str">
        <f>HYPERLINK("https://www.ebay.com/itm/265238437431")</f>
        <v>https://www.ebay.com/itm/265238437431</v>
      </c>
      <c r="S49" t="s">
        <v>2272</v>
      </c>
      <c r="V49" s="77" t="str">
        <f>HYPERLINK("https://pbs.twimg.com/profile_images/761413518742523904/uY39EfvT_normal.jpg")</f>
        <v>https://pbs.twimg.com/profile_images/761413518742523904/uY39EfvT_normal.jpg</v>
      </c>
      <c r="W49" s="76">
        <v>44958.641446759262</v>
      </c>
      <c r="X49" s="80">
        <v>44958</v>
      </c>
      <c r="Y49" s="78" t="s">
        <v>2548</v>
      </c>
      <c r="Z49" s="77" t="str">
        <f>HYPERLINK("https://twitter.com/earnmoney_now/status/1620805090738311168")</f>
        <v>https://twitter.com/earnmoney_now/status/1620805090738311168</v>
      </c>
      <c r="AC49" s="78" t="s">
        <v>3565</v>
      </c>
      <c r="AE49" t="b">
        <v>0</v>
      </c>
      <c r="AF49">
        <v>0</v>
      </c>
      <c r="AG49" s="78" t="s">
        <v>4640</v>
      </c>
      <c r="AH49" t="b">
        <v>0</v>
      </c>
      <c r="AI49" t="s">
        <v>4829</v>
      </c>
      <c r="AK49" s="78" t="s">
        <v>4640</v>
      </c>
      <c r="AL49" t="b">
        <v>0</v>
      </c>
      <c r="AM49">
        <v>1</v>
      </c>
      <c r="AN49" s="78" t="s">
        <v>3563</v>
      </c>
      <c r="AO49" s="78" t="s">
        <v>4849</v>
      </c>
      <c r="AP49" t="b">
        <v>0</v>
      </c>
      <c r="AQ49" s="78" t="s">
        <v>3563</v>
      </c>
      <c r="AR49" t="s">
        <v>179</v>
      </c>
      <c r="AS49">
        <v>0</v>
      </c>
      <c r="AT49">
        <v>0</v>
      </c>
    </row>
    <row r="50" spans="1:46" x14ac:dyDescent="0.45">
      <c r="A50" s="62" t="s">
        <v>329</v>
      </c>
      <c r="B50" s="62" t="s">
        <v>329</v>
      </c>
      <c r="C50" s="63"/>
      <c r="D50" s="64"/>
      <c r="E50" s="65"/>
      <c r="F50" s="66"/>
      <c r="G50" s="63"/>
      <c r="H50" s="67"/>
      <c r="I50" s="68"/>
      <c r="J50" s="68"/>
      <c r="K50" s="32"/>
      <c r="L50" s="75"/>
      <c r="M50" s="75"/>
      <c r="N50" s="70"/>
      <c r="O50" t="s">
        <v>1569</v>
      </c>
      <c r="P50" s="76">
        <v>44958.641446759262</v>
      </c>
      <c r="Q50" t="s">
        <v>1675</v>
      </c>
      <c r="R50" s="77" t="str">
        <f>HYPERLINK("https://www.ebay.com/itm/265238437431")</f>
        <v>https://www.ebay.com/itm/265238437431</v>
      </c>
      <c r="S50" t="s">
        <v>2272</v>
      </c>
      <c r="V50" s="77" t="str">
        <f>HYPERLINK("https://pbs.twimg.com/profile_images/761413518742523904/uY39EfvT_normal.jpg")</f>
        <v>https://pbs.twimg.com/profile_images/761413518742523904/uY39EfvT_normal.jpg</v>
      </c>
      <c r="W50" s="76">
        <v>44958.641446759262</v>
      </c>
      <c r="X50" s="80">
        <v>44958</v>
      </c>
      <c r="Y50" s="78" t="s">
        <v>2548</v>
      </c>
      <c r="Z50" s="77" t="str">
        <f>HYPERLINK("https://twitter.com/earnmoney_now/status/1620805090738311168")</f>
        <v>https://twitter.com/earnmoney_now/status/1620805090738311168</v>
      </c>
      <c r="AC50" s="78" t="s">
        <v>3565</v>
      </c>
      <c r="AE50" t="b">
        <v>0</v>
      </c>
      <c r="AF50">
        <v>0</v>
      </c>
      <c r="AG50" s="78" t="s">
        <v>4640</v>
      </c>
      <c r="AH50" t="b">
        <v>0</v>
      </c>
      <c r="AI50" t="s">
        <v>4829</v>
      </c>
      <c r="AK50" s="78" t="s">
        <v>4640</v>
      </c>
      <c r="AL50" t="b">
        <v>0</v>
      </c>
      <c r="AM50">
        <v>1</v>
      </c>
      <c r="AN50" s="78" t="s">
        <v>3563</v>
      </c>
      <c r="AO50" s="78" t="s">
        <v>4849</v>
      </c>
      <c r="AP50" t="b">
        <v>0</v>
      </c>
      <c r="AQ50" s="78" t="s">
        <v>3563</v>
      </c>
      <c r="AR50" t="s">
        <v>179</v>
      </c>
      <c r="AS50">
        <v>0</v>
      </c>
      <c r="AT50">
        <v>0</v>
      </c>
    </row>
    <row r="51" spans="1:46" x14ac:dyDescent="0.45">
      <c r="A51" s="62" t="s">
        <v>329</v>
      </c>
      <c r="B51" s="62" t="s">
        <v>242</v>
      </c>
      <c r="C51" s="63"/>
      <c r="D51" s="64"/>
      <c r="E51" s="65"/>
      <c r="F51" s="66"/>
      <c r="G51" s="63"/>
      <c r="H51" s="67"/>
      <c r="I51" s="68"/>
      <c r="J51" s="68"/>
      <c r="K51" s="32"/>
      <c r="L51" s="75"/>
      <c r="M51" s="75"/>
      <c r="N51" s="70"/>
      <c r="O51" t="s">
        <v>1567</v>
      </c>
      <c r="P51" s="76">
        <v>44958.641446759262</v>
      </c>
      <c r="Q51" t="s">
        <v>1675</v>
      </c>
      <c r="R51" s="77" t="str">
        <f>HYPERLINK("https://www.ebay.com/itm/265238437431")</f>
        <v>https://www.ebay.com/itm/265238437431</v>
      </c>
      <c r="S51" t="s">
        <v>2272</v>
      </c>
      <c r="V51" s="77" t="str">
        <f>HYPERLINK("https://pbs.twimg.com/profile_images/761413518742523904/uY39EfvT_normal.jpg")</f>
        <v>https://pbs.twimg.com/profile_images/761413518742523904/uY39EfvT_normal.jpg</v>
      </c>
      <c r="W51" s="76">
        <v>44958.641446759262</v>
      </c>
      <c r="X51" s="80">
        <v>44958</v>
      </c>
      <c r="Y51" s="78" t="s">
        <v>2548</v>
      </c>
      <c r="Z51" s="77" t="str">
        <f>HYPERLINK("https://twitter.com/earnmoney_now/status/1620805090738311168")</f>
        <v>https://twitter.com/earnmoney_now/status/1620805090738311168</v>
      </c>
      <c r="AC51" s="78" t="s">
        <v>3565</v>
      </c>
      <c r="AE51" t="b">
        <v>0</v>
      </c>
      <c r="AF51">
        <v>0</v>
      </c>
      <c r="AG51" s="78" t="s">
        <v>4640</v>
      </c>
      <c r="AH51" t="b">
        <v>0</v>
      </c>
      <c r="AI51" t="s">
        <v>4829</v>
      </c>
      <c r="AK51" s="78" t="s">
        <v>4640</v>
      </c>
      <c r="AL51" t="b">
        <v>0</v>
      </c>
      <c r="AM51">
        <v>1</v>
      </c>
      <c r="AN51" s="78" t="s">
        <v>3563</v>
      </c>
      <c r="AO51" s="78" t="s">
        <v>4849</v>
      </c>
      <c r="AP51" t="b">
        <v>0</v>
      </c>
      <c r="AQ51" s="78" t="s">
        <v>3563</v>
      </c>
      <c r="AR51" t="s">
        <v>179</v>
      </c>
      <c r="AS51">
        <v>0</v>
      </c>
      <c r="AT51">
        <v>0</v>
      </c>
    </row>
    <row r="52" spans="1:46" x14ac:dyDescent="0.45">
      <c r="A52" s="62" t="s">
        <v>329</v>
      </c>
      <c r="B52" s="62" t="s">
        <v>1219</v>
      </c>
      <c r="C52" s="63"/>
      <c r="D52" s="64"/>
      <c r="E52" s="65"/>
      <c r="F52" s="66"/>
      <c r="G52" s="63"/>
      <c r="H52" s="67"/>
      <c r="I52" s="68"/>
      <c r="J52" s="68"/>
      <c r="K52" s="32"/>
      <c r="L52" s="75"/>
      <c r="M52" s="75"/>
      <c r="N52" s="70"/>
      <c r="O52" t="s">
        <v>1570</v>
      </c>
      <c r="P52" s="76">
        <v>44958.641493055555</v>
      </c>
      <c r="Q52" t="s">
        <v>1676</v>
      </c>
      <c r="R52" s="77" t="s">
        <v>2250</v>
      </c>
      <c r="S52" t="s">
        <v>2272</v>
      </c>
      <c r="V52" s="77" t="str">
        <f>HYPERLINK("https://pbs.twimg.com/profile_images/761413518742523904/uY39EfvT_normal.jpg")</f>
        <v>https://pbs.twimg.com/profile_images/761413518742523904/uY39EfvT_normal.jpg</v>
      </c>
      <c r="W52" s="76">
        <v>44958.641493055555</v>
      </c>
      <c r="X52" s="80">
        <v>44958</v>
      </c>
      <c r="Y52" s="78" t="s">
        <v>2549</v>
      </c>
      <c r="Z52" s="77" t="str">
        <f>HYPERLINK("https://twitter.com/earnmoney_now/status/1620805108329246721")</f>
        <v>https://twitter.com/earnmoney_now/status/1620805108329246721</v>
      </c>
      <c r="AC52" s="78" t="s">
        <v>3566</v>
      </c>
      <c r="AE52" t="b">
        <v>0</v>
      </c>
      <c r="AF52">
        <v>0</v>
      </c>
      <c r="AG52" s="78" t="s">
        <v>4640</v>
      </c>
      <c r="AH52" t="b">
        <v>0</v>
      </c>
      <c r="AI52" t="s">
        <v>4829</v>
      </c>
      <c r="AK52" s="78" t="s">
        <v>4640</v>
      </c>
      <c r="AL52" t="b">
        <v>0</v>
      </c>
      <c r="AM52">
        <v>1</v>
      </c>
      <c r="AN52" s="78" t="s">
        <v>3564</v>
      </c>
      <c r="AO52" s="78" t="s">
        <v>4849</v>
      </c>
      <c r="AP52" t="b">
        <v>0</v>
      </c>
      <c r="AQ52" s="78" t="s">
        <v>3564</v>
      </c>
      <c r="AR52" t="s">
        <v>179</v>
      </c>
      <c r="AS52">
        <v>0</v>
      </c>
      <c r="AT52">
        <v>0</v>
      </c>
    </row>
    <row r="53" spans="1:46" x14ac:dyDescent="0.45">
      <c r="A53" s="62" t="s">
        <v>329</v>
      </c>
      <c r="B53" s="62" t="s">
        <v>1181</v>
      </c>
      <c r="C53" s="63"/>
      <c r="D53" s="64"/>
      <c r="E53" s="65"/>
      <c r="F53" s="66"/>
      <c r="G53" s="63"/>
      <c r="H53" s="67"/>
      <c r="I53" s="68"/>
      <c r="J53" s="68"/>
      <c r="K53" s="32"/>
      <c r="L53" s="75"/>
      <c r="M53" s="75"/>
      <c r="N53" s="70"/>
      <c r="O53" t="s">
        <v>1570</v>
      </c>
      <c r="P53" s="76">
        <v>44958.641493055555</v>
      </c>
      <c r="Q53" t="s">
        <v>1676</v>
      </c>
      <c r="R53" s="77" t="s">
        <v>2250</v>
      </c>
      <c r="S53" t="s">
        <v>2272</v>
      </c>
      <c r="V53" s="77" t="str">
        <f>HYPERLINK("https://pbs.twimg.com/profile_images/761413518742523904/uY39EfvT_normal.jpg")</f>
        <v>https://pbs.twimg.com/profile_images/761413518742523904/uY39EfvT_normal.jpg</v>
      </c>
      <c r="W53" s="76">
        <v>44958.641493055555</v>
      </c>
      <c r="X53" s="80">
        <v>44958</v>
      </c>
      <c r="Y53" s="78" t="s">
        <v>2549</v>
      </c>
      <c r="Z53" s="77" t="str">
        <f>HYPERLINK("https://twitter.com/earnmoney_now/status/1620805108329246721")</f>
        <v>https://twitter.com/earnmoney_now/status/1620805108329246721</v>
      </c>
      <c r="AC53" s="78" t="s">
        <v>3566</v>
      </c>
      <c r="AE53" t="b">
        <v>0</v>
      </c>
      <c r="AF53">
        <v>0</v>
      </c>
      <c r="AG53" s="78" t="s">
        <v>4640</v>
      </c>
      <c r="AH53" t="b">
        <v>0</v>
      </c>
      <c r="AI53" t="s">
        <v>4829</v>
      </c>
      <c r="AK53" s="78" t="s">
        <v>4640</v>
      </c>
      <c r="AL53" t="b">
        <v>0</v>
      </c>
      <c r="AM53">
        <v>1</v>
      </c>
      <c r="AN53" s="78" t="s">
        <v>3564</v>
      </c>
      <c r="AO53" s="78" t="s">
        <v>4849</v>
      </c>
      <c r="AP53" t="b">
        <v>0</v>
      </c>
      <c r="AQ53" s="78" t="s">
        <v>3564</v>
      </c>
      <c r="AR53" t="s">
        <v>179</v>
      </c>
      <c r="AS53">
        <v>0</v>
      </c>
      <c r="AT53">
        <v>0</v>
      </c>
    </row>
    <row r="54" spans="1:46" x14ac:dyDescent="0.45">
      <c r="A54" s="62" t="s">
        <v>329</v>
      </c>
      <c r="B54" s="62" t="s">
        <v>329</v>
      </c>
      <c r="C54" s="63"/>
      <c r="D54" s="64"/>
      <c r="E54" s="65"/>
      <c r="F54" s="66"/>
      <c r="G54" s="63"/>
      <c r="H54" s="67"/>
      <c r="I54" s="68"/>
      <c r="J54" s="68"/>
      <c r="K54" s="32"/>
      <c r="L54" s="75"/>
      <c r="M54" s="75"/>
      <c r="N54" s="70"/>
      <c r="O54" t="s">
        <v>1569</v>
      </c>
      <c r="P54" s="76">
        <v>44958.641493055555</v>
      </c>
      <c r="Q54" t="s">
        <v>1676</v>
      </c>
      <c r="R54" s="77" t="s">
        <v>2250</v>
      </c>
      <c r="S54" t="s">
        <v>2272</v>
      </c>
      <c r="V54" s="77" t="str">
        <f>HYPERLINK("https://pbs.twimg.com/profile_images/761413518742523904/uY39EfvT_normal.jpg")</f>
        <v>https://pbs.twimg.com/profile_images/761413518742523904/uY39EfvT_normal.jpg</v>
      </c>
      <c r="W54" s="76">
        <v>44958.641493055555</v>
      </c>
      <c r="X54" s="80">
        <v>44958</v>
      </c>
      <c r="Y54" s="78" t="s">
        <v>2549</v>
      </c>
      <c r="Z54" s="77" t="str">
        <f>HYPERLINK("https://twitter.com/earnmoney_now/status/1620805108329246721")</f>
        <v>https://twitter.com/earnmoney_now/status/1620805108329246721</v>
      </c>
      <c r="AC54" s="78" t="s">
        <v>3566</v>
      </c>
      <c r="AE54" t="b">
        <v>0</v>
      </c>
      <c r="AF54">
        <v>0</v>
      </c>
      <c r="AG54" s="78" t="s">
        <v>4640</v>
      </c>
      <c r="AH54" t="b">
        <v>0</v>
      </c>
      <c r="AI54" t="s">
        <v>4829</v>
      </c>
      <c r="AK54" s="78" t="s">
        <v>4640</v>
      </c>
      <c r="AL54" t="b">
        <v>0</v>
      </c>
      <c r="AM54">
        <v>1</v>
      </c>
      <c r="AN54" s="78" t="s">
        <v>3564</v>
      </c>
      <c r="AO54" s="78" t="s">
        <v>4849</v>
      </c>
      <c r="AP54" t="b">
        <v>0</v>
      </c>
      <c r="AQ54" s="78" t="s">
        <v>3564</v>
      </c>
      <c r="AR54" t="s">
        <v>179</v>
      </c>
      <c r="AS54">
        <v>0</v>
      </c>
      <c r="AT54">
        <v>0</v>
      </c>
    </row>
    <row r="55" spans="1:46" x14ac:dyDescent="0.45">
      <c r="A55" s="62" t="s">
        <v>329</v>
      </c>
      <c r="B55" s="62" t="s">
        <v>242</v>
      </c>
      <c r="C55" s="63"/>
      <c r="D55" s="64"/>
      <c r="E55" s="65"/>
      <c r="F55" s="66"/>
      <c r="G55" s="63"/>
      <c r="H55" s="67"/>
      <c r="I55" s="68"/>
      <c r="J55" s="68"/>
      <c r="K55" s="32"/>
      <c r="L55" s="75"/>
      <c r="M55" s="75"/>
      <c r="N55" s="70"/>
      <c r="O55" t="s">
        <v>1567</v>
      </c>
      <c r="P55" s="76">
        <v>44958.641493055555</v>
      </c>
      <c r="Q55" t="s">
        <v>1676</v>
      </c>
      <c r="R55" s="77" t="s">
        <v>2250</v>
      </c>
      <c r="S55" t="s">
        <v>2272</v>
      </c>
      <c r="V55" s="77" t="str">
        <f>HYPERLINK("https://pbs.twimg.com/profile_images/761413518742523904/uY39EfvT_normal.jpg")</f>
        <v>https://pbs.twimg.com/profile_images/761413518742523904/uY39EfvT_normal.jpg</v>
      </c>
      <c r="W55" s="76">
        <v>44958.641493055555</v>
      </c>
      <c r="X55" s="80">
        <v>44958</v>
      </c>
      <c r="Y55" s="78" t="s">
        <v>2549</v>
      </c>
      <c r="Z55" s="77" t="str">
        <f>HYPERLINK("https://twitter.com/earnmoney_now/status/1620805108329246721")</f>
        <v>https://twitter.com/earnmoney_now/status/1620805108329246721</v>
      </c>
      <c r="AC55" s="78" t="s">
        <v>3566</v>
      </c>
      <c r="AE55" t="b">
        <v>0</v>
      </c>
      <c r="AF55">
        <v>0</v>
      </c>
      <c r="AG55" s="78" t="s">
        <v>4640</v>
      </c>
      <c r="AH55" t="b">
        <v>0</v>
      </c>
      <c r="AI55" t="s">
        <v>4829</v>
      </c>
      <c r="AK55" s="78" t="s">
        <v>4640</v>
      </c>
      <c r="AL55" t="b">
        <v>0</v>
      </c>
      <c r="AM55">
        <v>1</v>
      </c>
      <c r="AN55" s="78" t="s">
        <v>3564</v>
      </c>
      <c r="AO55" s="78" t="s">
        <v>4849</v>
      </c>
      <c r="AP55" t="b">
        <v>0</v>
      </c>
      <c r="AQ55" s="78" t="s">
        <v>3564</v>
      </c>
      <c r="AR55" t="s">
        <v>179</v>
      </c>
      <c r="AS55">
        <v>0</v>
      </c>
      <c r="AT55">
        <v>0</v>
      </c>
    </row>
    <row r="56" spans="1:46" x14ac:dyDescent="0.45">
      <c r="A56" s="62" t="s">
        <v>692</v>
      </c>
      <c r="B56" s="62" t="s">
        <v>1218</v>
      </c>
      <c r="C56" s="63"/>
      <c r="D56" s="64"/>
      <c r="E56" s="65"/>
      <c r="F56" s="66"/>
      <c r="G56" s="63"/>
      <c r="H56" s="67"/>
      <c r="I56" s="68"/>
      <c r="J56" s="68"/>
      <c r="K56" s="32"/>
      <c r="L56" s="75"/>
      <c r="M56" s="75"/>
      <c r="N56" s="70"/>
      <c r="O56" t="s">
        <v>1568</v>
      </c>
      <c r="P56" s="76">
        <v>44958.646458333336</v>
      </c>
      <c r="Q56" t="s">
        <v>1876</v>
      </c>
      <c r="R56" s="77" t="str">
        <f>HYPERLINK("https://www.ebay.com/itm/203891941556")</f>
        <v>https://www.ebay.com/itm/203891941556</v>
      </c>
      <c r="S56" t="s">
        <v>2272</v>
      </c>
      <c r="V56" s="77" t="str">
        <f>HYPERLINK("https://pbs.twimg.com/profile_images/772187583493267456/Qq1Ht0w9_normal.jpg")</f>
        <v>https://pbs.twimg.com/profile_images/772187583493267456/Qq1Ht0w9_normal.jpg</v>
      </c>
      <c r="W56" s="76">
        <v>44958.646458333336</v>
      </c>
      <c r="X56" s="80">
        <v>44958</v>
      </c>
      <c r="Y56" s="78" t="s">
        <v>2894</v>
      </c>
      <c r="Z56" s="77" t="str">
        <f>HYPERLINK("https://twitter.com/alyssaottaviani/status/1620806906142130185")</f>
        <v>https://twitter.com/alyssaottaviani/status/1620806906142130185</v>
      </c>
      <c r="AC56" s="78" t="s">
        <v>3959</v>
      </c>
      <c r="AE56" t="b">
        <v>0</v>
      </c>
      <c r="AF56">
        <v>0</v>
      </c>
      <c r="AG56" s="78" t="s">
        <v>4639</v>
      </c>
      <c r="AH56" t="b">
        <v>0</v>
      </c>
      <c r="AI56" t="s">
        <v>4829</v>
      </c>
      <c r="AK56" s="78" t="s">
        <v>4640</v>
      </c>
      <c r="AL56" t="b">
        <v>0</v>
      </c>
      <c r="AM56">
        <v>0</v>
      </c>
      <c r="AN56" s="78" t="s">
        <v>4640</v>
      </c>
      <c r="AO56" s="78" t="s">
        <v>4849</v>
      </c>
      <c r="AP56" t="b">
        <v>0</v>
      </c>
      <c r="AQ56" s="78" t="s">
        <v>3959</v>
      </c>
      <c r="AR56" t="s">
        <v>179</v>
      </c>
      <c r="AS56">
        <v>0</v>
      </c>
      <c r="AT56">
        <v>0</v>
      </c>
    </row>
    <row r="57" spans="1:46" x14ac:dyDescent="0.45">
      <c r="A57" s="62" t="s">
        <v>692</v>
      </c>
      <c r="B57" s="62" t="s">
        <v>1219</v>
      </c>
      <c r="C57" s="63"/>
      <c r="D57" s="64"/>
      <c r="E57" s="65"/>
      <c r="F57" s="66"/>
      <c r="G57" s="63"/>
      <c r="H57" s="67"/>
      <c r="I57" s="68"/>
      <c r="J57" s="68"/>
      <c r="K57" s="32"/>
      <c r="L57" s="75"/>
      <c r="M57" s="75"/>
      <c r="N57" s="70"/>
      <c r="O57" t="s">
        <v>1568</v>
      </c>
      <c r="P57" s="76">
        <v>44958.646458333336</v>
      </c>
      <c r="Q57" t="s">
        <v>1876</v>
      </c>
      <c r="R57" s="77" t="str">
        <f>HYPERLINK("https://www.ebay.com/itm/203891941556")</f>
        <v>https://www.ebay.com/itm/203891941556</v>
      </c>
      <c r="S57" t="s">
        <v>2272</v>
      </c>
      <c r="V57" s="77" t="str">
        <f>HYPERLINK("https://pbs.twimg.com/profile_images/772187583493267456/Qq1Ht0w9_normal.jpg")</f>
        <v>https://pbs.twimg.com/profile_images/772187583493267456/Qq1Ht0w9_normal.jpg</v>
      </c>
      <c r="W57" s="76">
        <v>44958.646458333336</v>
      </c>
      <c r="X57" s="80">
        <v>44958</v>
      </c>
      <c r="Y57" s="78" t="s">
        <v>2894</v>
      </c>
      <c r="Z57" s="77" t="str">
        <f>HYPERLINK("https://twitter.com/alyssaottaviani/status/1620806906142130185")</f>
        <v>https://twitter.com/alyssaottaviani/status/1620806906142130185</v>
      </c>
      <c r="AC57" s="78" t="s">
        <v>3959</v>
      </c>
      <c r="AE57" t="b">
        <v>0</v>
      </c>
      <c r="AF57">
        <v>0</v>
      </c>
      <c r="AG57" s="78" t="s">
        <v>4639</v>
      </c>
      <c r="AH57" t="b">
        <v>0</v>
      </c>
      <c r="AI57" t="s">
        <v>4829</v>
      </c>
      <c r="AK57" s="78" t="s">
        <v>4640</v>
      </c>
      <c r="AL57" t="b">
        <v>0</v>
      </c>
      <c r="AM57">
        <v>0</v>
      </c>
      <c r="AN57" s="78" t="s">
        <v>4640</v>
      </c>
      <c r="AO57" s="78" t="s">
        <v>4849</v>
      </c>
      <c r="AP57" t="b">
        <v>0</v>
      </c>
      <c r="AQ57" s="78" t="s">
        <v>3959</v>
      </c>
      <c r="AR57" t="s">
        <v>179</v>
      </c>
      <c r="AS57">
        <v>0</v>
      </c>
      <c r="AT57">
        <v>0</v>
      </c>
    </row>
    <row r="58" spans="1:46" x14ac:dyDescent="0.45">
      <c r="A58" s="62" t="s">
        <v>692</v>
      </c>
      <c r="B58" s="62" t="s">
        <v>242</v>
      </c>
      <c r="C58" s="63"/>
      <c r="D58" s="64"/>
      <c r="E58" s="65"/>
      <c r="F58" s="66"/>
      <c r="G58" s="63"/>
      <c r="H58" s="67"/>
      <c r="I58" s="68"/>
      <c r="J58" s="68"/>
      <c r="K58" s="32"/>
      <c r="L58" s="75"/>
      <c r="M58" s="75"/>
      <c r="N58" s="70"/>
      <c r="O58" t="s">
        <v>1567</v>
      </c>
      <c r="P58" s="76">
        <v>44958.646458333336</v>
      </c>
      <c r="Q58" t="s">
        <v>1876</v>
      </c>
      <c r="R58" s="77" t="str">
        <f>HYPERLINK("https://www.ebay.com/itm/203891941556")</f>
        <v>https://www.ebay.com/itm/203891941556</v>
      </c>
      <c r="S58" t="s">
        <v>2272</v>
      </c>
      <c r="V58" s="77" t="str">
        <f>HYPERLINK("https://pbs.twimg.com/profile_images/772187583493267456/Qq1Ht0w9_normal.jpg")</f>
        <v>https://pbs.twimg.com/profile_images/772187583493267456/Qq1Ht0w9_normal.jpg</v>
      </c>
      <c r="W58" s="76">
        <v>44958.646458333336</v>
      </c>
      <c r="X58" s="80">
        <v>44958</v>
      </c>
      <c r="Y58" s="78" t="s">
        <v>2894</v>
      </c>
      <c r="Z58" s="77" t="str">
        <f>HYPERLINK("https://twitter.com/alyssaottaviani/status/1620806906142130185")</f>
        <v>https://twitter.com/alyssaottaviani/status/1620806906142130185</v>
      </c>
      <c r="AC58" s="78" t="s">
        <v>3959</v>
      </c>
      <c r="AE58" t="b">
        <v>0</v>
      </c>
      <c r="AF58">
        <v>0</v>
      </c>
      <c r="AG58" s="78" t="s">
        <v>4639</v>
      </c>
      <c r="AH58" t="b">
        <v>0</v>
      </c>
      <c r="AI58" t="s">
        <v>4829</v>
      </c>
      <c r="AK58" s="78" t="s">
        <v>4640</v>
      </c>
      <c r="AL58" t="b">
        <v>0</v>
      </c>
      <c r="AM58">
        <v>0</v>
      </c>
      <c r="AN58" s="78" t="s">
        <v>4640</v>
      </c>
      <c r="AO58" s="78" t="s">
        <v>4849</v>
      </c>
      <c r="AP58" t="b">
        <v>0</v>
      </c>
      <c r="AQ58" s="78" t="s">
        <v>3959</v>
      </c>
      <c r="AR58" t="s">
        <v>179</v>
      </c>
      <c r="AS58">
        <v>0</v>
      </c>
      <c r="AT58">
        <v>0</v>
      </c>
    </row>
    <row r="59" spans="1:46" x14ac:dyDescent="0.45">
      <c r="A59" s="62" t="s">
        <v>692</v>
      </c>
      <c r="B59" s="62" t="s">
        <v>1218</v>
      </c>
      <c r="C59" s="63"/>
      <c r="D59" s="64"/>
      <c r="E59" s="65"/>
      <c r="F59" s="66"/>
      <c r="G59" s="63"/>
      <c r="H59" s="67"/>
      <c r="I59" s="68"/>
      <c r="J59" s="68"/>
      <c r="K59" s="32"/>
      <c r="L59" s="75"/>
      <c r="M59" s="75"/>
      <c r="N59" s="70"/>
      <c r="O59" t="s">
        <v>1568</v>
      </c>
      <c r="P59" s="76">
        <v>44958.890648148146</v>
      </c>
      <c r="Q59" t="s">
        <v>1877</v>
      </c>
      <c r="R59" s="77" t="str">
        <f>HYPERLINK("https://www.ebay.com/itm/352792470516")</f>
        <v>https://www.ebay.com/itm/352792470516</v>
      </c>
      <c r="S59" t="s">
        <v>2272</v>
      </c>
      <c r="V59" s="77" t="str">
        <f>HYPERLINK("https://pbs.twimg.com/profile_images/772187583493267456/Qq1Ht0w9_normal.jpg")</f>
        <v>https://pbs.twimg.com/profile_images/772187583493267456/Qq1Ht0w9_normal.jpg</v>
      </c>
      <c r="W59" s="76">
        <v>44958.890648148146</v>
      </c>
      <c r="X59" s="80">
        <v>44958</v>
      </c>
      <c r="Y59" s="78" t="s">
        <v>2895</v>
      </c>
      <c r="Z59" s="77" t="str">
        <f>HYPERLINK("https://twitter.com/alyssaottaviani/status/1620895400470409217")</f>
        <v>https://twitter.com/alyssaottaviani/status/1620895400470409217</v>
      </c>
      <c r="AC59" s="78" t="s">
        <v>3960</v>
      </c>
      <c r="AE59" t="b">
        <v>0</v>
      </c>
      <c r="AF59">
        <v>0</v>
      </c>
      <c r="AG59" s="78" t="s">
        <v>4639</v>
      </c>
      <c r="AH59" t="b">
        <v>0</v>
      </c>
      <c r="AI59" t="s">
        <v>4829</v>
      </c>
      <c r="AK59" s="78" t="s">
        <v>4640</v>
      </c>
      <c r="AL59" t="b">
        <v>0</v>
      </c>
      <c r="AM59">
        <v>0</v>
      </c>
      <c r="AN59" s="78" t="s">
        <v>4640</v>
      </c>
      <c r="AO59" s="78" t="s">
        <v>4849</v>
      </c>
      <c r="AP59" t="b">
        <v>0</v>
      </c>
      <c r="AQ59" s="78" t="s">
        <v>3960</v>
      </c>
      <c r="AR59" t="s">
        <v>179</v>
      </c>
      <c r="AS59">
        <v>0</v>
      </c>
      <c r="AT59">
        <v>0</v>
      </c>
    </row>
    <row r="60" spans="1:46" x14ac:dyDescent="0.45">
      <c r="A60" s="62" t="s">
        <v>692</v>
      </c>
      <c r="B60" s="62" t="s">
        <v>1219</v>
      </c>
      <c r="C60" s="63"/>
      <c r="D60" s="64"/>
      <c r="E60" s="65"/>
      <c r="F60" s="66"/>
      <c r="G60" s="63"/>
      <c r="H60" s="67"/>
      <c r="I60" s="68"/>
      <c r="J60" s="68"/>
      <c r="K60" s="32"/>
      <c r="L60" s="75"/>
      <c r="M60" s="75"/>
      <c r="N60" s="70"/>
      <c r="O60" t="s">
        <v>1568</v>
      </c>
      <c r="P60" s="76">
        <v>44958.890648148146</v>
      </c>
      <c r="Q60" t="s">
        <v>1877</v>
      </c>
      <c r="R60" s="77" t="str">
        <f>HYPERLINK("https://www.ebay.com/itm/352792470516")</f>
        <v>https://www.ebay.com/itm/352792470516</v>
      </c>
      <c r="S60" t="s">
        <v>2272</v>
      </c>
      <c r="V60" s="77" t="str">
        <f>HYPERLINK("https://pbs.twimg.com/profile_images/772187583493267456/Qq1Ht0w9_normal.jpg")</f>
        <v>https://pbs.twimg.com/profile_images/772187583493267456/Qq1Ht0w9_normal.jpg</v>
      </c>
      <c r="W60" s="76">
        <v>44958.890648148146</v>
      </c>
      <c r="X60" s="80">
        <v>44958</v>
      </c>
      <c r="Y60" s="78" t="s">
        <v>2895</v>
      </c>
      <c r="Z60" s="77" t="str">
        <f>HYPERLINK("https://twitter.com/alyssaottaviani/status/1620895400470409217")</f>
        <v>https://twitter.com/alyssaottaviani/status/1620895400470409217</v>
      </c>
      <c r="AC60" s="78" t="s">
        <v>3960</v>
      </c>
      <c r="AE60" t="b">
        <v>0</v>
      </c>
      <c r="AF60">
        <v>0</v>
      </c>
      <c r="AG60" s="78" t="s">
        <v>4639</v>
      </c>
      <c r="AH60" t="b">
        <v>0</v>
      </c>
      <c r="AI60" t="s">
        <v>4829</v>
      </c>
      <c r="AK60" s="78" t="s">
        <v>4640</v>
      </c>
      <c r="AL60" t="b">
        <v>0</v>
      </c>
      <c r="AM60">
        <v>0</v>
      </c>
      <c r="AN60" s="78" t="s">
        <v>4640</v>
      </c>
      <c r="AO60" s="78" t="s">
        <v>4849</v>
      </c>
      <c r="AP60" t="b">
        <v>0</v>
      </c>
      <c r="AQ60" s="78" t="s">
        <v>3960</v>
      </c>
      <c r="AR60" t="s">
        <v>179</v>
      </c>
      <c r="AS60">
        <v>0</v>
      </c>
      <c r="AT60">
        <v>0</v>
      </c>
    </row>
    <row r="61" spans="1:46" x14ac:dyDescent="0.45">
      <c r="A61" s="62" t="s">
        <v>692</v>
      </c>
      <c r="B61" s="62" t="s">
        <v>242</v>
      </c>
      <c r="C61" s="63"/>
      <c r="D61" s="64"/>
      <c r="E61" s="65"/>
      <c r="F61" s="66"/>
      <c r="G61" s="63"/>
      <c r="H61" s="67"/>
      <c r="I61" s="68"/>
      <c r="J61" s="68"/>
      <c r="K61" s="32"/>
      <c r="L61" s="75"/>
      <c r="M61" s="75"/>
      <c r="N61" s="70"/>
      <c r="O61" t="s">
        <v>1567</v>
      </c>
      <c r="P61" s="76">
        <v>44958.890648148146</v>
      </c>
      <c r="Q61" t="s">
        <v>1877</v>
      </c>
      <c r="R61" s="77" t="str">
        <f>HYPERLINK("https://www.ebay.com/itm/352792470516")</f>
        <v>https://www.ebay.com/itm/352792470516</v>
      </c>
      <c r="S61" t="s">
        <v>2272</v>
      </c>
      <c r="V61" s="77" t="str">
        <f>HYPERLINK("https://pbs.twimg.com/profile_images/772187583493267456/Qq1Ht0w9_normal.jpg")</f>
        <v>https://pbs.twimg.com/profile_images/772187583493267456/Qq1Ht0w9_normal.jpg</v>
      </c>
      <c r="W61" s="76">
        <v>44958.890648148146</v>
      </c>
      <c r="X61" s="80">
        <v>44958</v>
      </c>
      <c r="Y61" s="78" t="s">
        <v>2895</v>
      </c>
      <c r="Z61" s="77" t="str">
        <f>HYPERLINK("https://twitter.com/alyssaottaviani/status/1620895400470409217")</f>
        <v>https://twitter.com/alyssaottaviani/status/1620895400470409217</v>
      </c>
      <c r="AC61" s="78" t="s">
        <v>3960</v>
      </c>
      <c r="AE61" t="b">
        <v>0</v>
      </c>
      <c r="AF61">
        <v>0</v>
      </c>
      <c r="AG61" s="78" t="s">
        <v>4639</v>
      </c>
      <c r="AH61" t="b">
        <v>0</v>
      </c>
      <c r="AI61" t="s">
        <v>4829</v>
      </c>
      <c r="AK61" s="78" t="s">
        <v>4640</v>
      </c>
      <c r="AL61" t="b">
        <v>0</v>
      </c>
      <c r="AM61">
        <v>0</v>
      </c>
      <c r="AN61" s="78" t="s">
        <v>4640</v>
      </c>
      <c r="AO61" s="78" t="s">
        <v>4849</v>
      </c>
      <c r="AP61" t="b">
        <v>0</v>
      </c>
      <c r="AQ61" s="78" t="s">
        <v>3960</v>
      </c>
      <c r="AR61" t="s">
        <v>179</v>
      </c>
      <c r="AS61">
        <v>0</v>
      </c>
      <c r="AT61">
        <v>0</v>
      </c>
    </row>
    <row r="62" spans="1:46" x14ac:dyDescent="0.45">
      <c r="A62" s="62" t="s">
        <v>814</v>
      </c>
      <c r="B62" s="62" t="s">
        <v>1218</v>
      </c>
      <c r="C62" s="63"/>
      <c r="D62" s="64"/>
      <c r="E62" s="65"/>
      <c r="F62" s="66"/>
      <c r="G62" s="63"/>
      <c r="H62" s="67"/>
      <c r="I62" s="68"/>
      <c r="J62" s="68"/>
      <c r="K62" s="32"/>
      <c r="L62" s="75"/>
      <c r="M62" s="75"/>
      <c r="N62" s="70"/>
      <c r="O62" t="s">
        <v>1568</v>
      </c>
      <c r="P62" s="76">
        <v>44957.91684027778</v>
      </c>
      <c r="Q62" t="s">
        <v>1994</v>
      </c>
      <c r="R62" s="77" t="str">
        <f>HYPERLINK("https://www.ebay.com/itm/284733677193")</f>
        <v>https://www.ebay.com/itm/284733677193</v>
      </c>
      <c r="S62" t="s">
        <v>2272</v>
      </c>
      <c r="V62" s="77" t="str">
        <f>HYPERLINK("https://pbs.twimg.com/profile_images/378800000408045698/6bc90c71643785e92e675e5f778fa27b_normal.jpeg")</f>
        <v>https://pbs.twimg.com/profile_images/378800000408045698/6bc90c71643785e92e675e5f778fa27b_normal.jpeg</v>
      </c>
      <c r="W62" s="76">
        <v>44957.91684027778</v>
      </c>
      <c r="X62" s="80">
        <v>44957</v>
      </c>
      <c r="Y62" s="78" t="s">
        <v>3053</v>
      </c>
      <c r="Z62" s="77" t="str">
        <f>HYPERLINK("https://twitter.com/earnmoney2012/status/1620542503161307136")</f>
        <v>https://twitter.com/earnmoney2012/status/1620542503161307136</v>
      </c>
      <c r="AC62" s="78" t="s">
        <v>4118</v>
      </c>
      <c r="AE62" t="b">
        <v>0</v>
      </c>
      <c r="AF62">
        <v>0</v>
      </c>
      <c r="AG62" s="78" t="s">
        <v>4639</v>
      </c>
      <c r="AH62" t="b">
        <v>0</v>
      </c>
      <c r="AI62" t="s">
        <v>4829</v>
      </c>
      <c r="AK62" s="78" t="s">
        <v>4640</v>
      </c>
      <c r="AL62" t="b">
        <v>0</v>
      </c>
      <c r="AM62">
        <v>1</v>
      </c>
      <c r="AN62" s="78" t="s">
        <v>4640</v>
      </c>
      <c r="AO62" s="78" t="s">
        <v>4849</v>
      </c>
      <c r="AP62" t="b">
        <v>0</v>
      </c>
      <c r="AQ62" s="78" t="s">
        <v>4118</v>
      </c>
      <c r="AR62" t="s">
        <v>1569</v>
      </c>
      <c r="AS62">
        <v>0</v>
      </c>
      <c r="AT62">
        <v>0</v>
      </c>
    </row>
    <row r="63" spans="1:46" x14ac:dyDescent="0.45">
      <c r="A63" s="62" t="s">
        <v>814</v>
      </c>
      <c r="B63" s="62" t="s">
        <v>1218</v>
      </c>
      <c r="C63" s="63"/>
      <c r="D63" s="64"/>
      <c r="E63" s="65"/>
      <c r="F63" s="66"/>
      <c r="G63" s="63"/>
      <c r="H63" s="67"/>
      <c r="I63" s="68"/>
      <c r="J63" s="68"/>
      <c r="K63" s="32"/>
      <c r="L63" s="75"/>
      <c r="M63" s="75"/>
      <c r="N63" s="70"/>
      <c r="O63" t="s">
        <v>1570</v>
      </c>
      <c r="P63" s="76">
        <v>44958.641284722224</v>
      </c>
      <c r="Q63" t="s">
        <v>1994</v>
      </c>
      <c r="R63" s="77" t="str">
        <f>HYPERLINK("https://www.ebay.com/itm/284733677193")</f>
        <v>https://www.ebay.com/itm/284733677193</v>
      </c>
      <c r="S63" t="s">
        <v>2272</v>
      </c>
      <c r="V63" s="77" t="str">
        <f>HYPERLINK("https://pbs.twimg.com/profile_images/378800000408045698/6bc90c71643785e92e675e5f778fa27b_normal.jpeg")</f>
        <v>https://pbs.twimg.com/profile_images/378800000408045698/6bc90c71643785e92e675e5f778fa27b_normal.jpeg</v>
      </c>
      <c r="W63" s="76">
        <v>44958.641284722224</v>
      </c>
      <c r="X63" s="80">
        <v>44958</v>
      </c>
      <c r="Y63" s="78" t="s">
        <v>3054</v>
      </c>
      <c r="Z63" s="77" t="str">
        <f>HYPERLINK("https://twitter.com/earnmoney2012/status/1620805034287206400")</f>
        <v>https://twitter.com/earnmoney2012/status/1620805034287206400</v>
      </c>
      <c r="AC63" s="78" t="s">
        <v>4119</v>
      </c>
      <c r="AE63" t="b">
        <v>0</v>
      </c>
      <c r="AF63">
        <v>0</v>
      </c>
      <c r="AG63" s="78" t="s">
        <v>4640</v>
      </c>
      <c r="AH63" t="b">
        <v>0</v>
      </c>
      <c r="AI63" t="s">
        <v>4829</v>
      </c>
      <c r="AK63" s="78" t="s">
        <v>4640</v>
      </c>
      <c r="AL63" t="b">
        <v>0</v>
      </c>
      <c r="AM63">
        <v>1</v>
      </c>
      <c r="AN63" s="78" t="s">
        <v>4118</v>
      </c>
      <c r="AO63" s="78" t="s">
        <v>4849</v>
      </c>
      <c r="AP63" t="b">
        <v>0</v>
      </c>
      <c r="AQ63" s="78" t="s">
        <v>4118</v>
      </c>
      <c r="AR63" t="s">
        <v>179</v>
      </c>
      <c r="AS63">
        <v>0</v>
      </c>
      <c r="AT63">
        <v>0</v>
      </c>
    </row>
    <row r="64" spans="1:46" x14ac:dyDescent="0.45">
      <c r="A64" s="62" t="s">
        <v>814</v>
      </c>
      <c r="B64" s="62" t="s">
        <v>1218</v>
      </c>
      <c r="C64" s="63"/>
      <c r="D64" s="64"/>
      <c r="E64" s="65"/>
      <c r="F64" s="66"/>
      <c r="G64" s="63"/>
      <c r="H64" s="67"/>
      <c r="I64" s="68"/>
      <c r="J64" s="68"/>
      <c r="K64" s="32"/>
      <c r="L64" s="75"/>
      <c r="M64" s="75"/>
      <c r="N64" s="70"/>
      <c r="O64" t="s">
        <v>1568</v>
      </c>
      <c r="P64" s="76">
        <v>44958.893796296295</v>
      </c>
      <c r="Q64" t="s">
        <v>1995</v>
      </c>
      <c r="R64" s="77" t="str">
        <f>HYPERLINK("https://www.ebay.com/itm/352792470516")</f>
        <v>https://www.ebay.com/itm/352792470516</v>
      </c>
      <c r="S64" t="s">
        <v>2272</v>
      </c>
      <c r="V64" s="77" t="str">
        <f>HYPERLINK("https://pbs.twimg.com/profile_images/378800000408045698/6bc90c71643785e92e675e5f778fa27b_normal.jpeg")</f>
        <v>https://pbs.twimg.com/profile_images/378800000408045698/6bc90c71643785e92e675e5f778fa27b_normal.jpeg</v>
      </c>
      <c r="W64" s="76">
        <v>44958.893796296295</v>
      </c>
      <c r="X64" s="80">
        <v>44958</v>
      </c>
      <c r="Y64" s="78" t="s">
        <v>3055</v>
      </c>
      <c r="Z64" s="77" t="str">
        <f>HYPERLINK("https://twitter.com/earnmoney2012/status/1620896538343149568")</f>
        <v>https://twitter.com/earnmoney2012/status/1620896538343149568</v>
      </c>
      <c r="AC64" s="78" t="s">
        <v>4120</v>
      </c>
      <c r="AE64" t="b">
        <v>0</v>
      </c>
      <c r="AF64">
        <v>0</v>
      </c>
      <c r="AG64" s="78" t="s">
        <v>4639</v>
      </c>
      <c r="AH64" t="b">
        <v>0</v>
      </c>
      <c r="AI64" t="s">
        <v>4829</v>
      </c>
      <c r="AK64" s="78" t="s">
        <v>4640</v>
      </c>
      <c r="AL64" t="b">
        <v>0</v>
      </c>
      <c r="AM64">
        <v>0</v>
      </c>
      <c r="AN64" s="78" t="s">
        <v>4640</v>
      </c>
      <c r="AO64" s="78" t="s">
        <v>4849</v>
      </c>
      <c r="AP64" t="b">
        <v>0</v>
      </c>
      <c r="AQ64" s="78" t="s">
        <v>4120</v>
      </c>
      <c r="AR64" t="s">
        <v>179</v>
      </c>
      <c r="AS64">
        <v>0</v>
      </c>
      <c r="AT64">
        <v>0</v>
      </c>
    </row>
    <row r="65" spans="1:46" x14ac:dyDescent="0.45">
      <c r="A65" s="62" t="s">
        <v>814</v>
      </c>
      <c r="B65" s="62" t="s">
        <v>1218</v>
      </c>
      <c r="C65" s="63"/>
      <c r="D65" s="64"/>
      <c r="E65" s="65"/>
      <c r="F65" s="66"/>
      <c r="G65" s="63"/>
      <c r="H65" s="67"/>
      <c r="I65" s="68"/>
      <c r="J65" s="68"/>
      <c r="K65" s="32"/>
      <c r="L65" s="75"/>
      <c r="M65" s="75"/>
      <c r="N65" s="70"/>
      <c r="O65" t="s">
        <v>1568</v>
      </c>
      <c r="P65" s="76">
        <v>44958.995613425926</v>
      </c>
      <c r="Q65" t="s">
        <v>1996</v>
      </c>
      <c r="R65" s="77" t="str">
        <f>HYPERLINK("https://www.ebay.com/itm/202542681618")</f>
        <v>https://www.ebay.com/itm/202542681618</v>
      </c>
      <c r="S65" t="s">
        <v>2272</v>
      </c>
      <c r="V65" s="77" t="str">
        <f>HYPERLINK("https://pbs.twimg.com/profile_images/378800000408045698/6bc90c71643785e92e675e5f778fa27b_normal.jpeg")</f>
        <v>https://pbs.twimg.com/profile_images/378800000408045698/6bc90c71643785e92e675e5f778fa27b_normal.jpeg</v>
      </c>
      <c r="W65" s="76">
        <v>44958.995613425926</v>
      </c>
      <c r="X65" s="80">
        <v>44958</v>
      </c>
      <c r="Y65" s="78" t="s">
        <v>3056</v>
      </c>
      <c r="Z65" s="77" t="str">
        <f>HYPERLINK("https://twitter.com/earnmoney2012/status/1620933437535428609")</f>
        <v>https://twitter.com/earnmoney2012/status/1620933437535428609</v>
      </c>
      <c r="AC65" s="78" t="s">
        <v>4121</v>
      </c>
      <c r="AE65" t="b">
        <v>0</v>
      </c>
      <c r="AF65">
        <v>0</v>
      </c>
      <c r="AG65" s="78" t="s">
        <v>4639</v>
      </c>
      <c r="AH65" t="b">
        <v>0</v>
      </c>
      <c r="AI65" t="s">
        <v>4829</v>
      </c>
      <c r="AK65" s="78" t="s">
        <v>4640</v>
      </c>
      <c r="AL65" t="b">
        <v>0</v>
      </c>
      <c r="AM65">
        <v>0</v>
      </c>
      <c r="AN65" s="78" t="s">
        <v>4640</v>
      </c>
      <c r="AO65" s="78" t="s">
        <v>4849</v>
      </c>
      <c r="AP65" t="b">
        <v>0</v>
      </c>
      <c r="AQ65" s="78" t="s">
        <v>4121</v>
      </c>
      <c r="AR65" t="s">
        <v>179</v>
      </c>
      <c r="AS65">
        <v>0</v>
      </c>
      <c r="AT65">
        <v>0</v>
      </c>
    </row>
    <row r="66" spans="1:46" x14ac:dyDescent="0.45">
      <c r="A66" s="62" t="s">
        <v>814</v>
      </c>
      <c r="B66" s="62" t="s">
        <v>1219</v>
      </c>
      <c r="C66" s="63"/>
      <c r="D66" s="64"/>
      <c r="E66" s="65"/>
      <c r="F66" s="66"/>
      <c r="G66" s="63"/>
      <c r="H66" s="67"/>
      <c r="I66" s="68"/>
      <c r="J66" s="68"/>
      <c r="K66" s="32"/>
      <c r="L66" s="75"/>
      <c r="M66" s="75"/>
      <c r="N66" s="70"/>
      <c r="O66" t="s">
        <v>1568</v>
      </c>
      <c r="P66" s="76">
        <v>44957.91684027778</v>
      </c>
      <c r="Q66" t="s">
        <v>1994</v>
      </c>
      <c r="R66" s="77" t="str">
        <f>HYPERLINK("https://www.ebay.com/itm/284733677193")</f>
        <v>https://www.ebay.com/itm/284733677193</v>
      </c>
      <c r="S66" t="s">
        <v>2272</v>
      </c>
      <c r="V66" s="77" t="str">
        <f>HYPERLINK("https://pbs.twimg.com/profile_images/378800000408045698/6bc90c71643785e92e675e5f778fa27b_normal.jpeg")</f>
        <v>https://pbs.twimg.com/profile_images/378800000408045698/6bc90c71643785e92e675e5f778fa27b_normal.jpeg</v>
      </c>
      <c r="W66" s="76">
        <v>44957.91684027778</v>
      </c>
      <c r="X66" s="80">
        <v>44957</v>
      </c>
      <c r="Y66" s="78" t="s">
        <v>3053</v>
      </c>
      <c r="Z66" s="77" t="str">
        <f>HYPERLINK("https://twitter.com/earnmoney2012/status/1620542503161307136")</f>
        <v>https://twitter.com/earnmoney2012/status/1620542503161307136</v>
      </c>
      <c r="AC66" s="78" t="s">
        <v>4118</v>
      </c>
      <c r="AE66" t="b">
        <v>0</v>
      </c>
      <c r="AF66">
        <v>0</v>
      </c>
      <c r="AG66" s="78" t="s">
        <v>4639</v>
      </c>
      <c r="AH66" t="b">
        <v>0</v>
      </c>
      <c r="AI66" t="s">
        <v>4829</v>
      </c>
      <c r="AK66" s="78" t="s">
        <v>4640</v>
      </c>
      <c r="AL66" t="b">
        <v>0</v>
      </c>
      <c r="AM66">
        <v>1</v>
      </c>
      <c r="AN66" s="78" t="s">
        <v>4640</v>
      </c>
      <c r="AO66" s="78" t="s">
        <v>4849</v>
      </c>
      <c r="AP66" t="b">
        <v>0</v>
      </c>
      <c r="AQ66" s="78" t="s">
        <v>4118</v>
      </c>
      <c r="AR66" t="s">
        <v>1569</v>
      </c>
      <c r="AS66">
        <v>0</v>
      </c>
      <c r="AT66">
        <v>0</v>
      </c>
    </row>
    <row r="67" spans="1:46" x14ac:dyDescent="0.45">
      <c r="A67" s="62" t="s">
        <v>814</v>
      </c>
      <c r="B67" s="62" t="s">
        <v>1219</v>
      </c>
      <c r="C67" s="63"/>
      <c r="D67" s="64"/>
      <c r="E67" s="65"/>
      <c r="F67" s="66"/>
      <c r="G67" s="63"/>
      <c r="H67" s="67"/>
      <c r="I67" s="68"/>
      <c r="J67" s="68"/>
      <c r="K67" s="32"/>
      <c r="L67" s="75"/>
      <c r="M67" s="75"/>
      <c r="N67" s="70"/>
      <c r="O67" t="s">
        <v>1570</v>
      </c>
      <c r="P67" s="76">
        <v>44958.641284722224</v>
      </c>
      <c r="Q67" t="s">
        <v>1994</v>
      </c>
      <c r="R67" s="77" t="str">
        <f>HYPERLINK("https://www.ebay.com/itm/284733677193")</f>
        <v>https://www.ebay.com/itm/284733677193</v>
      </c>
      <c r="S67" t="s">
        <v>2272</v>
      </c>
      <c r="V67" s="77" t="str">
        <f>HYPERLINK("https://pbs.twimg.com/profile_images/378800000408045698/6bc90c71643785e92e675e5f778fa27b_normal.jpeg")</f>
        <v>https://pbs.twimg.com/profile_images/378800000408045698/6bc90c71643785e92e675e5f778fa27b_normal.jpeg</v>
      </c>
      <c r="W67" s="76">
        <v>44958.641284722224</v>
      </c>
      <c r="X67" s="80">
        <v>44958</v>
      </c>
      <c r="Y67" s="78" t="s">
        <v>3054</v>
      </c>
      <c r="Z67" s="77" t="str">
        <f>HYPERLINK("https://twitter.com/earnmoney2012/status/1620805034287206400")</f>
        <v>https://twitter.com/earnmoney2012/status/1620805034287206400</v>
      </c>
      <c r="AC67" s="78" t="s">
        <v>4119</v>
      </c>
      <c r="AE67" t="b">
        <v>0</v>
      </c>
      <c r="AF67">
        <v>0</v>
      </c>
      <c r="AG67" s="78" t="s">
        <v>4640</v>
      </c>
      <c r="AH67" t="b">
        <v>0</v>
      </c>
      <c r="AI67" t="s">
        <v>4829</v>
      </c>
      <c r="AK67" s="78" t="s">
        <v>4640</v>
      </c>
      <c r="AL67" t="b">
        <v>0</v>
      </c>
      <c r="AM67">
        <v>1</v>
      </c>
      <c r="AN67" s="78" t="s">
        <v>4118</v>
      </c>
      <c r="AO67" s="78" t="s">
        <v>4849</v>
      </c>
      <c r="AP67" t="b">
        <v>0</v>
      </c>
      <c r="AQ67" s="78" t="s">
        <v>4118</v>
      </c>
      <c r="AR67" t="s">
        <v>179</v>
      </c>
      <c r="AS67">
        <v>0</v>
      </c>
      <c r="AT67">
        <v>0</v>
      </c>
    </row>
    <row r="68" spans="1:46" x14ac:dyDescent="0.45">
      <c r="A68" s="62" t="s">
        <v>814</v>
      </c>
      <c r="B68" s="62" t="s">
        <v>1219</v>
      </c>
      <c r="C68" s="63"/>
      <c r="D68" s="64"/>
      <c r="E68" s="65"/>
      <c r="F68" s="66"/>
      <c r="G68" s="63"/>
      <c r="H68" s="67"/>
      <c r="I68" s="68"/>
      <c r="J68" s="68"/>
      <c r="K68" s="32"/>
      <c r="L68" s="75"/>
      <c r="M68" s="75"/>
      <c r="N68" s="70"/>
      <c r="O68" t="s">
        <v>1568</v>
      </c>
      <c r="P68" s="76">
        <v>44958.893796296295</v>
      </c>
      <c r="Q68" t="s">
        <v>1995</v>
      </c>
      <c r="R68" s="77" t="str">
        <f>HYPERLINK("https://www.ebay.com/itm/352792470516")</f>
        <v>https://www.ebay.com/itm/352792470516</v>
      </c>
      <c r="S68" t="s">
        <v>2272</v>
      </c>
      <c r="V68" s="77" t="str">
        <f>HYPERLINK("https://pbs.twimg.com/profile_images/378800000408045698/6bc90c71643785e92e675e5f778fa27b_normal.jpeg")</f>
        <v>https://pbs.twimg.com/profile_images/378800000408045698/6bc90c71643785e92e675e5f778fa27b_normal.jpeg</v>
      </c>
      <c r="W68" s="76">
        <v>44958.893796296295</v>
      </c>
      <c r="X68" s="80">
        <v>44958</v>
      </c>
      <c r="Y68" s="78" t="s">
        <v>3055</v>
      </c>
      <c r="Z68" s="77" t="str">
        <f>HYPERLINK("https://twitter.com/earnmoney2012/status/1620896538343149568")</f>
        <v>https://twitter.com/earnmoney2012/status/1620896538343149568</v>
      </c>
      <c r="AC68" s="78" t="s">
        <v>4120</v>
      </c>
      <c r="AE68" t="b">
        <v>0</v>
      </c>
      <c r="AF68">
        <v>0</v>
      </c>
      <c r="AG68" s="78" t="s">
        <v>4639</v>
      </c>
      <c r="AH68" t="b">
        <v>0</v>
      </c>
      <c r="AI68" t="s">
        <v>4829</v>
      </c>
      <c r="AK68" s="78" t="s">
        <v>4640</v>
      </c>
      <c r="AL68" t="b">
        <v>0</v>
      </c>
      <c r="AM68">
        <v>0</v>
      </c>
      <c r="AN68" s="78" t="s">
        <v>4640</v>
      </c>
      <c r="AO68" s="78" t="s">
        <v>4849</v>
      </c>
      <c r="AP68" t="b">
        <v>0</v>
      </c>
      <c r="AQ68" s="78" t="s">
        <v>4120</v>
      </c>
      <c r="AR68" t="s">
        <v>179</v>
      </c>
      <c r="AS68">
        <v>0</v>
      </c>
      <c r="AT68">
        <v>0</v>
      </c>
    </row>
    <row r="69" spans="1:46" x14ac:dyDescent="0.45">
      <c r="A69" s="62" t="s">
        <v>814</v>
      </c>
      <c r="B69" s="62" t="s">
        <v>1219</v>
      </c>
      <c r="C69" s="63"/>
      <c r="D69" s="64"/>
      <c r="E69" s="65"/>
      <c r="F69" s="66"/>
      <c r="G69" s="63"/>
      <c r="H69" s="67"/>
      <c r="I69" s="68"/>
      <c r="J69" s="68"/>
      <c r="K69" s="32"/>
      <c r="L69" s="75"/>
      <c r="M69" s="75"/>
      <c r="N69" s="70"/>
      <c r="O69" t="s">
        <v>1568</v>
      </c>
      <c r="P69" s="76">
        <v>44958.995613425926</v>
      </c>
      <c r="Q69" t="s">
        <v>1996</v>
      </c>
      <c r="R69" s="77" t="str">
        <f>HYPERLINK("https://www.ebay.com/itm/202542681618")</f>
        <v>https://www.ebay.com/itm/202542681618</v>
      </c>
      <c r="S69" t="s">
        <v>2272</v>
      </c>
      <c r="V69" s="77" t="str">
        <f>HYPERLINK("https://pbs.twimg.com/profile_images/378800000408045698/6bc90c71643785e92e675e5f778fa27b_normal.jpeg")</f>
        <v>https://pbs.twimg.com/profile_images/378800000408045698/6bc90c71643785e92e675e5f778fa27b_normal.jpeg</v>
      </c>
      <c r="W69" s="76">
        <v>44958.995613425926</v>
      </c>
      <c r="X69" s="80">
        <v>44958</v>
      </c>
      <c r="Y69" s="78" t="s">
        <v>3056</v>
      </c>
      <c r="Z69" s="77" t="str">
        <f>HYPERLINK("https://twitter.com/earnmoney2012/status/1620933437535428609")</f>
        <v>https://twitter.com/earnmoney2012/status/1620933437535428609</v>
      </c>
      <c r="AC69" s="78" t="s">
        <v>4121</v>
      </c>
      <c r="AE69" t="b">
        <v>0</v>
      </c>
      <c r="AF69">
        <v>0</v>
      </c>
      <c r="AG69" s="78" t="s">
        <v>4639</v>
      </c>
      <c r="AH69" t="b">
        <v>0</v>
      </c>
      <c r="AI69" t="s">
        <v>4829</v>
      </c>
      <c r="AK69" s="78" t="s">
        <v>4640</v>
      </c>
      <c r="AL69" t="b">
        <v>0</v>
      </c>
      <c r="AM69">
        <v>0</v>
      </c>
      <c r="AN69" s="78" t="s">
        <v>4640</v>
      </c>
      <c r="AO69" s="78" t="s">
        <v>4849</v>
      </c>
      <c r="AP69" t="b">
        <v>0</v>
      </c>
      <c r="AQ69" s="78" t="s">
        <v>4121</v>
      </c>
      <c r="AR69" t="s">
        <v>179</v>
      </c>
      <c r="AS69">
        <v>0</v>
      </c>
      <c r="AT69">
        <v>0</v>
      </c>
    </row>
    <row r="70" spans="1:46" x14ac:dyDescent="0.45">
      <c r="A70" s="62" t="s">
        <v>814</v>
      </c>
      <c r="B70" s="62" t="s">
        <v>1217</v>
      </c>
      <c r="C70" s="63"/>
      <c r="D70" s="64"/>
      <c r="E70" s="65"/>
      <c r="F70" s="66"/>
      <c r="G70" s="63"/>
      <c r="H70" s="67"/>
      <c r="I70" s="68"/>
      <c r="J70" s="68"/>
      <c r="K70" s="32"/>
      <c r="L70" s="75"/>
      <c r="M70" s="75"/>
      <c r="N70" s="70"/>
      <c r="O70" t="s">
        <v>1568</v>
      </c>
      <c r="P70" s="76">
        <v>44957.91684027778</v>
      </c>
      <c r="Q70" t="s">
        <v>1994</v>
      </c>
      <c r="R70" s="77" t="str">
        <f>HYPERLINK("https://www.ebay.com/itm/284733677193")</f>
        <v>https://www.ebay.com/itm/284733677193</v>
      </c>
      <c r="S70" t="s">
        <v>2272</v>
      </c>
      <c r="V70" s="77" t="str">
        <f>HYPERLINK("https://pbs.twimg.com/profile_images/378800000408045698/6bc90c71643785e92e675e5f778fa27b_normal.jpeg")</f>
        <v>https://pbs.twimg.com/profile_images/378800000408045698/6bc90c71643785e92e675e5f778fa27b_normal.jpeg</v>
      </c>
      <c r="W70" s="76">
        <v>44957.91684027778</v>
      </c>
      <c r="X70" s="80">
        <v>44957</v>
      </c>
      <c r="Y70" s="78" t="s">
        <v>3053</v>
      </c>
      <c r="Z70" s="77" t="str">
        <f>HYPERLINK("https://twitter.com/earnmoney2012/status/1620542503161307136")</f>
        <v>https://twitter.com/earnmoney2012/status/1620542503161307136</v>
      </c>
      <c r="AC70" s="78" t="s">
        <v>4118</v>
      </c>
      <c r="AE70" t="b">
        <v>0</v>
      </c>
      <c r="AF70">
        <v>0</v>
      </c>
      <c r="AG70" s="78" t="s">
        <v>4639</v>
      </c>
      <c r="AH70" t="b">
        <v>0</v>
      </c>
      <c r="AI70" t="s">
        <v>4829</v>
      </c>
      <c r="AK70" s="78" t="s">
        <v>4640</v>
      </c>
      <c r="AL70" t="b">
        <v>0</v>
      </c>
      <c r="AM70">
        <v>1</v>
      </c>
      <c r="AN70" s="78" t="s">
        <v>4640</v>
      </c>
      <c r="AO70" s="78" t="s">
        <v>4849</v>
      </c>
      <c r="AP70" t="b">
        <v>0</v>
      </c>
      <c r="AQ70" s="78" t="s">
        <v>4118</v>
      </c>
      <c r="AR70" t="s">
        <v>1569</v>
      </c>
      <c r="AS70">
        <v>0</v>
      </c>
      <c r="AT70">
        <v>0</v>
      </c>
    </row>
    <row r="71" spans="1:46" x14ac:dyDescent="0.45">
      <c r="A71" s="62" t="s">
        <v>814</v>
      </c>
      <c r="B71" s="62" t="s">
        <v>1181</v>
      </c>
      <c r="C71" s="63"/>
      <c r="D71" s="64"/>
      <c r="E71" s="65"/>
      <c r="F71" s="66"/>
      <c r="G71" s="63"/>
      <c r="H71" s="67"/>
      <c r="I71" s="68"/>
      <c r="J71" s="68"/>
      <c r="K71" s="32"/>
      <c r="L71" s="75"/>
      <c r="M71" s="75"/>
      <c r="N71" s="70"/>
      <c r="O71" t="s">
        <v>1568</v>
      </c>
      <c r="P71" s="76">
        <v>44957.91684027778</v>
      </c>
      <c r="Q71" t="s">
        <v>1994</v>
      </c>
      <c r="R71" s="77" t="str">
        <f>HYPERLINK("https://www.ebay.com/itm/284733677193")</f>
        <v>https://www.ebay.com/itm/284733677193</v>
      </c>
      <c r="S71" t="s">
        <v>2272</v>
      </c>
      <c r="V71" s="77" t="str">
        <f>HYPERLINK("https://pbs.twimg.com/profile_images/378800000408045698/6bc90c71643785e92e675e5f778fa27b_normal.jpeg")</f>
        <v>https://pbs.twimg.com/profile_images/378800000408045698/6bc90c71643785e92e675e5f778fa27b_normal.jpeg</v>
      </c>
      <c r="W71" s="76">
        <v>44957.91684027778</v>
      </c>
      <c r="X71" s="80">
        <v>44957</v>
      </c>
      <c r="Y71" s="78" t="s">
        <v>3053</v>
      </c>
      <c r="Z71" s="77" t="str">
        <f>HYPERLINK("https://twitter.com/earnmoney2012/status/1620542503161307136")</f>
        <v>https://twitter.com/earnmoney2012/status/1620542503161307136</v>
      </c>
      <c r="AC71" s="78" t="s">
        <v>4118</v>
      </c>
      <c r="AE71" t="b">
        <v>0</v>
      </c>
      <c r="AF71">
        <v>0</v>
      </c>
      <c r="AG71" s="78" t="s">
        <v>4639</v>
      </c>
      <c r="AH71" t="b">
        <v>0</v>
      </c>
      <c r="AI71" t="s">
        <v>4829</v>
      </c>
      <c r="AK71" s="78" t="s">
        <v>4640</v>
      </c>
      <c r="AL71" t="b">
        <v>0</v>
      </c>
      <c r="AM71">
        <v>1</v>
      </c>
      <c r="AN71" s="78" t="s">
        <v>4640</v>
      </c>
      <c r="AO71" s="78" t="s">
        <v>4849</v>
      </c>
      <c r="AP71" t="b">
        <v>0</v>
      </c>
      <c r="AQ71" s="78" t="s">
        <v>4118</v>
      </c>
      <c r="AR71" t="s">
        <v>1569</v>
      </c>
      <c r="AS71">
        <v>0</v>
      </c>
      <c r="AT71">
        <v>0</v>
      </c>
    </row>
    <row r="72" spans="1:46" x14ac:dyDescent="0.45">
      <c r="A72" s="62" t="s">
        <v>814</v>
      </c>
      <c r="B72" s="62" t="s">
        <v>242</v>
      </c>
      <c r="C72" s="63"/>
      <c r="D72" s="64"/>
      <c r="E72" s="65"/>
      <c r="F72" s="66"/>
      <c r="G72" s="63"/>
      <c r="H72" s="67"/>
      <c r="I72" s="68"/>
      <c r="J72" s="68"/>
      <c r="K72" s="32"/>
      <c r="L72" s="75"/>
      <c r="M72" s="75"/>
      <c r="N72" s="70"/>
      <c r="O72" t="s">
        <v>1567</v>
      </c>
      <c r="P72" s="76">
        <v>44957.91684027778</v>
      </c>
      <c r="Q72" t="s">
        <v>1994</v>
      </c>
      <c r="R72" s="77" t="str">
        <f>HYPERLINK("https://www.ebay.com/itm/284733677193")</f>
        <v>https://www.ebay.com/itm/284733677193</v>
      </c>
      <c r="S72" t="s">
        <v>2272</v>
      </c>
      <c r="V72" s="77" t="str">
        <f>HYPERLINK("https://pbs.twimg.com/profile_images/378800000408045698/6bc90c71643785e92e675e5f778fa27b_normal.jpeg")</f>
        <v>https://pbs.twimg.com/profile_images/378800000408045698/6bc90c71643785e92e675e5f778fa27b_normal.jpeg</v>
      </c>
      <c r="W72" s="76">
        <v>44957.91684027778</v>
      </c>
      <c r="X72" s="80">
        <v>44957</v>
      </c>
      <c r="Y72" s="78" t="s">
        <v>3053</v>
      </c>
      <c r="Z72" s="77" t="str">
        <f>HYPERLINK("https://twitter.com/earnmoney2012/status/1620542503161307136")</f>
        <v>https://twitter.com/earnmoney2012/status/1620542503161307136</v>
      </c>
      <c r="AC72" s="78" t="s">
        <v>4118</v>
      </c>
      <c r="AE72" t="b">
        <v>0</v>
      </c>
      <c r="AF72">
        <v>0</v>
      </c>
      <c r="AG72" s="78" t="s">
        <v>4639</v>
      </c>
      <c r="AH72" t="b">
        <v>0</v>
      </c>
      <c r="AI72" t="s">
        <v>4829</v>
      </c>
      <c r="AK72" s="78" t="s">
        <v>4640</v>
      </c>
      <c r="AL72" t="b">
        <v>0</v>
      </c>
      <c r="AM72">
        <v>1</v>
      </c>
      <c r="AN72" s="78" t="s">
        <v>4640</v>
      </c>
      <c r="AO72" s="78" t="s">
        <v>4849</v>
      </c>
      <c r="AP72" t="b">
        <v>0</v>
      </c>
      <c r="AQ72" s="78" t="s">
        <v>4118</v>
      </c>
      <c r="AR72" t="s">
        <v>1569</v>
      </c>
      <c r="AS72">
        <v>0</v>
      </c>
      <c r="AT72">
        <v>0</v>
      </c>
    </row>
    <row r="73" spans="1:46" x14ac:dyDescent="0.45">
      <c r="A73" s="62" t="s">
        <v>814</v>
      </c>
      <c r="B73" s="62" t="s">
        <v>1217</v>
      </c>
      <c r="C73" s="63"/>
      <c r="D73" s="64"/>
      <c r="E73" s="65"/>
      <c r="F73" s="66"/>
      <c r="G73" s="63"/>
      <c r="H73" s="67"/>
      <c r="I73" s="68"/>
      <c r="J73" s="68"/>
      <c r="K73" s="32"/>
      <c r="L73" s="75"/>
      <c r="M73" s="75"/>
      <c r="N73" s="70"/>
      <c r="O73" t="s">
        <v>1570</v>
      </c>
      <c r="P73" s="76">
        <v>44958.641284722224</v>
      </c>
      <c r="Q73" t="s">
        <v>1994</v>
      </c>
      <c r="R73" s="77" t="str">
        <f>HYPERLINK("https://www.ebay.com/itm/284733677193")</f>
        <v>https://www.ebay.com/itm/284733677193</v>
      </c>
      <c r="S73" t="s">
        <v>2272</v>
      </c>
      <c r="V73" s="77" t="str">
        <f>HYPERLINK("https://pbs.twimg.com/profile_images/378800000408045698/6bc90c71643785e92e675e5f778fa27b_normal.jpeg")</f>
        <v>https://pbs.twimg.com/profile_images/378800000408045698/6bc90c71643785e92e675e5f778fa27b_normal.jpeg</v>
      </c>
      <c r="W73" s="76">
        <v>44958.641284722224</v>
      </c>
      <c r="X73" s="80">
        <v>44958</v>
      </c>
      <c r="Y73" s="78" t="s">
        <v>3054</v>
      </c>
      <c r="Z73" s="77" t="str">
        <f>HYPERLINK("https://twitter.com/earnmoney2012/status/1620805034287206400")</f>
        <v>https://twitter.com/earnmoney2012/status/1620805034287206400</v>
      </c>
      <c r="AC73" s="78" t="s">
        <v>4119</v>
      </c>
      <c r="AE73" t="b">
        <v>0</v>
      </c>
      <c r="AF73">
        <v>0</v>
      </c>
      <c r="AG73" s="78" t="s">
        <v>4640</v>
      </c>
      <c r="AH73" t="b">
        <v>0</v>
      </c>
      <c r="AI73" t="s">
        <v>4829</v>
      </c>
      <c r="AK73" s="78" t="s">
        <v>4640</v>
      </c>
      <c r="AL73" t="b">
        <v>0</v>
      </c>
      <c r="AM73">
        <v>1</v>
      </c>
      <c r="AN73" s="78" t="s">
        <v>4118</v>
      </c>
      <c r="AO73" s="78" t="s">
        <v>4849</v>
      </c>
      <c r="AP73" t="b">
        <v>0</v>
      </c>
      <c r="AQ73" s="78" t="s">
        <v>4118</v>
      </c>
      <c r="AR73" t="s">
        <v>179</v>
      </c>
      <c r="AS73">
        <v>0</v>
      </c>
      <c r="AT73">
        <v>0</v>
      </c>
    </row>
    <row r="74" spans="1:46" x14ac:dyDescent="0.45">
      <c r="A74" s="62" t="s">
        <v>814</v>
      </c>
      <c r="B74" s="62" t="s">
        <v>1181</v>
      </c>
      <c r="C74" s="63"/>
      <c r="D74" s="64"/>
      <c r="E74" s="65"/>
      <c r="F74" s="66"/>
      <c r="G74" s="63"/>
      <c r="H74" s="67"/>
      <c r="I74" s="68"/>
      <c r="J74" s="68"/>
      <c r="K74" s="32"/>
      <c r="L74" s="75"/>
      <c r="M74" s="75"/>
      <c r="N74" s="70"/>
      <c r="O74" t="s">
        <v>1570</v>
      </c>
      <c r="P74" s="76">
        <v>44958.641284722224</v>
      </c>
      <c r="Q74" t="s">
        <v>1994</v>
      </c>
      <c r="R74" s="77" t="str">
        <f>HYPERLINK("https://www.ebay.com/itm/284733677193")</f>
        <v>https://www.ebay.com/itm/284733677193</v>
      </c>
      <c r="S74" t="s">
        <v>2272</v>
      </c>
      <c r="V74" s="77" t="str">
        <f>HYPERLINK("https://pbs.twimg.com/profile_images/378800000408045698/6bc90c71643785e92e675e5f778fa27b_normal.jpeg")</f>
        <v>https://pbs.twimg.com/profile_images/378800000408045698/6bc90c71643785e92e675e5f778fa27b_normal.jpeg</v>
      </c>
      <c r="W74" s="76">
        <v>44958.641284722224</v>
      </c>
      <c r="X74" s="80">
        <v>44958</v>
      </c>
      <c r="Y74" s="78" t="s">
        <v>3054</v>
      </c>
      <c r="Z74" s="77" t="str">
        <f>HYPERLINK("https://twitter.com/earnmoney2012/status/1620805034287206400")</f>
        <v>https://twitter.com/earnmoney2012/status/1620805034287206400</v>
      </c>
      <c r="AC74" s="78" t="s">
        <v>4119</v>
      </c>
      <c r="AE74" t="b">
        <v>0</v>
      </c>
      <c r="AF74">
        <v>0</v>
      </c>
      <c r="AG74" s="78" t="s">
        <v>4640</v>
      </c>
      <c r="AH74" t="b">
        <v>0</v>
      </c>
      <c r="AI74" t="s">
        <v>4829</v>
      </c>
      <c r="AK74" s="78" t="s">
        <v>4640</v>
      </c>
      <c r="AL74" t="b">
        <v>0</v>
      </c>
      <c r="AM74">
        <v>1</v>
      </c>
      <c r="AN74" s="78" t="s">
        <v>4118</v>
      </c>
      <c r="AO74" s="78" t="s">
        <v>4849</v>
      </c>
      <c r="AP74" t="b">
        <v>0</v>
      </c>
      <c r="AQ74" s="78" t="s">
        <v>4118</v>
      </c>
      <c r="AR74" t="s">
        <v>179</v>
      </c>
      <c r="AS74">
        <v>0</v>
      </c>
      <c r="AT74">
        <v>0</v>
      </c>
    </row>
    <row r="75" spans="1:46" x14ac:dyDescent="0.45">
      <c r="A75" s="62" t="s">
        <v>814</v>
      </c>
      <c r="B75" s="62" t="s">
        <v>814</v>
      </c>
      <c r="C75" s="63"/>
      <c r="D75" s="64"/>
      <c r="E75" s="65"/>
      <c r="F75" s="66"/>
      <c r="G75" s="63"/>
      <c r="H75" s="67"/>
      <c r="I75" s="68"/>
      <c r="J75" s="68"/>
      <c r="K75" s="32"/>
      <c r="L75" s="75"/>
      <c r="M75" s="75"/>
      <c r="N75" s="70"/>
      <c r="O75" t="s">
        <v>1569</v>
      </c>
      <c r="P75" s="76">
        <v>44958.641284722224</v>
      </c>
      <c r="Q75" t="s">
        <v>1994</v>
      </c>
      <c r="R75" s="77" t="str">
        <f>HYPERLINK("https://www.ebay.com/itm/284733677193")</f>
        <v>https://www.ebay.com/itm/284733677193</v>
      </c>
      <c r="S75" t="s">
        <v>2272</v>
      </c>
      <c r="V75" s="77" t="str">
        <f>HYPERLINK("https://pbs.twimg.com/profile_images/378800000408045698/6bc90c71643785e92e675e5f778fa27b_normal.jpeg")</f>
        <v>https://pbs.twimg.com/profile_images/378800000408045698/6bc90c71643785e92e675e5f778fa27b_normal.jpeg</v>
      </c>
      <c r="W75" s="76">
        <v>44958.641284722224</v>
      </c>
      <c r="X75" s="80">
        <v>44958</v>
      </c>
      <c r="Y75" s="78" t="s">
        <v>3054</v>
      </c>
      <c r="Z75" s="77" t="str">
        <f>HYPERLINK("https://twitter.com/earnmoney2012/status/1620805034287206400")</f>
        <v>https://twitter.com/earnmoney2012/status/1620805034287206400</v>
      </c>
      <c r="AC75" s="78" t="s">
        <v>4119</v>
      </c>
      <c r="AE75" t="b">
        <v>0</v>
      </c>
      <c r="AF75">
        <v>0</v>
      </c>
      <c r="AG75" s="78" t="s">
        <v>4640</v>
      </c>
      <c r="AH75" t="b">
        <v>0</v>
      </c>
      <c r="AI75" t="s">
        <v>4829</v>
      </c>
      <c r="AK75" s="78" t="s">
        <v>4640</v>
      </c>
      <c r="AL75" t="b">
        <v>0</v>
      </c>
      <c r="AM75">
        <v>1</v>
      </c>
      <c r="AN75" s="78" t="s">
        <v>4118</v>
      </c>
      <c r="AO75" s="78" t="s">
        <v>4849</v>
      </c>
      <c r="AP75" t="b">
        <v>0</v>
      </c>
      <c r="AQ75" s="78" t="s">
        <v>4118</v>
      </c>
      <c r="AR75" t="s">
        <v>179</v>
      </c>
      <c r="AS75">
        <v>0</v>
      </c>
      <c r="AT75">
        <v>0</v>
      </c>
    </row>
    <row r="76" spans="1:46" x14ac:dyDescent="0.45">
      <c r="A76" s="62" t="s">
        <v>814</v>
      </c>
      <c r="B76" s="62" t="s">
        <v>242</v>
      </c>
      <c r="C76" s="63"/>
      <c r="D76" s="64"/>
      <c r="E76" s="65"/>
      <c r="F76" s="66"/>
      <c r="G76" s="63"/>
      <c r="H76" s="67"/>
      <c r="I76" s="68"/>
      <c r="J76" s="68"/>
      <c r="K76" s="32"/>
      <c r="L76" s="75"/>
      <c r="M76" s="75"/>
      <c r="N76" s="70"/>
      <c r="O76" t="s">
        <v>1567</v>
      </c>
      <c r="P76" s="76">
        <v>44958.641284722224</v>
      </c>
      <c r="Q76" t="s">
        <v>1994</v>
      </c>
      <c r="R76" s="77" t="str">
        <f>HYPERLINK("https://www.ebay.com/itm/284733677193")</f>
        <v>https://www.ebay.com/itm/284733677193</v>
      </c>
      <c r="S76" t="s">
        <v>2272</v>
      </c>
      <c r="V76" s="77" t="str">
        <f>HYPERLINK("https://pbs.twimg.com/profile_images/378800000408045698/6bc90c71643785e92e675e5f778fa27b_normal.jpeg")</f>
        <v>https://pbs.twimg.com/profile_images/378800000408045698/6bc90c71643785e92e675e5f778fa27b_normal.jpeg</v>
      </c>
      <c r="W76" s="76">
        <v>44958.641284722224</v>
      </c>
      <c r="X76" s="80">
        <v>44958</v>
      </c>
      <c r="Y76" s="78" t="s">
        <v>3054</v>
      </c>
      <c r="Z76" s="77" t="str">
        <f>HYPERLINK("https://twitter.com/earnmoney2012/status/1620805034287206400")</f>
        <v>https://twitter.com/earnmoney2012/status/1620805034287206400</v>
      </c>
      <c r="AC76" s="78" t="s">
        <v>4119</v>
      </c>
      <c r="AE76" t="b">
        <v>0</v>
      </c>
      <c r="AF76">
        <v>0</v>
      </c>
      <c r="AG76" s="78" t="s">
        <v>4640</v>
      </c>
      <c r="AH76" t="b">
        <v>0</v>
      </c>
      <c r="AI76" t="s">
        <v>4829</v>
      </c>
      <c r="AK76" s="78" t="s">
        <v>4640</v>
      </c>
      <c r="AL76" t="b">
        <v>0</v>
      </c>
      <c r="AM76">
        <v>1</v>
      </c>
      <c r="AN76" s="78" t="s">
        <v>4118</v>
      </c>
      <c r="AO76" s="78" t="s">
        <v>4849</v>
      </c>
      <c r="AP76" t="b">
        <v>0</v>
      </c>
      <c r="AQ76" s="78" t="s">
        <v>4118</v>
      </c>
      <c r="AR76" t="s">
        <v>179</v>
      </c>
      <c r="AS76">
        <v>0</v>
      </c>
      <c r="AT76">
        <v>0</v>
      </c>
    </row>
    <row r="77" spans="1:46" x14ac:dyDescent="0.45">
      <c r="A77" s="62" t="s">
        <v>814</v>
      </c>
      <c r="B77" s="62" t="s">
        <v>242</v>
      </c>
      <c r="C77" s="63"/>
      <c r="D77" s="64"/>
      <c r="E77" s="65"/>
      <c r="F77" s="66"/>
      <c r="G77" s="63"/>
      <c r="H77" s="67"/>
      <c r="I77" s="68"/>
      <c r="J77" s="68"/>
      <c r="K77" s="32"/>
      <c r="L77" s="75"/>
      <c r="M77" s="75"/>
      <c r="N77" s="70"/>
      <c r="O77" t="s">
        <v>1567</v>
      </c>
      <c r="P77" s="76">
        <v>44958.893796296295</v>
      </c>
      <c r="Q77" t="s">
        <v>1995</v>
      </c>
      <c r="R77" s="77" t="str">
        <f>HYPERLINK("https://www.ebay.com/itm/352792470516")</f>
        <v>https://www.ebay.com/itm/352792470516</v>
      </c>
      <c r="S77" t="s">
        <v>2272</v>
      </c>
      <c r="V77" s="77" t="str">
        <f>HYPERLINK("https://pbs.twimg.com/profile_images/378800000408045698/6bc90c71643785e92e675e5f778fa27b_normal.jpeg")</f>
        <v>https://pbs.twimg.com/profile_images/378800000408045698/6bc90c71643785e92e675e5f778fa27b_normal.jpeg</v>
      </c>
      <c r="W77" s="76">
        <v>44958.893796296295</v>
      </c>
      <c r="X77" s="80">
        <v>44958</v>
      </c>
      <c r="Y77" s="78" t="s">
        <v>3055</v>
      </c>
      <c r="Z77" s="77" t="str">
        <f>HYPERLINK("https://twitter.com/earnmoney2012/status/1620896538343149568")</f>
        <v>https://twitter.com/earnmoney2012/status/1620896538343149568</v>
      </c>
      <c r="AC77" s="78" t="s">
        <v>4120</v>
      </c>
      <c r="AE77" t="b">
        <v>0</v>
      </c>
      <c r="AF77">
        <v>0</v>
      </c>
      <c r="AG77" s="78" t="s">
        <v>4639</v>
      </c>
      <c r="AH77" t="b">
        <v>0</v>
      </c>
      <c r="AI77" t="s">
        <v>4829</v>
      </c>
      <c r="AK77" s="78" t="s">
        <v>4640</v>
      </c>
      <c r="AL77" t="b">
        <v>0</v>
      </c>
      <c r="AM77">
        <v>0</v>
      </c>
      <c r="AN77" s="78" t="s">
        <v>4640</v>
      </c>
      <c r="AO77" s="78" t="s">
        <v>4849</v>
      </c>
      <c r="AP77" t="b">
        <v>0</v>
      </c>
      <c r="AQ77" s="78" t="s">
        <v>4120</v>
      </c>
      <c r="AR77" t="s">
        <v>179</v>
      </c>
      <c r="AS77">
        <v>0</v>
      </c>
      <c r="AT77">
        <v>0</v>
      </c>
    </row>
    <row r="78" spans="1:46" x14ac:dyDescent="0.45">
      <c r="A78" s="62" t="s">
        <v>814</v>
      </c>
      <c r="B78" s="62" t="s">
        <v>242</v>
      </c>
      <c r="C78" s="63"/>
      <c r="D78" s="64"/>
      <c r="E78" s="65"/>
      <c r="F78" s="66"/>
      <c r="G78" s="63"/>
      <c r="H78" s="67"/>
      <c r="I78" s="68"/>
      <c r="J78" s="68"/>
      <c r="K78" s="32"/>
      <c r="L78" s="75"/>
      <c r="M78" s="75"/>
      <c r="N78" s="70"/>
      <c r="O78" t="s">
        <v>1567</v>
      </c>
      <c r="P78" s="76">
        <v>44958.995613425926</v>
      </c>
      <c r="Q78" t="s">
        <v>1996</v>
      </c>
      <c r="R78" s="77" t="str">
        <f>HYPERLINK("https://www.ebay.com/itm/202542681618")</f>
        <v>https://www.ebay.com/itm/202542681618</v>
      </c>
      <c r="S78" t="s">
        <v>2272</v>
      </c>
      <c r="V78" s="77" t="str">
        <f>HYPERLINK("https://pbs.twimg.com/profile_images/378800000408045698/6bc90c71643785e92e675e5f778fa27b_normal.jpeg")</f>
        <v>https://pbs.twimg.com/profile_images/378800000408045698/6bc90c71643785e92e675e5f778fa27b_normal.jpeg</v>
      </c>
      <c r="W78" s="76">
        <v>44958.995613425926</v>
      </c>
      <c r="X78" s="80">
        <v>44958</v>
      </c>
      <c r="Y78" s="78" t="s">
        <v>3056</v>
      </c>
      <c r="Z78" s="77" t="str">
        <f>HYPERLINK("https://twitter.com/earnmoney2012/status/1620933437535428609")</f>
        <v>https://twitter.com/earnmoney2012/status/1620933437535428609</v>
      </c>
      <c r="AC78" s="78" t="s">
        <v>4121</v>
      </c>
      <c r="AE78" t="b">
        <v>0</v>
      </c>
      <c r="AF78">
        <v>0</v>
      </c>
      <c r="AG78" s="78" t="s">
        <v>4639</v>
      </c>
      <c r="AH78" t="b">
        <v>0</v>
      </c>
      <c r="AI78" t="s">
        <v>4829</v>
      </c>
      <c r="AK78" s="78" t="s">
        <v>4640</v>
      </c>
      <c r="AL78" t="b">
        <v>0</v>
      </c>
      <c r="AM78">
        <v>0</v>
      </c>
      <c r="AN78" s="78" t="s">
        <v>4640</v>
      </c>
      <c r="AO78" s="78" t="s">
        <v>4849</v>
      </c>
      <c r="AP78" t="b">
        <v>0</v>
      </c>
      <c r="AQ78" s="78" t="s">
        <v>4121</v>
      </c>
      <c r="AR78" t="s">
        <v>179</v>
      </c>
      <c r="AS78">
        <v>0</v>
      </c>
      <c r="AT78">
        <v>0</v>
      </c>
    </row>
    <row r="79" spans="1:46" x14ac:dyDescent="0.45">
      <c r="A79" s="62" t="s">
        <v>1027</v>
      </c>
      <c r="B79" s="62" t="s">
        <v>242</v>
      </c>
      <c r="C79" s="63"/>
      <c r="D79" s="64"/>
      <c r="E79" s="65"/>
      <c r="F79" s="66"/>
      <c r="G79" s="63"/>
      <c r="H79" s="67"/>
      <c r="I79" s="68"/>
      <c r="J79" s="68"/>
      <c r="K79" s="32"/>
      <c r="L79" s="75"/>
      <c r="M79" s="75"/>
      <c r="N79" s="70"/>
      <c r="O79" t="s">
        <v>1568</v>
      </c>
      <c r="P79" s="76">
        <v>44959.414733796293</v>
      </c>
      <c r="Q79" t="s">
        <v>2182</v>
      </c>
      <c r="R79" s="77" t="str">
        <f>HYPERLINK("https://evtolinsights.com/2023/02/america-walmart-to-ramp-up-drone-delivery-by-using-multiple-5g-carriers/")</f>
        <v>https://evtolinsights.com/2023/02/america-walmart-to-ramp-up-drone-delivery-by-using-multiple-5g-carriers/</v>
      </c>
      <c r="S79" t="s">
        <v>2300</v>
      </c>
      <c r="U79" s="77" t="str">
        <f>HYPERLINK("https://pbs.twimg.com/media/Fn9AS_JX0AAFyLX.jpg")</f>
        <v>https://pbs.twimg.com/media/Fn9AS_JX0AAFyLX.jpg</v>
      </c>
      <c r="V79" s="77" t="str">
        <f>HYPERLINK("https://pbs.twimg.com/media/Fn9AS_JX0AAFyLX.jpg")</f>
        <v>https://pbs.twimg.com/media/Fn9AS_JX0AAFyLX.jpg</v>
      </c>
      <c r="W79" s="76">
        <v>44959.414733796293</v>
      </c>
      <c r="X79" s="80">
        <v>44959</v>
      </c>
      <c r="Y79" s="78" t="s">
        <v>3325</v>
      </c>
      <c r="Z79" s="77" t="str">
        <f>HYPERLINK("https://twitter.com/evtolinsights/status/1621085322120687617")</f>
        <v>https://twitter.com/evtolinsights/status/1621085322120687617</v>
      </c>
      <c r="AC79" s="78" t="s">
        <v>4390</v>
      </c>
      <c r="AE79" t="b">
        <v>0</v>
      </c>
      <c r="AF79">
        <v>1</v>
      </c>
      <c r="AG79" s="78" t="s">
        <v>4640</v>
      </c>
      <c r="AH79" t="b">
        <v>0</v>
      </c>
      <c r="AI79" t="s">
        <v>4829</v>
      </c>
      <c r="AK79" s="78" t="s">
        <v>4640</v>
      </c>
      <c r="AL79" t="b">
        <v>0</v>
      </c>
      <c r="AM79">
        <v>0</v>
      </c>
      <c r="AN79" s="78" t="s">
        <v>4640</v>
      </c>
      <c r="AO79" s="78" t="s">
        <v>4851</v>
      </c>
      <c r="AP79" t="b">
        <v>0</v>
      </c>
      <c r="AQ79" s="78" t="s">
        <v>4390</v>
      </c>
      <c r="AR79" t="s">
        <v>179</v>
      </c>
      <c r="AS79">
        <v>0</v>
      </c>
      <c r="AT79">
        <v>0</v>
      </c>
    </row>
    <row r="80" spans="1:46" x14ac:dyDescent="0.45">
      <c r="A80" s="62" t="s">
        <v>236</v>
      </c>
      <c r="B80" s="62" t="s">
        <v>1133</v>
      </c>
      <c r="C80" s="63"/>
      <c r="D80" s="64"/>
      <c r="E80" s="65"/>
      <c r="F80" s="66"/>
      <c r="G80" s="63"/>
      <c r="H80" s="67"/>
      <c r="I80" s="68"/>
      <c r="J80" s="68"/>
      <c r="K80" s="32"/>
      <c r="L80" s="75"/>
      <c r="M80" s="75"/>
      <c r="N80" s="70"/>
      <c r="O80" t="s">
        <v>1568</v>
      </c>
      <c r="P80" s="76">
        <v>44957.655034722222</v>
      </c>
      <c r="Q80" t="s">
        <v>1589</v>
      </c>
      <c r="R80" s="77" t="str">
        <f>HYPERLINK("https://www.forbes.com/sites/noahbarsky/2023/01/31/walmart-recession-proofs-retail-reign-with-3-rare-moves/?sh=6dab36862573")</f>
        <v>https://www.forbes.com/sites/noahbarsky/2023/01/31/walmart-recession-proofs-retail-reign-with-3-rare-moves/?sh=6dab36862573</v>
      </c>
      <c r="S80" t="s">
        <v>2260</v>
      </c>
      <c r="T80" s="78" t="s">
        <v>2312</v>
      </c>
      <c r="U80" s="77" t="str">
        <f>HYPERLINK("https://pbs.twimg.com/media/Fnz7uuFWIAAYTfI.jpg")</f>
        <v>https://pbs.twimg.com/media/Fnz7uuFWIAAYTfI.jpg</v>
      </c>
      <c r="V80" s="77" t="str">
        <f>HYPERLINK("https://pbs.twimg.com/media/Fnz7uuFWIAAYTfI.jpg")</f>
        <v>https://pbs.twimg.com/media/Fnz7uuFWIAAYTfI.jpg</v>
      </c>
      <c r="W80" s="76">
        <v>44957.655034722222</v>
      </c>
      <c r="X80" s="80">
        <v>44957</v>
      </c>
      <c r="Y80" s="78" t="s">
        <v>2439</v>
      </c>
      <c r="Z80" s="77" t="str">
        <f>HYPERLINK("https://twitter.com/betamoroney/status/1620447629460267010")</f>
        <v>https://twitter.com/betamoroney/status/1620447629460267010</v>
      </c>
      <c r="AC80" s="78" t="s">
        <v>3454</v>
      </c>
      <c r="AE80" t="b">
        <v>0</v>
      </c>
      <c r="AF80">
        <v>19</v>
      </c>
      <c r="AG80" s="78" t="s">
        <v>4639</v>
      </c>
      <c r="AH80" t="b">
        <v>0</v>
      </c>
      <c r="AI80" t="s">
        <v>4829</v>
      </c>
      <c r="AK80" s="78" t="s">
        <v>4640</v>
      </c>
      <c r="AL80" t="b">
        <v>0</v>
      </c>
      <c r="AM80">
        <v>15</v>
      </c>
      <c r="AN80" s="78" t="s">
        <v>4640</v>
      </c>
      <c r="AO80" s="78" t="s">
        <v>4851</v>
      </c>
      <c r="AP80" t="b">
        <v>0</v>
      </c>
      <c r="AQ80" s="78" t="s">
        <v>3454</v>
      </c>
      <c r="AR80" t="s">
        <v>1569</v>
      </c>
      <c r="AS80">
        <v>0</v>
      </c>
      <c r="AT80">
        <v>0</v>
      </c>
    </row>
    <row r="81" spans="1:46" x14ac:dyDescent="0.45">
      <c r="A81" s="62" t="s">
        <v>236</v>
      </c>
      <c r="B81" s="62" t="s">
        <v>1134</v>
      </c>
      <c r="C81" s="63"/>
      <c r="D81" s="64"/>
      <c r="E81" s="65"/>
      <c r="F81" s="66"/>
      <c r="G81" s="63"/>
      <c r="H81" s="67"/>
      <c r="I81" s="68"/>
      <c r="J81" s="68"/>
      <c r="K81" s="32"/>
      <c r="L81" s="75"/>
      <c r="M81" s="75"/>
      <c r="N81" s="70"/>
      <c r="O81" t="s">
        <v>1568</v>
      </c>
      <c r="P81" s="76">
        <v>44957.655034722222</v>
      </c>
      <c r="Q81" t="s">
        <v>1589</v>
      </c>
      <c r="R81" s="77" t="str">
        <f>HYPERLINK("https://www.forbes.com/sites/noahbarsky/2023/01/31/walmart-recession-proofs-retail-reign-with-3-rare-moves/?sh=6dab36862573")</f>
        <v>https://www.forbes.com/sites/noahbarsky/2023/01/31/walmart-recession-proofs-retail-reign-with-3-rare-moves/?sh=6dab36862573</v>
      </c>
      <c r="S81" t="s">
        <v>2260</v>
      </c>
      <c r="T81" s="78" t="s">
        <v>2312</v>
      </c>
      <c r="U81" s="77" t="str">
        <f>HYPERLINK("https://pbs.twimg.com/media/Fnz7uuFWIAAYTfI.jpg")</f>
        <v>https://pbs.twimg.com/media/Fnz7uuFWIAAYTfI.jpg</v>
      </c>
      <c r="V81" s="77" t="str">
        <f>HYPERLINK("https://pbs.twimg.com/media/Fnz7uuFWIAAYTfI.jpg")</f>
        <v>https://pbs.twimg.com/media/Fnz7uuFWIAAYTfI.jpg</v>
      </c>
      <c r="W81" s="76">
        <v>44957.655034722222</v>
      </c>
      <c r="X81" s="80">
        <v>44957</v>
      </c>
      <c r="Y81" s="78" t="s">
        <v>2439</v>
      </c>
      <c r="Z81" s="77" t="str">
        <f>HYPERLINK("https://twitter.com/betamoroney/status/1620447629460267010")</f>
        <v>https://twitter.com/betamoroney/status/1620447629460267010</v>
      </c>
      <c r="AC81" s="78" t="s">
        <v>3454</v>
      </c>
      <c r="AE81" t="b">
        <v>0</v>
      </c>
      <c r="AF81">
        <v>19</v>
      </c>
      <c r="AG81" s="78" t="s">
        <v>4639</v>
      </c>
      <c r="AH81" t="b">
        <v>0</v>
      </c>
      <c r="AI81" t="s">
        <v>4829</v>
      </c>
      <c r="AK81" s="78" t="s">
        <v>4640</v>
      </c>
      <c r="AL81" t="b">
        <v>0</v>
      </c>
      <c r="AM81">
        <v>15</v>
      </c>
      <c r="AN81" s="78" t="s">
        <v>4640</v>
      </c>
      <c r="AO81" s="78" t="s">
        <v>4851</v>
      </c>
      <c r="AP81" t="b">
        <v>0</v>
      </c>
      <c r="AQ81" s="78" t="s">
        <v>3454</v>
      </c>
      <c r="AR81" t="s">
        <v>1569</v>
      </c>
      <c r="AS81">
        <v>0</v>
      </c>
      <c r="AT81">
        <v>0</v>
      </c>
    </row>
    <row r="82" spans="1:46" x14ac:dyDescent="0.45">
      <c r="A82" s="62" t="s">
        <v>236</v>
      </c>
      <c r="B82" s="62" t="s">
        <v>1135</v>
      </c>
      <c r="C82" s="63"/>
      <c r="D82" s="64"/>
      <c r="E82" s="65"/>
      <c r="F82" s="66"/>
      <c r="G82" s="63"/>
      <c r="H82" s="67"/>
      <c r="I82" s="68"/>
      <c r="J82" s="68"/>
      <c r="K82" s="32"/>
      <c r="L82" s="75"/>
      <c r="M82" s="75"/>
      <c r="N82" s="70"/>
      <c r="O82" t="s">
        <v>1568</v>
      </c>
      <c r="P82" s="76">
        <v>44957.655034722222</v>
      </c>
      <c r="Q82" t="s">
        <v>1589</v>
      </c>
      <c r="R82" s="77" t="str">
        <f>HYPERLINK("https://www.forbes.com/sites/noahbarsky/2023/01/31/walmart-recession-proofs-retail-reign-with-3-rare-moves/?sh=6dab36862573")</f>
        <v>https://www.forbes.com/sites/noahbarsky/2023/01/31/walmart-recession-proofs-retail-reign-with-3-rare-moves/?sh=6dab36862573</v>
      </c>
      <c r="S82" t="s">
        <v>2260</v>
      </c>
      <c r="T82" s="78" t="s">
        <v>2312</v>
      </c>
      <c r="U82" s="77" t="str">
        <f>HYPERLINK("https://pbs.twimg.com/media/Fnz7uuFWIAAYTfI.jpg")</f>
        <v>https://pbs.twimg.com/media/Fnz7uuFWIAAYTfI.jpg</v>
      </c>
      <c r="V82" s="77" t="str">
        <f>HYPERLINK("https://pbs.twimg.com/media/Fnz7uuFWIAAYTfI.jpg")</f>
        <v>https://pbs.twimg.com/media/Fnz7uuFWIAAYTfI.jpg</v>
      </c>
      <c r="W82" s="76">
        <v>44957.655034722222</v>
      </c>
      <c r="X82" s="80">
        <v>44957</v>
      </c>
      <c r="Y82" s="78" t="s">
        <v>2439</v>
      </c>
      <c r="Z82" s="77" t="str">
        <f>HYPERLINK("https://twitter.com/betamoroney/status/1620447629460267010")</f>
        <v>https://twitter.com/betamoroney/status/1620447629460267010</v>
      </c>
      <c r="AC82" s="78" t="s">
        <v>3454</v>
      </c>
      <c r="AE82" t="b">
        <v>0</v>
      </c>
      <c r="AF82">
        <v>19</v>
      </c>
      <c r="AG82" s="78" t="s">
        <v>4639</v>
      </c>
      <c r="AH82" t="b">
        <v>0</v>
      </c>
      <c r="AI82" t="s">
        <v>4829</v>
      </c>
      <c r="AK82" s="78" t="s">
        <v>4640</v>
      </c>
      <c r="AL82" t="b">
        <v>0</v>
      </c>
      <c r="AM82">
        <v>15</v>
      </c>
      <c r="AN82" s="78" t="s">
        <v>4640</v>
      </c>
      <c r="AO82" s="78" t="s">
        <v>4851</v>
      </c>
      <c r="AP82" t="b">
        <v>0</v>
      </c>
      <c r="AQ82" s="78" t="s">
        <v>3454</v>
      </c>
      <c r="AR82" t="s">
        <v>1569</v>
      </c>
      <c r="AS82">
        <v>0</v>
      </c>
      <c r="AT82">
        <v>0</v>
      </c>
    </row>
    <row r="83" spans="1:46" x14ac:dyDescent="0.45">
      <c r="A83" s="62" t="s">
        <v>236</v>
      </c>
      <c r="B83" s="62" t="s">
        <v>1136</v>
      </c>
      <c r="C83" s="63"/>
      <c r="D83" s="64"/>
      <c r="E83" s="65"/>
      <c r="F83" s="66"/>
      <c r="G83" s="63"/>
      <c r="H83" s="67"/>
      <c r="I83" s="68"/>
      <c r="J83" s="68"/>
      <c r="K83" s="32"/>
      <c r="L83" s="75"/>
      <c r="M83" s="75"/>
      <c r="N83" s="70"/>
      <c r="O83" t="s">
        <v>1568</v>
      </c>
      <c r="P83" s="76">
        <v>44957.655034722222</v>
      </c>
      <c r="Q83" t="s">
        <v>1589</v>
      </c>
      <c r="R83" s="77" t="str">
        <f>HYPERLINK("https://www.forbes.com/sites/noahbarsky/2023/01/31/walmart-recession-proofs-retail-reign-with-3-rare-moves/?sh=6dab36862573")</f>
        <v>https://www.forbes.com/sites/noahbarsky/2023/01/31/walmart-recession-proofs-retail-reign-with-3-rare-moves/?sh=6dab36862573</v>
      </c>
      <c r="S83" t="s">
        <v>2260</v>
      </c>
      <c r="T83" s="78" t="s">
        <v>2312</v>
      </c>
      <c r="U83" s="77" t="str">
        <f>HYPERLINK("https://pbs.twimg.com/media/Fnz7uuFWIAAYTfI.jpg")</f>
        <v>https://pbs.twimg.com/media/Fnz7uuFWIAAYTfI.jpg</v>
      </c>
      <c r="V83" s="77" t="str">
        <f>HYPERLINK("https://pbs.twimg.com/media/Fnz7uuFWIAAYTfI.jpg")</f>
        <v>https://pbs.twimg.com/media/Fnz7uuFWIAAYTfI.jpg</v>
      </c>
      <c r="W83" s="76">
        <v>44957.655034722222</v>
      </c>
      <c r="X83" s="80">
        <v>44957</v>
      </c>
      <c r="Y83" s="78" t="s">
        <v>2439</v>
      </c>
      <c r="Z83" s="77" t="str">
        <f>HYPERLINK("https://twitter.com/betamoroney/status/1620447629460267010")</f>
        <v>https://twitter.com/betamoroney/status/1620447629460267010</v>
      </c>
      <c r="AC83" s="78" t="s">
        <v>3454</v>
      </c>
      <c r="AE83" t="b">
        <v>0</v>
      </c>
      <c r="AF83">
        <v>19</v>
      </c>
      <c r="AG83" s="78" t="s">
        <v>4639</v>
      </c>
      <c r="AH83" t="b">
        <v>0</v>
      </c>
      <c r="AI83" t="s">
        <v>4829</v>
      </c>
      <c r="AK83" s="78" t="s">
        <v>4640</v>
      </c>
      <c r="AL83" t="b">
        <v>0</v>
      </c>
      <c r="AM83">
        <v>15</v>
      </c>
      <c r="AN83" s="78" t="s">
        <v>4640</v>
      </c>
      <c r="AO83" s="78" t="s">
        <v>4851</v>
      </c>
      <c r="AP83" t="b">
        <v>0</v>
      </c>
      <c r="AQ83" s="78" t="s">
        <v>3454</v>
      </c>
      <c r="AR83" t="s">
        <v>1569</v>
      </c>
      <c r="AS83">
        <v>0</v>
      </c>
      <c r="AT83">
        <v>0</v>
      </c>
    </row>
    <row r="84" spans="1:46" x14ac:dyDescent="0.45">
      <c r="A84" s="62" t="s">
        <v>236</v>
      </c>
      <c r="B84" s="62" t="s">
        <v>1137</v>
      </c>
      <c r="C84" s="63"/>
      <c r="D84" s="64"/>
      <c r="E84" s="65"/>
      <c r="F84" s="66"/>
      <c r="G84" s="63"/>
      <c r="H84" s="67"/>
      <c r="I84" s="68"/>
      <c r="J84" s="68"/>
      <c r="K84" s="32"/>
      <c r="L84" s="75"/>
      <c r="M84" s="75"/>
      <c r="N84" s="70"/>
      <c r="O84" t="s">
        <v>1568</v>
      </c>
      <c r="P84" s="76">
        <v>44957.655034722222</v>
      </c>
      <c r="Q84" t="s">
        <v>1589</v>
      </c>
      <c r="R84" s="77" t="str">
        <f>HYPERLINK("https://www.forbes.com/sites/noahbarsky/2023/01/31/walmart-recession-proofs-retail-reign-with-3-rare-moves/?sh=6dab36862573")</f>
        <v>https://www.forbes.com/sites/noahbarsky/2023/01/31/walmart-recession-proofs-retail-reign-with-3-rare-moves/?sh=6dab36862573</v>
      </c>
      <c r="S84" t="s">
        <v>2260</v>
      </c>
      <c r="T84" s="78" t="s">
        <v>2312</v>
      </c>
      <c r="U84" s="77" t="str">
        <f>HYPERLINK("https://pbs.twimg.com/media/Fnz7uuFWIAAYTfI.jpg")</f>
        <v>https://pbs.twimg.com/media/Fnz7uuFWIAAYTfI.jpg</v>
      </c>
      <c r="V84" s="77" t="str">
        <f>HYPERLINK("https://pbs.twimg.com/media/Fnz7uuFWIAAYTfI.jpg")</f>
        <v>https://pbs.twimg.com/media/Fnz7uuFWIAAYTfI.jpg</v>
      </c>
      <c r="W84" s="76">
        <v>44957.655034722222</v>
      </c>
      <c r="X84" s="80">
        <v>44957</v>
      </c>
      <c r="Y84" s="78" t="s">
        <v>2439</v>
      </c>
      <c r="Z84" s="77" t="str">
        <f>HYPERLINK("https://twitter.com/betamoroney/status/1620447629460267010")</f>
        <v>https://twitter.com/betamoroney/status/1620447629460267010</v>
      </c>
      <c r="AC84" s="78" t="s">
        <v>3454</v>
      </c>
      <c r="AE84" t="b">
        <v>0</v>
      </c>
      <c r="AF84">
        <v>19</v>
      </c>
      <c r="AG84" s="78" t="s">
        <v>4639</v>
      </c>
      <c r="AH84" t="b">
        <v>0</v>
      </c>
      <c r="AI84" t="s">
        <v>4829</v>
      </c>
      <c r="AK84" s="78" t="s">
        <v>4640</v>
      </c>
      <c r="AL84" t="b">
        <v>0</v>
      </c>
      <c r="AM84">
        <v>15</v>
      </c>
      <c r="AN84" s="78" t="s">
        <v>4640</v>
      </c>
      <c r="AO84" s="78" t="s">
        <v>4851</v>
      </c>
      <c r="AP84" t="b">
        <v>0</v>
      </c>
      <c r="AQ84" s="78" t="s">
        <v>3454</v>
      </c>
      <c r="AR84" t="s">
        <v>1569</v>
      </c>
      <c r="AS84">
        <v>0</v>
      </c>
      <c r="AT84">
        <v>0</v>
      </c>
    </row>
    <row r="85" spans="1:46" x14ac:dyDescent="0.45">
      <c r="A85" s="62" t="s">
        <v>236</v>
      </c>
      <c r="B85" s="62" t="s">
        <v>1138</v>
      </c>
      <c r="C85" s="63"/>
      <c r="D85" s="64"/>
      <c r="E85" s="65"/>
      <c r="F85" s="66"/>
      <c r="G85" s="63"/>
      <c r="H85" s="67"/>
      <c r="I85" s="68"/>
      <c r="J85" s="68"/>
      <c r="K85" s="32"/>
      <c r="L85" s="75"/>
      <c r="M85" s="75"/>
      <c r="N85" s="70"/>
      <c r="O85" t="s">
        <v>1568</v>
      </c>
      <c r="P85" s="76">
        <v>44957.655034722222</v>
      </c>
      <c r="Q85" t="s">
        <v>1589</v>
      </c>
      <c r="R85" s="77" t="str">
        <f>HYPERLINK("https://www.forbes.com/sites/noahbarsky/2023/01/31/walmart-recession-proofs-retail-reign-with-3-rare-moves/?sh=6dab36862573")</f>
        <v>https://www.forbes.com/sites/noahbarsky/2023/01/31/walmart-recession-proofs-retail-reign-with-3-rare-moves/?sh=6dab36862573</v>
      </c>
      <c r="S85" t="s">
        <v>2260</v>
      </c>
      <c r="T85" s="78" t="s">
        <v>2312</v>
      </c>
      <c r="U85" s="77" t="str">
        <f>HYPERLINK("https://pbs.twimg.com/media/Fnz7uuFWIAAYTfI.jpg")</f>
        <v>https://pbs.twimg.com/media/Fnz7uuFWIAAYTfI.jpg</v>
      </c>
      <c r="V85" s="77" t="str">
        <f>HYPERLINK("https://pbs.twimg.com/media/Fnz7uuFWIAAYTfI.jpg")</f>
        <v>https://pbs.twimg.com/media/Fnz7uuFWIAAYTfI.jpg</v>
      </c>
      <c r="W85" s="76">
        <v>44957.655034722222</v>
      </c>
      <c r="X85" s="80">
        <v>44957</v>
      </c>
      <c r="Y85" s="78" t="s">
        <v>2439</v>
      </c>
      <c r="Z85" s="77" t="str">
        <f>HYPERLINK("https://twitter.com/betamoroney/status/1620447629460267010")</f>
        <v>https://twitter.com/betamoroney/status/1620447629460267010</v>
      </c>
      <c r="AC85" s="78" t="s">
        <v>3454</v>
      </c>
      <c r="AE85" t="b">
        <v>0</v>
      </c>
      <c r="AF85">
        <v>19</v>
      </c>
      <c r="AG85" s="78" t="s">
        <v>4639</v>
      </c>
      <c r="AH85" t="b">
        <v>0</v>
      </c>
      <c r="AI85" t="s">
        <v>4829</v>
      </c>
      <c r="AK85" s="78" t="s">
        <v>4640</v>
      </c>
      <c r="AL85" t="b">
        <v>0</v>
      </c>
      <c r="AM85">
        <v>15</v>
      </c>
      <c r="AN85" s="78" t="s">
        <v>4640</v>
      </c>
      <c r="AO85" s="78" t="s">
        <v>4851</v>
      </c>
      <c r="AP85" t="b">
        <v>0</v>
      </c>
      <c r="AQ85" s="78" t="s">
        <v>3454</v>
      </c>
      <c r="AR85" t="s">
        <v>1569</v>
      </c>
      <c r="AS85">
        <v>0</v>
      </c>
      <c r="AT85">
        <v>0</v>
      </c>
    </row>
    <row r="86" spans="1:46" x14ac:dyDescent="0.45">
      <c r="A86" s="62" t="s">
        <v>236</v>
      </c>
      <c r="B86" s="62" t="s">
        <v>1139</v>
      </c>
      <c r="C86" s="63"/>
      <c r="D86" s="64"/>
      <c r="E86" s="65"/>
      <c r="F86" s="66"/>
      <c r="G86" s="63"/>
      <c r="H86" s="67"/>
      <c r="I86" s="68"/>
      <c r="J86" s="68"/>
      <c r="K86" s="32"/>
      <c r="L86" s="75"/>
      <c r="M86" s="75"/>
      <c r="N86" s="70"/>
      <c r="O86" t="s">
        <v>1568</v>
      </c>
      <c r="P86" s="76">
        <v>44957.655034722222</v>
      </c>
      <c r="Q86" t="s">
        <v>1589</v>
      </c>
      <c r="R86" s="77" t="str">
        <f>HYPERLINK("https://www.forbes.com/sites/noahbarsky/2023/01/31/walmart-recession-proofs-retail-reign-with-3-rare-moves/?sh=6dab36862573")</f>
        <v>https://www.forbes.com/sites/noahbarsky/2023/01/31/walmart-recession-proofs-retail-reign-with-3-rare-moves/?sh=6dab36862573</v>
      </c>
      <c r="S86" t="s">
        <v>2260</v>
      </c>
      <c r="T86" s="78" t="s">
        <v>2312</v>
      </c>
      <c r="U86" s="77" t="str">
        <f>HYPERLINK("https://pbs.twimg.com/media/Fnz7uuFWIAAYTfI.jpg")</f>
        <v>https://pbs.twimg.com/media/Fnz7uuFWIAAYTfI.jpg</v>
      </c>
      <c r="V86" s="77" t="str">
        <f>HYPERLINK("https://pbs.twimg.com/media/Fnz7uuFWIAAYTfI.jpg")</f>
        <v>https://pbs.twimg.com/media/Fnz7uuFWIAAYTfI.jpg</v>
      </c>
      <c r="W86" s="76">
        <v>44957.655034722222</v>
      </c>
      <c r="X86" s="80">
        <v>44957</v>
      </c>
      <c r="Y86" s="78" t="s">
        <v>2439</v>
      </c>
      <c r="Z86" s="77" t="str">
        <f>HYPERLINK("https://twitter.com/betamoroney/status/1620447629460267010")</f>
        <v>https://twitter.com/betamoroney/status/1620447629460267010</v>
      </c>
      <c r="AC86" s="78" t="s">
        <v>3454</v>
      </c>
      <c r="AE86" t="b">
        <v>0</v>
      </c>
      <c r="AF86">
        <v>19</v>
      </c>
      <c r="AG86" s="78" t="s">
        <v>4639</v>
      </c>
      <c r="AH86" t="b">
        <v>0</v>
      </c>
      <c r="AI86" t="s">
        <v>4829</v>
      </c>
      <c r="AK86" s="78" t="s">
        <v>4640</v>
      </c>
      <c r="AL86" t="b">
        <v>0</v>
      </c>
      <c r="AM86">
        <v>15</v>
      </c>
      <c r="AN86" s="78" t="s">
        <v>4640</v>
      </c>
      <c r="AO86" s="78" t="s">
        <v>4851</v>
      </c>
      <c r="AP86" t="b">
        <v>0</v>
      </c>
      <c r="AQ86" s="78" t="s">
        <v>3454</v>
      </c>
      <c r="AR86" t="s">
        <v>1569</v>
      </c>
      <c r="AS86">
        <v>0</v>
      </c>
      <c r="AT86">
        <v>0</v>
      </c>
    </row>
    <row r="87" spans="1:46" x14ac:dyDescent="0.45">
      <c r="A87" s="62" t="s">
        <v>236</v>
      </c>
      <c r="B87" s="62" t="s">
        <v>1140</v>
      </c>
      <c r="C87" s="63"/>
      <c r="D87" s="64"/>
      <c r="E87" s="65"/>
      <c r="F87" s="66"/>
      <c r="G87" s="63"/>
      <c r="H87" s="67"/>
      <c r="I87" s="68"/>
      <c r="J87" s="68"/>
      <c r="K87" s="32"/>
      <c r="L87" s="75"/>
      <c r="M87" s="75"/>
      <c r="N87" s="70"/>
      <c r="O87" t="s">
        <v>1568</v>
      </c>
      <c r="P87" s="76">
        <v>44957.655034722222</v>
      </c>
      <c r="Q87" t="s">
        <v>1589</v>
      </c>
      <c r="R87" s="77" t="str">
        <f>HYPERLINK("https://www.forbes.com/sites/noahbarsky/2023/01/31/walmart-recession-proofs-retail-reign-with-3-rare-moves/?sh=6dab36862573")</f>
        <v>https://www.forbes.com/sites/noahbarsky/2023/01/31/walmart-recession-proofs-retail-reign-with-3-rare-moves/?sh=6dab36862573</v>
      </c>
      <c r="S87" t="s">
        <v>2260</v>
      </c>
      <c r="T87" s="78" t="s">
        <v>2312</v>
      </c>
      <c r="U87" s="77" t="str">
        <f>HYPERLINK("https://pbs.twimg.com/media/Fnz7uuFWIAAYTfI.jpg")</f>
        <v>https://pbs.twimg.com/media/Fnz7uuFWIAAYTfI.jpg</v>
      </c>
      <c r="V87" s="77" t="str">
        <f>HYPERLINK("https://pbs.twimg.com/media/Fnz7uuFWIAAYTfI.jpg")</f>
        <v>https://pbs.twimg.com/media/Fnz7uuFWIAAYTfI.jpg</v>
      </c>
      <c r="W87" s="76">
        <v>44957.655034722222</v>
      </c>
      <c r="X87" s="80">
        <v>44957</v>
      </c>
      <c r="Y87" s="78" t="s">
        <v>2439</v>
      </c>
      <c r="Z87" s="77" t="str">
        <f>HYPERLINK("https://twitter.com/betamoroney/status/1620447629460267010")</f>
        <v>https://twitter.com/betamoroney/status/1620447629460267010</v>
      </c>
      <c r="AC87" s="78" t="s">
        <v>3454</v>
      </c>
      <c r="AE87" t="b">
        <v>0</v>
      </c>
      <c r="AF87">
        <v>19</v>
      </c>
      <c r="AG87" s="78" t="s">
        <v>4639</v>
      </c>
      <c r="AH87" t="b">
        <v>0</v>
      </c>
      <c r="AI87" t="s">
        <v>4829</v>
      </c>
      <c r="AK87" s="78" t="s">
        <v>4640</v>
      </c>
      <c r="AL87" t="b">
        <v>0</v>
      </c>
      <c r="AM87">
        <v>15</v>
      </c>
      <c r="AN87" s="78" t="s">
        <v>4640</v>
      </c>
      <c r="AO87" s="78" t="s">
        <v>4851</v>
      </c>
      <c r="AP87" t="b">
        <v>0</v>
      </c>
      <c r="AQ87" s="78" t="s">
        <v>3454</v>
      </c>
      <c r="AR87" t="s">
        <v>1569</v>
      </c>
      <c r="AS87">
        <v>0</v>
      </c>
      <c r="AT87">
        <v>0</v>
      </c>
    </row>
    <row r="88" spans="1:46" x14ac:dyDescent="0.45">
      <c r="A88" s="62" t="s">
        <v>236</v>
      </c>
      <c r="B88" s="62" t="s">
        <v>1141</v>
      </c>
      <c r="C88" s="63"/>
      <c r="D88" s="64"/>
      <c r="E88" s="65"/>
      <c r="F88" s="66"/>
      <c r="G88" s="63"/>
      <c r="H88" s="67"/>
      <c r="I88" s="68"/>
      <c r="J88" s="68"/>
      <c r="K88" s="32"/>
      <c r="L88" s="75"/>
      <c r="M88" s="75"/>
      <c r="N88" s="70"/>
      <c r="O88" t="s">
        <v>1568</v>
      </c>
      <c r="P88" s="76">
        <v>44957.655034722222</v>
      </c>
      <c r="Q88" t="s">
        <v>1589</v>
      </c>
      <c r="R88" s="77" t="str">
        <f>HYPERLINK("https://www.forbes.com/sites/noahbarsky/2023/01/31/walmart-recession-proofs-retail-reign-with-3-rare-moves/?sh=6dab36862573")</f>
        <v>https://www.forbes.com/sites/noahbarsky/2023/01/31/walmart-recession-proofs-retail-reign-with-3-rare-moves/?sh=6dab36862573</v>
      </c>
      <c r="S88" t="s">
        <v>2260</v>
      </c>
      <c r="T88" s="78" t="s">
        <v>2312</v>
      </c>
      <c r="U88" s="77" t="str">
        <f>HYPERLINK("https://pbs.twimg.com/media/Fnz7uuFWIAAYTfI.jpg")</f>
        <v>https://pbs.twimg.com/media/Fnz7uuFWIAAYTfI.jpg</v>
      </c>
      <c r="V88" s="77" t="str">
        <f>HYPERLINK("https://pbs.twimg.com/media/Fnz7uuFWIAAYTfI.jpg")</f>
        <v>https://pbs.twimg.com/media/Fnz7uuFWIAAYTfI.jpg</v>
      </c>
      <c r="W88" s="76">
        <v>44957.655034722222</v>
      </c>
      <c r="X88" s="80">
        <v>44957</v>
      </c>
      <c r="Y88" s="78" t="s">
        <v>2439</v>
      </c>
      <c r="Z88" s="77" t="str">
        <f>HYPERLINK("https://twitter.com/betamoroney/status/1620447629460267010")</f>
        <v>https://twitter.com/betamoroney/status/1620447629460267010</v>
      </c>
      <c r="AC88" s="78" t="s">
        <v>3454</v>
      </c>
      <c r="AE88" t="b">
        <v>0</v>
      </c>
      <c r="AF88">
        <v>19</v>
      </c>
      <c r="AG88" s="78" t="s">
        <v>4639</v>
      </c>
      <c r="AH88" t="b">
        <v>0</v>
      </c>
      <c r="AI88" t="s">
        <v>4829</v>
      </c>
      <c r="AK88" s="78" t="s">
        <v>4640</v>
      </c>
      <c r="AL88" t="b">
        <v>0</v>
      </c>
      <c r="AM88">
        <v>15</v>
      </c>
      <c r="AN88" s="78" t="s">
        <v>4640</v>
      </c>
      <c r="AO88" s="78" t="s">
        <v>4851</v>
      </c>
      <c r="AP88" t="b">
        <v>0</v>
      </c>
      <c r="AQ88" s="78" t="s">
        <v>3454</v>
      </c>
      <c r="AR88" t="s">
        <v>1569</v>
      </c>
      <c r="AS88">
        <v>0</v>
      </c>
      <c r="AT88">
        <v>0</v>
      </c>
    </row>
    <row r="89" spans="1:46" x14ac:dyDescent="0.45">
      <c r="A89" s="62" t="s">
        <v>236</v>
      </c>
      <c r="B89" s="62" t="s">
        <v>1142</v>
      </c>
      <c r="C89" s="63"/>
      <c r="D89" s="64"/>
      <c r="E89" s="65"/>
      <c r="F89" s="66"/>
      <c r="G89" s="63"/>
      <c r="H89" s="67"/>
      <c r="I89" s="68"/>
      <c r="J89" s="68"/>
      <c r="K89" s="32"/>
      <c r="L89" s="75"/>
      <c r="M89" s="75"/>
      <c r="N89" s="70"/>
      <c r="O89" t="s">
        <v>1568</v>
      </c>
      <c r="P89" s="76">
        <v>44957.655034722222</v>
      </c>
      <c r="Q89" t="s">
        <v>1589</v>
      </c>
      <c r="R89" s="77" t="str">
        <f>HYPERLINK("https://www.forbes.com/sites/noahbarsky/2023/01/31/walmart-recession-proofs-retail-reign-with-3-rare-moves/?sh=6dab36862573")</f>
        <v>https://www.forbes.com/sites/noahbarsky/2023/01/31/walmart-recession-proofs-retail-reign-with-3-rare-moves/?sh=6dab36862573</v>
      </c>
      <c r="S89" t="s">
        <v>2260</v>
      </c>
      <c r="T89" s="78" t="s">
        <v>2312</v>
      </c>
      <c r="U89" s="77" t="str">
        <f>HYPERLINK("https://pbs.twimg.com/media/Fnz7uuFWIAAYTfI.jpg")</f>
        <v>https://pbs.twimg.com/media/Fnz7uuFWIAAYTfI.jpg</v>
      </c>
      <c r="V89" s="77" t="str">
        <f>HYPERLINK("https://pbs.twimg.com/media/Fnz7uuFWIAAYTfI.jpg")</f>
        <v>https://pbs.twimg.com/media/Fnz7uuFWIAAYTfI.jpg</v>
      </c>
      <c r="W89" s="76">
        <v>44957.655034722222</v>
      </c>
      <c r="X89" s="80">
        <v>44957</v>
      </c>
      <c r="Y89" s="78" t="s">
        <v>2439</v>
      </c>
      <c r="Z89" s="77" t="str">
        <f>HYPERLINK("https://twitter.com/betamoroney/status/1620447629460267010")</f>
        <v>https://twitter.com/betamoroney/status/1620447629460267010</v>
      </c>
      <c r="AC89" s="78" t="s">
        <v>3454</v>
      </c>
      <c r="AE89" t="b">
        <v>0</v>
      </c>
      <c r="AF89">
        <v>19</v>
      </c>
      <c r="AG89" s="78" t="s">
        <v>4639</v>
      </c>
      <c r="AH89" t="b">
        <v>0</v>
      </c>
      <c r="AI89" t="s">
        <v>4829</v>
      </c>
      <c r="AK89" s="78" t="s">
        <v>4640</v>
      </c>
      <c r="AL89" t="b">
        <v>0</v>
      </c>
      <c r="AM89">
        <v>15</v>
      </c>
      <c r="AN89" s="78" t="s">
        <v>4640</v>
      </c>
      <c r="AO89" s="78" t="s">
        <v>4851</v>
      </c>
      <c r="AP89" t="b">
        <v>0</v>
      </c>
      <c r="AQ89" s="78" t="s">
        <v>3454</v>
      </c>
      <c r="AR89" t="s">
        <v>1569</v>
      </c>
      <c r="AS89">
        <v>0</v>
      </c>
      <c r="AT89">
        <v>0</v>
      </c>
    </row>
    <row r="90" spans="1:46" x14ac:dyDescent="0.45">
      <c r="A90" s="62" t="s">
        <v>236</v>
      </c>
      <c r="B90" s="62" t="s">
        <v>237</v>
      </c>
      <c r="C90" s="63"/>
      <c r="D90" s="64"/>
      <c r="E90" s="65"/>
      <c r="F90" s="66"/>
      <c r="G90" s="63"/>
      <c r="H90" s="67"/>
      <c r="I90" s="68"/>
      <c r="J90" s="68"/>
      <c r="K90" s="32"/>
      <c r="L90" s="75"/>
      <c r="M90" s="75"/>
      <c r="N90" s="70"/>
      <c r="O90" t="s">
        <v>1568</v>
      </c>
      <c r="P90" s="76">
        <v>44957.655034722222</v>
      </c>
      <c r="Q90" t="s">
        <v>1589</v>
      </c>
      <c r="R90" s="77" t="str">
        <f>HYPERLINK("https://www.forbes.com/sites/noahbarsky/2023/01/31/walmart-recession-proofs-retail-reign-with-3-rare-moves/?sh=6dab36862573")</f>
        <v>https://www.forbes.com/sites/noahbarsky/2023/01/31/walmart-recession-proofs-retail-reign-with-3-rare-moves/?sh=6dab36862573</v>
      </c>
      <c r="S90" t="s">
        <v>2260</v>
      </c>
      <c r="T90" s="78" t="s">
        <v>2312</v>
      </c>
      <c r="U90" s="77" t="str">
        <f>HYPERLINK("https://pbs.twimg.com/media/Fnz7uuFWIAAYTfI.jpg")</f>
        <v>https://pbs.twimg.com/media/Fnz7uuFWIAAYTfI.jpg</v>
      </c>
      <c r="V90" s="77" t="str">
        <f>HYPERLINK("https://pbs.twimg.com/media/Fnz7uuFWIAAYTfI.jpg")</f>
        <v>https://pbs.twimg.com/media/Fnz7uuFWIAAYTfI.jpg</v>
      </c>
      <c r="W90" s="76">
        <v>44957.655034722222</v>
      </c>
      <c r="X90" s="80">
        <v>44957</v>
      </c>
      <c r="Y90" s="78" t="s">
        <v>2439</v>
      </c>
      <c r="Z90" s="77" t="str">
        <f>HYPERLINK("https://twitter.com/betamoroney/status/1620447629460267010")</f>
        <v>https://twitter.com/betamoroney/status/1620447629460267010</v>
      </c>
      <c r="AC90" s="78" t="s">
        <v>3454</v>
      </c>
      <c r="AE90" t="b">
        <v>0</v>
      </c>
      <c r="AF90">
        <v>19</v>
      </c>
      <c r="AG90" s="78" t="s">
        <v>4639</v>
      </c>
      <c r="AH90" t="b">
        <v>0</v>
      </c>
      <c r="AI90" t="s">
        <v>4829</v>
      </c>
      <c r="AK90" s="78" t="s">
        <v>4640</v>
      </c>
      <c r="AL90" t="b">
        <v>0</v>
      </c>
      <c r="AM90">
        <v>15</v>
      </c>
      <c r="AN90" s="78" t="s">
        <v>4640</v>
      </c>
      <c r="AO90" s="78" t="s">
        <v>4851</v>
      </c>
      <c r="AP90" t="b">
        <v>0</v>
      </c>
      <c r="AQ90" s="78" t="s">
        <v>3454</v>
      </c>
      <c r="AR90" t="s">
        <v>1569</v>
      </c>
      <c r="AS90">
        <v>0</v>
      </c>
      <c r="AT90">
        <v>0</v>
      </c>
    </row>
    <row r="91" spans="1:46" x14ac:dyDescent="0.45">
      <c r="A91" s="62" t="s">
        <v>236</v>
      </c>
      <c r="B91" s="62" t="s">
        <v>1016</v>
      </c>
      <c r="C91" s="63"/>
      <c r="D91" s="64"/>
      <c r="E91" s="65"/>
      <c r="F91" s="66"/>
      <c r="G91" s="63"/>
      <c r="H91" s="67"/>
      <c r="I91" s="68"/>
      <c r="J91" s="68"/>
      <c r="K91" s="32"/>
      <c r="L91" s="75"/>
      <c r="M91" s="75"/>
      <c r="N91" s="70"/>
      <c r="O91" t="s">
        <v>1568</v>
      </c>
      <c r="P91" s="76">
        <v>44957.655034722222</v>
      </c>
      <c r="Q91" t="s">
        <v>1589</v>
      </c>
      <c r="R91" s="77" t="str">
        <f>HYPERLINK("https://www.forbes.com/sites/noahbarsky/2023/01/31/walmart-recession-proofs-retail-reign-with-3-rare-moves/?sh=6dab36862573")</f>
        <v>https://www.forbes.com/sites/noahbarsky/2023/01/31/walmart-recession-proofs-retail-reign-with-3-rare-moves/?sh=6dab36862573</v>
      </c>
      <c r="S91" t="s">
        <v>2260</v>
      </c>
      <c r="T91" s="78" t="s">
        <v>2312</v>
      </c>
      <c r="U91" s="77" t="str">
        <f>HYPERLINK("https://pbs.twimg.com/media/Fnz7uuFWIAAYTfI.jpg")</f>
        <v>https://pbs.twimg.com/media/Fnz7uuFWIAAYTfI.jpg</v>
      </c>
      <c r="V91" s="77" t="str">
        <f>HYPERLINK("https://pbs.twimg.com/media/Fnz7uuFWIAAYTfI.jpg")</f>
        <v>https://pbs.twimg.com/media/Fnz7uuFWIAAYTfI.jpg</v>
      </c>
      <c r="W91" s="76">
        <v>44957.655034722222</v>
      </c>
      <c r="X91" s="80">
        <v>44957</v>
      </c>
      <c r="Y91" s="78" t="s">
        <v>2439</v>
      </c>
      <c r="Z91" s="77" t="str">
        <f>HYPERLINK("https://twitter.com/betamoroney/status/1620447629460267010")</f>
        <v>https://twitter.com/betamoroney/status/1620447629460267010</v>
      </c>
      <c r="AC91" s="78" t="s">
        <v>3454</v>
      </c>
      <c r="AE91" t="b">
        <v>0</v>
      </c>
      <c r="AF91">
        <v>19</v>
      </c>
      <c r="AG91" s="78" t="s">
        <v>4639</v>
      </c>
      <c r="AH91" t="b">
        <v>0</v>
      </c>
      <c r="AI91" t="s">
        <v>4829</v>
      </c>
      <c r="AK91" s="78" t="s">
        <v>4640</v>
      </c>
      <c r="AL91" t="b">
        <v>0</v>
      </c>
      <c r="AM91">
        <v>15</v>
      </c>
      <c r="AN91" s="78" t="s">
        <v>4640</v>
      </c>
      <c r="AO91" s="78" t="s">
        <v>4851</v>
      </c>
      <c r="AP91" t="b">
        <v>0</v>
      </c>
      <c r="AQ91" s="78" t="s">
        <v>3454</v>
      </c>
      <c r="AR91" t="s">
        <v>1569</v>
      </c>
      <c r="AS91">
        <v>0</v>
      </c>
      <c r="AT91">
        <v>0</v>
      </c>
    </row>
    <row r="92" spans="1:46" x14ac:dyDescent="0.45">
      <c r="A92" s="62" t="s">
        <v>236</v>
      </c>
      <c r="B92" s="62" t="s">
        <v>1143</v>
      </c>
      <c r="C92" s="63"/>
      <c r="D92" s="64"/>
      <c r="E92" s="65"/>
      <c r="F92" s="66"/>
      <c r="G92" s="63"/>
      <c r="H92" s="67"/>
      <c r="I92" s="68"/>
      <c r="J92" s="68"/>
      <c r="K92" s="32"/>
      <c r="L92" s="75"/>
      <c r="M92" s="75"/>
      <c r="N92" s="70"/>
      <c r="O92" t="s">
        <v>1568</v>
      </c>
      <c r="P92" s="76">
        <v>44957.655034722222</v>
      </c>
      <c r="Q92" t="s">
        <v>1589</v>
      </c>
      <c r="R92" s="77" t="str">
        <f>HYPERLINK("https://www.forbes.com/sites/noahbarsky/2023/01/31/walmart-recession-proofs-retail-reign-with-3-rare-moves/?sh=6dab36862573")</f>
        <v>https://www.forbes.com/sites/noahbarsky/2023/01/31/walmart-recession-proofs-retail-reign-with-3-rare-moves/?sh=6dab36862573</v>
      </c>
      <c r="S92" t="s">
        <v>2260</v>
      </c>
      <c r="T92" s="78" t="s">
        <v>2312</v>
      </c>
      <c r="U92" s="77" t="str">
        <f>HYPERLINK("https://pbs.twimg.com/media/Fnz7uuFWIAAYTfI.jpg")</f>
        <v>https://pbs.twimg.com/media/Fnz7uuFWIAAYTfI.jpg</v>
      </c>
      <c r="V92" s="77" t="str">
        <f>HYPERLINK("https://pbs.twimg.com/media/Fnz7uuFWIAAYTfI.jpg")</f>
        <v>https://pbs.twimg.com/media/Fnz7uuFWIAAYTfI.jpg</v>
      </c>
      <c r="W92" s="76">
        <v>44957.655034722222</v>
      </c>
      <c r="X92" s="80">
        <v>44957</v>
      </c>
      <c r="Y92" s="78" t="s">
        <v>2439</v>
      </c>
      <c r="Z92" s="77" t="str">
        <f>HYPERLINK("https://twitter.com/betamoroney/status/1620447629460267010")</f>
        <v>https://twitter.com/betamoroney/status/1620447629460267010</v>
      </c>
      <c r="AC92" s="78" t="s">
        <v>3454</v>
      </c>
      <c r="AE92" t="b">
        <v>0</v>
      </c>
      <c r="AF92">
        <v>19</v>
      </c>
      <c r="AG92" s="78" t="s">
        <v>4639</v>
      </c>
      <c r="AH92" t="b">
        <v>0</v>
      </c>
      <c r="AI92" t="s">
        <v>4829</v>
      </c>
      <c r="AK92" s="78" t="s">
        <v>4640</v>
      </c>
      <c r="AL92" t="b">
        <v>0</v>
      </c>
      <c r="AM92">
        <v>15</v>
      </c>
      <c r="AN92" s="78" t="s">
        <v>4640</v>
      </c>
      <c r="AO92" s="78" t="s">
        <v>4851</v>
      </c>
      <c r="AP92" t="b">
        <v>0</v>
      </c>
      <c r="AQ92" s="78" t="s">
        <v>3454</v>
      </c>
      <c r="AR92" t="s">
        <v>1569</v>
      </c>
      <c r="AS92">
        <v>0</v>
      </c>
      <c r="AT92">
        <v>0</v>
      </c>
    </row>
    <row r="93" spans="1:46" x14ac:dyDescent="0.45">
      <c r="A93" s="62" t="s">
        <v>236</v>
      </c>
      <c r="B93" s="62" t="s">
        <v>957</v>
      </c>
      <c r="C93" s="63"/>
      <c r="D93" s="64"/>
      <c r="E93" s="65"/>
      <c r="F93" s="66"/>
      <c r="G93" s="63"/>
      <c r="H93" s="67"/>
      <c r="I93" s="68"/>
      <c r="J93" s="68"/>
      <c r="K93" s="32"/>
      <c r="L93" s="75"/>
      <c r="M93" s="75"/>
      <c r="N93" s="70"/>
      <c r="O93" t="s">
        <v>1568</v>
      </c>
      <c r="P93" s="76">
        <v>44957.655034722222</v>
      </c>
      <c r="Q93" t="s">
        <v>1589</v>
      </c>
      <c r="R93" s="77" t="str">
        <f>HYPERLINK("https://www.forbes.com/sites/noahbarsky/2023/01/31/walmart-recession-proofs-retail-reign-with-3-rare-moves/?sh=6dab36862573")</f>
        <v>https://www.forbes.com/sites/noahbarsky/2023/01/31/walmart-recession-proofs-retail-reign-with-3-rare-moves/?sh=6dab36862573</v>
      </c>
      <c r="S93" t="s">
        <v>2260</v>
      </c>
      <c r="T93" s="78" t="s">
        <v>2312</v>
      </c>
      <c r="U93" s="77" t="str">
        <f>HYPERLINK("https://pbs.twimg.com/media/Fnz7uuFWIAAYTfI.jpg")</f>
        <v>https://pbs.twimg.com/media/Fnz7uuFWIAAYTfI.jpg</v>
      </c>
      <c r="V93" s="77" t="str">
        <f>HYPERLINK("https://pbs.twimg.com/media/Fnz7uuFWIAAYTfI.jpg")</f>
        <v>https://pbs.twimg.com/media/Fnz7uuFWIAAYTfI.jpg</v>
      </c>
      <c r="W93" s="76">
        <v>44957.655034722222</v>
      </c>
      <c r="X93" s="80">
        <v>44957</v>
      </c>
      <c r="Y93" s="78" t="s">
        <v>2439</v>
      </c>
      <c r="Z93" s="77" t="str">
        <f>HYPERLINK("https://twitter.com/betamoroney/status/1620447629460267010")</f>
        <v>https://twitter.com/betamoroney/status/1620447629460267010</v>
      </c>
      <c r="AC93" s="78" t="s">
        <v>3454</v>
      </c>
      <c r="AE93" t="b">
        <v>0</v>
      </c>
      <c r="AF93">
        <v>19</v>
      </c>
      <c r="AG93" s="78" t="s">
        <v>4639</v>
      </c>
      <c r="AH93" t="b">
        <v>0</v>
      </c>
      <c r="AI93" t="s">
        <v>4829</v>
      </c>
      <c r="AK93" s="78" t="s">
        <v>4640</v>
      </c>
      <c r="AL93" t="b">
        <v>0</v>
      </c>
      <c r="AM93">
        <v>15</v>
      </c>
      <c r="AN93" s="78" t="s">
        <v>4640</v>
      </c>
      <c r="AO93" s="78" t="s">
        <v>4851</v>
      </c>
      <c r="AP93" t="b">
        <v>0</v>
      </c>
      <c r="AQ93" s="78" t="s">
        <v>3454</v>
      </c>
      <c r="AR93" t="s">
        <v>1569</v>
      </c>
      <c r="AS93">
        <v>0</v>
      </c>
      <c r="AT93">
        <v>0</v>
      </c>
    </row>
    <row r="94" spans="1:46" x14ac:dyDescent="0.45">
      <c r="A94" s="62" t="s">
        <v>236</v>
      </c>
      <c r="B94" s="62" t="s">
        <v>242</v>
      </c>
      <c r="C94" s="63"/>
      <c r="D94" s="64"/>
      <c r="E94" s="65"/>
      <c r="F94" s="66"/>
      <c r="G94" s="63"/>
      <c r="H94" s="67"/>
      <c r="I94" s="68"/>
      <c r="J94" s="68"/>
      <c r="K94" s="32"/>
      <c r="L94" s="75"/>
      <c r="M94" s="75"/>
      <c r="N94" s="70"/>
      <c r="O94" t="s">
        <v>1567</v>
      </c>
      <c r="P94" s="76">
        <v>44957.655034722222</v>
      </c>
      <c r="Q94" t="s">
        <v>1589</v>
      </c>
      <c r="R94" s="77" t="str">
        <f>HYPERLINK("https://www.forbes.com/sites/noahbarsky/2023/01/31/walmart-recession-proofs-retail-reign-with-3-rare-moves/?sh=6dab36862573")</f>
        <v>https://www.forbes.com/sites/noahbarsky/2023/01/31/walmart-recession-proofs-retail-reign-with-3-rare-moves/?sh=6dab36862573</v>
      </c>
      <c r="S94" t="s">
        <v>2260</v>
      </c>
      <c r="T94" s="78" t="s">
        <v>2312</v>
      </c>
      <c r="U94" s="77" t="str">
        <f>HYPERLINK("https://pbs.twimg.com/media/Fnz7uuFWIAAYTfI.jpg")</f>
        <v>https://pbs.twimg.com/media/Fnz7uuFWIAAYTfI.jpg</v>
      </c>
      <c r="V94" s="77" t="str">
        <f>HYPERLINK("https://pbs.twimg.com/media/Fnz7uuFWIAAYTfI.jpg")</f>
        <v>https://pbs.twimg.com/media/Fnz7uuFWIAAYTfI.jpg</v>
      </c>
      <c r="W94" s="76">
        <v>44957.655034722222</v>
      </c>
      <c r="X94" s="80">
        <v>44957</v>
      </c>
      <c r="Y94" s="78" t="s">
        <v>2439</v>
      </c>
      <c r="Z94" s="77" t="str">
        <f>HYPERLINK("https://twitter.com/betamoroney/status/1620447629460267010")</f>
        <v>https://twitter.com/betamoroney/status/1620447629460267010</v>
      </c>
      <c r="AC94" s="78" t="s">
        <v>3454</v>
      </c>
      <c r="AE94" t="b">
        <v>0</v>
      </c>
      <c r="AF94">
        <v>19</v>
      </c>
      <c r="AG94" s="78" t="s">
        <v>4639</v>
      </c>
      <c r="AH94" t="b">
        <v>0</v>
      </c>
      <c r="AI94" t="s">
        <v>4829</v>
      </c>
      <c r="AK94" s="78" t="s">
        <v>4640</v>
      </c>
      <c r="AL94" t="b">
        <v>0</v>
      </c>
      <c r="AM94">
        <v>15</v>
      </c>
      <c r="AN94" s="78" t="s">
        <v>4640</v>
      </c>
      <c r="AO94" s="78" t="s">
        <v>4851</v>
      </c>
      <c r="AP94" t="b">
        <v>0</v>
      </c>
      <c r="AQ94" s="78" t="s">
        <v>3454</v>
      </c>
      <c r="AR94" t="s">
        <v>1569</v>
      </c>
      <c r="AS94">
        <v>0</v>
      </c>
      <c r="AT94">
        <v>0</v>
      </c>
    </row>
    <row r="95" spans="1:46" x14ac:dyDescent="0.45">
      <c r="A95" s="62" t="s">
        <v>957</v>
      </c>
      <c r="B95" s="62" t="s">
        <v>1466</v>
      </c>
      <c r="C95" s="63"/>
      <c r="D95" s="64"/>
      <c r="E95" s="65"/>
      <c r="F95" s="66"/>
      <c r="G95" s="63"/>
      <c r="H95" s="67"/>
      <c r="I95" s="68"/>
      <c r="J95" s="68"/>
      <c r="K95" s="32"/>
      <c r="L95" s="75"/>
      <c r="M95" s="75"/>
      <c r="N95" s="70"/>
      <c r="O95" t="s">
        <v>1568</v>
      </c>
      <c r="P95" s="76">
        <v>44957.626377314817</v>
      </c>
      <c r="Q95" t="s">
        <v>2117</v>
      </c>
      <c r="R95" s="77" t="str">
        <f>HYPERLINK("https://www.forbes.com/sites/noahbarsky/2023/01/31/walmart-recession-proofs-retail-reign-with-3-rare-moves/")</f>
        <v>https://www.forbes.com/sites/noahbarsky/2023/01/31/walmart-recession-proofs-retail-reign-with-3-rare-moves/</v>
      </c>
      <c r="S95" t="s">
        <v>2260</v>
      </c>
      <c r="T95" s="78" t="s">
        <v>2312</v>
      </c>
      <c r="V95" s="77" t="str">
        <f>HYPERLINK("https://pbs.twimg.com/profile_images/684041596921331712/JG0HS6k4_normal.jpg")</f>
        <v>https://pbs.twimg.com/profile_images/684041596921331712/JG0HS6k4_normal.jpg</v>
      </c>
      <c r="W95" s="76">
        <v>44957.626377314817</v>
      </c>
      <c r="X95" s="80">
        <v>44957</v>
      </c>
      <c r="Y95" s="78" t="s">
        <v>3233</v>
      </c>
      <c r="Z95" s="77" t="str">
        <f>HYPERLINK("https://twitter.com/noahbarsky/status/1620437241406586880")</f>
        <v>https://twitter.com/noahbarsky/status/1620437241406586880</v>
      </c>
      <c r="AC95" s="78" t="s">
        <v>4298</v>
      </c>
      <c r="AE95" t="b">
        <v>0</v>
      </c>
      <c r="AF95">
        <v>4</v>
      </c>
      <c r="AG95" s="78" t="s">
        <v>4640</v>
      </c>
      <c r="AH95" t="b">
        <v>0</v>
      </c>
      <c r="AI95" t="s">
        <v>4829</v>
      </c>
      <c r="AK95" s="78" t="s">
        <v>4640</v>
      </c>
      <c r="AL95" t="b">
        <v>0</v>
      </c>
      <c r="AM95">
        <v>3</v>
      </c>
      <c r="AN95" s="78" t="s">
        <v>4640</v>
      </c>
      <c r="AO95" s="78" t="s">
        <v>4851</v>
      </c>
      <c r="AP95" t="b">
        <v>0</v>
      </c>
      <c r="AQ95" s="78" t="s">
        <v>4298</v>
      </c>
      <c r="AR95" t="s">
        <v>1569</v>
      </c>
      <c r="AS95">
        <v>0</v>
      </c>
      <c r="AT95">
        <v>0</v>
      </c>
    </row>
    <row r="96" spans="1:46" x14ac:dyDescent="0.45">
      <c r="A96" s="62" t="s">
        <v>957</v>
      </c>
      <c r="B96" s="62" t="s">
        <v>1467</v>
      </c>
      <c r="C96" s="63"/>
      <c r="D96" s="64"/>
      <c r="E96" s="65"/>
      <c r="F96" s="66"/>
      <c r="G96" s="63"/>
      <c r="H96" s="67"/>
      <c r="I96" s="68"/>
      <c r="J96" s="68"/>
      <c r="K96" s="32"/>
      <c r="L96" s="75"/>
      <c r="M96" s="75"/>
      <c r="N96" s="70"/>
      <c r="O96" t="s">
        <v>1568</v>
      </c>
      <c r="P96" s="76">
        <v>44957.626377314817</v>
      </c>
      <c r="Q96" t="s">
        <v>2117</v>
      </c>
      <c r="R96" s="77" t="str">
        <f>HYPERLINK("https://www.forbes.com/sites/noahbarsky/2023/01/31/walmart-recession-proofs-retail-reign-with-3-rare-moves/")</f>
        <v>https://www.forbes.com/sites/noahbarsky/2023/01/31/walmart-recession-proofs-retail-reign-with-3-rare-moves/</v>
      </c>
      <c r="S96" t="s">
        <v>2260</v>
      </c>
      <c r="T96" s="78" t="s">
        <v>2312</v>
      </c>
      <c r="V96" s="77" t="str">
        <f>HYPERLINK("https://pbs.twimg.com/profile_images/684041596921331712/JG0HS6k4_normal.jpg")</f>
        <v>https://pbs.twimg.com/profile_images/684041596921331712/JG0HS6k4_normal.jpg</v>
      </c>
      <c r="W96" s="76">
        <v>44957.626377314817</v>
      </c>
      <c r="X96" s="80">
        <v>44957</v>
      </c>
      <c r="Y96" s="78" t="s">
        <v>3233</v>
      </c>
      <c r="Z96" s="77" t="str">
        <f>HYPERLINK("https://twitter.com/noahbarsky/status/1620437241406586880")</f>
        <v>https://twitter.com/noahbarsky/status/1620437241406586880</v>
      </c>
      <c r="AC96" s="78" t="s">
        <v>4298</v>
      </c>
      <c r="AE96" t="b">
        <v>0</v>
      </c>
      <c r="AF96">
        <v>4</v>
      </c>
      <c r="AG96" s="78" t="s">
        <v>4640</v>
      </c>
      <c r="AH96" t="b">
        <v>0</v>
      </c>
      <c r="AI96" t="s">
        <v>4829</v>
      </c>
      <c r="AK96" s="78" t="s">
        <v>4640</v>
      </c>
      <c r="AL96" t="b">
        <v>0</v>
      </c>
      <c r="AM96">
        <v>3</v>
      </c>
      <c r="AN96" s="78" t="s">
        <v>4640</v>
      </c>
      <c r="AO96" s="78" t="s">
        <v>4851</v>
      </c>
      <c r="AP96" t="b">
        <v>0</v>
      </c>
      <c r="AQ96" s="78" t="s">
        <v>4298</v>
      </c>
      <c r="AR96" t="s">
        <v>1569</v>
      </c>
      <c r="AS96">
        <v>0</v>
      </c>
      <c r="AT96">
        <v>0</v>
      </c>
    </row>
    <row r="97" spans="1:46" x14ac:dyDescent="0.45">
      <c r="A97" s="62" t="s">
        <v>957</v>
      </c>
      <c r="B97" s="62" t="s">
        <v>236</v>
      </c>
      <c r="C97" s="63"/>
      <c r="D97" s="64"/>
      <c r="E97" s="65"/>
      <c r="F97" s="66"/>
      <c r="G97" s="63"/>
      <c r="H97" s="67"/>
      <c r="I97" s="68"/>
      <c r="J97" s="68"/>
      <c r="K97" s="32"/>
      <c r="L97" s="75"/>
      <c r="M97" s="75"/>
      <c r="N97" s="70"/>
      <c r="O97" t="s">
        <v>1568</v>
      </c>
      <c r="P97" s="76">
        <v>44957.626377314817</v>
      </c>
      <c r="Q97" t="s">
        <v>2117</v>
      </c>
      <c r="R97" s="77" t="str">
        <f>HYPERLINK("https://www.forbes.com/sites/noahbarsky/2023/01/31/walmart-recession-proofs-retail-reign-with-3-rare-moves/")</f>
        <v>https://www.forbes.com/sites/noahbarsky/2023/01/31/walmart-recession-proofs-retail-reign-with-3-rare-moves/</v>
      </c>
      <c r="S97" t="s">
        <v>2260</v>
      </c>
      <c r="T97" s="78" t="s">
        <v>2312</v>
      </c>
      <c r="V97" s="77" t="str">
        <f>HYPERLINK("https://pbs.twimg.com/profile_images/684041596921331712/JG0HS6k4_normal.jpg")</f>
        <v>https://pbs.twimg.com/profile_images/684041596921331712/JG0HS6k4_normal.jpg</v>
      </c>
      <c r="W97" s="76">
        <v>44957.626377314817</v>
      </c>
      <c r="X97" s="80">
        <v>44957</v>
      </c>
      <c r="Y97" s="78" t="s">
        <v>3233</v>
      </c>
      <c r="Z97" s="77" t="str">
        <f>HYPERLINK("https://twitter.com/noahbarsky/status/1620437241406586880")</f>
        <v>https://twitter.com/noahbarsky/status/1620437241406586880</v>
      </c>
      <c r="AC97" s="78" t="s">
        <v>4298</v>
      </c>
      <c r="AE97" t="b">
        <v>0</v>
      </c>
      <c r="AF97">
        <v>4</v>
      </c>
      <c r="AG97" s="78" t="s">
        <v>4640</v>
      </c>
      <c r="AH97" t="b">
        <v>0</v>
      </c>
      <c r="AI97" t="s">
        <v>4829</v>
      </c>
      <c r="AK97" s="78" t="s">
        <v>4640</v>
      </c>
      <c r="AL97" t="b">
        <v>0</v>
      </c>
      <c r="AM97">
        <v>3</v>
      </c>
      <c r="AN97" s="78" t="s">
        <v>4640</v>
      </c>
      <c r="AO97" s="78" t="s">
        <v>4851</v>
      </c>
      <c r="AP97" t="b">
        <v>0</v>
      </c>
      <c r="AQ97" s="78" t="s">
        <v>4298</v>
      </c>
      <c r="AR97" t="s">
        <v>1569</v>
      </c>
      <c r="AS97">
        <v>0</v>
      </c>
      <c r="AT97">
        <v>0</v>
      </c>
    </row>
    <row r="98" spans="1:46" x14ac:dyDescent="0.45">
      <c r="A98" s="62" t="s">
        <v>957</v>
      </c>
      <c r="B98" s="62" t="s">
        <v>242</v>
      </c>
      <c r="C98" s="63"/>
      <c r="D98" s="64"/>
      <c r="E98" s="65"/>
      <c r="F98" s="66"/>
      <c r="G98" s="63"/>
      <c r="H98" s="67"/>
      <c r="I98" s="68"/>
      <c r="J98" s="68"/>
      <c r="K98" s="32"/>
      <c r="L98" s="75"/>
      <c r="M98" s="75"/>
      <c r="N98" s="70"/>
      <c r="O98" t="s">
        <v>1568</v>
      </c>
      <c r="P98" s="76">
        <v>44957.626377314817</v>
      </c>
      <c r="Q98" t="s">
        <v>2117</v>
      </c>
      <c r="R98" s="77" t="str">
        <f>HYPERLINK("https://www.forbes.com/sites/noahbarsky/2023/01/31/walmart-recession-proofs-retail-reign-with-3-rare-moves/")</f>
        <v>https://www.forbes.com/sites/noahbarsky/2023/01/31/walmart-recession-proofs-retail-reign-with-3-rare-moves/</v>
      </c>
      <c r="S98" t="s">
        <v>2260</v>
      </c>
      <c r="T98" s="78" t="s">
        <v>2312</v>
      </c>
      <c r="V98" s="77" t="str">
        <f>HYPERLINK("https://pbs.twimg.com/profile_images/684041596921331712/JG0HS6k4_normal.jpg")</f>
        <v>https://pbs.twimg.com/profile_images/684041596921331712/JG0HS6k4_normal.jpg</v>
      </c>
      <c r="W98" s="76">
        <v>44957.626377314817</v>
      </c>
      <c r="X98" s="80">
        <v>44957</v>
      </c>
      <c r="Y98" s="78" t="s">
        <v>3233</v>
      </c>
      <c r="Z98" s="77" t="str">
        <f>HYPERLINK("https://twitter.com/noahbarsky/status/1620437241406586880")</f>
        <v>https://twitter.com/noahbarsky/status/1620437241406586880</v>
      </c>
      <c r="AC98" s="78" t="s">
        <v>4298</v>
      </c>
      <c r="AE98" t="b">
        <v>0</v>
      </c>
      <c r="AF98">
        <v>4</v>
      </c>
      <c r="AG98" s="78" t="s">
        <v>4640</v>
      </c>
      <c r="AH98" t="b">
        <v>0</v>
      </c>
      <c r="AI98" t="s">
        <v>4829</v>
      </c>
      <c r="AK98" s="78" t="s">
        <v>4640</v>
      </c>
      <c r="AL98" t="b">
        <v>0</v>
      </c>
      <c r="AM98">
        <v>3</v>
      </c>
      <c r="AN98" s="78" t="s">
        <v>4640</v>
      </c>
      <c r="AO98" s="78" t="s">
        <v>4851</v>
      </c>
      <c r="AP98" t="b">
        <v>0</v>
      </c>
      <c r="AQ98" s="78" t="s">
        <v>4298</v>
      </c>
      <c r="AR98" t="s">
        <v>1569</v>
      </c>
      <c r="AS98">
        <v>0</v>
      </c>
      <c r="AT98">
        <v>0</v>
      </c>
    </row>
    <row r="99" spans="1:46" x14ac:dyDescent="0.45">
      <c r="A99" s="62" t="s">
        <v>236</v>
      </c>
      <c r="B99" s="62" t="s">
        <v>1133</v>
      </c>
      <c r="C99" s="63"/>
      <c r="D99" s="64"/>
      <c r="E99" s="65"/>
      <c r="F99" s="66"/>
      <c r="G99" s="63"/>
      <c r="H99" s="67"/>
      <c r="I99" s="68"/>
      <c r="J99" s="68"/>
      <c r="K99" s="32"/>
      <c r="L99" s="75"/>
      <c r="M99" s="75"/>
      <c r="N99" s="70"/>
      <c r="O99" t="s">
        <v>1570</v>
      </c>
      <c r="P99" s="76">
        <v>44958.308622685188</v>
      </c>
      <c r="Q99" t="s">
        <v>1589</v>
      </c>
      <c r="R99" s="77" t="str">
        <f>HYPERLINK("https://www.forbes.com/sites/noahbarsky/2023/01/31/walmart-recession-proofs-retail-reign-with-3-rare-moves/?sh=6dab36862573")</f>
        <v>https://www.forbes.com/sites/noahbarsky/2023/01/31/walmart-recession-proofs-retail-reign-with-3-rare-moves/?sh=6dab36862573</v>
      </c>
      <c r="S99" t="s">
        <v>2260</v>
      </c>
      <c r="T99" s="78" t="s">
        <v>2312</v>
      </c>
      <c r="U99" s="77" t="str">
        <f>HYPERLINK("https://pbs.twimg.com/media/Fnz7uuFWIAAYTfI.jpg")</f>
        <v>https://pbs.twimg.com/media/Fnz7uuFWIAAYTfI.jpg</v>
      </c>
      <c r="V99" s="77" t="str">
        <f>HYPERLINK("https://pbs.twimg.com/media/Fnz7uuFWIAAYTfI.jpg")</f>
        <v>https://pbs.twimg.com/media/Fnz7uuFWIAAYTfI.jpg</v>
      </c>
      <c r="W99" s="76">
        <v>44958.308622685188</v>
      </c>
      <c r="X99" s="80">
        <v>44958</v>
      </c>
      <c r="Y99" s="78" t="s">
        <v>2440</v>
      </c>
      <c r="Z99" s="77" t="str">
        <f>HYPERLINK("https://twitter.com/betamoroney/status/1620684479747739649")</f>
        <v>https://twitter.com/betamoroney/status/1620684479747739649</v>
      </c>
      <c r="AC99" s="78" t="s">
        <v>3455</v>
      </c>
      <c r="AE99" t="b">
        <v>0</v>
      </c>
      <c r="AF99">
        <v>0</v>
      </c>
      <c r="AG99" s="78" t="s">
        <v>4640</v>
      </c>
      <c r="AH99" t="b">
        <v>0</v>
      </c>
      <c r="AI99" t="s">
        <v>4829</v>
      </c>
      <c r="AK99" s="78" t="s">
        <v>4640</v>
      </c>
      <c r="AL99" t="b">
        <v>0</v>
      </c>
      <c r="AM99">
        <v>15</v>
      </c>
      <c r="AN99" s="78" t="s">
        <v>3454</v>
      </c>
      <c r="AO99" s="78" t="s">
        <v>4851</v>
      </c>
      <c r="AP99" t="b">
        <v>0</v>
      </c>
      <c r="AQ99" s="78" t="s">
        <v>3454</v>
      </c>
      <c r="AR99" t="s">
        <v>179</v>
      </c>
      <c r="AS99">
        <v>0</v>
      </c>
      <c r="AT99">
        <v>0</v>
      </c>
    </row>
    <row r="100" spans="1:46" x14ac:dyDescent="0.45">
      <c r="A100" s="62" t="s">
        <v>237</v>
      </c>
      <c r="B100" s="62" t="s">
        <v>1133</v>
      </c>
      <c r="C100" s="63"/>
      <c r="D100" s="64"/>
      <c r="E100" s="65"/>
      <c r="F100" s="66"/>
      <c r="G100" s="63"/>
      <c r="H100" s="67"/>
      <c r="I100" s="68"/>
      <c r="J100" s="68"/>
      <c r="K100" s="32"/>
      <c r="L100" s="75"/>
      <c r="M100" s="75"/>
      <c r="N100" s="70"/>
      <c r="O100" t="s">
        <v>1570</v>
      </c>
      <c r="P100" s="76">
        <v>44958.344166666669</v>
      </c>
      <c r="Q100" t="s">
        <v>1589</v>
      </c>
      <c r="R100" s="77" t="str">
        <f>HYPERLINK("https://www.forbes.com/sites/noahbarsky/2023/01/31/walmart-recession-proofs-retail-reign-with-3-rare-moves/?sh=6dab36862573")</f>
        <v>https://www.forbes.com/sites/noahbarsky/2023/01/31/walmart-recession-proofs-retail-reign-with-3-rare-moves/?sh=6dab36862573</v>
      </c>
      <c r="S100" t="s">
        <v>2260</v>
      </c>
      <c r="T100" s="78" t="s">
        <v>2312</v>
      </c>
      <c r="U100" s="77" t="str">
        <f>HYPERLINK("https://pbs.twimg.com/media/Fnz7uuFWIAAYTfI.jpg")</f>
        <v>https://pbs.twimg.com/media/Fnz7uuFWIAAYTfI.jpg</v>
      </c>
      <c r="V100" s="77" t="str">
        <f>HYPERLINK("https://pbs.twimg.com/media/Fnz7uuFWIAAYTfI.jpg")</f>
        <v>https://pbs.twimg.com/media/Fnz7uuFWIAAYTfI.jpg</v>
      </c>
      <c r="W100" s="76">
        <v>44958.344166666669</v>
      </c>
      <c r="X100" s="80">
        <v>44958</v>
      </c>
      <c r="Y100" s="78" t="s">
        <v>2441</v>
      </c>
      <c r="Z100" s="77" t="str">
        <f>HYPERLINK("https://twitter.com/sonu_monika/status/1620697359192825858")</f>
        <v>https://twitter.com/sonu_monika/status/1620697359192825858</v>
      </c>
      <c r="AC100" s="78" t="s">
        <v>3456</v>
      </c>
      <c r="AE100" t="b">
        <v>0</v>
      </c>
      <c r="AF100">
        <v>0</v>
      </c>
      <c r="AG100" s="78" t="s">
        <v>4640</v>
      </c>
      <c r="AH100" t="b">
        <v>0</v>
      </c>
      <c r="AI100" t="s">
        <v>4829</v>
      </c>
      <c r="AK100" s="78" t="s">
        <v>4640</v>
      </c>
      <c r="AL100" t="b">
        <v>0</v>
      </c>
      <c r="AM100">
        <v>15</v>
      </c>
      <c r="AN100" s="78" t="s">
        <v>3454</v>
      </c>
      <c r="AO100" s="78" t="s">
        <v>4851</v>
      </c>
      <c r="AP100" t="b">
        <v>0</v>
      </c>
      <c r="AQ100" s="78" t="s">
        <v>3454</v>
      </c>
      <c r="AR100" t="s">
        <v>179</v>
      </c>
      <c r="AS100">
        <v>0</v>
      </c>
      <c r="AT100">
        <v>0</v>
      </c>
    </row>
    <row r="101" spans="1:46" x14ac:dyDescent="0.45">
      <c r="A101" s="62" t="s">
        <v>236</v>
      </c>
      <c r="B101" s="62" t="s">
        <v>1134</v>
      </c>
      <c r="C101" s="63"/>
      <c r="D101" s="64"/>
      <c r="E101" s="65"/>
      <c r="F101" s="66"/>
      <c r="G101" s="63"/>
      <c r="H101" s="67"/>
      <c r="I101" s="68"/>
      <c r="J101" s="68"/>
      <c r="K101" s="32"/>
      <c r="L101" s="75"/>
      <c r="M101" s="75"/>
      <c r="N101" s="70"/>
      <c r="O101" t="s">
        <v>1570</v>
      </c>
      <c r="P101" s="76">
        <v>44958.308622685188</v>
      </c>
      <c r="Q101" t="s">
        <v>1589</v>
      </c>
      <c r="R101" s="77" t="str">
        <f>HYPERLINK("https://www.forbes.com/sites/noahbarsky/2023/01/31/walmart-recession-proofs-retail-reign-with-3-rare-moves/?sh=6dab36862573")</f>
        <v>https://www.forbes.com/sites/noahbarsky/2023/01/31/walmart-recession-proofs-retail-reign-with-3-rare-moves/?sh=6dab36862573</v>
      </c>
      <c r="S101" t="s">
        <v>2260</v>
      </c>
      <c r="T101" s="78" t="s">
        <v>2312</v>
      </c>
      <c r="U101" s="77" t="str">
        <f>HYPERLINK("https://pbs.twimg.com/media/Fnz7uuFWIAAYTfI.jpg")</f>
        <v>https://pbs.twimg.com/media/Fnz7uuFWIAAYTfI.jpg</v>
      </c>
      <c r="V101" s="77" t="str">
        <f>HYPERLINK("https://pbs.twimg.com/media/Fnz7uuFWIAAYTfI.jpg")</f>
        <v>https://pbs.twimg.com/media/Fnz7uuFWIAAYTfI.jpg</v>
      </c>
      <c r="W101" s="76">
        <v>44958.308622685188</v>
      </c>
      <c r="X101" s="80">
        <v>44958</v>
      </c>
      <c r="Y101" s="78" t="s">
        <v>2440</v>
      </c>
      <c r="Z101" s="77" t="str">
        <f>HYPERLINK("https://twitter.com/betamoroney/status/1620684479747739649")</f>
        <v>https://twitter.com/betamoroney/status/1620684479747739649</v>
      </c>
      <c r="AC101" s="78" t="s">
        <v>3455</v>
      </c>
      <c r="AE101" t="b">
        <v>0</v>
      </c>
      <c r="AF101">
        <v>0</v>
      </c>
      <c r="AG101" s="78" t="s">
        <v>4640</v>
      </c>
      <c r="AH101" t="b">
        <v>0</v>
      </c>
      <c r="AI101" t="s">
        <v>4829</v>
      </c>
      <c r="AK101" s="78" t="s">
        <v>4640</v>
      </c>
      <c r="AL101" t="b">
        <v>0</v>
      </c>
      <c r="AM101">
        <v>15</v>
      </c>
      <c r="AN101" s="78" t="s">
        <v>3454</v>
      </c>
      <c r="AO101" s="78" t="s">
        <v>4851</v>
      </c>
      <c r="AP101" t="b">
        <v>0</v>
      </c>
      <c r="AQ101" s="78" t="s">
        <v>3454</v>
      </c>
      <c r="AR101" t="s">
        <v>179</v>
      </c>
      <c r="AS101">
        <v>0</v>
      </c>
      <c r="AT101">
        <v>0</v>
      </c>
    </row>
    <row r="102" spans="1:46" x14ac:dyDescent="0.45">
      <c r="A102" s="62" t="s">
        <v>237</v>
      </c>
      <c r="B102" s="62" t="s">
        <v>1134</v>
      </c>
      <c r="C102" s="63"/>
      <c r="D102" s="64"/>
      <c r="E102" s="65"/>
      <c r="F102" s="66"/>
      <c r="G102" s="63"/>
      <c r="H102" s="67"/>
      <c r="I102" s="68"/>
      <c r="J102" s="68"/>
      <c r="K102" s="32"/>
      <c r="L102" s="75"/>
      <c r="M102" s="75"/>
      <c r="N102" s="70"/>
      <c r="O102" t="s">
        <v>1570</v>
      </c>
      <c r="P102" s="76">
        <v>44958.344166666669</v>
      </c>
      <c r="Q102" t="s">
        <v>1589</v>
      </c>
      <c r="R102" s="77" t="str">
        <f>HYPERLINK("https://www.forbes.com/sites/noahbarsky/2023/01/31/walmart-recession-proofs-retail-reign-with-3-rare-moves/?sh=6dab36862573")</f>
        <v>https://www.forbes.com/sites/noahbarsky/2023/01/31/walmart-recession-proofs-retail-reign-with-3-rare-moves/?sh=6dab36862573</v>
      </c>
      <c r="S102" t="s">
        <v>2260</v>
      </c>
      <c r="T102" s="78" t="s">
        <v>2312</v>
      </c>
      <c r="U102" s="77" t="str">
        <f>HYPERLINK("https://pbs.twimg.com/media/Fnz7uuFWIAAYTfI.jpg")</f>
        <v>https://pbs.twimg.com/media/Fnz7uuFWIAAYTfI.jpg</v>
      </c>
      <c r="V102" s="77" t="str">
        <f>HYPERLINK("https://pbs.twimg.com/media/Fnz7uuFWIAAYTfI.jpg")</f>
        <v>https://pbs.twimg.com/media/Fnz7uuFWIAAYTfI.jpg</v>
      </c>
      <c r="W102" s="76">
        <v>44958.344166666669</v>
      </c>
      <c r="X102" s="80">
        <v>44958</v>
      </c>
      <c r="Y102" s="78" t="s">
        <v>2441</v>
      </c>
      <c r="Z102" s="77" t="str">
        <f>HYPERLINK("https://twitter.com/sonu_monika/status/1620697359192825858")</f>
        <v>https://twitter.com/sonu_monika/status/1620697359192825858</v>
      </c>
      <c r="AC102" s="78" t="s">
        <v>3456</v>
      </c>
      <c r="AE102" t="b">
        <v>0</v>
      </c>
      <c r="AF102">
        <v>0</v>
      </c>
      <c r="AG102" s="78" t="s">
        <v>4640</v>
      </c>
      <c r="AH102" t="b">
        <v>0</v>
      </c>
      <c r="AI102" t="s">
        <v>4829</v>
      </c>
      <c r="AK102" s="78" t="s">
        <v>4640</v>
      </c>
      <c r="AL102" t="b">
        <v>0</v>
      </c>
      <c r="AM102">
        <v>15</v>
      </c>
      <c r="AN102" s="78" t="s">
        <v>3454</v>
      </c>
      <c r="AO102" s="78" t="s">
        <v>4851</v>
      </c>
      <c r="AP102" t="b">
        <v>0</v>
      </c>
      <c r="AQ102" s="78" t="s">
        <v>3454</v>
      </c>
      <c r="AR102" t="s">
        <v>179</v>
      </c>
      <c r="AS102">
        <v>0</v>
      </c>
      <c r="AT102">
        <v>0</v>
      </c>
    </row>
    <row r="103" spans="1:46" x14ac:dyDescent="0.45">
      <c r="A103" s="62" t="s">
        <v>236</v>
      </c>
      <c r="B103" s="62" t="s">
        <v>1135</v>
      </c>
      <c r="C103" s="63"/>
      <c r="D103" s="64"/>
      <c r="E103" s="65"/>
      <c r="F103" s="66"/>
      <c r="G103" s="63"/>
      <c r="H103" s="67"/>
      <c r="I103" s="68"/>
      <c r="J103" s="68"/>
      <c r="K103" s="32"/>
      <c r="L103" s="75"/>
      <c r="M103" s="75"/>
      <c r="N103" s="70"/>
      <c r="O103" t="s">
        <v>1570</v>
      </c>
      <c r="P103" s="76">
        <v>44958.308622685188</v>
      </c>
      <c r="Q103" t="s">
        <v>1589</v>
      </c>
      <c r="R103" s="77" t="str">
        <f>HYPERLINK("https://www.forbes.com/sites/noahbarsky/2023/01/31/walmart-recession-proofs-retail-reign-with-3-rare-moves/?sh=6dab36862573")</f>
        <v>https://www.forbes.com/sites/noahbarsky/2023/01/31/walmart-recession-proofs-retail-reign-with-3-rare-moves/?sh=6dab36862573</v>
      </c>
      <c r="S103" t="s">
        <v>2260</v>
      </c>
      <c r="T103" s="78" t="s">
        <v>2312</v>
      </c>
      <c r="U103" s="77" t="str">
        <f>HYPERLINK("https://pbs.twimg.com/media/Fnz7uuFWIAAYTfI.jpg")</f>
        <v>https://pbs.twimg.com/media/Fnz7uuFWIAAYTfI.jpg</v>
      </c>
      <c r="V103" s="77" t="str">
        <f>HYPERLINK("https://pbs.twimg.com/media/Fnz7uuFWIAAYTfI.jpg")</f>
        <v>https://pbs.twimg.com/media/Fnz7uuFWIAAYTfI.jpg</v>
      </c>
      <c r="W103" s="76">
        <v>44958.308622685188</v>
      </c>
      <c r="X103" s="80">
        <v>44958</v>
      </c>
      <c r="Y103" s="78" t="s">
        <v>2440</v>
      </c>
      <c r="Z103" s="77" t="str">
        <f>HYPERLINK("https://twitter.com/betamoroney/status/1620684479747739649")</f>
        <v>https://twitter.com/betamoroney/status/1620684479747739649</v>
      </c>
      <c r="AC103" s="78" t="s">
        <v>3455</v>
      </c>
      <c r="AE103" t="b">
        <v>0</v>
      </c>
      <c r="AF103">
        <v>0</v>
      </c>
      <c r="AG103" s="78" t="s">
        <v>4640</v>
      </c>
      <c r="AH103" t="b">
        <v>0</v>
      </c>
      <c r="AI103" t="s">
        <v>4829</v>
      </c>
      <c r="AK103" s="78" t="s">
        <v>4640</v>
      </c>
      <c r="AL103" t="b">
        <v>0</v>
      </c>
      <c r="AM103">
        <v>15</v>
      </c>
      <c r="AN103" s="78" t="s">
        <v>3454</v>
      </c>
      <c r="AO103" s="78" t="s">
        <v>4851</v>
      </c>
      <c r="AP103" t="b">
        <v>0</v>
      </c>
      <c r="AQ103" s="78" t="s">
        <v>3454</v>
      </c>
      <c r="AR103" t="s">
        <v>179</v>
      </c>
      <c r="AS103">
        <v>0</v>
      </c>
      <c r="AT103">
        <v>0</v>
      </c>
    </row>
    <row r="104" spans="1:46" x14ac:dyDescent="0.45">
      <c r="A104" s="62" t="s">
        <v>237</v>
      </c>
      <c r="B104" s="62" t="s">
        <v>1135</v>
      </c>
      <c r="C104" s="63"/>
      <c r="D104" s="64"/>
      <c r="E104" s="65"/>
      <c r="F104" s="66"/>
      <c r="G104" s="63"/>
      <c r="H104" s="67"/>
      <c r="I104" s="68"/>
      <c r="J104" s="68"/>
      <c r="K104" s="32"/>
      <c r="L104" s="75"/>
      <c r="M104" s="75"/>
      <c r="N104" s="70"/>
      <c r="O104" t="s">
        <v>1570</v>
      </c>
      <c r="P104" s="76">
        <v>44958.344166666669</v>
      </c>
      <c r="Q104" t="s">
        <v>1589</v>
      </c>
      <c r="R104" s="77" t="str">
        <f>HYPERLINK("https://www.forbes.com/sites/noahbarsky/2023/01/31/walmart-recession-proofs-retail-reign-with-3-rare-moves/?sh=6dab36862573")</f>
        <v>https://www.forbes.com/sites/noahbarsky/2023/01/31/walmart-recession-proofs-retail-reign-with-3-rare-moves/?sh=6dab36862573</v>
      </c>
      <c r="S104" t="s">
        <v>2260</v>
      </c>
      <c r="T104" s="78" t="s">
        <v>2312</v>
      </c>
      <c r="U104" s="77" t="str">
        <f>HYPERLINK("https://pbs.twimg.com/media/Fnz7uuFWIAAYTfI.jpg")</f>
        <v>https://pbs.twimg.com/media/Fnz7uuFWIAAYTfI.jpg</v>
      </c>
      <c r="V104" s="77" t="str">
        <f>HYPERLINK("https://pbs.twimg.com/media/Fnz7uuFWIAAYTfI.jpg")</f>
        <v>https://pbs.twimg.com/media/Fnz7uuFWIAAYTfI.jpg</v>
      </c>
      <c r="W104" s="76">
        <v>44958.344166666669</v>
      </c>
      <c r="X104" s="80">
        <v>44958</v>
      </c>
      <c r="Y104" s="78" t="s">
        <v>2441</v>
      </c>
      <c r="Z104" s="77" t="str">
        <f>HYPERLINK("https://twitter.com/sonu_monika/status/1620697359192825858")</f>
        <v>https://twitter.com/sonu_monika/status/1620697359192825858</v>
      </c>
      <c r="AC104" s="78" t="s">
        <v>3456</v>
      </c>
      <c r="AE104" t="b">
        <v>0</v>
      </c>
      <c r="AF104">
        <v>0</v>
      </c>
      <c r="AG104" s="78" t="s">
        <v>4640</v>
      </c>
      <c r="AH104" t="b">
        <v>0</v>
      </c>
      <c r="AI104" t="s">
        <v>4829</v>
      </c>
      <c r="AK104" s="78" t="s">
        <v>4640</v>
      </c>
      <c r="AL104" t="b">
        <v>0</v>
      </c>
      <c r="AM104">
        <v>15</v>
      </c>
      <c r="AN104" s="78" t="s">
        <v>3454</v>
      </c>
      <c r="AO104" s="78" t="s">
        <v>4851</v>
      </c>
      <c r="AP104" t="b">
        <v>0</v>
      </c>
      <c r="AQ104" s="78" t="s">
        <v>3454</v>
      </c>
      <c r="AR104" t="s">
        <v>179</v>
      </c>
      <c r="AS104">
        <v>0</v>
      </c>
      <c r="AT104">
        <v>0</v>
      </c>
    </row>
    <row r="105" spans="1:46" x14ac:dyDescent="0.45">
      <c r="A105" s="62" t="s">
        <v>236</v>
      </c>
      <c r="B105" s="62" t="s">
        <v>1136</v>
      </c>
      <c r="C105" s="63"/>
      <c r="D105" s="64"/>
      <c r="E105" s="65"/>
      <c r="F105" s="66"/>
      <c r="G105" s="63"/>
      <c r="H105" s="67"/>
      <c r="I105" s="68"/>
      <c r="J105" s="68"/>
      <c r="K105" s="32"/>
      <c r="L105" s="75"/>
      <c r="M105" s="75"/>
      <c r="N105" s="70"/>
      <c r="O105" t="s">
        <v>1570</v>
      </c>
      <c r="P105" s="76">
        <v>44958.308622685188</v>
      </c>
      <c r="Q105" t="s">
        <v>1589</v>
      </c>
      <c r="R105" s="77" t="str">
        <f>HYPERLINK("https://www.forbes.com/sites/noahbarsky/2023/01/31/walmart-recession-proofs-retail-reign-with-3-rare-moves/?sh=6dab36862573")</f>
        <v>https://www.forbes.com/sites/noahbarsky/2023/01/31/walmart-recession-proofs-retail-reign-with-3-rare-moves/?sh=6dab36862573</v>
      </c>
      <c r="S105" t="s">
        <v>2260</v>
      </c>
      <c r="T105" s="78" t="s">
        <v>2312</v>
      </c>
      <c r="U105" s="77" t="str">
        <f>HYPERLINK("https://pbs.twimg.com/media/Fnz7uuFWIAAYTfI.jpg")</f>
        <v>https://pbs.twimg.com/media/Fnz7uuFWIAAYTfI.jpg</v>
      </c>
      <c r="V105" s="77" t="str">
        <f>HYPERLINK("https://pbs.twimg.com/media/Fnz7uuFWIAAYTfI.jpg")</f>
        <v>https://pbs.twimg.com/media/Fnz7uuFWIAAYTfI.jpg</v>
      </c>
      <c r="W105" s="76">
        <v>44958.308622685188</v>
      </c>
      <c r="X105" s="80">
        <v>44958</v>
      </c>
      <c r="Y105" s="78" t="s">
        <v>2440</v>
      </c>
      <c r="Z105" s="77" t="str">
        <f>HYPERLINK("https://twitter.com/betamoroney/status/1620684479747739649")</f>
        <v>https://twitter.com/betamoroney/status/1620684479747739649</v>
      </c>
      <c r="AC105" s="78" t="s">
        <v>3455</v>
      </c>
      <c r="AE105" t="b">
        <v>0</v>
      </c>
      <c r="AF105">
        <v>0</v>
      </c>
      <c r="AG105" s="78" t="s">
        <v>4640</v>
      </c>
      <c r="AH105" t="b">
        <v>0</v>
      </c>
      <c r="AI105" t="s">
        <v>4829</v>
      </c>
      <c r="AK105" s="78" t="s">
        <v>4640</v>
      </c>
      <c r="AL105" t="b">
        <v>0</v>
      </c>
      <c r="AM105">
        <v>15</v>
      </c>
      <c r="AN105" s="78" t="s">
        <v>3454</v>
      </c>
      <c r="AO105" s="78" t="s">
        <v>4851</v>
      </c>
      <c r="AP105" t="b">
        <v>0</v>
      </c>
      <c r="AQ105" s="78" t="s">
        <v>3454</v>
      </c>
      <c r="AR105" t="s">
        <v>179</v>
      </c>
      <c r="AS105">
        <v>0</v>
      </c>
      <c r="AT105">
        <v>0</v>
      </c>
    </row>
    <row r="106" spans="1:46" x14ac:dyDescent="0.45">
      <c r="A106" s="62" t="s">
        <v>237</v>
      </c>
      <c r="B106" s="62" t="s">
        <v>1136</v>
      </c>
      <c r="C106" s="63"/>
      <c r="D106" s="64"/>
      <c r="E106" s="65"/>
      <c r="F106" s="66"/>
      <c r="G106" s="63"/>
      <c r="H106" s="67"/>
      <c r="I106" s="68"/>
      <c r="J106" s="68"/>
      <c r="K106" s="32"/>
      <c r="L106" s="75"/>
      <c r="M106" s="75"/>
      <c r="N106" s="70"/>
      <c r="O106" t="s">
        <v>1570</v>
      </c>
      <c r="P106" s="76">
        <v>44958.344166666669</v>
      </c>
      <c r="Q106" t="s">
        <v>1589</v>
      </c>
      <c r="R106" s="77" t="str">
        <f>HYPERLINK("https://www.forbes.com/sites/noahbarsky/2023/01/31/walmart-recession-proofs-retail-reign-with-3-rare-moves/?sh=6dab36862573")</f>
        <v>https://www.forbes.com/sites/noahbarsky/2023/01/31/walmart-recession-proofs-retail-reign-with-3-rare-moves/?sh=6dab36862573</v>
      </c>
      <c r="S106" t="s">
        <v>2260</v>
      </c>
      <c r="T106" s="78" t="s">
        <v>2312</v>
      </c>
      <c r="U106" s="77" t="str">
        <f>HYPERLINK("https://pbs.twimg.com/media/Fnz7uuFWIAAYTfI.jpg")</f>
        <v>https://pbs.twimg.com/media/Fnz7uuFWIAAYTfI.jpg</v>
      </c>
      <c r="V106" s="77" t="str">
        <f>HYPERLINK("https://pbs.twimg.com/media/Fnz7uuFWIAAYTfI.jpg")</f>
        <v>https://pbs.twimg.com/media/Fnz7uuFWIAAYTfI.jpg</v>
      </c>
      <c r="W106" s="76">
        <v>44958.344166666669</v>
      </c>
      <c r="X106" s="80">
        <v>44958</v>
      </c>
      <c r="Y106" s="78" t="s">
        <v>2441</v>
      </c>
      <c r="Z106" s="77" t="str">
        <f>HYPERLINK("https://twitter.com/sonu_monika/status/1620697359192825858")</f>
        <v>https://twitter.com/sonu_monika/status/1620697359192825858</v>
      </c>
      <c r="AC106" s="78" t="s">
        <v>3456</v>
      </c>
      <c r="AE106" t="b">
        <v>0</v>
      </c>
      <c r="AF106">
        <v>0</v>
      </c>
      <c r="AG106" s="78" t="s">
        <v>4640</v>
      </c>
      <c r="AH106" t="b">
        <v>0</v>
      </c>
      <c r="AI106" t="s">
        <v>4829</v>
      </c>
      <c r="AK106" s="78" t="s">
        <v>4640</v>
      </c>
      <c r="AL106" t="b">
        <v>0</v>
      </c>
      <c r="AM106">
        <v>15</v>
      </c>
      <c r="AN106" s="78" t="s">
        <v>3454</v>
      </c>
      <c r="AO106" s="78" t="s">
        <v>4851</v>
      </c>
      <c r="AP106" t="b">
        <v>0</v>
      </c>
      <c r="AQ106" s="78" t="s">
        <v>3454</v>
      </c>
      <c r="AR106" t="s">
        <v>179</v>
      </c>
      <c r="AS106">
        <v>0</v>
      </c>
      <c r="AT106">
        <v>0</v>
      </c>
    </row>
    <row r="107" spans="1:46" x14ac:dyDescent="0.45">
      <c r="A107" s="62" t="s">
        <v>236</v>
      </c>
      <c r="B107" s="62" t="s">
        <v>1137</v>
      </c>
      <c r="C107" s="63"/>
      <c r="D107" s="64"/>
      <c r="E107" s="65"/>
      <c r="F107" s="66"/>
      <c r="G107" s="63"/>
      <c r="H107" s="67"/>
      <c r="I107" s="68"/>
      <c r="J107" s="68"/>
      <c r="K107" s="32"/>
      <c r="L107" s="75"/>
      <c r="M107" s="75"/>
      <c r="N107" s="70"/>
      <c r="O107" t="s">
        <v>1570</v>
      </c>
      <c r="P107" s="76">
        <v>44958.308622685188</v>
      </c>
      <c r="Q107" t="s">
        <v>1589</v>
      </c>
      <c r="R107" s="77" t="str">
        <f>HYPERLINK("https://www.forbes.com/sites/noahbarsky/2023/01/31/walmart-recession-proofs-retail-reign-with-3-rare-moves/?sh=6dab36862573")</f>
        <v>https://www.forbes.com/sites/noahbarsky/2023/01/31/walmart-recession-proofs-retail-reign-with-3-rare-moves/?sh=6dab36862573</v>
      </c>
      <c r="S107" t="s">
        <v>2260</v>
      </c>
      <c r="T107" s="78" t="s">
        <v>2312</v>
      </c>
      <c r="U107" s="77" t="str">
        <f>HYPERLINK("https://pbs.twimg.com/media/Fnz7uuFWIAAYTfI.jpg")</f>
        <v>https://pbs.twimg.com/media/Fnz7uuFWIAAYTfI.jpg</v>
      </c>
      <c r="V107" s="77" t="str">
        <f>HYPERLINK("https://pbs.twimg.com/media/Fnz7uuFWIAAYTfI.jpg")</f>
        <v>https://pbs.twimg.com/media/Fnz7uuFWIAAYTfI.jpg</v>
      </c>
      <c r="W107" s="76">
        <v>44958.308622685188</v>
      </c>
      <c r="X107" s="80">
        <v>44958</v>
      </c>
      <c r="Y107" s="78" t="s">
        <v>2440</v>
      </c>
      <c r="Z107" s="77" t="str">
        <f>HYPERLINK("https://twitter.com/betamoroney/status/1620684479747739649")</f>
        <v>https://twitter.com/betamoroney/status/1620684479747739649</v>
      </c>
      <c r="AC107" s="78" t="s">
        <v>3455</v>
      </c>
      <c r="AE107" t="b">
        <v>0</v>
      </c>
      <c r="AF107">
        <v>0</v>
      </c>
      <c r="AG107" s="78" t="s">
        <v>4640</v>
      </c>
      <c r="AH107" t="b">
        <v>0</v>
      </c>
      <c r="AI107" t="s">
        <v>4829</v>
      </c>
      <c r="AK107" s="78" t="s">
        <v>4640</v>
      </c>
      <c r="AL107" t="b">
        <v>0</v>
      </c>
      <c r="AM107">
        <v>15</v>
      </c>
      <c r="AN107" s="78" t="s">
        <v>3454</v>
      </c>
      <c r="AO107" s="78" t="s">
        <v>4851</v>
      </c>
      <c r="AP107" t="b">
        <v>0</v>
      </c>
      <c r="AQ107" s="78" t="s">
        <v>3454</v>
      </c>
      <c r="AR107" t="s">
        <v>179</v>
      </c>
      <c r="AS107">
        <v>0</v>
      </c>
      <c r="AT107">
        <v>0</v>
      </c>
    </row>
    <row r="108" spans="1:46" x14ac:dyDescent="0.45">
      <c r="A108" s="62" t="s">
        <v>237</v>
      </c>
      <c r="B108" s="62" t="s">
        <v>1137</v>
      </c>
      <c r="C108" s="63"/>
      <c r="D108" s="64"/>
      <c r="E108" s="65"/>
      <c r="F108" s="66"/>
      <c r="G108" s="63"/>
      <c r="H108" s="67"/>
      <c r="I108" s="68"/>
      <c r="J108" s="68"/>
      <c r="K108" s="32"/>
      <c r="L108" s="75"/>
      <c r="M108" s="75"/>
      <c r="N108" s="70"/>
      <c r="O108" t="s">
        <v>1570</v>
      </c>
      <c r="P108" s="76">
        <v>44958.344166666669</v>
      </c>
      <c r="Q108" t="s">
        <v>1589</v>
      </c>
      <c r="R108" s="77" t="str">
        <f>HYPERLINK("https://www.forbes.com/sites/noahbarsky/2023/01/31/walmart-recession-proofs-retail-reign-with-3-rare-moves/?sh=6dab36862573")</f>
        <v>https://www.forbes.com/sites/noahbarsky/2023/01/31/walmart-recession-proofs-retail-reign-with-3-rare-moves/?sh=6dab36862573</v>
      </c>
      <c r="S108" t="s">
        <v>2260</v>
      </c>
      <c r="T108" s="78" t="s">
        <v>2312</v>
      </c>
      <c r="U108" s="77" t="str">
        <f>HYPERLINK("https://pbs.twimg.com/media/Fnz7uuFWIAAYTfI.jpg")</f>
        <v>https://pbs.twimg.com/media/Fnz7uuFWIAAYTfI.jpg</v>
      </c>
      <c r="V108" s="77" t="str">
        <f>HYPERLINK("https://pbs.twimg.com/media/Fnz7uuFWIAAYTfI.jpg")</f>
        <v>https://pbs.twimg.com/media/Fnz7uuFWIAAYTfI.jpg</v>
      </c>
      <c r="W108" s="76">
        <v>44958.344166666669</v>
      </c>
      <c r="X108" s="80">
        <v>44958</v>
      </c>
      <c r="Y108" s="78" t="s">
        <v>2441</v>
      </c>
      <c r="Z108" s="77" t="str">
        <f>HYPERLINK("https://twitter.com/sonu_monika/status/1620697359192825858")</f>
        <v>https://twitter.com/sonu_monika/status/1620697359192825858</v>
      </c>
      <c r="AC108" s="78" t="s">
        <v>3456</v>
      </c>
      <c r="AE108" t="b">
        <v>0</v>
      </c>
      <c r="AF108">
        <v>0</v>
      </c>
      <c r="AG108" s="78" t="s">
        <v>4640</v>
      </c>
      <c r="AH108" t="b">
        <v>0</v>
      </c>
      <c r="AI108" t="s">
        <v>4829</v>
      </c>
      <c r="AK108" s="78" t="s">
        <v>4640</v>
      </c>
      <c r="AL108" t="b">
        <v>0</v>
      </c>
      <c r="AM108">
        <v>15</v>
      </c>
      <c r="AN108" s="78" t="s">
        <v>3454</v>
      </c>
      <c r="AO108" s="78" t="s">
        <v>4851</v>
      </c>
      <c r="AP108" t="b">
        <v>0</v>
      </c>
      <c r="AQ108" s="78" t="s">
        <v>3454</v>
      </c>
      <c r="AR108" t="s">
        <v>179</v>
      </c>
      <c r="AS108">
        <v>0</v>
      </c>
      <c r="AT108">
        <v>0</v>
      </c>
    </row>
    <row r="109" spans="1:46" x14ac:dyDescent="0.45">
      <c r="A109" s="62" t="s">
        <v>236</v>
      </c>
      <c r="B109" s="62" t="s">
        <v>1138</v>
      </c>
      <c r="C109" s="63"/>
      <c r="D109" s="64"/>
      <c r="E109" s="65"/>
      <c r="F109" s="66"/>
      <c r="G109" s="63"/>
      <c r="H109" s="67"/>
      <c r="I109" s="68"/>
      <c r="J109" s="68"/>
      <c r="K109" s="32"/>
      <c r="L109" s="75"/>
      <c r="M109" s="75"/>
      <c r="N109" s="70"/>
      <c r="O109" t="s">
        <v>1570</v>
      </c>
      <c r="P109" s="76">
        <v>44958.308622685188</v>
      </c>
      <c r="Q109" t="s">
        <v>1589</v>
      </c>
      <c r="R109" s="77" t="str">
        <f>HYPERLINK("https://www.forbes.com/sites/noahbarsky/2023/01/31/walmart-recession-proofs-retail-reign-with-3-rare-moves/?sh=6dab36862573")</f>
        <v>https://www.forbes.com/sites/noahbarsky/2023/01/31/walmart-recession-proofs-retail-reign-with-3-rare-moves/?sh=6dab36862573</v>
      </c>
      <c r="S109" t="s">
        <v>2260</v>
      </c>
      <c r="T109" s="78" t="s">
        <v>2312</v>
      </c>
      <c r="U109" s="77" t="str">
        <f>HYPERLINK("https://pbs.twimg.com/media/Fnz7uuFWIAAYTfI.jpg")</f>
        <v>https://pbs.twimg.com/media/Fnz7uuFWIAAYTfI.jpg</v>
      </c>
      <c r="V109" s="77" t="str">
        <f>HYPERLINK("https://pbs.twimg.com/media/Fnz7uuFWIAAYTfI.jpg")</f>
        <v>https://pbs.twimg.com/media/Fnz7uuFWIAAYTfI.jpg</v>
      </c>
      <c r="W109" s="76">
        <v>44958.308622685188</v>
      </c>
      <c r="X109" s="80">
        <v>44958</v>
      </c>
      <c r="Y109" s="78" t="s">
        <v>2440</v>
      </c>
      <c r="Z109" s="77" t="str">
        <f>HYPERLINK("https://twitter.com/betamoroney/status/1620684479747739649")</f>
        <v>https://twitter.com/betamoroney/status/1620684479747739649</v>
      </c>
      <c r="AC109" s="78" t="s">
        <v>3455</v>
      </c>
      <c r="AE109" t="b">
        <v>0</v>
      </c>
      <c r="AF109">
        <v>0</v>
      </c>
      <c r="AG109" s="78" t="s">
        <v>4640</v>
      </c>
      <c r="AH109" t="b">
        <v>0</v>
      </c>
      <c r="AI109" t="s">
        <v>4829</v>
      </c>
      <c r="AK109" s="78" t="s">
        <v>4640</v>
      </c>
      <c r="AL109" t="b">
        <v>0</v>
      </c>
      <c r="AM109">
        <v>15</v>
      </c>
      <c r="AN109" s="78" t="s">
        <v>3454</v>
      </c>
      <c r="AO109" s="78" t="s">
        <v>4851</v>
      </c>
      <c r="AP109" t="b">
        <v>0</v>
      </c>
      <c r="AQ109" s="78" t="s">
        <v>3454</v>
      </c>
      <c r="AR109" t="s">
        <v>179</v>
      </c>
      <c r="AS109">
        <v>0</v>
      </c>
      <c r="AT109">
        <v>0</v>
      </c>
    </row>
    <row r="110" spans="1:46" x14ac:dyDescent="0.45">
      <c r="A110" s="62" t="s">
        <v>237</v>
      </c>
      <c r="B110" s="62" t="s">
        <v>1138</v>
      </c>
      <c r="C110" s="63"/>
      <c r="D110" s="64"/>
      <c r="E110" s="65"/>
      <c r="F110" s="66"/>
      <c r="G110" s="63"/>
      <c r="H110" s="67"/>
      <c r="I110" s="68"/>
      <c r="J110" s="68"/>
      <c r="K110" s="32"/>
      <c r="L110" s="75"/>
      <c r="M110" s="75"/>
      <c r="N110" s="70"/>
      <c r="O110" t="s">
        <v>1570</v>
      </c>
      <c r="P110" s="76">
        <v>44958.344166666669</v>
      </c>
      <c r="Q110" t="s">
        <v>1589</v>
      </c>
      <c r="R110" s="77" t="str">
        <f>HYPERLINK("https://www.forbes.com/sites/noahbarsky/2023/01/31/walmart-recession-proofs-retail-reign-with-3-rare-moves/?sh=6dab36862573")</f>
        <v>https://www.forbes.com/sites/noahbarsky/2023/01/31/walmart-recession-proofs-retail-reign-with-3-rare-moves/?sh=6dab36862573</v>
      </c>
      <c r="S110" t="s">
        <v>2260</v>
      </c>
      <c r="T110" s="78" t="s">
        <v>2312</v>
      </c>
      <c r="U110" s="77" t="str">
        <f>HYPERLINK("https://pbs.twimg.com/media/Fnz7uuFWIAAYTfI.jpg")</f>
        <v>https://pbs.twimg.com/media/Fnz7uuFWIAAYTfI.jpg</v>
      </c>
      <c r="V110" s="77" t="str">
        <f>HYPERLINK("https://pbs.twimg.com/media/Fnz7uuFWIAAYTfI.jpg")</f>
        <v>https://pbs.twimg.com/media/Fnz7uuFWIAAYTfI.jpg</v>
      </c>
      <c r="W110" s="76">
        <v>44958.344166666669</v>
      </c>
      <c r="X110" s="80">
        <v>44958</v>
      </c>
      <c r="Y110" s="78" t="s">
        <v>2441</v>
      </c>
      <c r="Z110" s="77" t="str">
        <f>HYPERLINK("https://twitter.com/sonu_monika/status/1620697359192825858")</f>
        <v>https://twitter.com/sonu_monika/status/1620697359192825858</v>
      </c>
      <c r="AC110" s="78" t="s">
        <v>3456</v>
      </c>
      <c r="AE110" t="b">
        <v>0</v>
      </c>
      <c r="AF110">
        <v>0</v>
      </c>
      <c r="AG110" s="78" t="s">
        <v>4640</v>
      </c>
      <c r="AH110" t="b">
        <v>0</v>
      </c>
      <c r="AI110" t="s">
        <v>4829</v>
      </c>
      <c r="AK110" s="78" t="s">
        <v>4640</v>
      </c>
      <c r="AL110" t="b">
        <v>0</v>
      </c>
      <c r="AM110">
        <v>15</v>
      </c>
      <c r="AN110" s="78" t="s">
        <v>3454</v>
      </c>
      <c r="AO110" s="78" t="s">
        <v>4851</v>
      </c>
      <c r="AP110" t="b">
        <v>0</v>
      </c>
      <c r="AQ110" s="78" t="s">
        <v>3454</v>
      </c>
      <c r="AR110" t="s">
        <v>179</v>
      </c>
      <c r="AS110">
        <v>0</v>
      </c>
      <c r="AT110">
        <v>0</v>
      </c>
    </row>
    <row r="111" spans="1:46" x14ac:dyDescent="0.45">
      <c r="A111" s="62" t="s">
        <v>236</v>
      </c>
      <c r="B111" s="62" t="s">
        <v>1139</v>
      </c>
      <c r="C111" s="63"/>
      <c r="D111" s="64"/>
      <c r="E111" s="65"/>
      <c r="F111" s="66"/>
      <c r="G111" s="63"/>
      <c r="H111" s="67"/>
      <c r="I111" s="68"/>
      <c r="J111" s="68"/>
      <c r="K111" s="32"/>
      <c r="L111" s="75"/>
      <c r="M111" s="75"/>
      <c r="N111" s="70"/>
      <c r="O111" t="s">
        <v>1570</v>
      </c>
      <c r="P111" s="76">
        <v>44958.308622685188</v>
      </c>
      <c r="Q111" t="s">
        <v>1589</v>
      </c>
      <c r="R111" s="77" t="str">
        <f>HYPERLINK("https://www.forbes.com/sites/noahbarsky/2023/01/31/walmart-recession-proofs-retail-reign-with-3-rare-moves/?sh=6dab36862573")</f>
        <v>https://www.forbes.com/sites/noahbarsky/2023/01/31/walmart-recession-proofs-retail-reign-with-3-rare-moves/?sh=6dab36862573</v>
      </c>
      <c r="S111" t="s">
        <v>2260</v>
      </c>
      <c r="T111" s="78" t="s">
        <v>2312</v>
      </c>
      <c r="U111" s="77" t="str">
        <f>HYPERLINK("https://pbs.twimg.com/media/Fnz7uuFWIAAYTfI.jpg")</f>
        <v>https://pbs.twimg.com/media/Fnz7uuFWIAAYTfI.jpg</v>
      </c>
      <c r="V111" s="77" t="str">
        <f>HYPERLINK("https://pbs.twimg.com/media/Fnz7uuFWIAAYTfI.jpg")</f>
        <v>https://pbs.twimg.com/media/Fnz7uuFWIAAYTfI.jpg</v>
      </c>
      <c r="W111" s="76">
        <v>44958.308622685188</v>
      </c>
      <c r="X111" s="80">
        <v>44958</v>
      </c>
      <c r="Y111" s="78" t="s">
        <v>2440</v>
      </c>
      <c r="Z111" s="77" t="str">
        <f>HYPERLINK("https://twitter.com/betamoroney/status/1620684479747739649")</f>
        <v>https://twitter.com/betamoroney/status/1620684479747739649</v>
      </c>
      <c r="AC111" s="78" t="s">
        <v>3455</v>
      </c>
      <c r="AE111" t="b">
        <v>0</v>
      </c>
      <c r="AF111">
        <v>0</v>
      </c>
      <c r="AG111" s="78" t="s">
        <v>4640</v>
      </c>
      <c r="AH111" t="b">
        <v>0</v>
      </c>
      <c r="AI111" t="s">
        <v>4829</v>
      </c>
      <c r="AK111" s="78" t="s">
        <v>4640</v>
      </c>
      <c r="AL111" t="b">
        <v>0</v>
      </c>
      <c r="AM111">
        <v>15</v>
      </c>
      <c r="AN111" s="78" t="s">
        <v>3454</v>
      </c>
      <c r="AO111" s="78" t="s">
        <v>4851</v>
      </c>
      <c r="AP111" t="b">
        <v>0</v>
      </c>
      <c r="AQ111" s="78" t="s">
        <v>3454</v>
      </c>
      <c r="AR111" t="s">
        <v>179</v>
      </c>
      <c r="AS111">
        <v>0</v>
      </c>
      <c r="AT111">
        <v>0</v>
      </c>
    </row>
    <row r="112" spans="1:46" x14ac:dyDescent="0.45">
      <c r="A112" s="62" t="s">
        <v>237</v>
      </c>
      <c r="B112" s="62" t="s">
        <v>1139</v>
      </c>
      <c r="C112" s="63"/>
      <c r="D112" s="64"/>
      <c r="E112" s="65"/>
      <c r="F112" s="66"/>
      <c r="G112" s="63"/>
      <c r="H112" s="67"/>
      <c r="I112" s="68"/>
      <c r="J112" s="68"/>
      <c r="K112" s="32"/>
      <c r="L112" s="75"/>
      <c r="M112" s="75"/>
      <c r="N112" s="70"/>
      <c r="O112" t="s">
        <v>1570</v>
      </c>
      <c r="P112" s="76">
        <v>44958.344166666669</v>
      </c>
      <c r="Q112" t="s">
        <v>1589</v>
      </c>
      <c r="R112" s="77" t="str">
        <f>HYPERLINK("https://www.forbes.com/sites/noahbarsky/2023/01/31/walmart-recession-proofs-retail-reign-with-3-rare-moves/?sh=6dab36862573")</f>
        <v>https://www.forbes.com/sites/noahbarsky/2023/01/31/walmart-recession-proofs-retail-reign-with-3-rare-moves/?sh=6dab36862573</v>
      </c>
      <c r="S112" t="s">
        <v>2260</v>
      </c>
      <c r="T112" s="78" t="s">
        <v>2312</v>
      </c>
      <c r="U112" s="77" t="str">
        <f>HYPERLINK("https://pbs.twimg.com/media/Fnz7uuFWIAAYTfI.jpg")</f>
        <v>https://pbs.twimg.com/media/Fnz7uuFWIAAYTfI.jpg</v>
      </c>
      <c r="V112" s="77" t="str">
        <f>HYPERLINK("https://pbs.twimg.com/media/Fnz7uuFWIAAYTfI.jpg")</f>
        <v>https://pbs.twimg.com/media/Fnz7uuFWIAAYTfI.jpg</v>
      </c>
      <c r="W112" s="76">
        <v>44958.344166666669</v>
      </c>
      <c r="X112" s="80">
        <v>44958</v>
      </c>
      <c r="Y112" s="78" t="s">
        <v>2441</v>
      </c>
      <c r="Z112" s="77" t="str">
        <f>HYPERLINK("https://twitter.com/sonu_monika/status/1620697359192825858")</f>
        <v>https://twitter.com/sonu_monika/status/1620697359192825858</v>
      </c>
      <c r="AC112" s="78" t="s">
        <v>3456</v>
      </c>
      <c r="AE112" t="b">
        <v>0</v>
      </c>
      <c r="AF112">
        <v>0</v>
      </c>
      <c r="AG112" s="78" t="s">
        <v>4640</v>
      </c>
      <c r="AH112" t="b">
        <v>0</v>
      </c>
      <c r="AI112" t="s">
        <v>4829</v>
      </c>
      <c r="AK112" s="78" t="s">
        <v>4640</v>
      </c>
      <c r="AL112" t="b">
        <v>0</v>
      </c>
      <c r="AM112">
        <v>15</v>
      </c>
      <c r="AN112" s="78" t="s">
        <v>3454</v>
      </c>
      <c r="AO112" s="78" t="s">
        <v>4851</v>
      </c>
      <c r="AP112" t="b">
        <v>0</v>
      </c>
      <c r="AQ112" s="78" t="s">
        <v>3454</v>
      </c>
      <c r="AR112" t="s">
        <v>179</v>
      </c>
      <c r="AS112">
        <v>0</v>
      </c>
      <c r="AT112">
        <v>0</v>
      </c>
    </row>
    <row r="113" spans="1:46" x14ac:dyDescent="0.45">
      <c r="A113" s="62" t="s">
        <v>236</v>
      </c>
      <c r="B113" s="62" t="s">
        <v>1140</v>
      </c>
      <c r="C113" s="63"/>
      <c r="D113" s="64"/>
      <c r="E113" s="65"/>
      <c r="F113" s="66"/>
      <c r="G113" s="63"/>
      <c r="H113" s="67"/>
      <c r="I113" s="68"/>
      <c r="J113" s="68"/>
      <c r="K113" s="32"/>
      <c r="L113" s="75"/>
      <c r="M113" s="75"/>
      <c r="N113" s="70"/>
      <c r="O113" t="s">
        <v>1570</v>
      </c>
      <c r="P113" s="76">
        <v>44958.308622685188</v>
      </c>
      <c r="Q113" t="s">
        <v>1589</v>
      </c>
      <c r="R113" s="77" t="str">
        <f>HYPERLINK("https://www.forbes.com/sites/noahbarsky/2023/01/31/walmart-recession-proofs-retail-reign-with-3-rare-moves/?sh=6dab36862573")</f>
        <v>https://www.forbes.com/sites/noahbarsky/2023/01/31/walmart-recession-proofs-retail-reign-with-3-rare-moves/?sh=6dab36862573</v>
      </c>
      <c r="S113" t="s">
        <v>2260</v>
      </c>
      <c r="T113" s="78" t="s">
        <v>2312</v>
      </c>
      <c r="U113" s="77" t="str">
        <f>HYPERLINK("https://pbs.twimg.com/media/Fnz7uuFWIAAYTfI.jpg")</f>
        <v>https://pbs.twimg.com/media/Fnz7uuFWIAAYTfI.jpg</v>
      </c>
      <c r="V113" s="77" t="str">
        <f>HYPERLINK("https://pbs.twimg.com/media/Fnz7uuFWIAAYTfI.jpg")</f>
        <v>https://pbs.twimg.com/media/Fnz7uuFWIAAYTfI.jpg</v>
      </c>
      <c r="W113" s="76">
        <v>44958.308622685188</v>
      </c>
      <c r="X113" s="80">
        <v>44958</v>
      </c>
      <c r="Y113" s="78" t="s">
        <v>2440</v>
      </c>
      <c r="Z113" s="77" t="str">
        <f>HYPERLINK("https://twitter.com/betamoroney/status/1620684479747739649")</f>
        <v>https://twitter.com/betamoroney/status/1620684479747739649</v>
      </c>
      <c r="AC113" s="78" t="s">
        <v>3455</v>
      </c>
      <c r="AE113" t="b">
        <v>0</v>
      </c>
      <c r="AF113">
        <v>0</v>
      </c>
      <c r="AG113" s="78" t="s">
        <v>4640</v>
      </c>
      <c r="AH113" t="b">
        <v>0</v>
      </c>
      <c r="AI113" t="s">
        <v>4829</v>
      </c>
      <c r="AK113" s="78" t="s">
        <v>4640</v>
      </c>
      <c r="AL113" t="b">
        <v>0</v>
      </c>
      <c r="AM113">
        <v>15</v>
      </c>
      <c r="AN113" s="78" t="s">
        <v>3454</v>
      </c>
      <c r="AO113" s="78" t="s">
        <v>4851</v>
      </c>
      <c r="AP113" t="b">
        <v>0</v>
      </c>
      <c r="AQ113" s="78" t="s">
        <v>3454</v>
      </c>
      <c r="AR113" t="s">
        <v>179</v>
      </c>
      <c r="AS113">
        <v>0</v>
      </c>
      <c r="AT113">
        <v>0</v>
      </c>
    </row>
    <row r="114" spans="1:46" x14ac:dyDescent="0.45">
      <c r="A114" s="62" t="s">
        <v>237</v>
      </c>
      <c r="B114" s="62" t="s">
        <v>1140</v>
      </c>
      <c r="C114" s="63"/>
      <c r="D114" s="64"/>
      <c r="E114" s="65"/>
      <c r="F114" s="66"/>
      <c r="G114" s="63"/>
      <c r="H114" s="67"/>
      <c r="I114" s="68"/>
      <c r="J114" s="68"/>
      <c r="K114" s="32"/>
      <c r="L114" s="75"/>
      <c r="M114" s="75"/>
      <c r="N114" s="70"/>
      <c r="O114" t="s">
        <v>1570</v>
      </c>
      <c r="P114" s="76">
        <v>44958.344166666669</v>
      </c>
      <c r="Q114" t="s">
        <v>1589</v>
      </c>
      <c r="R114" s="77" t="str">
        <f>HYPERLINK("https://www.forbes.com/sites/noahbarsky/2023/01/31/walmart-recession-proofs-retail-reign-with-3-rare-moves/?sh=6dab36862573")</f>
        <v>https://www.forbes.com/sites/noahbarsky/2023/01/31/walmart-recession-proofs-retail-reign-with-3-rare-moves/?sh=6dab36862573</v>
      </c>
      <c r="S114" t="s">
        <v>2260</v>
      </c>
      <c r="T114" s="78" t="s">
        <v>2312</v>
      </c>
      <c r="U114" s="77" t="str">
        <f>HYPERLINK("https://pbs.twimg.com/media/Fnz7uuFWIAAYTfI.jpg")</f>
        <v>https://pbs.twimg.com/media/Fnz7uuFWIAAYTfI.jpg</v>
      </c>
      <c r="V114" s="77" t="str">
        <f>HYPERLINK("https://pbs.twimg.com/media/Fnz7uuFWIAAYTfI.jpg")</f>
        <v>https://pbs.twimg.com/media/Fnz7uuFWIAAYTfI.jpg</v>
      </c>
      <c r="W114" s="76">
        <v>44958.344166666669</v>
      </c>
      <c r="X114" s="80">
        <v>44958</v>
      </c>
      <c r="Y114" s="78" t="s">
        <v>2441</v>
      </c>
      <c r="Z114" s="77" t="str">
        <f>HYPERLINK("https://twitter.com/sonu_monika/status/1620697359192825858")</f>
        <v>https://twitter.com/sonu_monika/status/1620697359192825858</v>
      </c>
      <c r="AC114" s="78" t="s">
        <v>3456</v>
      </c>
      <c r="AE114" t="b">
        <v>0</v>
      </c>
      <c r="AF114">
        <v>0</v>
      </c>
      <c r="AG114" s="78" t="s">
        <v>4640</v>
      </c>
      <c r="AH114" t="b">
        <v>0</v>
      </c>
      <c r="AI114" t="s">
        <v>4829</v>
      </c>
      <c r="AK114" s="78" t="s">
        <v>4640</v>
      </c>
      <c r="AL114" t="b">
        <v>0</v>
      </c>
      <c r="AM114">
        <v>15</v>
      </c>
      <c r="AN114" s="78" t="s">
        <v>3454</v>
      </c>
      <c r="AO114" s="78" t="s">
        <v>4851</v>
      </c>
      <c r="AP114" t="b">
        <v>0</v>
      </c>
      <c r="AQ114" s="78" t="s">
        <v>3454</v>
      </c>
      <c r="AR114" t="s">
        <v>179</v>
      </c>
      <c r="AS114">
        <v>0</v>
      </c>
      <c r="AT114">
        <v>0</v>
      </c>
    </row>
    <row r="115" spans="1:46" x14ac:dyDescent="0.45">
      <c r="A115" s="62" t="s">
        <v>236</v>
      </c>
      <c r="B115" s="62" t="s">
        <v>1141</v>
      </c>
      <c r="C115" s="63"/>
      <c r="D115" s="64"/>
      <c r="E115" s="65"/>
      <c r="F115" s="66"/>
      <c r="G115" s="63"/>
      <c r="H115" s="67"/>
      <c r="I115" s="68"/>
      <c r="J115" s="68"/>
      <c r="K115" s="32"/>
      <c r="L115" s="75"/>
      <c r="M115" s="75"/>
      <c r="N115" s="70"/>
      <c r="O115" t="s">
        <v>1570</v>
      </c>
      <c r="P115" s="76">
        <v>44958.308622685188</v>
      </c>
      <c r="Q115" t="s">
        <v>1589</v>
      </c>
      <c r="R115" s="77" t="str">
        <f>HYPERLINK("https://www.forbes.com/sites/noahbarsky/2023/01/31/walmart-recession-proofs-retail-reign-with-3-rare-moves/?sh=6dab36862573")</f>
        <v>https://www.forbes.com/sites/noahbarsky/2023/01/31/walmart-recession-proofs-retail-reign-with-3-rare-moves/?sh=6dab36862573</v>
      </c>
      <c r="S115" t="s">
        <v>2260</v>
      </c>
      <c r="T115" s="78" t="s">
        <v>2312</v>
      </c>
      <c r="U115" s="77" t="str">
        <f>HYPERLINK("https://pbs.twimg.com/media/Fnz7uuFWIAAYTfI.jpg")</f>
        <v>https://pbs.twimg.com/media/Fnz7uuFWIAAYTfI.jpg</v>
      </c>
      <c r="V115" s="77" t="str">
        <f>HYPERLINK("https://pbs.twimg.com/media/Fnz7uuFWIAAYTfI.jpg")</f>
        <v>https://pbs.twimg.com/media/Fnz7uuFWIAAYTfI.jpg</v>
      </c>
      <c r="W115" s="76">
        <v>44958.308622685188</v>
      </c>
      <c r="X115" s="80">
        <v>44958</v>
      </c>
      <c r="Y115" s="78" t="s">
        <v>2440</v>
      </c>
      <c r="Z115" s="77" t="str">
        <f>HYPERLINK("https://twitter.com/betamoroney/status/1620684479747739649")</f>
        <v>https://twitter.com/betamoroney/status/1620684479747739649</v>
      </c>
      <c r="AC115" s="78" t="s">
        <v>3455</v>
      </c>
      <c r="AE115" t="b">
        <v>0</v>
      </c>
      <c r="AF115">
        <v>0</v>
      </c>
      <c r="AG115" s="78" t="s">
        <v>4640</v>
      </c>
      <c r="AH115" t="b">
        <v>0</v>
      </c>
      <c r="AI115" t="s">
        <v>4829</v>
      </c>
      <c r="AK115" s="78" t="s">
        <v>4640</v>
      </c>
      <c r="AL115" t="b">
        <v>0</v>
      </c>
      <c r="AM115">
        <v>15</v>
      </c>
      <c r="AN115" s="78" t="s">
        <v>3454</v>
      </c>
      <c r="AO115" s="78" t="s">
        <v>4851</v>
      </c>
      <c r="AP115" t="b">
        <v>0</v>
      </c>
      <c r="AQ115" s="78" t="s">
        <v>3454</v>
      </c>
      <c r="AR115" t="s">
        <v>179</v>
      </c>
      <c r="AS115">
        <v>0</v>
      </c>
      <c r="AT115">
        <v>0</v>
      </c>
    </row>
    <row r="116" spans="1:46" x14ac:dyDescent="0.45">
      <c r="A116" s="62" t="s">
        <v>237</v>
      </c>
      <c r="B116" s="62" t="s">
        <v>1141</v>
      </c>
      <c r="C116" s="63"/>
      <c r="D116" s="64"/>
      <c r="E116" s="65"/>
      <c r="F116" s="66"/>
      <c r="G116" s="63"/>
      <c r="H116" s="67"/>
      <c r="I116" s="68"/>
      <c r="J116" s="68"/>
      <c r="K116" s="32"/>
      <c r="L116" s="75"/>
      <c r="M116" s="75"/>
      <c r="N116" s="70"/>
      <c r="O116" t="s">
        <v>1570</v>
      </c>
      <c r="P116" s="76">
        <v>44958.344166666669</v>
      </c>
      <c r="Q116" t="s">
        <v>1589</v>
      </c>
      <c r="R116" s="77" t="str">
        <f>HYPERLINK("https://www.forbes.com/sites/noahbarsky/2023/01/31/walmart-recession-proofs-retail-reign-with-3-rare-moves/?sh=6dab36862573")</f>
        <v>https://www.forbes.com/sites/noahbarsky/2023/01/31/walmart-recession-proofs-retail-reign-with-3-rare-moves/?sh=6dab36862573</v>
      </c>
      <c r="S116" t="s">
        <v>2260</v>
      </c>
      <c r="T116" s="78" t="s">
        <v>2312</v>
      </c>
      <c r="U116" s="77" t="str">
        <f>HYPERLINK("https://pbs.twimg.com/media/Fnz7uuFWIAAYTfI.jpg")</f>
        <v>https://pbs.twimg.com/media/Fnz7uuFWIAAYTfI.jpg</v>
      </c>
      <c r="V116" s="77" t="str">
        <f>HYPERLINK("https://pbs.twimg.com/media/Fnz7uuFWIAAYTfI.jpg")</f>
        <v>https://pbs.twimg.com/media/Fnz7uuFWIAAYTfI.jpg</v>
      </c>
      <c r="W116" s="76">
        <v>44958.344166666669</v>
      </c>
      <c r="X116" s="80">
        <v>44958</v>
      </c>
      <c r="Y116" s="78" t="s">
        <v>2441</v>
      </c>
      <c r="Z116" s="77" t="str">
        <f>HYPERLINK("https://twitter.com/sonu_monika/status/1620697359192825858")</f>
        <v>https://twitter.com/sonu_monika/status/1620697359192825858</v>
      </c>
      <c r="AC116" s="78" t="s">
        <v>3456</v>
      </c>
      <c r="AE116" t="b">
        <v>0</v>
      </c>
      <c r="AF116">
        <v>0</v>
      </c>
      <c r="AG116" s="78" t="s">
        <v>4640</v>
      </c>
      <c r="AH116" t="b">
        <v>0</v>
      </c>
      <c r="AI116" t="s">
        <v>4829</v>
      </c>
      <c r="AK116" s="78" t="s">
        <v>4640</v>
      </c>
      <c r="AL116" t="b">
        <v>0</v>
      </c>
      <c r="AM116">
        <v>15</v>
      </c>
      <c r="AN116" s="78" t="s">
        <v>3454</v>
      </c>
      <c r="AO116" s="78" t="s">
        <v>4851</v>
      </c>
      <c r="AP116" t="b">
        <v>0</v>
      </c>
      <c r="AQ116" s="78" t="s">
        <v>3454</v>
      </c>
      <c r="AR116" t="s">
        <v>179</v>
      </c>
      <c r="AS116">
        <v>0</v>
      </c>
      <c r="AT116">
        <v>0</v>
      </c>
    </row>
    <row r="117" spans="1:46" x14ac:dyDescent="0.45">
      <c r="A117" s="62" t="s">
        <v>236</v>
      </c>
      <c r="B117" s="62" t="s">
        <v>1142</v>
      </c>
      <c r="C117" s="63"/>
      <c r="D117" s="64"/>
      <c r="E117" s="65"/>
      <c r="F117" s="66"/>
      <c r="G117" s="63"/>
      <c r="H117" s="67"/>
      <c r="I117" s="68"/>
      <c r="J117" s="68"/>
      <c r="K117" s="32"/>
      <c r="L117" s="75"/>
      <c r="M117" s="75"/>
      <c r="N117" s="70"/>
      <c r="O117" t="s">
        <v>1570</v>
      </c>
      <c r="P117" s="76">
        <v>44958.308622685188</v>
      </c>
      <c r="Q117" t="s">
        <v>1589</v>
      </c>
      <c r="R117" s="77" t="str">
        <f>HYPERLINK("https://www.forbes.com/sites/noahbarsky/2023/01/31/walmart-recession-proofs-retail-reign-with-3-rare-moves/?sh=6dab36862573")</f>
        <v>https://www.forbes.com/sites/noahbarsky/2023/01/31/walmart-recession-proofs-retail-reign-with-3-rare-moves/?sh=6dab36862573</v>
      </c>
      <c r="S117" t="s">
        <v>2260</v>
      </c>
      <c r="T117" s="78" t="s">
        <v>2312</v>
      </c>
      <c r="U117" s="77" t="str">
        <f>HYPERLINK("https://pbs.twimg.com/media/Fnz7uuFWIAAYTfI.jpg")</f>
        <v>https://pbs.twimg.com/media/Fnz7uuFWIAAYTfI.jpg</v>
      </c>
      <c r="V117" s="77" t="str">
        <f>HYPERLINK("https://pbs.twimg.com/media/Fnz7uuFWIAAYTfI.jpg")</f>
        <v>https://pbs.twimg.com/media/Fnz7uuFWIAAYTfI.jpg</v>
      </c>
      <c r="W117" s="76">
        <v>44958.308622685188</v>
      </c>
      <c r="X117" s="80">
        <v>44958</v>
      </c>
      <c r="Y117" s="78" t="s">
        <v>2440</v>
      </c>
      <c r="Z117" s="77" t="str">
        <f>HYPERLINK("https://twitter.com/betamoroney/status/1620684479747739649")</f>
        <v>https://twitter.com/betamoroney/status/1620684479747739649</v>
      </c>
      <c r="AC117" s="78" t="s">
        <v>3455</v>
      </c>
      <c r="AE117" t="b">
        <v>0</v>
      </c>
      <c r="AF117">
        <v>0</v>
      </c>
      <c r="AG117" s="78" t="s">
        <v>4640</v>
      </c>
      <c r="AH117" t="b">
        <v>0</v>
      </c>
      <c r="AI117" t="s">
        <v>4829</v>
      </c>
      <c r="AK117" s="78" t="s">
        <v>4640</v>
      </c>
      <c r="AL117" t="b">
        <v>0</v>
      </c>
      <c r="AM117">
        <v>15</v>
      </c>
      <c r="AN117" s="78" t="s">
        <v>3454</v>
      </c>
      <c r="AO117" s="78" t="s">
        <v>4851</v>
      </c>
      <c r="AP117" t="b">
        <v>0</v>
      </c>
      <c r="AQ117" s="78" t="s">
        <v>3454</v>
      </c>
      <c r="AR117" t="s">
        <v>179</v>
      </c>
      <c r="AS117">
        <v>0</v>
      </c>
      <c r="AT117">
        <v>0</v>
      </c>
    </row>
    <row r="118" spans="1:46" x14ac:dyDescent="0.45">
      <c r="A118" s="62" t="s">
        <v>237</v>
      </c>
      <c r="B118" s="62" t="s">
        <v>1142</v>
      </c>
      <c r="C118" s="63"/>
      <c r="D118" s="64"/>
      <c r="E118" s="65"/>
      <c r="F118" s="66"/>
      <c r="G118" s="63"/>
      <c r="H118" s="67"/>
      <c r="I118" s="68"/>
      <c r="J118" s="68"/>
      <c r="K118" s="32"/>
      <c r="L118" s="75"/>
      <c r="M118" s="75"/>
      <c r="N118" s="70"/>
      <c r="O118" t="s">
        <v>1570</v>
      </c>
      <c r="P118" s="76">
        <v>44958.344166666669</v>
      </c>
      <c r="Q118" t="s">
        <v>1589</v>
      </c>
      <c r="R118" s="77" t="str">
        <f>HYPERLINK("https://www.forbes.com/sites/noahbarsky/2023/01/31/walmart-recession-proofs-retail-reign-with-3-rare-moves/?sh=6dab36862573")</f>
        <v>https://www.forbes.com/sites/noahbarsky/2023/01/31/walmart-recession-proofs-retail-reign-with-3-rare-moves/?sh=6dab36862573</v>
      </c>
      <c r="S118" t="s">
        <v>2260</v>
      </c>
      <c r="T118" s="78" t="s">
        <v>2312</v>
      </c>
      <c r="U118" s="77" t="str">
        <f>HYPERLINK("https://pbs.twimg.com/media/Fnz7uuFWIAAYTfI.jpg")</f>
        <v>https://pbs.twimg.com/media/Fnz7uuFWIAAYTfI.jpg</v>
      </c>
      <c r="V118" s="77" t="str">
        <f>HYPERLINK("https://pbs.twimg.com/media/Fnz7uuFWIAAYTfI.jpg")</f>
        <v>https://pbs.twimg.com/media/Fnz7uuFWIAAYTfI.jpg</v>
      </c>
      <c r="W118" s="76">
        <v>44958.344166666669</v>
      </c>
      <c r="X118" s="80">
        <v>44958</v>
      </c>
      <c r="Y118" s="78" t="s">
        <v>2441</v>
      </c>
      <c r="Z118" s="77" t="str">
        <f>HYPERLINK("https://twitter.com/sonu_monika/status/1620697359192825858")</f>
        <v>https://twitter.com/sonu_monika/status/1620697359192825858</v>
      </c>
      <c r="AC118" s="78" t="s">
        <v>3456</v>
      </c>
      <c r="AE118" t="b">
        <v>0</v>
      </c>
      <c r="AF118">
        <v>0</v>
      </c>
      <c r="AG118" s="78" t="s">
        <v>4640</v>
      </c>
      <c r="AH118" t="b">
        <v>0</v>
      </c>
      <c r="AI118" t="s">
        <v>4829</v>
      </c>
      <c r="AK118" s="78" t="s">
        <v>4640</v>
      </c>
      <c r="AL118" t="b">
        <v>0</v>
      </c>
      <c r="AM118">
        <v>15</v>
      </c>
      <c r="AN118" s="78" t="s">
        <v>3454</v>
      </c>
      <c r="AO118" s="78" t="s">
        <v>4851</v>
      </c>
      <c r="AP118" t="b">
        <v>0</v>
      </c>
      <c r="AQ118" s="78" t="s">
        <v>3454</v>
      </c>
      <c r="AR118" t="s">
        <v>179</v>
      </c>
      <c r="AS118">
        <v>0</v>
      </c>
      <c r="AT118">
        <v>0</v>
      </c>
    </row>
    <row r="119" spans="1:46" x14ac:dyDescent="0.45">
      <c r="A119" s="62" t="s">
        <v>236</v>
      </c>
      <c r="B119" s="62" t="s">
        <v>237</v>
      </c>
      <c r="C119" s="63"/>
      <c r="D119" s="64"/>
      <c r="E119" s="65"/>
      <c r="F119" s="66"/>
      <c r="G119" s="63"/>
      <c r="H119" s="67"/>
      <c r="I119" s="68"/>
      <c r="J119" s="68"/>
      <c r="K119" s="32"/>
      <c r="L119" s="75"/>
      <c r="M119" s="75"/>
      <c r="N119" s="70"/>
      <c r="O119" t="s">
        <v>1570</v>
      </c>
      <c r="P119" s="76">
        <v>44958.308622685188</v>
      </c>
      <c r="Q119" t="s">
        <v>1589</v>
      </c>
      <c r="R119" s="77" t="str">
        <f>HYPERLINK("https://www.forbes.com/sites/noahbarsky/2023/01/31/walmart-recession-proofs-retail-reign-with-3-rare-moves/?sh=6dab36862573")</f>
        <v>https://www.forbes.com/sites/noahbarsky/2023/01/31/walmart-recession-proofs-retail-reign-with-3-rare-moves/?sh=6dab36862573</v>
      </c>
      <c r="S119" t="s">
        <v>2260</v>
      </c>
      <c r="T119" s="78" t="s">
        <v>2312</v>
      </c>
      <c r="U119" s="77" t="str">
        <f>HYPERLINK("https://pbs.twimg.com/media/Fnz7uuFWIAAYTfI.jpg")</f>
        <v>https://pbs.twimg.com/media/Fnz7uuFWIAAYTfI.jpg</v>
      </c>
      <c r="V119" s="77" t="str">
        <f>HYPERLINK("https://pbs.twimg.com/media/Fnz7uuFWIAAYTfI.jpg")</f>
        <v>https://pbs.twimg.com/media/Fnz7uuFWIAAYTfI.jpg</v>
      </c>
      <c r="W119" s="76">
        <v>44958.308622685188</v>
      </c>
      <c r="X119" s="80">
        <v>44958</v>
      </c>
      <c r="Y119" s="78" t="s">
        <v>2440</v>
      </c>
      <c r="Z119" s="77" t="str">
        <f>HYPERLINK("https://twitter.com/betamoroney/status/1620684479747739649")</f>
        <v>https://twitter.com/betamoroney/status/1620684479747739649</v>
      </c>
      <c r="AC119" s="78" t="s">
        <v>3455</v>
      </c>
      <c r="AE119" t="b">
        <v>0</v>
      </c>
      <c r="AF119">
        <v>0</v>
      </c>
      <c r="AG119" s="78" t="s">
        <v>4640</v>
      </c>
      <c r="AH119" t="b">
        <v>0</v>
      </c>
      <c r="AI119" t="s">
        <v>4829</v>
      </c>
      <c r="AK119" s="78" t="s">
        <v>4640</v>
      </c>
      <c r="AL119" t="b">
        <v>0</v>
      </c>
      <c r="AM119">
        <v>15</v>
      </c>
      <c r="AN119" s="78" t="s">
        <v>3454</v>
      </c>
      <c r="AO119" s="78" t="s">
        <v>4851</v>
      </c>
      <c r="AP119" t="b">
        <v>0</v>
      </c>
      <c r="AQ119" s="78" t="s">
        <v>3454</v>
      </c>
      <c r="AR119" t="s">
        <v>179</v>
      </c>
      <c r="AS119">
        <v>0</v>
      </c>
      <c r="AT119">
        <v>0</v>
      </c>
    </row>
    <row r="120" spans="1:46" x14ac:dyDescent="0.45">
      <c r="A120" s="62" t="s">
        <v>237</v>
      </c>
      <c r="B120" s="62" t="s">
        <v>1016</v>
      </c>
      <c r="C120" s="63"/>
      <c r="D120" s="64"/>
      <c r="E120" s="65"/>
      <c r="F120" s="66"/>
      <c r="G120" s="63"/>
      <c r="H120" s="67"/>
      <c r="I120" s="68"/>
      <c r="J120" s="68"/>
      <c r="K120" s="32"/>
      <c r="L120" s="75"/>
      <c r="M120" s="75"/>
      <c r="N120" s="70"/>
      <c r="O120" t="s">
        <v>1570</v>
      </c>
      <c r="P120" s="76">
        <v>44958.344166666669</v>
      </c>
      <c r="Q120" t="s">
        <v>1589</v>
      </c>
      <c r="R120" s="77" t="str">
        <f>HYPERLINK("https://www.forbes.com/sites/noahbarsky/2023/01/31/walmart-recession-proofs-retail-reign-with-3-rare-moves/?sh=6dab36862573")</f>
        <v>https://www.forbes.com/sites/noahbarsky/2023/01/31/walmart-recession-proofs-retail-reign-with-3-rare-moves/?sh=6dab36862573</v>
      </c>
      <c r="S120" t="s">
        <v>2260</v>
      </c>
      <c r="T120" s="78" t="s">
        <v>2312</v>
      </c>
      <c r="U120" s="77" t="str">
        <f>HYPERLINK("https://pbs.twimg.com/media/Fnz7uuFWIAAYTfI.jpg")</f>
        <v>https://pbs.twimg.com/media/Fnz7uuFWIAAYTfI.jpg</v>
      </c>
      <c r="V120" s="77" t="str">
        <f>HYPERLINK("https://pbs.twimg.com/media/Fnz7uuFWIAAYTfI.jpg")</f>
        <v>https://pbs.twimg.com/media/Fnz7uuFWIAAYTfI.jpg</v>
      </c>
      <c r="W120" s="76">
        <v>44958.344166666669</v>
      </c>
      <c r="X120" s="80">
        <v>44958</v>
      </c>
      <c r="Y120" s="78" t="s">
        <v>2441</v>
      </c>
      <c r="Z120" s="77" t="str">
        <f>HYPERLINK("https://twitter.com/sonu_monika/status/1620697359192825858")</f>
        <v>https://twitter.com/sonu_monika/status/1620697359192825858</v>
      </c>
      <c r="AC120" s="78" t="s">
        <v>3456</v>
      </c>
      <c r="AE120" t="b">
        <v>0</v>
      </c>
      <c r="AF120">
        <v>0</v>
      </c>
      <c r="AG120" s="78" t="s">
        <v>4640</v>
      </c>
      <c r="AH120" t="b">
        <v>0</v>
      </c>
      <c r="AI120" t="s">
        <v>4829</v>
      </c>
      <c r="AK120" s="78" t="s">
        <v>4640</v>
      </c>
      <c r="AL120" t="b">
        <v>0</v>
      </c>
      <c r="AM120">
        <v>15</v>
      </c>
      <c r="AN120" s="78" t="s">
        <v>3454</v>
      </c>
      <c r="AO120" s="78" t="s">
        <v>4851</v>
      </c>
      <c r="AP120" t="b">
        <v>0</v>
      </c>
      <c r="AQ120" s="78" t="s">
        <v>3454</v>
      </c>
      <c r="AR120" t="s">
        <v>179</v>
      </c>
      <c r="AS120">
        <v>0</v>
      </c>
      <c r="AT120">
        <v>0</v>
      </c>
    </row>
    <row r="121" spans="1:46" x14ac:dyDescent="0.45">
      <c r="A121" s="62" t="s">
        <v>237</v>
      </c>
      <c r="B121" s="62" t="s">
        <v>1143</v>
      </c>
      <c r="C121" s="63"/>
      <c r="D121" s="64"/>
      <c r="E121" s="65"/>
      <c r="F121" s="66"/>
      <c r="G121" s="63"/>
      <c r="H121" s="67"/>
      <c r="I121" s="68"/>
      <c r="J121" s="68"/>
      <c r="K121" s="32"/>
      <c r="L121" s="75"/>
      <c r="M121" s="75"/>
      <c r="N121" s="70"/>
      <c r="O121" t="s">
        <v>1570</v>
      </c>
      <c r="P121" s="76">
        <v>44958.344166666669</v>
      </c>
      <c r="Q121" t="s">
        <v>1589</v>
      </c>
      <c r="R121" s="77" t="str">
        <f>HYPERLINK("https://www.forbes.com/sites/noahbarsky/2023/01/31/walmart-recession-proofs-retail-reign-with-3-rare-moves/?sh=6dab36862573")</f>
        <v>https://www.forbes.com/sites/noahbarsky/2023/01/31/walmart-recession-proofs-retail-reign-with-3-rare-moves/?sh=6dab36862573</v>
      </c>
      <c r="S121" t="s">
        <v>2260</v>
      </c>
      <c r="T121" s="78" t="s">
        <v>2312</v>
      </c>
      <c r="U121" s="77" t="str">
        <f>HYPERLINK("https://pbs.twimg.com/media/Fnz7uuFWIAAYTfI.jpg")</f>
        <v>https://pbs.twimg.com/media/Fnz7uuFWIAAYTfI.jpg</v>
      </c>
      <c r="V121" s="77" t="str">
        <f>HYPERLINK("https://pbs.twimg.com/media/Fnz7uuFWIAAYTfI.jpg")</f>
        <v>https://pbs.twimg.com/media/Fnz7uuFWIAAYTfI.jpg</v>
      </c>
      <c r="W121" s="76">
        <v>44958.344166666669</v>
      </c>
      <c r="X121" s="80">
        <v>44958</v>
      </c>
      <c r="Y121" s="78" t="s">
        <v>2441</v>
      </c>
      <c r="Z121" s="77" t="str">
        <f>HYPERLINK("https://twitter.com/sonu_monika/status/1620697359192825858")</f>
        <v>https://twitter.com/sonu_monika/status/1620697359192825858</v>
      </c>
      <c r="AC121" s="78" t="s">
        <v>3456</v>
      </c>
      <c r="AE121" t="b">
        <v>0</v>
      </c>
      <c r="AF121">
        <v>0</v>
      </c>
      <c r="AG121" s="78" t="s">
        <v>4640</v>
      </c>
      <c r="AH121" t="b">
        <v>0</v>
      </c>
      <c r="AI121" t="s">
        <v>4829</v>
      </c>
      <c r="AK121" s="78" t="s">
        <v>4640</v>
      </c>
      <c r="AL121" t="b">
        <v>0</v>
      </c>
      <c r="AM121">
        <v>15</v>
      </c>
      <c r="AN121" s="78" t="s">
        <v>3454</v>
      </c>
      <c r="AO121" s="78" t="s">
        <v>4851</v>
      </c>
      <c r="AP121" t="b">
        <v>0</v>
      </c>
      <c r="AQ121" s="78" t="s">
        <v>3454</v>
      </c>
      <c r="AR121" t="s">
        <v>179</v>
      </c>
      <c r="AS121">
        <v>0</v>
      </c>
      <c r="AT121">
        <v>0</v>
      </c>
    </row>
    <row r="122" spans="1:46" x14ac:dyDescent="0.45">
      <c r="A122" s="62" t="s">
        <v>237</v>
      </c>
      <c r="B122" s="62" t="s">
        <v>957</v>
      </c>
      <c r="C122" s="63"/>
      <c r="D122" s="64"/>
      <c r="E122" s="65"/>
      <c r="F122" s="66"/>
      <c r="G122" s="63"/>
      <c r="H122" s="67"/>
      <c r="I122" s="68"/>
      <c r="J122" s="68"/>
      <c r="K122" s="32"/>
      <c r="L122" s="75"/>
      <c r="M122" s="75"/>
      <c r="N122" s="70"/>
      <c r="O122" t="s">
        <v>1570</v>
      </c>
      <c r="P122" s="76">
        <v>44958.344166666669</v>
      </c>
      <c r="Q122" t="s">
        <v>1589</v>
      </c>
      <c r="R122" s="77" t="str">
        <f>HYPERLINK("https://www.forbes.com/sites/noahbarsky/2023/01/31/walmart-recession-proofs-retail-reign-with-3-rare-moves/?sh=6dab36862573")</f>
        <v>https://www.forbes.com/sites/noahbarsky/2023/01/31/walmart-recession-proofs-retail-reign-with-3-rare-moves/?sh=6dab36862573</v>
      </c>
      <c r="S122" t="s">
        <v>2260</v>
      </c>
      <c r="T122" s="78" t="s">
        <v>2312</v>
      </c>
      <c r="U122" s="77" t="str">
        <f>HYPERLINK("https://pbs.twimg.com/media/Fnz7uuFWIAAYTfI.jpg")</f>
        <v>https://pbs.twimg.com/media/Fnz7uuFWIAAYTfI.jpg</v>
      </c>
      <c r="V122" s="77" t="str">
        <f>HYPERLINK("https://pbs.twimg.com/media/Fnz7uuFWIAAYTfI.jpg")</f>
        <v>https://pbs.twimg.com/media/Fnz7uuFWIAAYTfI.jpg</v>
      </c>
      <c r="W122" s="76">
        <v>44958.344166666669</v>
      </c>
      <c r="X122" s="80">
        <v>44958</v>
      </c>
      <c r="Y122" s="78" t="s">
        <v>2441</v>
      </c>
      <c r="Z122" s="77" t="str">
        <f>HYPERLINK("https://twitter.com/sonu_monika/status/1620697359192825858")</f>
        <v>https://twitter.com/sonu_monika/status/1620697359192825858</v>
      </c>
      <c r="AC122" s="78" t="s">
        <v>3456</v>
      </c>
      <c r="AE122" t="b">
        <v>0</v>
      </c>
      <c r="AF122">
        <v>0</v>
      </c>
      <c r="AG122" s="78" t="s">
        <v>4640</v>
      </c>
      <c r="AH122" t="b">
        <v>0</v>
      </c>
      <c r="AI122" t="s">
        <v>4829</v>
      </c>
      <c r="AK122" s="78" t="s">
        <v>4640</v>
      </c>
      <c r="AL122" t="b">
        <v>0</v>
      </c>
      <c r="AM122">
        <v>15</v>
      </c>
      <c r="AN122" s="78" t="s">
        <v>3454</v>
      </c>
      <c r="AO122" s="78" t="s">
        <v>4851</v>
      </c>
      <c r="AP122" t="b">
        <v>0</v>
      </c>
      <c r="AQ122" s="78" t="s">
        <v>3454</v>
      </c>
      <c r="AR122" t="s">
        <v>179</v>
      </c>
      <c r="AS122">
        <v>0</v>
      </c>
      <c r="AT122">
        <v>0</v>
      </c>
    </row>
    <row r="123" spans="1:46" x14ac:dyDescent="0.45">
      <c r="A123" s="62" t="s">
        <v>237</v>
      </c>
      <c r="B123" s="62" t="s">
        <v>236</v>
      </c>
      <c r="C123" s="63"/>
      <c r="D123" s="64"/>
      <c r="E123" s="65"/>
      <c r="F123" s="66"/>
      <c r="G123" s="63"/>
      <c r="H123" s="67"/>
      <c r="I123" s="68"/>
      <c r="J123" s="68"/>
      <c r="K123" s="32"/>
      <c r="L123" s="75"/>
      <c r="M123" s="75"/>
      <c r="N123" s="70"/>
      <c r="O123" t="s">
        <v>1569</v>
      </c>
      <c r="P123" s="76">
        <v>44958.344166666669</v>
      </c>
      <c r="Q123" t="s">
        <v>1589</v>
      </c>
      <c r="R123" s="77" t="str">
        <f>HYPERLINK("https://www.forbes.com/sites/noahbarsky/2023/01/31/walmart-recession-proofs-retail-reign-with-3-rare-moves/?sh=6dab36862573")</f>
        <v>https://www.forbes.com/sites/noahbarsky/2023/01/31/walmart-recession-proofs-retail-reign-with-3-rare-moves/?sh=6dab36862573</v>
      </c>
      <c r="S123" t="s">
        <v>2260</v>
      </c>
      <c r="T123" s="78" t="s">
        <v>2312</v>
      </c>
      <c r="U123" s="77" t="str">
        <f>HYPERLINK("https://pbs.twimg.com/media/Fnz7uuFWIAAYTfI.jpg")</f>
        <v>https://pbs.twimg.com/media/Fnz7uuFWIAAYTfI.jpg</v>
      </c>
      <c r="V123" s="77" t="str">
        <f>HYPERLINK("https://pbs.twimg.com/media/Fnz7uuFWIAAYTfI.jpg")</f>
        <v>https://pbs.twimg.com/media/Fnz7uuFWIAAYTfI.jpg</v>
      </c>
      <c r="W123" s="76">
        <v>44958.344166666669</v>
      </c>
      <c r="X123" s="80">
        <v>44958</v>
      </c>
      <c r="Y123" s="78" t="s">
        <v>2441</v>
      </c>
      <c r="Z123" s="77" t="str">
        <f>HYPERLINK("https://twitter.com/sonu_monika/status/1620697359192825858")</f>
        <v>https://twitter.com/sonu_monika/status/1620697359192825858</v>
      </c>
      <c r="AC123" s="78" t="s">
        <v>3456</v>
      </c>
      <c r="AE123" t="b">
        <v>0</v>
      </c>
      <c r="AF123">
        <v>0</v>
      </c>
      <c r="AG123" s="78" t="s">
        <v>4640</v>
      </c>
      <c r="AH123" t="b">
        <v>0</v>
      </c>
      <c r="AI123" t="s">
        <v>4829</v>
      </c>
      <c r="AK123" s="78" t="s">
        <v>4640</v>
      </c>
      <c r="AL123" t="b">
        <v>0</v>
      </c>
      <c r="AM123">
        <v>15</v>
      </c>
      <c r="AN123" s="78" t="s">
        <v>3454</v>
      </c>
      <c r="AO123" s="78" t="s">
        <v>4851</v>
      </c>
      <c r="AP123" t="b">
        <v>0</v>
      </c>
      <c r="AQ123" s="78" t="s">
        <v>3454</v>
      </c>
      <c r="AR123" t="s">
        <v>179</v>
      </c>
      <c r="AS123">
        <v>0</v>
      </c>
      <c r="AT123">
        <v>0</v>
      </c>
    </row>
    <row r="124" spans="1:46" x14ac:dyDescent="0.45">
      <c r="A124" s="62" t="s">
        <v>237</v>
      </c>
      <c r="B124" s="62" t="s">
        <v>242</v>
      </c>
      <c r="C124" s="63"/>
      <c r="D124" s="64"/>
      <c r="E124" s="65"/>
      <c r="F124" s="66"/>
      <c r="G124" s="63"/>
      <c r="H124" s="67"/>
      <c r="I124" s="68"/>
      <c r="J124" s="68"/>
      <c r="K124" s="32"/>
      <c r="L124" s="75"/>
      <c r="M124" s="75"/>
      <c r="N124" s="70"/>
      <c r="O124" t="s">
        <v>1567</v>
      </c>
      <c r="P124" s="76">
        <v>44958.344166666669</v>
      </c>
      <c r="Q124" t="s">
        <v>1589</v>
      </c>
      <c r="R124" s="77" t="str">
        <f>HYPERLINK("https://www.forbes.com/sites/noahbarsky/2023/01/31/walmart-recession-proofs-retail-reign-with-3-rare-moves/?sh=6dab36862573")</f>
        <v>https://www.forbes.com/sites/noahbarsky/2023/01/31/walmart-recession-proofs-retail-reign-with-3-rare-moves/?sh=6dab36862573</v>
      </c>
      <c r="S124" t="s">
        <v>2260</v>
      </c>
      <c r="T124" s="78" t="s">
        <v>2312</v>
      </c>
      <c r="U124" s="77" t="str">
        <f>HYPERLINK("https://pbs.twimg.com/media/Fnz7uuFWIAAYTfI.jpg")</f>
        <v>https://pbs.twimg.com/media/Fnz7uuFWIAAYTfI.jpg</v>
      </c>
      <c r="V124" s="77" t="str">
        <f>HYPERLINK("https://pbs.twimg.com/media/Fnz7uuFWIAAYTfI.jpg")</f>
        <v>https://pbs.twimg.com/media/Fnz7uuFWIAAYTfI.jpg</v>
      </c>
      <c r="W124" s="76">
        <v>44958.344166666669</v>
      </c>
      <c r="X124" s="80">
        <v>44958</v>
      </c>
      <c r="Y124" s="78" t="s">
        <v>2441</v>
      </c>
      <c r="Z124" s="77" t="str">
        <f>HYPERLINK("https://twitter.com/sonu_monika/status/1620697359192825858")</f>
        <v>https://twitter.com/sonu_monika/status/1620697359192825858</v>
      </c>
      <c r="AC124" s="78" t="s">
        <v>3456</v>
      </c>
      <c r="AE124" t="b">
        <v>0</v>
      </c>
      <c r="AF124">
        <v>0</v>
      </c>
      <c r="AG124" s="78" t="s">
        <v>4640</v>
      </c>
      <c r="AH124" t="b">
        <v>0</v>
      </c>
      <c r="AI124" t="s">
        <v>4829</v>
      </c>
      <c r="AK124" s="78" t="s">
        <v>4640</v>
      </c>
      <c r="AL124" t="b">
        <v>0</v>
      </c>
      <c r="AM124">
        <v>15</v>
      </c>
      <c r="AN124" s="78" t="s">
        <v>3454</v>
      </c>
      <c r="AO124" s="78" t="s">
        <v>4851</v>
      </c>
      <c r="AP124" t="b">
        <v>0</v>
      </c>
      <c r="AQ124" s="78" t="s">
        <v>3454</v>
      </c>
      <c r="AR124" t="s">
        <v>179</v>
      </c>
      <c r="AS124">
        <v>0</v>
      </c>
      <c r="AT124">
        <v>0</v>
      </c>
    </row>
    <row r="125" spans="1:46" x14ac:dyDescent="0.45">
      <c r="A125" s="62" t="s">
        <v>958</v>
      </c>
      <c r="B125" s="62" t="s">
        <v>1466</v>
      </c>
      <c r="C125" s="63"/>
      <c r="D125" s="64"/>
      <c r="E125" s="65"/>
      <c r="F125" s="66"/>
      <c r="G125" s="63"/>
      <c r="H125" s="67"/>
      <c r="I125" s="68"/>
      <c r="J125" s="68"/>
      <c r="K125" s="32"/>
      <c r="L125" s="75"/>
      <c r="M125" s="75"/>
      <c r="N125" s="70"/>
      <c r="O125" t="s">
        <v>1570</v>
      </c>
      <c r="P125" s="76">
        <v>44959.19462962963</v>
      </c>
      <c r="Q125" t="s">
        <v>2117</v>
      </c>
      <c r="R125" s="77" t="str">
        <f>HYPERLINK("https://www.forbes.com/sites/noahbarsky/2023/01/31/walmart-recession-proofs-retail-reign-with-3-rare-moves/")</f>
        <v>https://www.forbes.com/sites/noahbarsky/2023/01/31/walmart-recession-proofs-retail-reign-with-3-rare-moves/</v>
      </c>
      <c r="S125" t="s">
        <v>2260</v>
      </c>
      <c r="T125" s="78" t="s">
        <v>2312</v>
      </c>
      <c r="V125" s="77" t="str">
        <f>HYPERLINK("https://pbs.twimg.com/profile_images/1493343693692153866/3dXk9NkF_normal.jpg")</f>
        <v>https://pbs.twimg.com/profile_images/1493343693692153866/3dXk9NkF_normal.jpg</v>
      </c>
      <c r="W125" s="76">
        <v>44959.19462962963</v>
      </c>
      <c r="X125" s="80">
        <v>44959</v>
      </c>
      <c r="Y125" s="78" t="s">
        <v>3234</v>
      </c>
      <c r="Z125" s="77" t="str">
        <f>HYPERLINK("https://twitter.com/cuttertweets/status/1621005558190063616")</f>
        <v>https://twitter.com/cuttertweets/status/1621005558190063616</v>
      </c>
      <c r="AC125" s="78" t="s">
        <v>4299</v>
      </c>
      <c r="AE125" t="b">
        <v>0</v>
      </c>
      <c r="AF125">
        <v>0</v>
      </c>
      <c r="AG125" s="78" t="s">
        <v>4640</v>
      </c>
      <c r="AH125" t="b">
        <v>0</v>
      </c>
      <c r="AI125" t="s">
        <v>4829</v>
      </c>
      <c r="AK125" s="78" t="s">
        <v>4640</v>
      </c>
      <c r="AL125" t="b">
        <v>0</v>
      </c>
      <c r="AM125">
        <v>3</v>
      </c>
      <c r="AN125" s="78" t="s">
        <v>4298</v>
      </c>
      <c r="AO125" s="78" t="s">
        <v>4849</v>
      </c>
      <c r="AP125" t="b">
        <v>0</v>
      </c>
      <c r="AQ125" s="78" t="s">
        <v>4298</v>
      </c>
      <c r="AR125" t="s">
        <v>179</v>
      </c>
      <c r="AS125">
        <v>0</v>
      </c>
      <c r="AT125">
        <v>0</v>
      </c>
    </row>
    <row r="126" spans="1:46" x14ac:dyDescent="0.45">
      <c r="A126" s="62" t="s">
        <v>958</v>
      </c>
      <c r="B126" s="62" t="s">
        <v>1467</v>
      </c>
      <c r="C126" s="63"/>
      <c r="D126" s="64"/>
      <c r="E126" s="65"/>
      <c r="F126" s="66"/>
      <c r="G126" s="63"/>
      <c r="H126" s="67"/>
      <c r="I126" s="68"/>
      <c r="J126" s="68"/>
      <c r="K126" s="32"/>
      <c r="L126" s="75"/>
      <c r="M126" s="75"/>
      <c r="N126" s="70"/>
      <c r="O126" t="s">
        <v>1570</v>
      </c>
      <c r="P126" s="76">
        <v>44959.19462962963</v>
      </c>
      <c r="Q126" t="s">
        <v>2117</v>
      </c>
      <c r="R126" s="77" t="str">
        <f>HYPERLINK("https://www.forbes.com/sites/noahbarsky/2023/01/31/walmart-recession-proofs-retail-reign-with-3-rare-moves/")</f>
        <v>https://www.forbes.com/sites/noahbarsky/2023/01/31/walmart-recession-proofs-retail-reign-with-3-rare-moves/</v>
      </c>
      <c r="S126" t="s">
        <v>2260</v>
      </c>
      <c r="T126" s="78" t="s">
        <v>2312</v>
      </c>
      <c r="V126" s="77" t="str">
        <f>HYPERLINK("https://pbs.twimg.com/profile_images/1493343693692153866/3dXk9NkF_normal.jpg")</f>
        <v>https://pbs.twimg.com/profile_images/1493343693692153866/3dXk9NkF_normal.jpg</v>
      </c>
      <c r="W126" s="76">
        <v>44959.19462962963</v>
      </c>
      <c r="X126" s="80">
        <v>44959</v>
      </c>
      <c r="Y126" s="78" t="s">
        <v>3234</v>
      </c>
      <c r="Z126" s="77" t="str">
        <f>HYPERLINK("https://twitter.com/cuttertweets/status/1621005558190063616")</f>
        <v>https://twitter.com/cuttertweets/status/1621005558190063616</v>
      </c>
      <c r="AC126" s="78" t="s">
        <v>4299</v>
      </c>
      <c r="AE126" t="b">
        <v>0</v>
      </c>
      <c r="AF126">
        <v>0</v>
      </c>
      <c r="AG126" s="78" t="s">
        <v>4640</v>
      </c>
      <c r="AH126" t="b">
        <v>0</v>
      </c>
      <c r="AI126" t="s">
        <v>4829</v>
      </c>
      <c r="AK126" s="78" t="s">
        <v>4640</v>
      </c>
      <c r="AL126" t="b">
        <v>0</v>
      </c>
      <c r="AM126">
        <v>3</v>
      </c>
      <c r="AN126" s="78" t="s">
        <v>4298</v>
      </c>
      <c r="AO126" s="78" t="s">
        <v>4849</v>
      </c>
      <c r="AP126" t="b">
        <v>0</v>
      </c>
      <c r="AQ126" s="78" t="s">
        <v>4298</v>
      </c>
      <c r="AR126" t="s">
        <v>179</v>
      </c>
      <c r="AS126">
        <v>0</v>
      </c>
      <c r="AT126">
        <v>0</v>
      </c>
    </row>
    <row r="127" spans="1:46" x14ac:dyDescent="0.45">
      <c r="A127" s="62" t="s">
        <v>958</v>
      </c>
      <c r="B127" s="62" t="s">
        <v>236</v>
      </c>
      <c r="C127" s="63"/>
      <c r="D127" s="64"/>
      <c r="E127" s="65"/>
      <c r="F127" s="66"/>
      <c r="G127" s="63"/>
      <c r="H127" s="67"/>
      <c r="I127" s="68"/>
      <c r="J127" s="68"/>
      <c r="K127" s="32"/>
      <c r="L127" s="75"/>
      <c r="M127" s="75"/>
      <c r="N127" s="70"/>
      <c r="O127" t="s">
        <v>1570</v>
      </c>
      <c r="P127" s="76">
        <v>44959.19462962963</v>
      </c>
      <c r="Q127" t="s">
        <v>2117</v>
      </c>
      <c r="R127" s="77" t="str">
        <f>HYPERLINK("https://www.forbes.com/sites/noahbarsky/2023/01/31/walmart-recession-proofs-retail-reign-with-3-rare-moves/")</f>
        <v>https://www.forbes.com/sites/noahbarsky/2023/01/31/walmart-recession-proofs-retail-reign-with-3-rare-moves/</v>
      </c>
      <c r="S127" t="s">
        <v>2260</v>
      </c>
      <c r="T127" s="78" t="s">
        <v>2312</v>
      </c>
      <c r="V127" s="77" t="str">
        <f>HYPERLINK("https://pbs.twimg.com/profile_images/1493343693692153866/3dXk9NkF_normal.jpg")</f>
        <v>https://pbs.twimg.com/profile_images/1493343693692153866/3dXk9NkF_normal.jpg</v>
      </c>
      <c r="W127" s="76">
        <v>44959.19462962963</v>
      </c>
      <c r="X127" s="80">
        <v>44959</v>
      </c>
      <c r="Y127" s="78" t="s">
        <v>3234</v>
      </c>
      <c r="Z127" s="77" t="str">
        <f>HYPERLINK("https://twitter.com/cuttertweets/status/1621005558190063616")</f>
        <v>https://twitter.com/cuttertweets/status/1621005558190063616</v>
      </c>
      <c r="AC127" s="78" t="s">
        <v>4299</v>
      </c>
      <c r="AE127" t="b">
        <v>0</v>
      </c>
      <c r="AF127">
        <v>0</v>
      </c>
      <c r="AG127" s="78" t="s">
        <v>4640</v>
      </c>
      <c r="AH127" t="b">
        <v>0</v>
      </c>
      <c r="AI127" t="s">
        <v>4829</v>
      </c>
      <c r="AK127" s="78" t="s">
        <v>4640</v>
      </c>
      <c r="AL127" t="b">
        <v>0</v>
      </c>
      <c r="AM127">
        <v>3</v>
      </c>
      <c r="AN127" s="78" t="s">
        <v>4298</v>
      </c>
      <c r="AO127" s="78" t="s">
        <v>4849</v>
      </c>
      <c r="AP127" t="b">
        <v>0</v>
      </c>
      <c r="AQ127" s="78" t="s">
        <v>4298</v>
      </c>
      <c r="AR127" t="s">
        <v>179</v>
      </c>
      <c r="AS127">
        <v>0</v>
      </c>
      <c r="AT127">
        <v>0</v>
      </c>
    </row>
    <row r="128" spans="1:46" x14ac:dyDescent="0.45">
      <c r="A128" s="62" t="s">
        <v>958</v>
      </c>
      <c r="B128" s="62" t="s">
        <v>242</v>
      </c>
      <c r="C128" s="63"/>
      <c r="D128" s="64"/>
      <c r="E128" s="65"/>
      <c r="F128" s="66"/>
      <c r="G128" s="63"/>
      <c r="H128" s="67"/>
      <c r="I128" s="68"/>
      <c r="J128" s="68"/>
      <c r="K128" s="32"/>
      <c r="L128" s="75"/>
      <c r="M128" s="75"/>
      <c r="N128" s="70"/>
      <c r="O128" t="s">
        <v>1570</v>
      </c>
      <c r="P128" s="76">
        <v>44959.19462962963</v>
      </c>
      <c r="Q128" t="s">
        <v>2117</v>
      </c>
      <c r="R128" s="77" t="str">
        <f>HYPERLINK("https://www.forbes.com/sites/noahbarsky/2023/01/31/walmart-recession-proofs-retail-reign-with-3-rare-moves/")</f>
        <v>https://www.forbes.com/sites/noahbarsky/2023/01/31/walmart-recession-proofs-retail-reign-with-3-rare-moves/</v>
      </c>
      <c r="S128" t="s">
        <v>2260</v>
      </c>
      <c r="T128" s="78" t="s">
        <v>2312</v>
      </c>
      <c r="V128" s="77" t="str">
        <f>HYPERLINK("https://pbs.twimg.com/profile_images/1493343693692153866/3dXk9NkF_normal.jpg")</f>
        <v>https://pbs.twimg.com/profile_images/1493343693692153866/3dXk9NkF_normal.jpg</v>
      </c>
      <c r="W128" s="76">
        <v>44959.19462962963</v>
      </c>
      <c r="X128" s="80">
        <v>44959</v>
      </c>
      <c r="Y128" s="78" t="s">
        <v>3234</v>
      </c>
      <c r="Z128" s="77" t="str">
        <f>HYPERLINK("https://twitter.com/cuttertweets/status/1621005558190063616")</f>
        <v>https://twitter.com/cuttertweets/status/1621005558190063616</v>
      </c>
      <c r="AC128" s="78" t="s">
        <v>4299</v>
      </c>
      <c r="AE128" t="b">
        <v>0</v>
      </c>
      <c r="AF128">
        <v>0</v>
      </c>
      <c r="AG128" s="78" t="s">
        <v>4640</v>
      </c>
      <c r="AH128" t="b">
        <v>0</v>
      </c>
      <c r="AI128" t="s">
        <v>4829</v>
      </c>
      <c r="AK128" s="78" t="s">
        <v>4640</v>
      </c>
      <c r="AL128" t="b">
        <v>0</v>
      </c>
      <c r="AM128">
        <v>3</v>
      </c>
      <c r="AN128" s="78" t="s">
        <v>4298</v>
      </c>
      <c r="AO128" s="78" t="s">
        <v>4849</v>
      </c>
      <c r="AP128" t="b">
        <v>0</v>
      </c>
      <c r="AQ128" s="78" t="s">
        <v>4298</v>
      </c>
      <c r="AR128" t="s">
        <v>179</v>
      </c>
      <c r="AS128">
        <v>0</v>
      </c>
      <c r="AT128">
        <v>0</v>
      </c>
    </row>
    <row r="129" spans="1:46" x14ac:dyDescent="0.45">
      <c r="A129" s="62" t="s">
        <v>958</v>
      </c>
      <c r="B129" s="62" t="s">
        <v>957</v>
      </c>
      <c r="C129" s="63"/>
      <c r="D129" s="64"/>
      <c r="E129" s="65"/>
      <c r="F129" s="66"/>
      <c r="G129" s="63"/>
      <c r="H129" s="67"/>
      <c r="I129" s="68"/>
      <c r="J129" s="68"/>
      <c r="K129" s="32"/>
      <c r="L129" s="75"/>
      <c r="M129" s="75"/>
      <c r="N129" s="70"/>
      <c r="O129" t="s">
        <v>1569</v>
      </c>
      <c r="P129" s="76">
        <v>44959.19462962963</v>
      </c>
      <c r="Q129" t="s">
        <v>2117</v>
      </c>
      <c r="R129" s="77" t="str">
        <f>HYPERLINK("https://www.forbes.com/sites/noahbarsky/2023/01/31/walmart-recession-proofs-retail-reign-with-3-rare-moves/")</f>
        <v>https://www.forbes.com/sites/noahbarsky/2023/01/31/walmart-recession-proofs-retail-reign-with-3-rare-moves/</v>
      </c>
      <c r="S129" t="s">
        <v>2260</v>
      </c>
      <c r="T129" s="78" t="s">
        <v>2312</v>
      </c>
      <c r="V129" s="77" t="str">
        <f>HYPERLINK("https://pbs.twimg.com/profile_images/1493343693692153866/3dXk9NkF_normal.jpg")</f>
        <v>https://pbs.twimg.com/profile_images/1493343693692153866/3dXk9NkF_normal.jpg</v>
      </c>
      <c r="W129" s="76">
        <v>44959.19462962963</v>
      </c>
      <c r="X129" s="80">
        <v>44959</v>
      </c>
      <c r="Y129" s="78" t="s">
        <v>3234</v>
      </c>
      <c r="Z129" s="77" t="str">
        <f>HYPERLINK("https://twitter.com/cuttertweets/status/1621005558190063616")</f>
        <v>https://twitter.com/cuttertweets/status/1621005558190063616</v>
      </c>
      <c r="AC129" s="78" t="s">
        <v>4299</v>
      </c>
      <c r="AE129" t="b">
        <v>0</v>
      </c>
      <c r="AF129">
        <v>0</v>
      </c>
      <c r="AG129" s="78" t="s">
        <v>4640</v>
      </c>
      <c r="AH129" t="b">
        <v>0</v>
      </c>
      <c r="AI129" t="s">
        <v>4829</v>
      </c>
      <c r="AK129" s="78" t="s">
        <v>4640</v>
      </c>
      <c r="AL129" t="b">
        <v>0</v>
      </c>
      <c r="AM129">
        <v>3</v>
      </c>
      <c r="AN129" s="78" t="s">
        <v>4298</v>
      </c>
      <c r="AO129" s="78" t="s">
        <v>4849</v>
      </c>
      <c r="AP129" t="b">
        <v>0</v>
      </c>
      <c r="AQ129" s="78" t="s">
        <v>4298</v>
      </c>
      <c r="AR129" t="s">
        <v>179</v>
      </c>
      <c r="AS129">
        <v>0</v>
      </c>
      <c r="AT129">
        <v>0</v>
      </c>
    </row>
    <row r="130" spans="1:46" x14ac:dyDescent="0.45">
      <c r="A130" s="62" t="s">
        <v>236</v>
      </c>
      <c r="B130" s="62" t="s">
        <v>1016</v>
      </c>
      <c r="C130" s="63"/>
      <c r="D130" s="64"/>
      <c r="E130" s="65"/>
      <c r="F130" s="66"/>
      <c r="G130" s="63"/>
      <c r="H130" s="67"/>
      <c r="I130" s="68"/>
      <c r="J130" s="68"/>
      <c r="K130" s="32"/>
      <c r="L130" s="75"/>
      <c r="M130" s="75"/>
      <c r="N130" s="70"/>
      <c r="O130" t="s">
        <v>1570</v>
      </c>
      <c r="P130" s="76">
        <v>44958.308622685188</v>
      </c>
      <c r="Q130" t="s">
        <v>1589</v>
      </c>
      <c r="R130" s="77" t="str">
        <f>HYPERLINK("https://www.forbes.com/sites/noahbarsky/2023/01/31/walmart-recession-proofs-retail-reign-with-3-rare-moves/?sh=6dab36862573")</f>
        <v>https://www.forbes.com/sites/noahbarsky/2023/01/31/walmart-recession-proofs-retail-reign-with-3-rare-moves/?sh=6dab36862573</v>
      </c>
      <c r="S130" t="s">
        <v>2260</v>
      </c>
      <c r="T130" s="78" t="s">
        <v>2312</v>
      </c>
      <c r="U130" s="77" t="str">
        <f>HYPERLINK("https://pbs.twimg.com/media/Fnz7uuFWIAAYTfI.jpg")</f>
        <v>https://pbs.twimg.com/media/Fnz7uuFWIAAYTfI.jpg</v>
      </c>
      <c r="V130" s="77" t="str">
        <f>HYPERLINK("https://pbs.twimg.com/media/Fnz7uuFWIAAYTfI.jpg")</f>
        <v>https://pbs.twimg.com/media/Fnz7uuFWIAAYTfI.jpg</v>
      </c>
      <c r="W130" s="76">
        <v>44958.308622685188</v>
      </c>
      <c r="X130" s="80">
        <v>44958</v>
      </c>
      <c r="Y130" s="78" t="s">
        <v>2440</v>
      </c>
      <c r="Z130" s="77" t="str">
        <f>HYPERLINK("https://twitter.com/betamoroney/status/1620684479747739649")</f>
        <v>https://twitter.com/betamoroney/status/1620684479747739649</v>
      </c>
      <c r="AC130" s="78" t="s">
        <v>3455</v>
      </c>
      <c r="AE130" t="b">
        <v>0</v>
      </c>
      <c r="AF130">
        <v>0</v>
      </c>
      <c r="AG130" s="78" t="s">
        <v>4640</v>
      </c>
      <c r="AH130" t="b">
        <v>0</v>
      </c>
      <c r="AI130" t="s">
        <v>4829</v>
      </c>
      <c r="AK130" s="78" t="s">
        <v>4640</v>
      </c>
      <c r="AL130" t="b">
        <v>0</v>
      </c>
      <c r="AM130">
        <v>15</v>
      </c>
      <c r="AN130" s="78" t="s">
        <v>3454</v>
      </c>
      <c r="AO130" s="78" t="s">
        <v>4851</v>
      </c>
      <c r="AP130" t="b">
        <v>0</v>
      </c>
      <c r="AQ130" s="78" t="s">
        <v>3454</v>
      </c>
      <c r="AR130" t="s">
        <v>179</v>
      </c>
      <c r="AS130">
        <v>0</v>
      </c>
      <c r="AT130">
        <v>0</v>
      </c>
    </row>
    <row r="131" spans="1:46" x14ac:dyDescent="0.45">
      <c r="A131" s="62" t="s">
        <v>236</v>
      </c>
      <c r="B131" s="62" t="s">
        <v>1143</v>
      </c>
      <c r="C131" s="63"/>
      <c r="D131" s="64"/>
      <c r="E131" s="65"/>
      <c r="F131" s="66"/>
      <c r="G131" s="63"/>
      <c r="H131" s="67"/>
      <c r="I131" s="68"/>
      <c r="J131" s="68"/>
      <c r="K131" s="32"/>
      <c r="L131" s="75"/>
      <c r="M131" s="75"/>
      <c r="N131" s="70"/>
      <c r="O131" t="s">
        <v>1570</v>
      </c>
      <c r="P131" s="76">
        <v>44958.308622685188</v>
      </c>
      <c r="Q131" t="s">
        <v>1589</v>
      </c>
      <c r="R131" s="77" t="str">
        <f>HYPERLINK("https://www.forbes.com/sites/noahbarsky/2023/01/31/walmart-recession-proofs-retail-reign-with-3-rare-moves/?sh=6dab36862573")</f>
        <v>https://www.forbes.com/sites/noahbarsky/2023/01/31/walmart-recession-proofs-retail-reign-with-3-rare-moves/?sh=6dab36862573</v>
      </c>
      <c r="S131" t="s">
        <v>2260</v>
      </c>
      <c r="T131" s="78" t="s">
        <v>2312</v>
      </c>
      <c r="U131" s="77" t="str">
        <f>HYPERLINK("https://pbs.twimg.com/media/Fnz7uuFWIAAYTfI.jpg")</f>
        <v>https://pbs.twimg.com/media/Fnz7uuFWIAAYTfI.jpg</v>
      </c>
      <c r="V131" s="77" t="str">
        <f>HYPERLINK("https://pbs.twimg.com/media/Fnz7uuFWIAAYTfI.jpg")</f>
        <v>https://pbs.twimg.com/media/Fnz7uuFWIAAYTfI.jpg</v>
      </c>
      <c r="W131" s="76">
        <v>44958.308622685188</v>
      </c>
      <c r="X131" s="80">
        <v>44958</v>
      </c>
      <c r="Y131" s="78" t="s">
        <v>2440</v>
      </c>
      <c r="Z131" s="77" t="str">
        <f>HYPERLINK("https://twitter.com/betamoroney/status/1620684479747739649")</f>
        <v>https://twitter.com/betamoroney/status/1620684479747739649</v>
      </c>
      <c r="AC131" s="78" t="s">
        <v>3455</v>
      </c>
      <c r="AE131" t="b">
        <v>0</v>
      </c>
      <c r="AF131">
        <v>0</v>
      </c>
      <c r="AG131" s="78" t="s">
        <v>4640</v>
      </c>
      <c r="AH131" t="b">
        <v>0</v>
      </c>
      <c r="AI131" t="s">
        <v>4829</v>
      </c>
      <c r="AK131" s="78" t="s">
        <v>4640</v>
      </c>
      <c r="AL131" t="b">
        <v>0</v>
      </c>
      <c r="AM131">
        <v>15</v>
      </c>
      <c r="AN131" s="78" t="s">
        <v>3454</v>
      </c>
      <c r="AO131" s="78" t="s">
        <v>4851</v>
      </c>
      <c r="AP131" t="b">
        <v>0</v>
      </c>
      <c r="AQ131" s="78" t="s">
        <v>3454</v>
      </c>
      <c r="AR131" t="s">
        <v>179</v>
      </c>
      <c r="AS131">
        <v>0</v>
      </c>
      <c r="AT131">
        <v>0</v>
      </c>
    </row>
    <row r="132" spans="1:46" x14ac:dyDescent="0.45">
      <c r="A132" s="62" t="s">
        <v>236</v>
      </c>
      <c r="B132" s="62" t="s">
        <v>957</v>
      </c>
      <c r="C132" s="63"/>
      <c r="D132" s="64"/>
      <c r="E132" s="65"/>
      <c r="F132" s="66"/>
      <c r="G132" s="63"/>
      <c r="H132" s="67"/>
      <c r="I132" s="68"/>
      <c r="J132" s="68"/>
      <c r="K132" s="32"/>
      <c r="L132" s="75"/>
      <c r="M132" s="75"/>
      <c r="N132" s="70"/>
      <c r="O132" t="s">
        <v>1570</v>
      </c>
      <c r="P132" s="76">
        <v>44958.308622685188</v>
      </c>
      <c r="Q132" t="s">
        <v>1589</v>
      </c>
      <c r="R132" s="77" t="str">
        <f>HYPERLINK("https://www.forbes.com/sites/noahbarsky/2023/01/31/walmart-recession-proofs-retail-reign-with-3-rare-moves/?sh=6dab36862573")</f>
        <v>https://www.forbes.com/sites/noahbarsky/2023/01/31/walmart-recession-proofs-retail-reign-with-3-rare-moves/?sh=6dab36862573</v>
      </c>
      <c r="S132" t="s">
        <v>2260</v>
      </c>
      <c r="T132" s="78" t="s">
        <v>2312</v>
      </c>
      <c r="U132" s="77" t="str">
        <f>HYPERLINK("https://pbs.twimg.com/media/Fnz7uuFWIAAYTfI.jpg")</f>
        <v>https://pbs.twimg.com/media/Fnz7uuFWIAAYTfI.jpg</v>
      </c>
      <c r="V132" s="77" t="str">
        <f>HYPERLINK("https://pbs.twimg.com/media/Fnz7uuFWIAAYTfI.jpg")</f>
        <v>https://pbs.twimg.com/media/Fnz7uuFWIAAYTfI.jpg</v>
      </c>
      <c r="W132" s="76">
        <v>44958.308622685188</v>
      </c>
      <c r="X132" s="80">
        <v>44958</v>
      </c>
      <c r="Y132" s="78" t="s">
        <v>2440</v>
      </c>
      <c r="Z132" s="77" t="str">
        <f>HYPERLINK("https://twitter.com/betamoroney/status/1620684479747739649")</f>
        <v>https://twitter.com/betamoroney/status/1620684479747739649</v>
      </c>
      <c r="AC132" s="78" t="s">
        <v>3455</v>
      </c>
      <c r="AE132" t="b">
        <v>0</v>
      </c>
      <c r="AF132">
        <v>0</v>
      </c>
      <c r="AG132" s="78" t="s">
        <v>4640</v>
      </c>
      <c r="AH132" t="b">
        <v>0</v>
      </c>
      <c r="AI132" t="s">
        <v>4829</v>
      </c>
      <c r="AK132" s="78" t="s">
        <v>4640</v>
      </c>
      <c r="AL132" t="b">
        <v>0</v>
      </c>
      <c r="AM132">
        <v>15</v>
      </c>
      <c r="AN132" s="78" t="s">
        <v>3454</v>
      </c>
      <c r="AO132" s="78" t="s">
        <v>4851</v>
      </c>
      <c r="AP132" t="b">
        <v>0</v>
      </c>
      <c r="AQ132" s="78" t="s">
        <v>3454</v>
      </c>
      <c r="AR132" t="s">
        <v>179</v>
      </c>
      <c r="AS132">
        <v>0</v>
      </c>
      <c r="AT132">
        <v>0</v>
      </c>
    </row>
    <row r="133" spans="1:46" x14ac:dyDescent="0.45">
      <c r="A133" s="62" t="s">
        <v>236</v>
      </c>
      <c r="B133" s="62" t="s">
        <v>236</v>
      </c>
      <c r="C133" s="63"/>
      <c r="D133" s="64"/>
      <c r="E133" s="65"/>
      <c r="F133" s="66"/>
      <c r="G133" s="63"/>
      <c r="H133" s="67"/>
      <c r="I133" s="68"/>
      <c r="J133" s="68"/>
      <c r="K133" s="32"/>
      <c r="L133" s="75"/>
      <c r="M133" s="75"/>
      <c r="N133" s="70"/>
      <c r="O133" t="s">
        <v>1569</v>
      </c>
      <c r="P133" s="76">
        <v>44958.308622685188</v>
      </c>
      <c r="Q133" t="s">
        <v>1589</v>
      </c>
      <c r="R133" s="77" t="str">
        <f>HYPERLINK("https://www.forbes.com/sites/noahbarsky/2023/01/31/walmart-recession-proofs-retail-reign-with-3-rare-moves/?sh=6dab36862573")</f>
        <v>https://www.forbes.com/sites/noahbarsky/2023/01/31/walmart-recession-proofs-retail-reign-with-3-rare-moves/?sh=6dab36862573</v>
      </c>
      <c r="S133" t="s">
        <v>2260</v>
      </c>
      <c r="T133" s="78" t="s">
        <v>2312</v>
      </c>
      <c r="U133" s="77" t="str">
        <f>HYPERLINK("https://pbs.twimg.com/media/Fnz7uuFWIAAYTfI.jpg")</f>
        <v>https://pbs.twimg.com/media/Fnz7uuFWIAAYTfI.jpg</v>
      </c>
      <c r="V133" s="77" t="str">
        <f>HYPERLINK("https://pbs.twimg.com/media/Fnz7uuFWIAAYTfI.jpg")</f>
        <v>https://pbs.twimg.com/media/Fnz7uuFWIAAYTfI.jpg</v>
      </c>
      <c r="W133" s="76">
        <v>44958.308622685188</v>
      </c>
      <c r="X133" s="80">
        <v>44958</v>
      </c>
      <c r="Y133" s="78" t="s">
        <v>2440</v>
      </c>
      <c r="Z133" s="77" t="str">
        <f>HYPERLINK("https://twitter.com/betamoroney/status/1620684479747739649")</f>
        <v>https://twitter.com/betamoroney/status/1620684479747739649</v>
      </c>
      <c r="AC133" s="78" t="s">
        <v>3455</v>
      </c>
      <c r="AE133" t="b">
        <v>0</v>
      </c>
      <c r="AF133">
        <v>0</v>
      </c>
      <c r="AG133" s="78" t="s">
        <v>4640</v>
      </c>
      <c r="AH133" t="b">
        <v>0</v>
      </c>
      <c r="AI133" t="s">
        <v>4829</v>
      </c>
      <c r="AK133" s="78" t="s">
        <v>4640</v>
      </c>
      <c r="AL133" t="b">
        <v>0</v>
      </c>
      <c r="AM133">
        <v>15</v>
      </c>
      <c r="AN133" s="78" t="s">
        <v>3454</v>
      </c>
      <c r="AO133" s="78" t="s">
        <v>4851</v>
      </c>
      <c r="AP133" t="b">
        <v>0</v>
      </c>
      <c r="AQ133" s="78" t="s">
        <v>3454</v>
      </c>
      <c r="AR133" t="s">
        <v>179</v>
      </c>
      <c r="AS133">
        <v>0</v>
      </c>
      <c r="AT133">
        <v>0</v>
      </c>
    </row>
    <row r="134" spans="1:46" x14ac:dyDescent="0.45">
      <c r="A134" s="62" t="s">
        <v>236</v>
      </c>
      <c r="B134" s="62" t="s">
        <v>242</v>
      </c>
      <c r="C134" s="63"/>
      <c r="D134" s="64"/>
      <c r="E134" s="65"/>
      <c r="F134" s="66"/>
      <c r="G134" s="63"/>
      <c r="H134" s="67"/>
      <c r="I134" s="68"/>
      <c r="J134" s="68"/>
      <c r="K134" s="32"/>
      <c r="L134" s="75"/>
      <c r="M134" s="75"/>
      <c r="N134" s="70"/>
      <c r="O134" t="s">
        <v>1567</v>
      </c>
      <c r="P134" s="76">
        <v>44958.308622685188</v>
      </c>
      <c r="Q134" t="s">
        <v>1589</v>
      </c>
      <c r="R134" s="77" t="str">
        <f>HYPERLINK("https://www.forbes.com/sites/noahbarsky/2023/01/31/walmart-recession-proofs-retail-reign-with-3-rare-moves/?sh=6dab36862573")</f>
        <v>https://www.forbes.com/sites/noahbarsky/2023/01/31/walmart-recession-proofs-retail-reign-with-3-rare-moves/?sh=6dab36862573</v>
      </c>
      <c r="S134" t="s">
        <v>2260</v>
      </c>
      <c r="T134" s="78" t="s">
        <v>2312</v>
      </c>
      <c r="U134" s="77" t="str">
        <f>HYPERLINK("https://pbs.twimg.com/media/Fnz7uuFWIAAYTfI.jpg")</f>
        <v>https://pbs.twimg.com/media/Fnz7uuFWIAAYTfI.jpg</v>
      </c>
      <c r="V134" s="77" t="str">
        <f>HYPERLINK("https://pbs.twimg.com/media/Fnz7uuFWIAAYTfI.jpg")</f>
        <v>https://pbs.twimg.com/media/Fnz7uuFWIAAYTfI.jpg</v>
      </c>
      <c r="W134" s="76">
        <v>44958.308622685188</v>
      </c>
      <c r="X134" s="80">
        <v>44958</v>
      </c>
      <c r="Y134" s="78" t="s">
        <v>2440</v>
      </c>
      <c r="Z134" s="77" t="str">
        <f>HYPERLINK("https://twitter.com/betamoroney/status/1620684479747739649")</f>
        <v>https://twitter.com/betamoroney/status/1620684479747739649</v>
      </c>
      <c r="AC134" s="78" t="s">
        <v>3455</v>
      </c>
      <c r="AE134" t="b">
        <v>0</v>
      </c>
      <c r="AF134">
        <v>0</v>
      </c>
      <c r="AG134" s="78" t="s">
        <v>4640</v>
      </c>
      <c r="AH134" t="b">
        <v>0</v>
      </c>
      <c r="AI134" t="s">
        <v>4829</v>
      </c>
      <c r="AK134" s="78" t="s">
        <v>4640</v>
      </c>
      <c r="AL134" t="b">
        <v>0</v>
      </c>
      <c r="AM134">
        <v>15</v>
      </c>
      <c r="AN134" s="78" t="s">
        <v>3454</v>
      </c>
      <c r="AO134" s="78" t="s">
        <v>4851</v>
      </c>
      <c r="AP134" t="b">
        <v>0</v>
      </c>
      <c r="AQ134" s="78" t="s">
        <v>3454</v>
      </c>
      <c r="AR134" t="s">
        <v>179</v>
      </c>
      <c r="AS134">
        <v>0</v>
      </c>
      <c r="AT134">
        <v>0</v>
      </c>
    </row>
    <row r="135" spans="1:46" x14ac:dyDescent="0.45">
      <c r="A135" s="62" t="s">
        <v>231</v>
      </c>
      <c r="B135" s="62" t="s">
        <v>1122</v>
      </c>
      <c r="C135" s="63"/>
      <c r="D135" s="64"/>
      <c r="E135" s="65"/>
      <c r="F135" s="66"/>
      <c r="G135" s="63"/>
      <c r="H135" s="67"/>
      <c r="I135" s="68"/>
      <c r="J135" s="68"/>
      <c r="K135" s="32"/>
      <c r="L135" s="75"/>
      <c r="M135" s="75"/>
      <c r="N135" s="70"/>
      <c r="O135" t="s">
        <v>1570</v>
      </c>
      <c r="P135" s="76">
        <v>44958.32539351852</v>
      </c>
      <c r="Q135" t="s">
        <v>1584</v>
      </c>
      <c r="R135" s="77" t="str">
        <f>HYPERLINK("https://www.forbes.com/sites/noahbarsky/2023/01/31/walmart-recession-proofs-retail-reign-with-3-rare-moves/?sh=64fd4cf22573")</f>
        <v>https://www.forbes.com/sites/noahbarsky/2023/01/31/walmart-recession-proofs-retail-reign-with-3-rare-moves/?sh=64fd4cf22573</v>
      </c>
      <c r="S135" t="s">
        <v>2260</v>
      </c>
      <c r="T135" s="78" t="s">
        <v>2311</v>
      </c>
      <c r="U135" s="77" t="str">
        <f>HYPERLINK("https://pbs.twimg.com/media/Fn0Jb_waYAE9JXF.jpg")</f>
        <v>https://pbs.twimg.com/media/Fn0Jb_waYAE9JXF.jpg</v>
      </c>
      <c r="V135" s="77" t="str">
        <f>HYPERLINK("https://pbs.twimg.com/media/Fn0Jb_waYAE9JXF.jpg")</f>
        <v>https://pbs.twimg.com/media/Fn0Jb_waYAE9JXF.jpg</v>
      </c>
      <c r="W135" s="76">
        <v>44958.32539351852</v>
      </c>
      <c r="X135" s="80">
        <v>44958</v>
      </c>
      <c r="Y135" s="78" t="s">
        <v>2434</v>
      </c>
      <c r="Z135" s="77" t="str">
        <f>HYPERLINK("https://twitter.com/procurementstar/status/1620690556430217217")</f>
        <v>https://twitter.com/procurementstar/status/1620690556430217217</v>
      </c>
      <c r="AC135" s="78" t="s">
        <v>3449</v>
      </c>
      <c r="AE135" t="b">
        <v>0</v>
      </c>
      <c r="AF135">
        <v>0</v>
      </c>
      <c r="AG135" s="78" t="s">
        <v>4640</v>
      </c>
      <c r="AH135" t="b">
        <v>0</v>
      </c>
      <c r="AI135" t="s">
        <v>4829</v>
      </c>
      <c r="AK135" s="78" t="s">
        <v>4640</v>
      </c>
      <c r="AL135" t="b">
        <v>0</v>
      </c>
      <c r="AM135">
        <v>11</v>
      </c>
      <c r="AN135" s="78" t="s">
        <v>4374</v>
      </c>
      <c r="AO135" s="78" t="s">
        <v>4851</v>
      </c>
      <c r="AP135" t="b">
        <v>0</v>
      </c>
      <c r="AQ135" s="78" t="s">
        <v>4374</v>
      </c>
      <c r="AR135" t="s">
        <v>179</v>
      </c>
      <c r="AS135">
        <v>0</v>
      </c>
      <c r="AT135">
        <v>0</v>
      </c>
    </row>
    <row r="136" spans="1:46" x14ac:dyDescent="0.45">
      <c r="A136" s="62" t="s">
        <v>231</v>
      </c>
      <c r="B136" s="62" t="s">
        <v>1123</v>
      </c>
      <c r="C136" s="63"/>
      <c r="D136" s="64"/>
      <c r="E136" s="65"/>
      <c r="F136" s="66"/>
      <c r="G136" s="63"/>
      <c r="H136" s="67"/>
      <c r="I136" s="68"/>
      <c r="J136" s="68"/>
      <c r="K136" s="32"/>
      <c r="L136" s="75"/>
      <c r="M136" s="75"/>
      <c r="N136" s="70"/>
      <c r="O136" t="s">
        <v>1570</v>
      </c>
      <c r="P136" s="76">
        <v>44958.32539351852</v>
      </c>
      <c r="Q136" t="s">
        <v>1584</v>
      </c>
      <c r="R136" s="77" t="str">
        <f>HYPERLINK("https://www.forbes.com/sites/noahbarsky/2023/01/31/walmart-recession-proofs-retail-reign-with-3-rare-moves/?sh=64fd4cf22573")</f>
        <v>https://www.forbes.com/sites/noahbarsky/2023/01/31/walmart-recession-proofs-retail-reign-with-3-rare-moves/?sh=64fd4cf22573</v>
      </c>
      <c r="S136" t="s">
        <v>2260</v>
      </c>
      <c r="T136" s="78" t="s">
        <v>2311</v>
      </c>
      <c r="U136" s="77" t="str">
        <f>HYPERLINK("https://pbs.twimg.com/media/Fn0Jb_waYAE9JXF.jpg")</f>
        <v>https://pbs.twimg.com/media/Fn0Jb_waYAE9JXF.jpg</v>
      </c>
      <c r="V136" s="77" t="str">
        <f>HYPERLINK("https://pbs.twimg.com/media/Fn0Jb_waYAE9JXF.jpg")</f>
        <v>https://pbs.twimg.com/media/Fn0Jb_waYAE9JXF.jpg</v>
      </c>
      <c r="W136" s="76">
        <v>44958.32539351852</v>
      </c>
      <c r="X136" s="80">
        <v>44958</v>
      </c>
      <c r="Y136" s="78" t="s">
        <v>2434</v>
      </c>
      <c r="Z136" s="77" t="str">
        <f>HYPERLINK("https://twitter.com/procurementstar/status/1620690556430217217")</f>
        <v>https://twitter.com/procurementstar/status/1620690556430217217</v>
      </c>
      <c r="AC136" s="78" t="s">
        <v>3449</v>
      </c>
      <c r="AE136" t="b">
        <v>0</v>
      </c>
      <c r="AF136">
        <v>0</v>
      </c>
      <c r="AG136" s="78" t="s">
        <v>4640</v>
      </c>
      <c r="AH136" t="b">
        <v>0</v>
      </c>
      <c r="AI136" t="s">
        <v>4829</v>
      </c>
      <c r="AK136" s="78" t="s">
        <v>4640</v>
      </c>
      <c r="AL136" t="b">
        <v>0</v>
      </c>
      <c r="AM136">
        <v>11</v>
      </c>
      <c r="AN136" s="78" t="s">
        <v>4374</v>
      </c>
      <c r="AO136" s="78" t="s">
        <v>4851</v>
      </c>
      <c r="AP136" t="b">
        <v>0</v>
      </c>
      <c r="AQ136" s="78" t="s">
        <v>4374</v>
      </c>
      <c r="AR136" t="s">
        <v>179</v>
      </c>
      <c r="AS136">
        <v>0</v>
      </c>
      <c r="AT136">
        <v>0</v>
      </c>
    </row>
    <row r="137" spans="1:46" x14ac:dyDescent="0.45">
      <c r="A137" s="62" t="s">
        <v>231</v>
      </c>
      <c r="B137" s="62" t="s">
        <v>1017</v>
      </c>
      <c r="C137" s="63"/>
      <c r="D137" s="64"/>
      <c r="E137" s="65"/>
      <c r="F137" s="66"/>
      <c r="G137" s="63"/>
      <c r="H137" s="67"/>
      <c r="I137" s="68"/>
      <c r="J137" s="68"/>
      <c r="K137" s="32"/>
      <c r="L137" s="75"/>
      <c r="M137" s="75"/>
      <c r="N137" s="70"/>
      <c r="O137" t="s">
        <v>1570</v>
      </c>
      <c r="P137" s="76">
        <v>44958.32539351852</v>
      </c>
      <c r="Q137" t="s">
        <v>1584</v>
      </c>
      <c r="R137" s="77" t="str">
        <f>HYPERLINK("https://www.forbes.com/sites/noahbarsky/2023/01/31/walmart-recession-proofs-retail-reign-with-3-rare-moves/?sh=64fd4cf22573")</f>
        <v>https://www.forbes.com/sites/noahbarsky/2023/01/31/walmart-recession-proofs-retail-reign-with-3-rare-moves/?sh=64fd4cf22573</v>
      </c>
      <c r="S137" t="s">
        <v>2260</v>
      </c>
      <c r="T137" s="78" t="s">
        <v>2311</v>
      </c>
      <c r="U137" s="77" t="str">
        <f>HYPERLINK("https://pbs.twimg.com/media/Fn0Jb_waYAE9JXF.jpg")</f>
        <v>https://pbs.twimg.com/media/Fn0Jb_waYAE9JXF.jpg</v>
      </c>
      <c r="V137" s="77" t="str">
        <f>HYPERLINK("https://pbs.twimg.com/media/Fn0Jb_waYAE9JXF.jpg")</f>
        <v>https://pbs.twimg.com/media/Fn0Jb_waYAE9JXF.jpg</v>
      </c>
      <c r="W137" s="76">
        <v>44958.32539351852</v>
      </c>
      <c r="X137" s="80">
        <v>44958</v>
      </c>
      <c r="Y137" s="78" t="s">
        <v>2434</v>
      </c>
      <c r="Z137" s="77" t="str">
        <f>HYPERLINK("https://twitter.com/procurementstar/status/1620690556430217217")</f>
        <v>https://twitter.com/procurementstar/status/1620690556430217217</v>
      </c>
      <c r="AC137" s="78" t="s">
        <v>3449</v>
      </c>
      <c r="AE137" t="b">
        <v>0</v>
      </c>
      <c r="AF137">
        <v>0</v>
      </c>
      <c r="AG137" s="78" t="s">
        <v>4640</v>
      </c>
      <c r="AH137" t="b">
        <v>0</v>
      </c>
      <c r="AI137" t="s">
        <v>4829</v>
      </c>
      <c r="AK137" s="78" t="s">
        <v>4640</v>
      </c>
      <c r="AL137" t="b">
        <v>0</v>
      </c>
      <c r="AM137">
        <v>11</v>
      </c>
      <c r="AN137" s="78" t="s">
        <v>4374</v>
      </c>
      <c r="AO137" s="78" t="s">
        <v>4851</v>
      </c>
      <c r="AP137" t="b">
        <v>0</v>
      </c>
      <c r="AQ137" s="78" t="s">
        <v>4374</v>
      </c>
      <c r="AR137" t="s">
        <v>179</v>
      </c>
      <c r="AS137">
        <v>0</v>
      </c>
      <c r="AT137">
        <v>0</v>
      </c>
    </row>
    <row r="138" spans="1:46" x14ac:dyDescent="0.45">
      <c r="A138" s="62" t="s">
        <v>231</v>
      </c>
      <c r="B138" s="62" t="s">
        <v>1124</v>
      </c>
      <c r="C138" s="63"/>
      <c r="D138" s="64"/>
      <c r="E138" s="65"/>
      <c r="F138" s="66"/>
      <c r="G138" s="63"/>
      <c r="H138" s="67"/>
      <c r="I138" s="68"/>
      <c r="J138" s="68"/>
      <c r="K138" s="32"/>
      <c r="L138" s="75"/>
      <c r="M138" s="75"/>
      <c r="N138" s="70"/>
      <c r="O138" t="s">
        <v>1570</v>
      </c>
      <c r="P138" s="76">
        <v>44958.32539351852</v>
      </c>
      <c r="Q138" t="s">
        <v>1584</v>
      </c>
      <c r="R138" s="77" t="str">
        <f>HYPERLINK("https://www.forbes.com/sites/noahbarsky/2023/01/31/walmart-recession-proofs-retail-reign-with-3-rare-moves/?sh=64fd4cf22573")</f>
        <v>https://www.forbes.com/sites/noahbarsky/2023/01/31/walmart-recession-proofs-retail-reign-with-3-rare-moves/?sh=64fd4cf22573</v>
      </c>
      <c r="S138" t="s">
        <v>2260</v>
      </c>
      <c r="T138" s="78" t="s">
        <v>2311</v>
      </c>
      <c r="U138" s="77" t="str">
        <f>HYPERLINK("https://pbs.twimg.com/media/Fn0Jb_waYAE9JXF.jpg")</f>
        <v>https://pbs.twimg.com/media/Fn0Jb_waYAE9JXF.jpg</v>
      </c>
      <c r="V138" s="77" t="str">
        <f>HYPERLINK("https://pbs.twimg.com/media/Fn0Jb_waYAE9JXF.jpg")</f>
        <v>https://pbs.twimg.com/media/Fn0Jb_waYAE9JXF.jpg</v>
      </c>
      <c r="W138" s="76">
        <v>44958.32539351852</v>
      </c>
      <c r="X138" s="80">
        <v>44958</v>
      </c>
      <c r="Y138" s="78" t="s">
        <v>2434</v>
      </c>
      <c r="Z138" s="77" t="str">
        <f>HYPERLINK("https://twitter.com/procurementstar/status/1620690556430217217")</f>
        <v>https://twitter.com/procurementstar/status/1620690556430217217</v>
      </c>
      <c r="AC138" s="78" t="s">
        <v>3449</v>
      </c>
      <c r="AE138" t="b">
        <v>0</v>
      </c>
      <c r="AF138">
        <v>0</v>
      </c>
      <c r="AG138" s="78" t="s">
        <v>4640</v>
      </c>
      <c r="AH138" t="b">
        <v>0</v>
      </c>
      <c r="AI138" t="s">
        <v>4829</v>
      </c>
      <c r="AK138" s="78" t="s">
        <v>4640</v>
      </c>
      <c r="AL138" t="b">
        <v>0</v>
      </c>
      <c r="AM138">
        <v>11</v>
      </c>
      <c r="AN138" s="78" t="s">
        <v>4374</v>
      </c>
      <c r="AO138" s="78" t="s">
        <v>4851</v>
      </c>
      <c r="AP138" t="b">
        <v>0</v>
      </c>
      <c r="AQ138" s="78" t="s">
        <v>4374</v>
      </c>
      <c r="AR138" t="s">
        <v>179</v>
      </c>
      <c r="AS138">
        <v>0</v>
      </c>
      <c r="AT138">
        <v>0</v>
      </c>
    </row>
    <row r="139" spans="1:46" x14ac:dyDescent="0.45">
      <c r="A139" s="62" t="s">
        <v>231</v>
      </c>
      <c r="B139" s="62" t="s">
        <v>1125</v>
      </c>
      <c r="C139" s="63"/>
      <c r="D139" s="64"/>
      <c r="E139" s="65"/>
      <c r="F139" s="66"/>
      <c r="G139" s="63"/>
      <c r="H139" s="67"/>
      <c r="I139" s="68"/>
      <c r="J139" s="68"/>
      <c r="K139" s="32"/>
      <c r="L139" s="75"/>
      <c r="M139" s="75"/>
      <c r="N139" s="70"/>
      <c r="O139" t="s">
        <v>1570</v>
      </c>
      <c r="P139" s="76">
        <v>44958.32539351852</v>
      </c>
      <c r="Q139" t="s">
        <v>1584</v>
      </c>
      <c r="R139" s="77" t="str">
        <f>HYPERLINK("https://www.forbes.com/sites/noahbarsky/2023/01/31/walmart-recession-proofs-retail-reign-with-3-rare-moves/?sh=64fd4cf22573")</f>
        <v>https://www.forbes.com/sites/noahbarsky/2023/01/31/walmart-recession-proofs-retail-reign-with-3-rare-moves/?sh=64fd4cf22573</v>
      </c>
      <c r="S139" t="s">
        <v>2260</v>
      </c>
      <c r="T139" s="78" t="s">
        <v>2311</v>
      </c>
      <c r="U139" s="77" t="str">
        <f>HYPERLINK("https://pbs.twimg.com/media/Fn0Jb_waYAE9JXF.jpg")</f>
        <v>https://pbs.twimg.com/media/Fn0Jb_waYAE9JXF.jpg</v>
      </c>
      <c r="V139" s="77" t="str">
        <f>HYPERLINK("https://pbs.twimg.com/media/Fn0Jb_waYAE9JXF.jpg")</f>
        <v>https://pbs.twimg.com/media/Fn0Jb_waYAE9JXF.jpg</v>
      </c>
      <c r="W139" s="76">
        <v>44958.32539351852</v>
      </c>
      <c r="X139" s="80">
        <v>44958</v>
      </c>
      <c r="Y139" s="78" t="s">
        <v>2434</v>
      </c>
      <c r="Z139" s="77" t="str">
        <f>HYPERLINK("https://twitter.com/procurementstar/status/1620690556430217217")</f>
        <v>https://twitter.com/procurementstar/status/1620690556430217217</v>
      </c>
      <c r="AC139" s="78" t="s">
        <v>3449</v>
      </c>
      <c r="AE139" t="b">
        <v>0</v>
      </c>
      <c r="AF139">
        <v>0</v>
      </c>
      <c r="AG139" s="78" t="s">
        <v>4640</v>
      </c>
      <c r="AH139" t="b">
        <v>0</v>
      </c>
      <c r="AI139" t="s">
        <v>4829</v>
      </c>
      <c r="AK139" s="78" t="s">
        <v>4640</v>
      </c>
      <c r="AL139" t="b">
        <v>0</v>
      </c>
      <c r="AM139">
        <v>11</v>
      </c>
      <c r="AN139" s="78" t="s">
        <v>4374</v>
      </c>
      <c r="AO139" s="78" t="s">
        <v>4851</v>
      </c>
      <c r="AP139" t="b">
        <v>0</v>
      </c>
      <c r="AQ139" s="78" t="s">
        <v>4374</v>
      </c>
      <c r="AR139" t="s">
        <v>179</v>
      </c>
      <c r="AS139">
        <v>0</v>
      </c>
      <c r="AT139">
        <v>0</v>
      </c>
    </row>
    <row r="140" spans="1:46" x14ac:dyDescent="0.45">
      <c r="A140" s="62" t="s">
        <v>231</v>
      </c>
      <c r="B140" s="62" t="s">
        <v>1126</v>
      </c>
      <c r="C140" s="63"/>
      <c r="D140" s="64"/>
      <c r="E140" s="65"/>
      <c r="F140" s="66"/>
      <c r="G140" s="63"/>
      <c r="H140" s="67"/>
      <c r="I140" s="68"/>
      <c r="J140" s="68"/>
      <c r="K140" s="32"/>
      <c r="L140" s="75"/>
      <c r="M140" s="75"/>
      <c r="N140" s="70"/>
      <c r="O140" t="s">
        <v>1570</v>
      </c>
      <c r="P140" s="76">
        <v>44958.32539351852</v>
      </c>
      <c r="Q140" t="s">
        <v>1584</v>
      </c>
      <c r="R140" s="77" t="str">
        <f>HYPERLINK("https://www.forbes.com/sites/noahbarsky/2023/01/31/walmart-recession-proofs-retail-reign-with-3-rare-moves/?sh=64fd4cf22573")</f>
        <v>https://www.forbes.com/sites/noahbarsky/2023/01/31/walmart-recession-proofs-retail-reign-with-3-rare-moves/?sh=64fd4cf22573</v>
      </c>
      <c r="S140" t="s">
        <v>2260</v>
      </c>
      <c r="T140" s="78" t="s">
        <v>2311</v>
      </c>
      <c r="U140" s="77" t="str">
        <f>HYPERLINK("https://pbs.twimg.com/media/Fn0Jb_waYAE9JXF.jpg")</f>
        <v>https://pbs.twimg.com/media/Fn0Jb_waYAE9JXF.jpg</v>
      </c>
      <c r="V140" s="77" t="str">
        <f>HYPERLINK("https://pbs.twimg.com/media/Fn0Jb_waYAE9JXF.jpg")</f>
        <v>https://pbs.twimg.com/media/Fn0Jb_waYAE9JXF.jpg</v>
      </c>
      <c r="W140" s="76">
        <v>44958.32539351852</v>
      </c>
      <c r="X140" s="80">
        <v>44958</v>
      </c>
      <c r="Y140" s="78" t="s">
        <v>2434</v>
      </c>
      <c r="Z140" s="77" t="str">
        <f>HYPERLINK("https://twitter.com/procurementstar/status/1620690556430217217")</f>
        <v>https://twitter.com/procurementstar/status/1620690556430217217</v>
      </c>
      <c r="AC140" s="78" t="s">
        <v>3449</v>
      </c>
      <c r="AE140" t="b">
        <v>0</v>
      </c>
      <c r="AF140">
        <v>0</v>
      </c>
      <c r="AG140" s="78" t="s">
        <v>4640</v>
      </c>
      <c r="AH140" t="b">
        <v>0</v>
      </c>
      <c r="AI140" t="s">
        <v>4829</v>
      </c>
      <c r="AK140" s="78" t="s">
        <v>4640</v>
      </c>
      <c r="AL140" t="b">
        <v>0</v>
      </c>
      <c r="AM140">
        <v>11</v>
      </c>
      <c r="AN140" s="78" t="s">
        <v>4374</v>
      </c>
      <c r="AO140" s="78" t="s">
        <v>4851</v>
      </c>
      <c r="AP140" t="b">
        <v>0</v>
      </c>
      <c r="AQ140" s="78" t="s">
        <v>4374</v>
      </c>
      <c r="AR140" t="s">
        <v>179</v>
      </c>
      <c r="AS140">
        <v>0</v>
      </c>
      <c r="AT140">
        <v>0</v>
      </c>
    </row>
    <row r="141" spans="1:46" x14ac:dyDescent="0.45">
      <c r="A141" s="62" t="s">
        <v>231</v>
      </c>
      <c r="B141" s="62" t="s">
        <v>1127</v>
      </c>
      <c r="C141" s="63"/>
      <c r="D141" s="64"/>
      <c r="E141" s="65"/>
      <c r="F141" s="66"/>
      <c r="G141" s="63"/>
      <c r="H141" s="67"/>
      <c r="I141" s="68"/>
      <c r="J141" s="68"/>
      <c r="K141" s="32"/>
      <c r="L141" s="75"/>
      <c r="M141" s="75"/>
      <c r="N141" s="70"/>
      <c r="O141" t="s">
        <v>1570</v>
      </c>
      <c r="P141" s="76">
        <v>44958.32539351852</v>
      </c>
      <c r="Q141" t="s">
        <v>1584</v>
      </c>
      <c r="R141" s="77" t="str">
        <f>HYPERLINK("https://www.forbes.com/sites/noahbarsky/2023/01/31/walmart-recession-proofs-retail-reign-with-3-rare-moves/?sh=64fd4cf22573")</f>
        <v>https://www.forbes.com/sites/noahbarsky/2023/01/31/walmart-recession-proofs-retail-reign-with-3-rare-moves/?sh=64fd4cf22573</v>
      </c>
      <c r="S141" t="s">
        <v>2260</v>
      </c>
      <c r="T141" s="78" t="s">
        <v>2311</v>
      </c>
      <c r="U141" s="77" t="str">
        <f>HYPERLINK("https://pbs.twimg.com/media/Fn0Jb_waYAE9JXF.jpg")</f>
        <v>https://pbs.twimg.com/media/Fn0Jb_waYAE9JXF.jpg</v>
      </c>
      <c r="V141" s="77" t="str">
        <f>HYPERLINK("https://pbs.twimg.com/media/Fn0Jb_waYAE9JXF.jpg")</f>
        <v>https://pbs.twimg.com/media/Fn0Jb_waYAE9JXF.jpg</v>
      </c>
      <c r="W141" s="76">
        <v>44958.32539351852</v>
      </c>
      <c r="X141" s="80">
        <v>44958</v>
      </c>
      <c r="Y141" s="78" t="s">
        <v>2434</v>
      </c>
      <c r="Z141" s="77" t="str">
        <f>HYPERLINK("https://twitter.com/procurementstar/status/1620690556430217217")</f>
        <v>https://twitter.com/procurementstar/status/1620690556430217217</v>
      </c>
      <c r="AC141" s="78" t="s">
        <v>3449</v>
      </c>
      <c r="AE141" t="b">
        <v>0</v>
      </c>
      <c r="AF141">
        <v>0</v>
      </c>
      <c r="AG141" s="78" t="s">
        <v>4640</v>
      </c>
      <c r="AH141" t="b">
        <v>0</v>
      </c>
      <c r="AI141" t="s">
        <v>4829</v>
      </c>
      <c r="AK141" s="78" t="s">
        <v>4640</v>
      </c>
      <c r="AL141" t="b">
        <v>0</v>
      </c>
      <c r="AM141">
        <v>11</v>
      </c>
      <c r="AN141" s="78" t="s">
        <v>4374</v>
      </c>
      <c r="AO141" s="78" t="s">
        <v>4851</v>
      </c>
      <c r="AP141" t="b">
        <v>0</v>
      </c>
      <c r="AQ141" s="78" t="s">
        <v>4374</v>
      </c>
      <c r="AR141" t="s">
        <v>179</v>
      </c>
      <c r="AS141">
        <v>0</v>
      </c>
      <c r="AT141">
        <v>0</v>
      </c>
    </row>
    <row r="142" spans="1:46" x14ac:dyDescent="0.45">
      <c r="A142" s="62" t="s">
        <v>231</v>
      </c>
      <c r="B142" s="62" t="s">
        <v>1128</v>
      </c>
      <c r="C142" s="63"/>
      <c r="D142" s="64"/>
      <c r="E142" s="65"/>
      <c r="F142" s="66"/>
      <c r="G142" s="63"/>
      <c r="H142" s="67"/>
      <c r="I142" s="68"/>
      <c r="J142" s="68"/>
      <c r="K142" s="32"/>
      <c r="L142" s="75"/>
      <c r="M142" s="75"/>
      <c r="N142" s="70"/>
      <c r="O142" t="s">
        <v>1570</v>
      </c>
      <c r="P142" s="76">
        <v>44958.32539351852</v>
      </c>
      <c r="Q142" t="s">
        <v>1584</v>
      </c>
      <c r="R142" s="77" t="str">
        <f>HYPERLINK("https://www.forbes.com/sites/noahbarsky/2023/01/31/walmart-recession-proofs-retail-reign-with-3-rare-moves/?sh=64fd4cf22573")</f>
        <v>https://www.forbes.com/sites/noahbarsky/2023/01/31/walmart-recession-proofs-retail-reign-with-3-rare-moves/?sh=64fd4cf22573</v>
      </c>
      <c r="S142" t="s">
        <v>2260</v>
      </c>
      <c r="T142" s="78" t="s">
        <v>2311</v>
      </c>
      <c r="U142" s="77" t="str">
        <f>HYPERLINK("https://pbs.twimg.com/media/Fn0Jb_waYAE9JXF.jpg")</f>
        <v>https://pbs.twimg.com/media/Fn0Jb_waYAE9JXF.jpg</v>
      </c>
      <c r="V142" s="77" t="str">
        <f>HYPERLINK("https://pbs.twimg.com/media/Fn0Jb_waYAE9JXF.jpg")</f>
        <v>https://pbs.twimg.com/media/Fn0Jb_waYAE9JXF.jpg</v>
      </c>
      <c r="W142" s="76">
        <v>44958.32539351852</v>
      </c>
      <c r="X142" s="80">
        <v>44958</v>
      </c>
      <c r="Y142" s="78" t="s">
        <v>2434</v>
      </c>
      <c r="Z142" s="77" t="str">
        <f>HYPERLINK("https://twitter.com/procurementstar/status/1620690556430217217")</f>
        <v>https://twitter.com/procurementstar/status/1620690556430217217</v>
      </c>
      <c r="AC142" s="78" t="s">
        <v>3449</v>
      </c>
      <c r="AE142" t="b">
        <v>0</v>
      </c>
      <c r="AF142">
        <v>0</v>
      </c>
      <c r="AG142" s="78" t="s">
        <v>4640</v>
      </c>
      <c r="AH142" t="b">
        <v>0</v>
      </c>
      <c r="AI142" t="s">
        <v>4829</v>
      </c>
      <c r="AK142" s="78" t="s">
        <v>4640</v>
      </c>
      <c r="AL142" t="b">
        <v>0</v>
      </c>
      <c r="AM142">
        <v>11</v>
      </c>
      <c r="AN142" s="78" t="s">
        <v>4374</v>
      </c>
      <c r="AO142" s="78" t="s">
        <v>4851</v>
      </c>
      <c r="AP142" t="b">
        <v>0</v>
      </c>
      <c r="AQ142" s="78" t="s">
        <v>4374</v>
      </c>
      <c r="AR142" t="s">
        <v>179</v>
      </c>
      <c r="AS142">
        <v>0</v>
      </c>
      <c r="AT142">
        <v>0</v>
      </c>
    </row>
    <row r="143" spans="1:46" x14ac:dyDescent="0.45">
      <c r="A143" s="62" t="s">
        <v>231</v>
      </c>
      <c r="B143" s="62" t="s">
        <v>1129</v>
      </c>
      <c r="C143" s="63"/>
      <c r="D143" s="64"/>
      <c r="E143" s="65"/>
      <c r="F143" s="66"/>
      <c r="G143" s="63"/>
      <c r="H143" s="67"/>
      <c r="I143" s="68"/>
      <c r="J143" s="68"/>
      <c r="K143" s="32"/>
      <c r="L143" s="75"/>
      <c r="M143" s="75"/>
      <c r="N143" s="70"/>
      <c r="O143" t="s">
        <v>1570</v>
      </c>
      <c r="P143" s="76">
        <v>44958.32539351852</v>
      </c>
      <c r="Q143" t="s">
        <v>1584</v>
      </c>
      <c r="R143" s="77" t="str">
        <f>HYPERLINK("https://www.forbes.com/sites/noahbarsky/2023/01/31/walmart-recession-proofs-retail-reign-with-3-rare-moves/?sh=64fd4cf22573")</f>
        <v>https://www.forbes.com/sites/noahbarsky/2023/01/31/walmart-recession-proofs-retail-reign-with-3-rare-moves/?sh=64fd4cf22573</v>
      </c>
      <c r="S143" t="s">
        <v>2260</v>
      </c>
      <c r="T143" s="78" t="s">
        <v>2311</v>
      </c>
      <c r="U143" s="77" t="str">
        <f>HYPERLINK("https://pbs.twimg.com/media/Fn0Jb_waYAE9JXF.jpg")</f>
        <v>https://pbs.twimg.com/media/Fn0Jb_waYAE9JXF.jpg</v>
      </c>
      <c r="V143" s="77" t="str">
        <f>HYPERLINK("https://pbs.twimg.com/media/Fn0Jb_waYAE9JXF.jpg")</f>
        <v>https://pbs.twimg.com/media/Fn0Jb_waYAE9JXF.jpg</v>
      </c>
      <c r="W143" s="76">
        <v>44958.32539351852</v>
      </c>
      <c r="X143" s="80">
        <v>44958</v>
      </c>
      <c r="Y143" s="78" t="s">
        <v>2434</v>
      </c>
      <c r="Z143" s="77" t="str">
        <f>HYPERLINK("https://twitter.com/procurementstar/status/1620690556430217217")</f>
        <v>https://twitter.com/procurementstar/status/1620690556430217217</v>
      </c>
      <c r="AC143" s="78" t="s">
        <v>3449</v>
      </c>
      <c r="AE143" t="b">
        <v>0</v>
      </c>
      <c r="AF143">
        <v>0</v>
      </c>
      <c r="AG143" s="78" t="s">
        <v>4640</v>
      </c>
      <c r="AH143" t="b">
        <v>0</v>
      </c>
      <c r="AI143" t="s">
        <v>4829</v>
      </c>
      <c r="AK143" s="78" t="s">
        <v>4640</v>
      </c>
      <c r="AL143" t="b">
        <v>0</v>
      </c>
      <c r="AM143">
        <v>11</v>
      </c>
      <c r="AN143" s="78" t="s">
        <v>4374</v>
      </c>
      <c r="AO143" s="78" t="s">
        <v>4851</v>
      </c>
      <c r="AP143" t="b">
        <v>0</v>
      </c>
      <c r="AQ143" s="78" t="s">
        <v>4374</v>
      </c>
      <c r="AR143" t="s">
        <v>179</v>
      </c>
      <c r="AS143">
        <v>0</v>
      </c>
      <c r="AT143">
        <v>0</v>
      </c>
    </row>
    <row r="144" spans="1:46" x14ac:dyDescent="0.45">
      <c r="A144" s="62" t="s">
        <v>231</v>
      </c>
      <c r="B144" s="62" t="s">
        <v>1130</v>
      </c>
      <c r="C144" s="63"/>
      <c r="D144" s="64"/>
      <c r="E144" s="65"/>
      <c r="F144" s="66"/>
      <c r="G144" s="63"/>
      <c r="H144" s="67"/>
      <c r="I144" s="68"/>
      <c r="J144" s="68"/>
      <c r="K144" s="32"/>
      <c r="L144" s="75"/>
      <c r="M144" s="75"/>
      <c r="N144" s="70"/>
      <c r="O144" t="s">
        <v>1570</v>
      </c>
      <c r="P144" s="76">
        <v>44958.32539351852</v>
      </c>
      <c r="Q144" t="s">
        <v>1584</v>
      </c>
      <c r="R144" s="77" t="str">
        <f>HYPERLINK("https://www.forbes.com/sites/noahbarsky/2023/01/31/walmart-recession-proofs-retail-reign-with-3-rare-moves/?sh=64fd4cf22573")</f>
        <v>https://www.forbes.com/sites/noahbarsky/2023/01/31/walmart-recession-proofs-retail-reign-with-3-rare-moves/?sh=64fd4cf22573</v>
      </c>
      <c r="S144" t="s">
        <v>2260</v>
      </c>
      <c r="T144" s="78" t="s">
        <v>2311</v>
      </c>
      <c r="U144" s="77" t="str">
        <f>HYPERLINK("https://pbs.twimg.com/media/Fn0Jb_waYAE9JXF.jpg")</f>
        <v>https://pbs.twimg.com/media/Fn0Jb_waYAE9JXF.jpg</v>
      </c>
      <c r="V144" s="77" t="str">
        <f>HYPERLINK("https://pbs.twimg.com/media/Fn0Jb_waYAE9JXF.jpg")</f>
        <v>https://pbs.twimg.com/media/Fn0Jb_waYAE9JXF.jpg</v>
      </c>
      <c r="W144" s="76">
        <v>44958.32539351852</v>
      </c>
      <c r="X144" s="80">
        <v>44958</v>
      </c>
      <c r="Y144" s="78" t="s">
        <v>2434</v>
      </c>
      <c r="Z144" s="77" t="str">
        <f>HYPERLINK("https://twitter.com/procurementstar/status/1620690556430217217")</f>
        <v>https://twitter.com/procurementstar/status/1620690556430217217</v>
      </c>
      <c r="AC144" s="78" t="s">
        <v>3449</v>
      </c>
      <c r="AE144" t="b">
        <v>0</v>
      </c>
      <c r="AF144">
        <v>0</v>
      </c>
      <c r="AG144" s="78" t="s">
        <v>4640</v>
      </c>
      <c r="AH144" t="b">
        <v>0</v>
      </c>
      <c r="AI144" t="s">
        <v>4829</v>
      </c>
      <c r="AK144" s="78" t="s">
        <v>4640</v>
      </c>
      <c r="AL144" t="b">
        <v>0</v>
      </c>
      <c r="AM144">
        <v>11</v>
      </c>
      <c r="AN144" s="78" t="s">
        <v>4374</v>
      </c>
      <c r="AO144" s="78" t="s">
        <v>4851</v>
      </c>
      <c r="AP144" t="b">
        <v>0</v>
      </c>
      <c r="AQ144" s="78" t="s">
        <v>4374</v>
      </c>
      <c r="AR144" t="s">
        <v>179</v>
      </c>
      <c r="AS144">
        <v>0</v>
      </c>
      <c r="AT144">
        <v>0</v>
      </c>
    </row>
    <row r="145" spans="1:46" x14ac:dyDescent="0.45">
      <c r="A145" s="62" t="s">
        <v>231</v>
      </c>
      <c r="B145" s="62" t="s">
        <v>1131</v>
      </c>
      <c r="C145" s="63"/>
      <c r="D145" s="64"/>
      <c r="E145" s="65"/>
      <c r="F145" s="66"/>
      <c r="G145" s="63"/>
      <c r="H145" s="67"/>
      <c r="I145" s="68"/>
      <c r="J145" s="68"/>
      <c r="K145" s="32"/>
      <c r="L145" s="75"/>
      <c r="M145" s="75"/>
      <c r="N145" s="70"/>
      <c r="O145" t="s">
        <v>1570</v>
      </c>
      <c r="P145" s="76">
        <v>44958.32539351852</v>
      </c>
      <c r="Q145" t="s">
        <v>1584</v>
      </c>
      <c r="R145" s="77" t="str">
        <f>HYPERLINK("https://www.forbes.com/sites/noahbarsky/2023/01/31/walmart-recession-proofs-retail-reign-with-3-rare-moves/?sh=64fd4cf22573")</f>
        <v>https://www.forbes.com/sites/noahbarsky/2023/01/31/walmart-recession-proofs-retail-reign-with-3-rare-moves/?sh=64fd4cf22573</v>
      </c>
      <c r="S145" t="s">
        <v>2260</v>
      </c>
      <c r="T145" s="78" t="s">
        <v>2311</v>
      </c>
      <c r="U145" s="77" t="str">
        <f>HYPERLINK("https://pbs.twimg.com/media/Fn0Jb_waYAE9JXF.jpg")</f>
        <v>https://pbs.twimg.com/media/Fn0Jb_waYAE9JXF.jpg</v>
      </c>
      <c r="V145" s="77" t="str">
        <f>HYPERLINK("https://pbs.twimg.com/media/Fn0Jb_waYAE9JXF.jpg")</f>
        <v>https://pbs.twimg.com/media/Fn0Jb_waYAE9JXF.jpg</v>
      </c>
      <c r="W145" s="76">
        <v>44958.32539351852</v>
      </c>
      <c r="X145" s="80">
        <v>44958</v>
      </c>
      <c r="Y145" s="78" t="s">
        <v>2434</v>
      </c>
      <c r="Z145" s="77" t="str">
        <f>HYPERLINK("https://twitter.com/procurementstar/status/1620690556430217217")</f>
        <v>https://twitter.com/procurementstar/status/1620690556430217217</v>
      </c>
      <c r="AC145" s="78" t="s">
        <v>3449</v>
      </c>
      <c r="AE145" t="b">
        <v>0</v>
      </c>
      <c r="AF145">
        <v>0</v>
      </c>
      <c r="AG145" s="78" t="s">
        <v>4640</v>
      </c>
      <c r="AH145" t="b">
        <v>0</v>
      </c>
      <c r="AI145" t="s">
        <v>4829</v>
      </c>
      <c r="AK145" s="78" t="s">
        <v>4640</v>
      </c>
      <c r="AL145" t="b">
        <v>0</v>
      </c>
      <c r="AM145">
        <v>11</v>
      </c>
      <c r="AN145" s="78" t="s">
        <v>4374</v>
      </c>
      <c r="AO145" s="78" t="s">
        <v>4851</v>
      </c>
      <c r="AP145" t="b">
        <v>0</v>
      </c>
      <c r="AQ145" s="78" t="s">
        <v>4374</v>
      </c>
      <c r="AR145" t="s">
        <v>179</v>
      </c>
      <c r="AS145">
        <v>0</v>
      </c>
      <c r="AT145">
        <v>0</v>
      </c>
    </row>
    <row r="146" spans="1:46" x14ac:dyDescent="0.45">
      <c r="A146" s="62" t="s">
        <v>231</v>
      </c>
      <c r="B146" s="62" t="s">
        <v>236</v>
      </c>
      <c r="C146" s="63"/>
      <c r="D146" s="64"/>
      <c r="E146" s="65"/>
      <c r="F146" s="66"/>
      <c r="G146" s="63"/>
      <c r="H146" s="67"/>
      <c r="I146" s="68"/>
      <c r="J146" s="68"/>
      <c r="K146" s="32"/>
      <c r="L146" s="75"/>
      <c r="M146" s="75"/>
      <c r="N146" s="70"/>
      <c r="O146" t="s">
        <v>1570</v>
      </c>
      <c r="P146" s="76">
        <v>44958.32539351852</v>
      </c>
      <c r="Q146" t="s">
        <v>1584</v>
      </c>
      <c r="R146" s="77" t="str">
        <f>HYPERLINK("https://www.forbes.com/sites/noahbarsky/2023/01/31/walmart-recession-proofs-retail-reign-with-3-rare-moves/?sh=64fd4cf22573")</f>
        <v>https://www.forbes.com/sites/noahbarsky/2023/01/31/walmart-recession-proofs-retail-reign-with-3-rare-moves/?sh=64fd4cf22573</v>
      </c>
      <c r="S146" t="s">
        <v>2260</v>
      </c>
      <c r="T146" s="78" t="s">
        <v>2311</v>
      </c>
      <c r="U146" s="77" t="str">
        <f>HYPERLINK("https://pbs.twimg.com/media/Fn0Jb_waYAE9JXF.jpg")</f>
        <v>https://pbs.twimg.com/media/Fn0Jb_waYAE9JXF.jpg</v>
      </c>
      <c r="V146" s="77" t="str">
        <f>HYPERLINK("https://pbs.twimg.com/media/Fn0Jb_waYAE9JXF.jpg")</f>
        <v>https://pbs.twimg.com/media/Fn0Jb_waYAE9JXF.jpg</v>
      </c>
      <c r="W146" s="76">
        <v>44958.32539351852</v>
      </c>
      <c r="X146" s="80">
        <v>44958</v>
      </c>
      <c r="Y146" s="78" t="s">
        <v>2434</v>
      </c>
      <c r="Z146" s="77" t="str">
        <f>HYPERLINK("https://twitter.com/procurementstar/status/1620690556430217217")</f>
        <v>https://twitter.com/procurementstar/status/1620690556430217217</v>
      </c>
      <c r="AC146" s="78" t="s">
        <v>3449</v>
      </c>
      <c r="AE146" t="b">
        <v>0</v>
      </c>
      <c r="AF146">
        <v>0</v>
      </c>
      <c r="AG146" s="78" t="s">
        <v>4640</v>
      </c>
      <c r="AH146" t="b">
        <v>0</v>
      </c>
      <c r="AI146" t="s">
        <v>4829</v>
      </c>
      <c r="AK146" s="78" t="s">
        <v>4640</v>
      </c>
      <c r="AL146" t="b">
        <v>0</v>
      </c>
      <c r="AM146">
        <v>11</v>
      </c>
      <c r="AN146" s="78" t="s">
        <v>4374</v>
      </c>
      <c r="AO146" s="78" t="s">
        <v>4851</v>
      </c>
      <c r="AP146" t="b">
        <v>0</v>
      </c>
      <c r="AQ146" s="78" t="s">
        <v>4374</v>
      </c>
      <c r="AR146" t="s">
        <v>179</v>
      </c>
      <c r="AS146">
        <v>0</v>
      </c>
      <c r="AT146">
        <v>0</v>
      </c>
    </row>
    <row r="147" spans="1:46" x14ac:dyDescent="0.45">
      <c r="A147" s="62" t="s">
        <v>231</v>
      </c>
      <c r="B147" s="62" t="s">
        <v>957</v>
      </c>
      <c r="C147" s="63"/>
      <c r="D147" s="64"/>
      <c r="E147" s="65"/>
      <c r="F147" s="66"/>
      <c r="G147" s="63"/>
      <c r="H147" s="67"/>
      <c r="I147" s="68"/>
      <c r="J147" s="68"/>
      <c r="K147" s="32"/>
      <c r="L147" s="75"/>
      <c r="M147" s="75"/>
      <c r="N147" s="70"/>
      <c r="O147" t="s">
        <v>1570</v>
      </c>
      <c r="P147" s="76">
        <v>44958.32539351852</v>
      </c>
      <c r="Q147" t="s">
        <v>1584</v>
      </c>
      <c r="R147" s="77" t="str">
        <f>HYPERLINK("https://www.forbes.com/sites/noahbarsky/2023/01/31/walmart-recession-proofs-retail-reign-with-3-rare-moves/?sh=64fd4cf22573")</f>
        <v>https://www.forbes.com/sites/noahbarsky/2023/01/31/walmart-recession-proofs-retail-reign-with-3-rare-moves/?sh=64fd4cf22573</v>
      </c>
      <c r="S147" t="s">
        <v>2260</v>
      </c>
      <c r="T147" s="78" t="s">
        <v>2311</v>
      </c>
      <c r="U147" s="77" t="str">
        <f>HYPERLINK("https://pbs.twimg.com/media/Fn0Jb_waYAE9JXF.jpg")</f>
        <v>https://pbs.twimg.com/media/Fn0Jb_waYAE9JXF.jpg</v>
      </c>
      <c r="V147" s="77" t="str">
        <f>HYPERLINK("https://pbs.twimg.com/media/Fn0Jb_waYAE9JXF.jpg")</f>
        <v>https://pbs.twimg.com/media/Fn0Jb_waYAE9JXF.jpg</v>
      </c>
      <c r="W147" s="76">
        <v>44958.32539351852</v>
      </c>
      <c r="X147" s="80">
        <v>44958</v>
      </c>
      <c r="Y147" s="78" t="s">
        <v>2434</v>
      </c>
      <c r="Z147" s="77" t="str">
        <f>HYPERLINK("https://twitter.com/procurementstar/status/1620690556430217217")</f>
        <v>https://twitter.com/procurementstar/status/1620690556430217217</v>
      </c>
      <c r="AC147" s="78" t="s">
        <v>3449</v>
      </c>
      <c r="AE147" t="b">
        <v>0</v>
      </c>
      <c r="AF147">
        <v>0</v>
      </c>
      <c r="AG147" s="78" t="s">
        <v>4640</v>
      </c>
      <c r="AH147" t="b">
        <v>0</v>
      </c>
      <c r="AI147" t="s">
        <v>4829</v>
      </c>
      <c r="AK147" s="78" t="s">
        <v>4640</v>
      </c>
      <c r="AL147" t="b">
        <v>0</v>
      </c>
      <c r="AM147">
        <v>11</v>
      </c>
      <c r="AN147" s="78" t="s">
        <v>4374</v>
      </c>
      <c r="AO147" s="78" t="s">
        <v>4851</v>
      </c>
      <c r="AP147" t="b">
        <v>0</v>
      </c>
      <c r="AQ147" s="78" t="s">
        <v>4374</v>
      </c>
      <c r="AR147" t="s">
        <v>179</v>
      </c>
      <c r="AS147">
        <v>0</v>
      </c>
      <c r="AT147">
        <v>0</v>
      </c>
    </row>
    <row r="148" spans="1:46" x14ac:dyDescent="0.45">
      <c r="A148" s="62" t="s">
        <v>231</v>
      </c>
      <c r="B148" s="62" t="s">
        <v>242</v>
      </c>
      <c r="C148" s="63"/>
      <c r="D148" s="64"/>
      <c r="E148" s="65"/>
      <c r="F148" s="66"/>
      <c r="G148" s="63"/>
      <c r="H148" s="67"/>
      <c r="I148" s="68"/>
      <c r="J148" s="68"/>
      <c r="K148" s="32"/>
      <c r="L148" s="75"/>
      <c r="M148" s="75"/>
      <c r="N148" s="70"/>
      <c r="O148" t="s">
        <v>1570</v>
      </c>
      <c r="P148" s="76">
        <v>44958.32539351852</v>
      </c>
      <c r="Q148" t="s">
        <v>1584</v>
      </c>
      <c r="R148" s="77" t="str">
        <f>HYPERLINK("https://www.forbes.com/sites/noahbarsky/2023/01/31/walmart-recession-proofs-retail-reign-with-3-rare-moves/?sh=64fd4cf22573")</f>
        <v>https://www.forbes.com/sites/noahbarsky/2023/01/31/walmart-recession-proofs-retail-reign-with-3-rare-moves/?sh=64fd4cf22573</v>
      </c>
      <c r="S148" t="s">
        <v>2260</v>
      </c>
      <c r="T148" s="78" t="s">
        <v>2311</v>
      </c>
      <c r="U148" s="77" t="str">
        <f>HYPERLINK("https://pbs.twimg.com/media/Fn0Jb_waYAE9JXF.jpg")</f>
        <v>https://pbs.twimg.com/media/Fn0Jb_waYAE9JXF.jpg</v>
      </c>
      <c r="V148" s="77" t="str">
        <f>HYPERLINK("https://pbs.twimg.com/media/Fn0Jb_waYAE9JXF.jpg")</f>
        <v>https://pbs.twimg.com/media/Fn0Jb_waYAE9JXF.jpg</v>
      </c>
      <c r="W148" s="76">
        <v>44958.32539351852</v>
      </c>
      <c r="X148" s="80">
        <v>44958</v>
      </c>
      <c r="Y148" s="78" t="s">
        <v>2434</v>
      </c>
      <c r="Z148" s="77" t="str">
        <f>HYPERLINK("https://twitter.com/procurementstar/status/1620690556430217217")</f>
        <v>https://twitter.com/procurementstar/status/1620690556430217217</v>
      </c>
      <c r="AC148" s="78" t="s">
        <v>3449</v>
      </c>
      <c r="AE148" t="b">
        <v>0</v>
      </c>
      <c r="AF148">
        <v>0</v>
      </c>
      <c r="AG148" s="78" t="s">
        <v>4640</v>
      </c>
      <c r="AH148" t="b">
        <v>0</v>
      </c>
      <c r="AI148" t="s">
        <v>4829</v>
      </c>
      <c r="AK148" s="78" t="s">
        <v>4640</v>
      </c>
      <c r="AL148" t="b">
        <v>0</v>
      </c>
      <c r="AM148">
        <v>11</v>
      </c>
      <c r="AN148" s="78" t="s">
        <v>4374</v>
      </c>
      <c r="AO148" s="78" t="s">
        <v>4851</v>
      </c>
      <c r="AP148" t="b">
        <v>0</v>
      </c>
      <c r="AQ148" s="78" t="s">
        <v>4374</v>
      </c>
      <c r="AR148" t="s">
        <v>179</v>
      </c>
      <c r="AS148">
        <v>0</v>
      </c>
      <c r="AT148">
        <v>0</v>
      </c>
    </row>
    <row r="149" spans="1:46" x14ac:dyDescent="0.45">
      <c r="A149" s="62" t="s">
        <v>231</v>
      </c>
      <c r="B149" s="62" t="s">
        <v>1016</v>
      </c>
      <c r="C149" s="63"/>
      <c r="D149" s="64"/>
      <c r="E149" s="65"/>
      <c r="F149" s="66"/>
      <c r="G149" s="63"/>
      <c r="H149" s="67"/>
      <c r="I149" s="68"/>
      <c r="J149" s="68"/>
      <c r="K149" s="32"/>
      <c r="L149" s="75"/>
      <c r="M149" s="75"/>
      <c r="N149" s="70"/>
      <c r="O149" t="s">
        <v>1569</v>
      </c>
      <c r="P149" s="76">
        <v>44958.32539351852</v>
      </c>
      <c r="Q149" t="s">
        <v>1584</v>
      </c>
      <c r="R149" s="77" t="str">
        <f>HYPERLINK("https://www.forbes.com/sites/noahbarsky/2023/01/31/walmart-recession-proofs-retail-reign-with-3-rare-moves/?sh=64fd4cf22573")</f>
        <v>https://www.forbes.com/sites/noahbarsky/2023/01/31/walmart-recession-proofs-retail-reign-with-3-rare-moves/?sh=64fd4cf22573</v>
      </c>
      <c r="S149" t="s">
        <v>2260</v>
      </c>
      <c r="T149" s="78" t="s">
        <v>2311</v>
      </c>
      <c r="U149" s="77" t="str">
        <f>HYPERLINK("https://pbs.twimg.com/media/Fn0Jb_waYAE9JXF.jpg")</f>
        <v>https://pbs.twimg.com/media/Fn0Jb_waYAE9JXF.jpg</v>
      </c>
      <c r="V149" s="77" t="str">
        <f>HYPERLINK("https://pbs.twimg.com/media/Fn0Jb_waYAE9JXF.jpg")</f>
        <v>https://pbs.twimg.com/media/Fn0Jb_waYAE9JXF.jpg</v>
      </c>
      <c r="W149" s="76">
        <v>44958.32539351852</v>
      </c>
      <c r="X149" s="80">
        <v>44958</v>
      </c>
      <c r="Y149" s="78" t="s">
        <v>2434</v>
      </c>
      <c r="Z149" s="77" t="str">
        <f>HYPERLINK("https://twitter.com/procurementstar/status/1620690556430217217")</f>
        <v>https://twitter.com/procurementstar/status/1620690556430217217</v>
      </c>
      <c r="AC149" s="78" t="s">
        <v>3449</v>
      </c>
      <c r="AE149" t="b">
        <v>0</v>
      </c>
      <c r="AF149">
        <v>0</v>
      </c>
      <c r="AG149" s="78" t="s">
        <v>4640</v>
      </c>
      <c r="AH149" t="b">
        <v>0</v>
      </c>
      <c r="AI149" t="s">
        <v>4829</v>
      </c>
      <c r="AK149" s="78" t="s">
        <v>4640</v>
      </c>
      <c r="AL149" t="b">
        <v>0</v>
      </c>
      <c r="AM149">
        <v>11</v>
      </c>
      <c r="AN149" s="78" t="s">
        <v>4374</v>
      </c>
      <c r="AO149" s="78" t="s">
        <v>4851</v>
      </c>
      <c r="AP149" t="b">
        <v>0</v>
      </c>
      <c r="AQ149" s="78" t="s">
        <v>4374</v>
      </c>
      <c r="AR149" t="s">
        <v>179</v>
      </c>
      <c r="AS149">
        <v>0</v>
      </c>
      <c r="AT149">
        <v>0</v>
      </c>
    </row>
    <row r="150" spans="1:46" x14ac:dyDescent="0.45">
      <c r="A150" s="62" t="s">
        <v>303</v>
      </c>
      <c r="B150" s="62" t="s">
        <v>1122</v>
      </c>
      <c r="C150" s="63"/>
      <c r="D150" s="64"/>
      <c r="E150" s="65"/>
      <c r="F150" s="66"/>
      <c r="G150" s="63"/>
      <c r="H150" s="67"/>
      <c r="I150" s="68"/>
      <c r="J150" s="68"/>
      <c r="K150" s="32"/>
      <c r="L150" s="75"/>
      <c r="M150" s="75"/>
      <c r="N150" s="70"/>
      <c r="O150" t="s">
        <v>1570</v>
      </c>
      <c r="P150" s="76">
        <v>44958.599409722221</v>
      </c>
      <c r="Q150" t="s">
        <v>1584</v>
      </c>
      <c r="R150" s="77" t="str">
        <f>HYPERLINK("https://www.forbes.com/sites/noahbarsky/2023/01/31/walmart-recession-proofs-retail-reign-with-3-rare-moves/?sh=64fd4cf22573")</f>
        <v>https://www.forbes.com/sites/noahbarsky/2023/01/31/walmart-recession-proofs-retail-reign-with-3-rare-moves/?sh=64fd4cf22573</v>
      </c>
      <c r="S150" t="s">
        <v>2260</v>
      </c>
      <c r="T150" s="78" t="s">
        <v>2311</v>
      </c>
      <c r="U150" s="77" t="str">
        <f>HYPERLINK("https://pbs.twimg.com/media/Fn0Jb_waYAE9JXF.jpg")</f>
        <v>https://pbs.twimg.com/media/Fn0Jb_waYAE9JXF.jpg</v>
      </c>
      <c r="V150" s="77" t="str">
        <f>HYPERLINK("https://pbs.twimg.com/media/Fn0Jb_waYAE9JXF.jpg")</f>
        <v>https://pbs.twimg.com/media/Fn0Jb_waYAE9JXF.jpg</v>
      </c>
      <c r="W150" s="76">
        <v>44958.599409722221</v>
      </c>
      <c r="X150" s="80">
        <v>44958</v>
      </c>
      <c r="Y150" s="78" t="s">
        <v>2512</v>
      </c>
      <c r="Z150" s="77" t="str">
        <f>HYPERLINK("https://twitter.com/finmktg/status/1620789856510316544")</f>
        <v>https://twitter.com/finmktg/status/1620789856510316544</v>
      </c>
      <c r="AC150" s="78" t="s">
        <v>3527</v>
      </c>
      <c r="AE150" t="b">
        <v>0</v>
      </c>
      <c r="AF150">
        <v>0</v>
      </c>
      <c r="AG150" s="78" t="s">
        <v>4640</v>
      </c>
      <c r="AH150" t="b">
        <v>0</v>
      </c>
      <c r="AI150" t="s">
        <v>4829</v>
      </c>
      <c r="AK150" s="78" t="s">
        <v>4640</v>
      </c>
      <c r="AL150" t="b">
        <v>0</v>
      </c>
      <c r="AM150">
        <v>11</v>
      </c>
      <c r="AN150" s="78" t="s">
        <v>4374</v>
      </c>
      <c r="AO150" s="78" t="s">
        <v>4851</v>
      </c>
      <c r="AP150" t="b">
        <v>0</v>
      </c>
      <c r="AQ150" s="78" t="s">
        <v>4374</v>
      </c>
      <c r="AR150" t="s">
        <v>179</v>
      </c>
      <c r="AS150">
        <v>0</v>
      </c>
      <c r="AT150">
        <v>0</v>
      </c>
    </row>
    <row r="151" spans="1:46" x14ac:dyDescent="0.45">
      <c r="A151" s="62" t="s">
        <v>303</v>
      </c>
      <c r="B151" s="62" t="s">
        <v>1123</v>
      </c>
      <c r="C151" s="63"/>
      <c r="D151" s="64"/>
      <c r="E151" s="65"/>
      <c r="F151" s="66"/>
      <c r="G151" s="63"/>
      <c r="H151" s="67"/>
      <c r="I151" s="68"/>
      <c r="J151" s="68"/>
      <c r="K151" s="32"/>
      <c r="L151" s="75"/>
      <c r="M151" s="75"/>
      <c r="N151" s="70"/>
      <c r="O151" t="s">
        <v>1570</v>
      </c>
      <c r="P151" s="76">
        <v>44958.599409722221</v>
      </c>
      <c r="Q151" t="s">
        <v>1584</v>
      </c>
      <c r="R151" s="77" t="str">
        <f>HYPERLINK("https://www.forbes.com/sites/noahbarsky/2023/01/31/walmart-recession-proofs-retail-reign-with-3-rare-moves/?sh=64fd4cf22573")</f>
        <v>https://www.forbes.com/sites/noahbarsky/2023/01/31/walmart-recession-proofs-retail-reign-with-3-rare-moves/?sh=64fd4cf22573</v>
      </c>
      <c r="S151" t="s">
        <v>2260</v>
      </c>
      <c r="T151" s="78" t="s">
        <v>2311</v>
      </c>
      <c r="U151" s="77" t="str">
        <f>HYPERLINK("https://pbs.twimg.com/media/Fn0Jb_waYAE9JXF.jpg")</f>
        <v>https://pbs.twimg.com/media/Fn0Jb_waYAE9JXF.jpg</v>
      </c>
      <c r="V151" s="77" t="str">
        <f>HYPERLINK("https://pbs.twimg.com/media/Fn0Jb_waYAE9JXF.jpg")</f>
        <v>https://pbs.twimg.com/media/Fn0Jb_waYAE9JXF.jpg</v>
      </c>
      <c r="W151" s="76">
        <v>44958.599409722221</v>
      </c>
      <c r="X151" s="80">
        <v>44958</v>
      </c>
      <c r="Y151" s="78" t="s">
        <v>2512</v>
      </c>
      <c r="Z151" s="77" t="str">
        <f>HYPERLINK("https://twitter.com/finmktg/status/1620789856510316544")</f>
        <v>https://twitter.com/finmktg/status/1620789856510316544</v>
      </c>
      <c r="AC151" s="78" t="s">
        <v>3527</v>
      </c>
      <c r="AE151" t="b">
        <v>0</v>
      </c>
      <c r="AF151">
        <v>0</v>
      </c>
      <c r="AG151" s="78" t="s">
        <v>4640</v>
      </c>
      <c r="AH151" t="b">
        <v>0</v>
      </c>
      <c r="AI151" t="s">
        <v>4829</v>
      </c>
      <c r="AK151" s="78" t="s">
        <v>4640</v>
      </c>
      <c r="AL151" t="b">
        <v>0</v>
      </c>
      <c r="AM151">
        <v>11</v>
      </c>
      <c r="AN151" s="78" t="s">
        <v>4374</v>
      </c>
      <c r="AO151" s="78" t="s">
        <v>4851</v>
      </c>
      <c r="AP151" t="b">
        <v>0</v>
      </c>
      <c r="AQ151" s="78" t="s">
        <v>4374</v>
      </c>
      <c r="AR151" t="s">
        <v>179</v>
      </c>
      <c r="AS151">
        <v>0</v>
      </c>
      <c r="AT151">
        <v>0</v>
      </c>
    </row>
    <row r="152" spans="1:46" x14ac:dyDescent="0.45">
      <c r="A152" s="62" t="s">
        <v>303</v>
      </c>
      <c r="B152" s="62" t="s">
        <v>1017</v>
      </c>
      <c r="C152" s="63"/>
      <c r="D152" s="64"/>
      <c r="E152" s="65"/>
      <c r="F152" s="66"/>
      <c r="G152" s="63"/>
      <c r="H152" s="67"/>
      <c r="I152" s="68"/>
      <c r="J152" s="68"/>
      <c r="K152" s="32"/>
      <c r="L152" s="75"/>
      <c r="M152" s="75"/>
      <c r="N152" s="70"/>
      <c r="O152" t="s">
        <v>1570</v>
      </c>
      <c r="P152" s="76">
        <v>44958.599409722221</v>
      </c>
      <c r="Q152" t="s">
        <v>1584</v>
      </c>
      <c r="R152" s="77" t="str">
        <f>HYPERLINK("https://www.forbes.com/sites/noahbarsky/2023/01/31/walmart-recession-proofs-retail-reign-with-3-rare-moves/?sh=64fd4cf22573")</f>
        <v>https://www.forbes.com/sites/noahbarsky/2023/01/31/walmart-recession-proofs-retail-reign-with-3-rare-moves/?sh=64fd4cf22573</v>
      </c>
      <c r="S152" t="s">
        <v>2260</v>
      </c>
      <c r="T152" s="78" t="s">
        <v>2311</v>
      </c>
      <c r="U152" s="77" t="str">
        <f>HYPERLINK("https://pbs.twimg.com/media/Fn0Jb_waYAE9JXF.jpg")</f>
        <v>https://pbs.twimg.com/media/Fn0Jb_waYAE9JXF.jpg</v>
      </c>
      <c r="V152" s="77" t="str">
        <f>HYPERLINK("https://pbs.twimg.com/media/Fn0Jb_waYAE9JXF.jpg")</f>
        <v>https://pbs.twimg.com/media/Fn0Jb_waYAE9JXF.jpg</v>
      </c>
      <c r="W152" s="76">
        <v>44958.599409722221</v>
      </c>
      <c r="X152" s="80">
        <v>44958</v>
      </c>
      <c r="Y152" s="78" t="s">
        <v>2512</v>
      </c>
      <c r="Z152" s="77" t="str">
        <f>HYPERLINK("https://twitter.com/finmktg/status/1620789856510316544")</f>
        <v>https://twitter.com/finmktg/status/1620789856510316544</v>
      </c>
      <c r="AC152" s="78" t="s">
        <v>3527</v>
      </c>
      <c r="AE152" t="b">
        <v>0</v>
      </c>
      <c r="AF152">
        <v>0</v>
      </c>
      <c r="AG152" s="78" t="s">
        <v>4640</v>
      </c>
      <c r="AH152" t="b">
        <v>0</v>
      </c>
      <c r="AI152" t="s">
        <v>4829</v>
      </c>
      <c r="AK152" s="78" t="s">
        <v>4640</v>
      </c>
      <c r="AL152" t="b">
        <v>0</v>
      </c>
      <c r="AM152">
        <v>11</v>
      </c>
      <c r="AN152" s="78" t="s">
        <v>4374</v>
      </c>
      <c r="AO152" s="78" t="s">
        <v>4851</v>
      </c>
      <c r="AP152" t="b">
        <v>0</v>
      </c>
      <c r="AQ152" s="78" t="s">
        <v>4374</v>
      </c>
      <c r="AR152" t="s">
        <v>179</v>
      </c>
      <c r="AS152">
        <v>0</v>
      </c>
      <c r="AT152">
        <v>0</v>
      </c>
    </row>
    <row r="153" spans="1:46" x14ac:dyDescent="0.45">
      <c r="A153" s="62" t="s">
        <v>303</v>
      </c>
      <c r="B153" s="62" t="s">
        <v>1124</v>
      </c>
      <c r="C153" s="63"/>
      <c r="D153" s="64"/>
      <c r="E153" s="65"/>
      <c r="F153" s="66"/>
      <c r="G153" s="63"/>
      <c r="H153" s="67"/>
      <c r="I153" s="68"/>
      <c r="J153" s="68"/>
      <c r="K153" s="32"/>
      <c r="L153" s="75"/>
      <c r="M153" s="75"/>
      <c r="N153" s="70"/>
      <c r="O153" t="s">
        <v>1570</v>
      </c>
      <c r="P153" s="76">
        <v>44958.599409722221</v>
      </c>
      <c r="Q153" t="s">
        <v>1584</v>
      </c>
      <c r="R153" s="77" t="str">
        <f>HYPERLINK("https://www.forbes.com/sites/noahbarsky/2023/01/31/walmart-recession-proofs-retail-reign-with-3-rare-moves/?sh=64fd4cf22573")</f>
        <v>https://www.forbes.com/sites/noahbarsky/2023/01/31/walmart-recession-proofs-retail-reign-with-3-rare-moves/?sh=64fd4cf22573</v>
      </c>
      <c r="S153" t="s">
        <v>2260</v>
      </c>
      <c r="T153" s="78" t="s">
        <v>2311</v>
      </c>
      <c r="U153" s="77" t="str">
        <f>HYPERLINK("https://pbs.twimg.com/media/Fn0Jb_waYAE9JXF.jpg")</f>
        <v>https://pbs.twimg.com/media/Fn0Jb_waYAE9JXF.jpg</v>
      </c>
      <c r="V153" s="77" t="str">
        <f>HYPERLINK("https://pbs.twimg.com/media/Fn0Jb_waYAE9JXF.jpg")</f>
        <v>https://pbs.twimg.com/media/Fn0Jb_waYAE9JXF.jpg</v>
      </c>
      <c r="W153" s="76">
        <v>44958.599409722221</v>
      </c>
      <c r="X153" s="80">
        <v>44958</v>
      </c>
      <c r="Y153" s="78" t="s">
        <v>2512</v>
      </c>
      <c r="Z153" s="77" t="str">
        <f>HYPERLINK("https://twitter.com/finmktg/status/1620789856510316544")</f>
        <v>https://twitter.com/finmktg/status/1620789856510316544</v>
      </c>
      <c r="AC153" s="78" t="s">
        <v>3527</v>
      </c>
      <c r="AE153" t="b">
        <v>0</v>
      </c>
      <c r="AF153">
        <v>0</v>
      </c>
      <c r="AG153" s="78" t="s">
        <v>4640</v>
      </c>
      <c r="AH153" t="b">
        <v>0</v>
      </c>
      <c r="AI153" t="s">
        <v>4829</v>
      </c>
      <c r="AK153" s="78" t="s">
        <v>4640</v>
      </c>
      <c r="AL153" t="b">
        <v>0</v>
      </c>
      <c r="AM153">
        <v>11</v>
      </c>
      <c r="AN153" s="78" t="s">
        <v>4374</v>
      </c>
      <c r="AO153" s="78" t="s">
        <v>4851</v>
      </c>
      <c r="AP153" t="b">
        <v>0</v>
      </c>
      <c r="AQ153" s="78" t="s">
        <v>4374</v>
      </c>
      <c r="AR153" t="s">
        <v>179</v>
      </c>
      <c r="AS153">
        <v>0</v>
      </c>
      <c r="AT153">
        <v>0</v>
      </c>
    </row>
    <row r="154" spans="1:46" x14ac:dyDescent="0.45">
      <c r="A154" s="62" t="s">
        <v>303</v>
      </c>
      <c r="B154" s="62" t="s">
        <v>1125</v>
      </c>
      <c r="C154" s="63"/>
      <c r="D154" s="64"/>
      <c r="E154" s="65"/>
      <c r="F154" s="66"/>
      <c r="G154" s="63"/>
      <c r="H154" s="67"/>
      <c r="I154" s="68"/>
      <c r="J154" s="68"/>
      <c r="K154" s="32"/>
      <c r="L154" s="75"/>
      <c r="M154" s="75"/>
      <c r="N154" s="70"/>
      <c r="O154" t="s">
        <v>1570</v>
      </c>
      <c r="P154" s="76">
        <v>44958.599409722221</v>
      </c>
      <c r="Q154" t="s">
        <v>1584</v>
      </c>
      <c r="R154" s="77" t="str">
        <f>HYPERLINK("https://www.forbes.com/sites/noahbarsky/2023/01/31/walmart-recession-proofs-retail-reign-with-3-rare-moves/?sh=64fd4cf22573")</f>
        <v>https://www.forbes.com/sites/noahbarsky/2023/01/31/walmart-recession-proofs-retail-reign-with-3-rare-moves/?sh=64fd4cf22573</v>
      </c>
      <c r="S154" t="s">
        <v>2260</v>
      </c>
      <c r="T154" s="78" t="s">
        <v>2311</v>
      </c>
      <c r="U154" s="77" t="str">
        <f>HYPERLINK("https://pbs.twimg.com/media/Fn0Jb_waYAE9JXF.jpg")</f>
        <v>https://pbs.twimg.com/media/Fn0Jb_waYAE9JXF.jpg</v>
      </c>
      <c r="V154" s="77" t="str">
        <f>HYPERLINK("https://pbs.twimg.com/media/Fn0Jb_waYAE9JXF.jpg")</f>
        <v>https://pbs.twimg.com/media/Fn0Jb_waYAE9JXF.jpg</v>
      </c>
      <c r="W154" s="76">
        <v>44958.599409722221</v>
      </c>
      <c r="X154" s="80">
        <v>44958</v>
      </c>
      <c r="Y154" s="78" t="s">
        <v>2512</v>
      </c>
      <c r="Z154" s="77" t="str">
        <f>HYPERLINK("https://twitter.com/finmktg/status/1620789856510316544")</f>
        <v>https://twitter.com/finmktg/status/1620789856510316544</v>
      </c>
      <c r="AC154" s="78" t="s">
        <v>3527</v>
      </c>
      <c r="AE154" t="b">
        <v>0</v>
      </c>
      <c r="AF154">
        <v>0</v>
      </c>
      <c r="AG154" s="78" t="s">
        <v>4640</v>
      </c>
      <c r="AH154" t="b">
        <v>0</v>
      </c>
      <c r="AI154" t="s">
        <v>4829</v>
      </c>
      <c r="AK154" s="78" t="s">
        <v>4640</v>
      </c>
      <c r="AL154" t="b">
        <v>0</v>
      </c>
      <c r="AM154">
        <v>11</v>
      </c>
      <c r="AN154" s="78" t="s">
        <v>4374</v>
      </c>
      <c r="AO154" s="78" t="s">
        <v>4851</v>
      </c>
      <c r="AP154" t="b">
        <v>0</v>
      </c>
      <c r="AQ154" s="78" t="s">
        <v>4374</v>
      </c>
      <c r="AR154" t="s">
        <v>179</v>
      </c>
      <c r="AS154">
        <v>0</v>
      </c>
      <c r="AT154">
        <v>0</v>
      </c>
    </row>
    <row r="155" spans="1:46" x14ac:dyDescent="0.45">
      <c r="A155" s="62" t="s">
        <v>303</v>
      </c>
      <c r="B155" s="62" t="s">
        <v>1126</v>
      </c>
      <c r="C155" s="63"/>
      <c r="D155" s="64"/>
      <c r="E155" s="65"/>
      <c r="F155" s="66"/>
      <c r="G155" s="63"/>
      <c r="H155" s="67"/>
      <c r="I155" s="68"/>
      <c r="J155" s="68"/>
      <c r="K155" s="32"/>
      <c r="L155" s="75"/>
      <c r="M155" s="75"/>
      <c r="N155" s="70"/>
      <c r="O155" t="s">
        <v>1570</v>
      </c>
      <c r="P155" s="76">
        <v>44958.599409722221</v>
      </c>
      <c r="Q155" t="s">
        <v>1584</v>
      </c>
      <c r="R155" s="77" t="str">
        <f>HYPERLINK("https://www.forbes.com/sites/noahbarsky/2023/01/31/walmart-recession-proofs-retail-reign-with-3-rare-moves/?sh=64fd4cf22573")</f>
        <v>https://www.forbes.com/sites/noahbarsky/2023/01/31/walmart-recession-proofs-retail-reign-with-3-rare-moves/?sh=64fd4cf22573</v>
      </c>
      <c r="S155" t="s">
        <v>2260</v>
      </c>
      <c r="T155" s="78" t="s">
        <v>2311</v>
      </c>
      <c r="U155" s="77" t="str">
        <f>HYPERLINK("https://pbs.twimg.com/media/Fn0Jb_waYAE9JXF.jpg")</f>
        <v>https://pbs.twimg.com/media/Fn0Jb_waYAE9JXF.jpg</v>
      </c>
      <c r="V155" s="77" t="str">
        <f>HYPERLINK("https://pbs.twimg.com/media/Fn0Jb_waYAE9JXF.jpg")</f>
        <v>https://pbs.twimg.com/media/Fn0Jb_waYAE9JXF.jpg</v>
      </c>
      <c r="W155" s="76">
        <v>44958.599409722221</v>
      </c>
      <c r="X155" s="80">
        <v>44958</v>
      </c>
      <c r="Y155" s="78" t="s">
        <v>2512</v>
      </c>
      <c r="Z155" s="77" t="str">
        <f>HYPERLINK("https://twitter.com/finmktg/status/1620789856510316544")</f>
        <v>https://twitter.com/finmktg/status/1620789856510316544</v>
      </c>
      <c r="AC155" s="78" t="s">
        <v>3527</v>
      </c>
      <c r="AE155" t="b">
        <v>0</v>
      </c>
      <c r="AF155">
        <v>0</v>
      </c>
      <c r="AG155" s="78" t="s">
        <v>4640</v>
      </c>
      <c r="AH155" t="b">
        <v>0</v>
      </c>
      <c r="AI155" t="s">
        <v>4829</v>
      </c>
      <c r="AK155" s="78" t="s">
        <v>4640</v>
      </c>
      <c r="AL155" t="b">
        <v>0</v>
      </c>
      <c r="AM155">
        <v>11</v>
      </c>
      <c r="AN155" s="78" t="s">
        <v>4374</v>
      </c>
      <c r="AO155" s="78" t="s">
        <v>4851</v>
      </c>
      <c r="AP155" t="b">
        <v>0</v>
      </c>
      <c r="AQ155" s="78" t="s">
        <v>4374</v>
      </c>
      <c r="AR155" t="s">
        <v>179</v>
      </c>
      <c r="AS155">
        <v>0</v>
      </c>
      <c r="AT155">
        <v>0</v>
      </c>
    </row>
    <row r="156" spans="1:46" x14ac:dyDescent="0.45">
      <c r="A156" s="62" t="s">
        <v>303</v>
      </c>
      <c r="B156" s="62" t="s">
        <v>1127</v>
      </c>
      <c r="C156" s="63"/>
      <c r="D156" s="64"/>
      <c r="E156" s="65"/>
      <c r="F156" s="66"/>
      <c r="G156" s="63"/>
      <c r="H156" s="67"/>
      <c r="I156" s="68"/>
      <c r="J156" s="68"/>
      <c r="K156" s="32"/>
      <c r="L156" s="75"/>
      <c r="M156" s="75"/>
      <c r="N156" s="70"/>
      <c r="O156" t="s">
        <v>1570</v>
      </c>
      <c r="P156" s="76">
        <v>44958.599409722221</v>
      </c>
      <c r="Q156" t="s">
        <v>1584</v>
      </c>
      <c r="R156" s="77" t="str">
        <f>HYPERLINK("https://www.forbes.com/sites/noahbarsky/2023/01/31/walmart-recession-proofs-retail-reign-with-3-rare-moves/?sh=64fd4cf22573")</f>
        <v>https://www.forbes.com/sites/noahbarsky/2023/01/31/walmart-recession-proofs-retail-reign-with-3-rare-moves/?sh=64fd4cf22573</v>
      </c>
      <c r="S156" t="s">
        <v>2260</v>
      </c>
      <c r="T156" s="78" t="s">
        <v>2311</v>
      </c>
      <c r="U156" s="77" t="str">
        <f>HYPERLINK("https://pbs.twimg.com/media/Fn0Jb_waYAE9JXF.jpg")</f>
        <v>https://pbs.twimg.com/media/Fn0Jb_waYAE9JXF.jpg</v>
      </c>
      <c r="V156" s="77" t="str">
        <f>HYPERLINK("https://pbs.twimg.com/media/Fn0Jb_waYAE9JXF.jpg")</f>
        <v>https://pbs.twimg.com/media/Fn0Jb_waYAE9JXF.jpg</v>
      </c>
      <c r="W156" s="76">
        <v>44958.599409722221</v>
      </c>
      <c r="X156" s="80">
        <v>44958</v>
      </c>
      <c r="Y156" s="78" t="s">
        <v>2512</v>
      </c>
      <c r="Z156" s="77" t="str">
        <f>HYPERLINK("https://twitter.com/finmktg/status/1620789856510316544")</f>
        <v>https://twitter.com/finmktg/status/1620789856510316544</v>
      </c>
      <c r="AC156" s="78" t="s">
        <v>3527</v>
      </c>
      <c r="AE156" t="b">
        <v>0</v>
      </c>
      <c r="AF156">
        <v>0</v>
      </c>
      <c r="AG156" s="78" t="s">
        <v>4640</v>
      </c>
      <c r="AH156" t="b">
        <v>0</v>
      </c>
      <c r="AI156" t="s">
        <v>4829</v>
      </c>
      <c r="AK156" s="78" t="s">
        <v>4640</v>
      </c>
      <c r="AL156" t="b">
        <v>0</v>
      </c>
      <c r="AM156">
        <v>11</v>
      </c>
      <c r="AN156" s="78" t="s">
        <v>4374</v>
      </c>
      <c r="AO156" s="78" t="s">
        <v>4851</v>
      </c>
      <c r="AP156" t="b">
        <v>0</v>
      </c>
      <c r="AQ156" s="78" t="s">
        <v>4374</v>
      </c>
      <c r="AR156" t="s">
        <v>179</v>
      </c>
      <c r="AS156">
        <v>0</v>
      </c>
      <c r="AT156">
        <v>0</v>
      </c>
    </row>
    <row r="157" spans="1:46" x14ac:dyDescent="0.45">
      <c r="A157" s="62" t="s">
        <v>303</v>
      </c>
      <c r="B157" s="62" t="s">
        <v>1128</v>
      </c>
      <c r="C157" s="63"/>
      <c r="D157" s="64"/>
      <c r="E157" s="65"/>
      <c r="F157" s="66"/>
      <c r="G157" s="63"/>
      <c r="H157" s="67"/>
      <c r="I157" s="68"/>
      <c r="J157" s="68"/>
      <c r="K157" s="32"/>
      <c r="L157" s="75"/>
      <c r="M157" s="75"/>
      <c r="N157" s="70"/>
      <c r="O157" t="s">
        <v>1570</v>
      </c>
      <c r="P157" s="76">
        <v>44958.599409722221</v>
      </c>
      <c r="Q157" t="s">
        <v>1584</v>
      </c>
      <c r="R157" s="77" t="str">
        <f>HYPERLINK("https://www.forbes.com/sites/noahbarsky/2023/01/31/walmart-recession-proofs-retail-reign-with-3-rare-moves/?sh=64fd4cf22573")</f>
        <v>https://www.forbes.com/sites/noahbarsky/2023/01/31/walmart-recession-proofs-retail-reign-with-3-rare-moves/?sh=64fd4cf22573</v>
      </c>
      <c r="S157" t="s">
        <v>2260</v>
      </c>
      <c r="T157" s="78" t="s">
        <v>2311</v>
      </c>
      <c r="U157" s="77" t="str">
        <f>HYPERLINK("https://pbs.twimg.com/media/Fn0Jb_waYAE9JXF.jpg")</f>
        <v>https://pbs.twimg.com/media/Fn0Jb_waYAE9JXF.jpg</v>
      </c>
      <c r="V157" s="77" t="str">
        <f>HYPERLINK("https://pbs.twimg.com/media/Fn0Jb_waYAE9JXF.jpg")</f>
        <v>https://pbs.twimg.com/media/Fn0Jb_waYAE9JXF.jpg</v>
      </c>
      <c r="W157" s="76">
        <v>44958.599409722221</v>
      </c>
      <c r="X157" s="80">
        <v>44958</v>
      </c>
      <c r="Y157" s="78" t="s">
        <v>2512</v>
      </c>
      <c r="Z157" s="77" t="str">
        <f>HYPERLINK("https://twitter.com/finmktg/status/1620789856510316544")</f>
        <v>https://twitter.com/finmktg/status/1620789856510316544</v>
      </c>
      <c r="AC157" s="78" t="s">
        <v>3527</v>
      </c>
      <c r="AE157" t="b">
        <v>0</v>
      </c>
      <c r="AF157">
        <v>0</v>
      </c>
      <c r="AG157" s="78" t="s">
        <v>4640</v>
      </c>
      <c r="AH157" t="b">
        <v>0</v>
      </c>
      <c r="AI157" t="s">
        <v>4829</v>
      </c>
      <c r="AK157" s="78" t="s">
        <v>4640</v>
      </c>
      <c r="AL157" t="b">
        <v>0</v>
      </c>
      <c r="AM157">
        <v>11</v>
      </c>
      <c r="AN157" s="78" t="s">
        <v>4374</v>
      </c>
      <c r="AO157" s="78" t="s">
        <v>4851</v>
      </c>
      <c r="AP157" t="b">
        <v>0</v>
      </c>
      <c r="AQ157" s="78" t="s">
        <v>4374</v>
      </c>
      <c r="AR157" t="s">
        <v>179</v>
      </c>
      <c r="AS157">
        <v>0</v>
      </c>
      <c r="AT157">
        <v>0</v>
      </c>
    </row>
    <row r="158" spans="1:46" x14ac:dyDescent="0.45">
      <c r="A158" s="62" t="s">
        <v>303</v>
      </c>
      <c r="B158" s="62" t="s">
        <v>1129</v>
      </c>
      <c r="C158" s="63"/>
      <c r="D158" s="64"/>
      <c r="E158" s="65"/>
      <c r="F158" s="66"/>
      <c r="G158" s="63"/>
      <c r="H158" s="67"/>
      <c r="I158" s="68"/>
      <c r="J158" s="68"/>
      <c r="K158" s="32"/>
      <c r="L158" s="75"/>
      <c r="M158" s="75"/>
      <c r="N158" s="70"/>
      <c r="O158" t="s">
        <v>1570</v>
      </c>
      <c r="P158" s="76">
        <v>44958.599409722221</v>
      </c>
      <c r="Q158" t="s">
        <v>1584</v>
      </c>
      <c r="R158" s="77" t="str">
        <f>HYPERLINK("https://www.forbes.com/sites/noahbarsky/2023/01/31/walmart-recession-proofs-retail-reign-with-3-rare-moves/?sh=64fd4cf22573")</f>
        <v>https://www.forbes.com/sites/noahbarsky/2023/01/31/walmart-recession-proofs-retail-reign-with-3-rare-moves/?sh=64fd4cf22573</v>
      </c>
      <c r="S158" t="s">
        <v>2260</v>
      </c>
      <c r="T158" s="78" t="s">
        <v>2311</v>
      </c>
      <c r="U158" s="77" t="str">
        <f>HYPERLINK("https://pbs.twimg.com/media/Fn0Jb_waYAE9JXF.jpg")</f>
        <v>https://pbs.twimg.com/media/Fn0Jb_waYAE9JXF.jpg</v>
      </c>
      <c r="V158" s="77" t="str">
        <f>HYPERLINK("https://pbs.twimg.com/media/Fn0Jb_waYAE9JXF.jpg")</f>
        <v>https://pbs.twimg.com/media/Fn0Jb_waYAE9JXF.jpg</v>
      </c>
      <c r="W158" s="76">
        <v>44958.599409722221</v>
      </c>
      <c r="X158" s="80">
        <v>44958</v>
      </c>
      <c r="Y158" s="78" t="s">
        <v>2512</v>
      </c>
      <c r="Z158" s="77" t="str">
        <f>HYPERLINK("https://twitter.com/finmktg/status/1620789856510316544")</f>
        <v>https://twitter.com/finmktg/status/1620789856510316544</v>
      </c>
      <c r="AC158" s="78" t="s">
        <v>3527</v>
      </c>
      <c r="AE158" t="b">
        <v>0</v>
      </c>
      <c r="AF158">
        <v>0</v>
      </c>
      <c r="AG158" s="78" t="s">
        <v>4640</v>
      </c>
      <c r="AH158" t="b">
        <v>0</v>
      </c>
      <c r="AI158" t="s">
        <v>4829</v>
      </c>
      <c r="AK158" s="78" t="s">
        <v>4640</v>
      </c>
      <c r="AL158" t="b">
        <v>0</v>
      </c>
      <c r="AM158">
        <v>11</v>
      </c>
      <c r="AN158" s="78" t="s">
        <v>4374</v>
      </c>
      <c r="AO158" s="78" t="s">
        <v>4851</v>
      </c>
      <c r="AP158" t="b">
        <v>0</v>
      </c>
      <c r="AQ158" s="78" t="s">
        <v>4374</v>
      </c>
      <c r="AR158" t="s">
        <v>179</v>
      </c>
      <c r="AS158">
        <v>0</v>
      </c>
      <c r="AT158">
        <v>0</v>
      </c>
    </row>
    <row r="159" spans="1:46" x14ac:dyDescent="0.45">
      <c r="A159" s="62" t="s">
        <v>303</v>
      </c>
      <c r="B159" s="62" t="s">
        <v>1130</v>
      </c>
      <c r="C159" s="63"/>
      <c r="D159" s="64"/>
      <c r="E159" s="65"/>
      <c r="F159" s="66"/>
      <c r="G159" s="63"/>
      <c r="H159" s="67"/>
      <c r="I159" s="68"/>
      <c r="J159" s="68"/>
      <c r="K159" s="32"/>
      <c r="L159" s="75"/>
      <c r="M159" s="75"/>
      <c r="N159" s="70"/>
      <c r="O159" t="s">
        <v>1570</v>
      </c>
      <c r="P159" s="76">
        <v>44958.599409722221</v>
      </c>
      <c r="Q159" t="s">
        <v>1584</v>
      </c>
      <c r="R159" s="77" t="str">
        <f>HYPERLINK("https://www.forbes.com/sites/noahbarsky/2023/01/31/walmart-recession-proofs-retail-reign-with-3-rare-moves/?sh=64fd4cf22573")</f>
        <v>https://www.forbes.com/sites/noahbarsky/2023/01/31/walmart-recession-proofs-retail-reign-with-3-rare-moves/?sh=64fd4cf22573</v>
      </c>
      <c r="S159" t="s">
        <v>2260</v>
      </c>
      <c r="T159" s="78" t="s">
        <v>2311</v>
      </c>
      <c r="U159" s="77" t="str">
        <f>HYPERLINK("https://pbs.twimg.com/media/Fn0Jb_waYAE9JXF.jpg")</f>
        <v>https://pbs.twimg.com/media/Fn0Jb_waYAE9JXF.jpg</v>
      </c>
      <c r="V159" s="77" t="str">
        <f>HYPERLINK("https://pbs.twimg.com/media/Fn0Jb_waYAE9JXF.jpg")</f>
        <v>https://pbs.twimg.com/media/Fn0Jb_waYAE9JXF.jpg</v>
      </c>
      <c r="W159" s="76">
        <v>44958.599409722221</v>
      </c>
      <c r="X159" s="80">
        <v>44958</v>
      </c>
      <c r="Y159" s="78" t="s">
        <v>2512</v>
      </c>
      <c r="Z159" s="77" t="str">
        <f>HYPERLINK("https://twitter.com/finmktg/status/1620789856510316544")</f>
        <v>https://twitter.com/finmktg/status/1620789856510316544</v>
      </c>
      <c r="AC159" s="78" t="s">
        <v>3527</v>
      </c>
      <c r="AE159" t="b">
        <v>0</v>
      </c>
      <c r="AF159">
        <v>0</v>
      </c>
      <c r="AG159" s="78" t="s">
        <v>4640</v>
      </c>
      <c r="AH159" t="b">
        <v>0</v>
      </c>
      <c r="AI159" t="s">
        <v>4829</v>
      </c>
      <c r="AK159" s="78" t="s">
        <v>4640</v>
      </c>
      <c r="AL159" t="b">
        <v>0</v>
      </c>
      <c r="AM159">
        <v>11</v>
      </c>
      <c r="AN159" s="78" t="s">
        <v>4374</v>
      </c>
      <c r="AO159" s="78" t="s">
        <v>4851</v>
      </c>
      <c r="AP159" t="b">
        <v>0</v>
      </c>
      <c r="AQ159" s="78" t="s">
        <v>4374</v>
      </c>
      <c r="AR159" t="s">
        <v>179</v>
      </c>
      <c r="AS159">
        <v>0</v>
      </c>
      <c r="AT159">
        <v>0</v>
      </c>
    </row>
    <row r="160" spans="1:46" x14ac:dyDescent="0.45">
      <c r="A160" s="62" t="s">
        <v>303</v>
      </c>
      <c r="B160" s="62" t="s">
        <v>1131</v>
      </c>
      <c r="C160" s="63"/>
      <c r="D160" s="64"/>
      <c r="E160" s="65"/>
      <c r="F160" s="66"/>
      <c r="G160" s="63"/>
      <c r="H160" s="67"/>
      <c r="I160" s="68"/>
      <c r="J160" s="68"/>
      <c r="K160" s="32"/>
      <c r="L160" s="75"/>
      <c r="M160" s="75"/>
      <c r="N160" s="70"/>
      <c r="O160" t="s">
        <v>1570</v>
      </c>
      <c r="P160" s="76">
        <v>44958.599409722221</v>
      </c>
      <c r="Q160" t="s">
        <v>1584</v>
      </c>
      <c r="R160" s="77" t="str">
        <f>HYPERLINK("https://www.forbes.com/sites/noahbarsky/2023/01/31/walmart-recession-proofs-retail-reign-with-3-rare-moves/?sh=64fd4cf22573")</f>
        <v>https://www.forbes.com/sites/noahbarsky/2023/01/31/walmart-recession-proofs-retail-reign-with-3-rare-moves/?sh=64fd4cf22573</v>
      </c>
      <c r="S160" t="s">
        <v>2260</v>
      </c>
      <c r="T160" s="78" t="s">
        <v>2311</v>
      </c>
      <c r="U160" s="77" t="str">
        <f>HYPERLINK("https://pbs.twimg.com/media/Fn0Jb_waYAE9JXF.jpg")</f>
        <v>https://pbs.twimg.com/media/Fn0Jb_waYAE9JXF.jpg</v>
      </c>
      <c r="V160" s="77" t="str">
        <f>HYPERLINK("https://pbs.twimg.com/media/Fn0Jb_waYAE9JXF.jpg")</f>
        <v>https://pbs.twimg.com/media/Fn0Jb_waYAE9JXF.jpg</v>
      </c>
      <c r="W160" s="76">
        <v>44958.599409722221</v>
      </c>
      <c r="X160" s="80">
        <v>44958</v>
      </c>
      <c r="Y160" s="78" t="s">
        <v>2512</v>
      </c>
      <c r="Z160" s="77" t="str">
        <f>HYPERLINK("https://twitter.com/finmktg/status/1620789856510316544")</f>
        <v>https://twitter.com/finmktg/status/1620789856510316544</v>
      </c>
      <c r="AC160" s="78" t="s">
        <v>3527</v>
      </c>
      <c r="AE160" t="b">
        <v>0</v>
      </c>
      <c r="AF160">
        <v>0</v>
      </c>
      <c r="AG160" s="78" t="s">
        <v>4640</v>
      </c>
      <c r="AH160" t="b">
        <v>0</v>
      </c>
      <c r="AI160" t="s">
        <v>4829</v>
      </c>
      <c r="AK160" s="78" t="s">
        <v>4640</v>
      </c>
      <c r="AL160" t="b">
        <v>0</v>
      </c>
      <c r="AM160">
        <v>11</v>
      </c>
      <c r="AN160" s="78" t="s">
        <v>4374</v>
      </c>
      <c r="AO160" s="78" t="s">
        <v>4851</v>
      </c>
      <c r="AP160" t="b">
        <v>0</v>
      </c>
      <c r="AQ160" s="78" t="s">
        <v>4374</v>
      </c>
      <c r="AR160" t="s">
        <v>179</v>
      </c>
      <c r="AS160">
        <v>0</v>
      </c>
      <c r="AT160">
        <v>0</v>
      </c>
    </row>
    <row r="161" spans="1:46" x14ac:dyDescent="0.45">
      <c r="A161" s="62" t="s">
        <v>303</v>
      </c>
      <c r="B161" s="62" t="s">
        <v>236</v>
      </c>
      <c r="C161" s="63"/>
      <c r="D161" s="64"/>
      <c r="E161" s="65"/>
      <c r="F161" s="66"/>
      <c r="G161" s="63"/>
      <c r="H161" s="67"/>
      <c r="I161" s="68"/>
      <c r="J161" s="68"/>
      <c r="K161" s="32"/>
      <c r="L161" s="75"/>
      <c r="M161" s="75"/>
      <c r="N161" s="70"/>
      <c r="O161" t="s">
        <v>1570</v>
      </c>
      <c r="P161" s="76">
        <v>44958.599409722221</v>
      </c>
      <c r="Q161" t="s">
        <v>1584</v>
      </c>
      <c r="R161" s="77" t="str">
        <f>HYPERLINK("https://www.forbes.com/sites/noahbarsky/2023/01/31/walmart-recession-proofs-retail-reign-with-3-rare-moves/?sh=64fd4cf22573")</f>
        <v>https://www.forbes.com/sites/noahbarsky/2023/01/31/walmart-recession-proofs-retail-reign-with-3-rare-moves/?sh=64fd4cf22573</v>
      </c>
      <c r="S161" t="s">
        <v>2260</v>
      </c>
      <c r="T161" s="78" t="s">
        <v>2311</v>
      </c>
      <c r="U161" s="77" t="str">
        <f>HYPERLINK("https://pbs.twimg.com/media/Fn0Jb_waYAE9JXF.jpg")</f>
        <v>https://pbs.twimg.com/media/Fn0Jb_waYAE9JXF.jpg</v>
      </c>
      <c r="V161" s="77" t="str">
        <f>HYPERLINK("https://pbs.twimg.com/media/Fn0Jb_waYAE9JXF.jpg")</f>
        <v>https://pbs.twimg.com/media/Fn0Jb_waYAE9JXF.jpg</v>
      </c>
      <c r="W161" s="76">
        <v>44958.599409722221</v>
      </c>
      <c r="X161" s="80">
        <v>44958</v>
      </c>
      <c r="Y161" s="78" t="s">
        <v>2512</v>
      </c>
      <c r="Z161" s="77" t="str">
        <f>HYPERLINK("https://twitter.com/finmktg/status/1620789856510316544")</f>
        <v>https://twitter.com/finmktg/status/1620789856510316544</v>
      </c>
      <c r="AC161" s="78" t="s">
        <v>3527</v>
      </c>
      <c r="AE161" t="b">
        <v>0</v>
      </c>
      <c r="AF161">
        <v>0</v>
      </c>
      <c r="AG161" s="78" t="s">
        <v>4640</v>
      </c>
      <c r="AH161" t="b">
        <v>0</v>
      </c>
      <c r="AI161" t="s">
        <v>4829</v>
      </c>
      <c r="AK161" s="78" t="s">
        <v>4640</v>
      </c>
      <c r="AL161" t="b">
        <v>0</v>
      </c>
      <c r="AM161">
        <v>11</v>
      </c>
      <c r="AN161" s="78" t="s">
        <v>4374</v>
      </c>
      <c r="AO161" s="78" t="s">
        <v>4851</v>
      </c>
      <c r="AP161" t="b">
        <v>0</v>
      </c>
      <c r="AQ161" s="78" t="s">
        <v>4374</v>
      </c>
      <c r="AR161" t="s">
        <v>179</v>
      </c>
      <c r="AS161">
        <v>0</v>
      </c>
      <c r="AT161">
        <v>0</v>
      </c>
    </row>
    <row r="162" spans="1:46" x14ac:dyDescent="0.45">
      <c r="A162" s="62" t="s">
        <v>303</v>
      </c>
      <c r="B162" s="62" t="s">
        <v>957</v>
      </c>
      <c r="C162" s="63"/>
      <c r="D162" s="64"/>
      <c r="E162" s="65"/>
      <c r="F162" s="66"/>
      <c r="G162" s="63"/>
      <c r="H162" s="67"/>
      <c r="I162" s="68"/>
      <c r="J162" s="68"/>
      <c r="K162" s="32"/>
      <c r="L162" s="75"/>
      <c r="M162" s="75"/>
      <c r="N162" s="70"/>
      <c r="O162" t="s">
        <v>1570</v>
      </c>
      <c r="P162" s="76">
        <v>44958.599409722221</v>
      </c>
      <c r="Q162" t="s">
        <v>1584</v>
      </c>
      <c r="R162" s="77" t="str">
        <f>HYPERLINK("https://www.forbes.com/sites/noahbarsky/2023/01/31/walmart-recession-proofs-retail-reign-with-3-rare-moves/?sh=64fd4cf22573")</f>
        <v>https://www.forbes.com/sites/noahbarsky/2023/01/31/walmart-recession-proofs-retail-reign-with-3-rare-moves/?sh=64fd4cf22573</v>
      </c>
      <c r="S162" t="s">
        <v>2260</v>
      </c>
      <c r="T162" s="78" t="s">
        <v>2311</v>
      </c>
      <c r="U162" s="77" t="str">
        <f>HYPERLINK("https://pbs.twimg.com/media/Fn0Jb_waYAE9JXF.jpg")</f>
        <v>https://pbs.twimg.com/media/Fn0Jb_waYAE9JXF.jpg</v>
      </c>
      <c r="V162" s="77" t="str">
        <f>HYPERLINK("https://pbs.twimg.com/media/Fn0Jb_waYAE9JXF.jpg")</f>
        <v>https://pbs.twimg.com/media/Fn0Jb_waYAE9JXF.jpg</v>
      </c>
      <c r="W162" s="76">
        <v>44958.599409722221</v>
      </c>
      <c r="X162" s="80">
        <v>44958</v>
      </c>
      <c r="Y162" s="78" t="s">
        <v>2512</v>
      </c>
      <c r="Z162" s="77" t="str">
        <f>HYPERLINK("https://twitter.com/finmktg/status/1620789856510316544")</f>
        <v>https://twitter.com/finmktg/status/1620789856510316544</v>
      </c>
      <c r="AC162" s="78" t="s">
        <v>3527</v>
      </c>
      <c r="AE162" t="b">
        <v>0</v>
      </c>
      <c r="AF162">
        <v>0</v>
      </c>
      <c r="AG162" s="78" t="s">
        <v>4640</v>
      </c>
      <c r="AH162" t="b">
        <v>0</v>
      </c>
      <c r="AI162" t="s">
        <v>4829</v>
      </c>
      <c r="AK162" s="78" t="s">
        <v>4640</v>
      </c>
      <c r="AL162" t="b">
        <v>0</v>
      </c>
      <c r="AM162">
        <v>11</v>
      </c>
      <c r="AN162" s="78" t="s">
        <v>4374</v>
      </c>
      <c r="AO162" s="78" t="s">
        <v>4851</v>
      </c>
      <c r="AP162" t="b">
        <v>0</v>
      </c>
      <c r="AQ162" s="78" t="s">
        <v>4374</v>
      </c>
      <c r="AR162" t="s">
        <v>179</v>
      </c>
      <c r="AS162">
        <v>0</v>
      </c>
      <c r="AT162">
        <v>0</v>
      </c>
    </row>
    <row r="163" spans="1:46" x14ac:dyDescent="0.45">
      <c r="A163" s="62" t="s">
        <v>303</v>
      </c>
      <c r="B163" s="62" t="s">
        <v>242</v>
      </c>
      <c r="C163" s="63"/>
      <c r="D163" s="64"/>
      <c r="E163" s="65"/>
      <c r="F163" s="66"/>
      <c r="G163" s="63"/>
      <c r="H163" s="67"/>
      <c r="I163" s="68"/>
      <c r="J163" s="68"/>
      <c r="K163" s="32"/>
      <c r="L163" s="75"/>
      <c r="M163" s="75"/>
      <c r="N163" s="70"/>
      <c r="O163" t="s">
        <v>1570</v>
      </c>
      <c r="P163" s="76">
        <v>44958.599409722221</v>
      </c>
      <c r="Q163" t="s">
        <v>1584</v>
      </c>
      <c r="R163" s="77" t="str">
        <f>HYPERLINK("https://www.forbes.com/sites/noahbarsky/2023/01/31/walmart-recession-proofs-retail-reign-with-3-rare-moves/?sh=64fd4cf22573")</f>
        <v>https://www.forbes.com/sites/noahbarsky/2023/01/31/walmart-recession-proofs-retail-reign-with-3-rare-moves/?sh=64fd4cf22573</v>
      </c>
      <c r="S163" t="s">
        <v>2260</v>
      </c>
      <c r="T163" s="78" t="s">
        <v>2311</v>
      </c>
      <c r="U163" s="77" t="str">
        <f>HYPERLINK("https://pbs.twimg.com/media/Fn0Jb_waYAE9JXF.jpg")</f>
        <v>https://pbs.twimg.com/media/Fn0Jb_waYAE9JXF.jpg</v>
      </c>
      <c r="V163" s="77" t="str">
        <f>HYPERLINK("https://pbs.twimg.com/media/Fn0Jb_waYAE9JXF.jpg")</f>
        <v>https://pbs.twimg.com/media/Fn0Jb_waYAE9JXF.jpg</v>
      </c>
      <c r="W163" s="76">
        <v>44958.599409722221</v>
      </c>
      <c r="X163" s="80">
        <v>44958</v>
      </c>
      <c r="Y163" s="78" t="s">
        <v>2512</v>
      </c>
      <c r="Z163" s="77" t="str">
        <f>HYPERLINK("https://twitter.com/finmktg/status/1620789856510316544")</f>
        <v>https://twitter.com/finmktg/status/1620789856510316544</v>
      </c>
      <c r="AC163" s="78" t="s">
        <v>3527</v>
      </c>
      <c r="AE163" t="b">
        <v>0</v>
      </c>
      <c r="AF163">
        <v>0</v>
      </c>
      <c r="AG163" s="78" t="s">
        <v>4640</v>
      </c>
      <c r="AH163" t="b">
        <v>0</v>
      </c>
      <c r="AI163" t="s">
        <v>4829</v>
      </c>
      <c r="AK163" s="78" t="s">
        <v>4640</v>
      </c>
      <c r="AL163" t="b">
        <v>0</v>
      </c>
      <c r="AM163">
        <v>11</v>
      </c>
      <c r="AN163" s="78" t="s">
        <v>4374</v>
      </c>
      <c r="AO163" s="78" t="s">
        <v>4851</v>
      </c>
      <c r="AP163" t="b">
        <v>0</v>
      </c>
      <c r="AQ163" s="78" t="s">
        <v>4374</v>
      </c>
      <c r="AR163" t="s">
        <v>179</v>
      </c>
      <c r="AS163">
        <v>0</v>
      </c>
      <c r="AT163">
        <v>0</v>
      </c>
    </row>
    <row r="164" spans="1:46" x14ac:dyDescent="0.45">
      <c r="A164" s="62" t="s">
        <v>303</v>
      </c>
      <c r="B164" s="62" t="s">
        <v>1016</v>
      </c>
      <c r="C164" s="63"/>
      <c r="D164" s="64"/>
      <c r="E164" s="65"/>
      <c r="F164" s="66"/>
      <c r="G164" s="63"/>
      <c r="H164" s="67"/>
      <c r="I164" s="68"/>
      <c r="J164" s="68"/>
      <c r="K164" s="32"/>
      <c r="L164" s="75"/>
      <c r="M164" s="75"/>
      <c r="N164" s="70"/>
      <c r="O164" t="s">
        <v>1569</v>
      </c>
      <c r="P164" s="76">
        <v>44958.599409722221</v>
      </c>
      <c r="Q164" t="s">
        <v>1584</v>
      </c>
      <c r="R164" s="77" t="str">
        <f>HYPERLINK("https://www.forbes.com/sites/noahbarsky/2023/01/31/walmart-recession-proofs-retail-reign-with-3-rare-moves/?sh=64fd4cf22573")</f>
        <v>https://www.forbes.com/sites/noahbarsky/2023/01/31/walmart-recession-proofs-retail-reign-with-3-rare-moves/?sh=64fd4cf22573</v>
      </c>
      <c r="S164" t="s">
        <v>2260</v>
      </c>
      <c r="T164" s="78" t="s">
        <v>2311</v>
      </c>
      <c r="U164" s="77" t="str">
        <f>HYPERLINK("https://pbs.twimg.com/media/Fn0Jb_waYAE9JXF.jpg")</f>
        <v>https://pbs.twimg.com/media/Fn0Jb_waYAE9JXF.jpg</v>
      </c>
      <c r="V164" s="77" t="str">
        <f>HYPERLINK("https://pbs.twimg.com/media/Fn0Jb_waYAE9JXF.jpg")</f>
        <v>https://pbs.twimg.com/media/Fn0Jb_waYAE9JXF.jpg</v>
      </c>
      <c r="W164" s="76">
        <v>44958.599409722221</v>
      </c>
      <c r="X164" s="80">
        <v>44958</v>
      </c>
      <c r="Y164" s="78" t="s">
        <v>2512</v>
      </c>
      <c r="Z164" s="77" t="str">
        <f>HYPERLINK("https://twitter.com/finmktg/status/1620789856510316544")</f>
        <v>https://twitter.com/finmktg/status/1620789856510316544</v>
      </c>
      <c r="AC164" s="78" t="s">
        <v>3527</v>
      </c>
      <c r="AE164" t="b">
        <v>0</v>
      </c>
      <c r="AF164">
        <v>0</v>
      </c>
      <c r="AG164" s="78" t="s">
        <v>4640</v>
      </c>
      <c r="AH164" t="b">
        <v>0</v>
      </c>
      <c r="AI164" t="s">
        <v>4829</v>
      </c>
      <c r="AK164" s="78" t="s">
        <v>4640</v>
      </c>
      <c r="AL164" t="b">
        <v>0</v>
      </c>
      <c r="AM164">
        <v>11</v>
      </c>
      <c r="AN164" s="78" t="s">
        <v>4374</v>
      </c>
      <c r="AO164" s="78" t="s">
        <v>4851</v>
      </c>
      <c r="AP164" t="b">
        <v>0</v>
      </c>
      <c r="AQ164" s="78" t="s">
        <v>4374</v>
      </c>
      <c r="AR164" t="s">
        <v>179</v>
      </c>
      <c r="AS164">
        <v>0</v>
      </c>
      <c r="AT164">
        <v>0</v>
      </c>
    </row>
    <row r="165" spans="1:46" x14ac:dyDescent="0.45">
      <c r="A165" s="62" t="s">
        <v>1017</v>
      </c>
      <c r="B165" s="62" t="s">
        <v>1122</v>
      </c>
      <c r="C165" s="63"/>
      <c r="D165" s="64"/>
      <c r="E165" s="65"/>
      <c r="F165" s="66"/>
      <c r="G165" s="63"/>
      <c r="H165" s="67"/>
      <c r="I165" s="68"/>
      <c r="J165" s="68"/>
      <c r="K165" s="32"/>
      <c r="L165" s="75"/>
      <c r="M165" s="75"/>
      <c r="N165" s="70"/>
      <c r="O165" t="s">
        <v>1570</v>
      </c>
      <c r="P165" s="76">
        <v>44958.313923611109</v>
      </c>
      <c r="Q165" t="s">
        <v>1584</v>
      </c>
      <c r="R165" s="77" t="str">
        <f>HYPERLINK("https://www.forbes.com/sites/noahbarsky/2023/01/31/walmart-recession-proofs-retail-reign-with-3-rare-moves/?sh=64fd4cf22573")</f>
        <v>https://www.forbes.com/sites/noahbarsky/2023/01/31/walmart-recession-proofs-retail-reign-with-3-rare-moves/?sh=64fd4cf22573</v>
      </c>
      <c r="S165" t="s">
        <v>2260</v>
      </c>
      <c r="T165" s="78" t="s">
        <v>2311</v>
      </c>
      <c r="U165" s="77" t="str">
        <f>HYPERLINK("https://pbs.twimg.com/media/Fn0Jb_waYAE9JXF.jpg")</f>
        <v>https://pbs.twimg.com/media/Fn0Jb_waYAE9JXF.jpg</v>
      </c>
      <c r="V165" s="77" t="str">
        <f>HYPERLINK("https://pbs.twimg.com/media/Fn0Jb_waYAE9JXF.jpg")</f>
        <v>https://pbs.twimg.com/media/Fn0Jb_waYAE9JXF.jpg</v>
      </c>
      <c r="W165" s="76">
        <v>44958.313923611109</v>
      </c>
      <c r="X165" s="80">
        <v>44958</v>
      </c>
      <c r="Y165" s="78" t="s">
        <v>3310</v>
      </c>
      <c r="Z165" s="77" t="str">
        <f>HYPERLINK("https://twitter.com/chboursin/status/1620686400478928896")</f>
        <v>https://twitter.com/chboursin/status/1620686400478928896</v>
      </c>
      <c r="AC165" s="78" t="s">
        <v>4375</v>
      </c>
      <c r="AE165" t="b">
        <v>0</v>
      </c>
      <c r="AF165">
        <v>0</v>
      </c>
      <c r="AG165" s="78" t="s">
        <v>4640</v>
      </c>
      <c r="AH165" t="b">
        <v>0</v>
      </c>
      <c r="AI165" t="s">
        <v>4829</v>
      </c>
      <c r="AK165" s="78" t="s">
        <v>4640</v>
      </c>
      <c r="AL165" t="b">
        <v>0</v>
      </c>
      <c r="AM165">
        <v>11</v>
      </c>
      <c r="AN165" s="78" t="s">
        <v>4374</v>
      </c>
      <c r="AO165" s="78" t="s">
        <v>4849</v>
      </c>
      <c r="AP165" t="b">
        <v>0</v>
      </c>
      <c r="AQ165" s="78" t="s">
        <v>4374</v>
      </c>
      <c r="AR165" t="s">
        <v>179</v>
      </c>
      <c r="AS165">
        <v>0</v>
      </c>
      <c r="AT165">
        <v>0</v>
      </c>
    </row>
    <row r="166" spans="1:46" x14ac:dyDescent="0.45">
      <c r="A166" s="62" t="s">
        <v>1018</v>
      </c>
      <c r="B166" s="62" t="s">
        <v>1122</v>
      </c>
      <c r="C166" s="63"/>
      <c r="D166" s="64"/>
      <c r="E166" s="65"/>
      <c r="F166" s="66"/>
      <c r="G166" s="63"/>
      <c r="H166" s="67"/>
      <c r="I166" s="68"/>
      <c r="J166" s="68"/>
      <c r="K166" s="32"/>
      <c r="L166" s="75"/>
      <c r="M166" s="75"/>
      <c r="N166" s="70"/>
      <c r="O166" t="s">
        <v>1570</v>
      </c>
      <c r="P166" s="76">
        <v>44959.366516203707</v>
      </c>
      <c r="Q166" t="s">
        <v>1584</v>
      </c>
      <c r="R166" s="77" t="str">
        <f>HYPERLINK("https://www.forbes.com/sites/noahbarsky/2023/01/31/walmart-recession-proofs-retail-reign-with-3-rare-moves/?sh=64fd4cf22573")</f>
        <v>https://www.forbes.com/sites/noahbarsky/2023/01/31/walmart-recession-proofs-retail-reign-with-3-rare-moves/?sh=64fd4cf22573</v>
      </c>
      <c r="S166" t="s">
        <v>2260</v>
      </c>
      <c r="T166" s="78" t="s">
        <v>2311</v>
      </c>
      <c r="U166" s="77" t="str">
        <f>HYPERLINK("https://pbs.twimg.com/media/Fn0Jb_waYAE9JXF.jpg")</f>
        <v>https://pbs.twimg.com/media/Fn0Jb_waYAE9JXF.jpg</v>
      </c>
      <c r="V166" s="77" t="str">
        <f>HYPERLINK("https://pbs.twimg.com/media/Fn0Jb_waYAE9JXF.jpg")</f>
        <v>https://pbs.twimg.com/media/Fn0Jb_waYAE9JXF.jpg</v>
      </c>
      <c r="W166" s="76">
        <v>44959.366516203707</v>
      </c>
      <c r="X166" s="80">
        <v>44959</v>
      </c>
      <c r="Y166" s="78" t="s">
        <v>3311</v>
      </c>
      <c r="Z166" s="77" t="str">
        <f>HYPERLINK("https://twitter.com/procurement2030/status/1621067845559025664")</f>
        <v>https://twitter.com/procurement2030/status/1621067845559025664</v>
      </c>
      <c r="AC166" s="78" t="s">
        <v>4376</v>
      </c>
      <c r="AE166" t="b">
        <v>0</v>
      </c>
      <c r="AF166">
        <v>0</v>
      </c>
      <c r="AG166" s="78" t="s">
        <v>4640</v>
      </c>
      <c r="AH166" t="b">
        <v>0</v>
      </c>
      <c r="AI166" t="s">
        <v>4829</v>
      </c>
      <c r="AK166" s="78" t="s">
        <v>4640</v>
      </c>
      <c r="AL166" t="b">
        <v>0</v>
      </c>
      <c r="AM166">
        <v>11</v>
      </c>
      <c r="AN166" s="78" t="s">
        <v>4374</v>
      </c>
      <c r="AO166" s="78" t="s">
        <v>4851</v>
      </c>
      <c r="AP166" t="b">
        <v>0</v>
      </c>
      <c r="AQ166" s="78" t="s">
        <v>4374</v>
      </c>
      <c r="AR166" t="s">
        <v>179</v>
      </c>
      <c r="AS166">
        <v>0</v>
      </c>
      <c r="AT166">
        <v>0</v>
      </c>
    </row>
    <row r="167" spans="1:46" x14ac:dyDescent="0.45">
      <c r="A167" s="62" t="s">
        <v>1017</v>
      </c>
      <c r="B167" s="62" t="s">
        <v>1123</v>
      </c>
      <c r="C167" s="63"/>
      <c r="D167" s="64"/>
      <c r="E167" s="65"/>
      <c r="F167" s="66"/>
      <c r="G167" s="63"/>
      <c r="H167" s="67"/>
      <c r="I167" s="68"/>
      <c r="J167" s="68"/>
      <c r="K167" s="32"/>
      <c r="L167" s="75"/>
      <c r="M167" s="75"/>
      <c r="N167" s="70"/>
      <c r="O167" t="s">
        <v>1570</v>
      </c>
      <c r="P167" s="76">
        <v>44958.313923611109</v>
      </c>
      <c r="Q167" t="s">
        <v>1584</v>
      </c>
      <c r="R167" s="77" t="str">
        <f>HYPERLINK("https://www.forbes.com/sites/noahbarsky/2023/01/31/walmart-recession-proofs-retail-reign-with-3-rare-moves/?sh=64fd4cf22573")</f>
        <v>https://www.forbes.com/sites/noahbarsky/2023/01/31/walmart-recession-proofs-retail-reign-with-3-rare-moves/?sh=64fd4cf22573</v>
      </c>
      <c r="S167" t="s">
        <v>2260</v>
      </c>
      <c r="T167" s="78" t="s">
        <v>2311</v>
      </c>
      <c r="U167" s="77" t="str">
        <f>HYPERLINK("https://pbs.twimg.com/media/Fn0Jb_waYAE9JXF.jpg")</f>
        <v>https://pbs.twimg.com/media/Fn0Jb_waYAE9JXF.jpg</v>
      </c>
      <c r="V167" s="77" t="str">
        <f>HYPERLINK("https://pbs.twimg.com/media/Fn0Jb_waYAE9JXF.jpg")</f>
        <v>https://pbs.twimg.com/media/Fn0Jb_waYAE9JXF.jpg</v>
      </c>
      <c r="W167" s="76">
        <v>44958.313923611109</v>
      </c>
      <c r="X167" s="80">
        <v>44958</v>
      </c>
      <c r="Y167" s="78" t="s">
        <v>3310</v>
      </c>
      <c r="Z167" s="77" t="str">
        <f>HYPERLINK("https://twitter.com/chboursin/status/1620686400478928896")</f>
        <v>https://twitter.com/chboursin/status/1620686400478928896</v>
      </c>
      <c r="AC167" s="78" t="s">
        <v>4375</v>
      </c>
      <c r="AE167" t="b">
        <v>0</v>
      </c>
      <c r="AF167">
        <v>0</v>
      </c>
      <c r="AG167" s="78" t="s">
        <v>4640</v>
      </c>
      <c r="AH167" t="b">
        <v>0</v>
      </c>
      <c r="AI167" t="s">
        <v>4829</v>
      </c>
      <c r="AK167" s="78" t="s">
        <v>4640</v>
      </c>
      <c r="AL167" t="b">
        <v>0</v>
      </c>
      <c r="AM167">
        <v>11</v>
      </c>
      <c r="AN167" s="78" t="s">
        <v>4374</v>
      </c>
      <c r="AO167" s="78" t="s">
        <v>4849</v>
      </c>
      <c r="AP167" t="b">
        <v>0</v>
      </c>
      <c r="AQ167" s="78" t="s">
        <v>4374</v>
      </c>
      <c r="AR167" t="s">
        <v>179</v>
      </c>
      <c r="AS167">
        <v>0</v>
      </c>
      <c r="AT167">
        <v>0</v>
      </c>
    </row>
    <row r="168" spans="1:46" x14ac:dyDescent="0.45">
      <c r="A168" s="62" t="s">
        <v>1018</v>
      </c>
      <c r="B168" s="62" t="s">
        <v>1123</v>
      </c>
      <c r="C168" s="63"/>
      <c r="D168" s="64"/>
      <c r="E168" s="65"/>
      <c r="F168" s="66"/>
      <c r="G168" s="63"/>
      <c r="H168" s="67"/>
      <c r="I168" s="68"/>
      <c r="J168" s="68"/>
      <c r="K168" s="32"/>
      <c r="L168" s="75"/>
      <c r="M168" s="75"/>
      <c r="N168" s="70"/>
      <c r="O168" t="s">
        <v>1570</v>
      </c>
      <c r="P168" s="76">
        <v>44959.366516203707</v>
      </c>
      <c r="Q168" t="s">
        <v>1584</v>
      </c>
      <c r="R168" s="77" t="str">
        <f>HYPERLINK("https://www.forbes.com/sites/noahbarsky/2023/01/31/walmart-recession-proofs-retail-reign-with-3-rare-moves/?sh=64fd4cf22573")</f>
        <v>https://www.forbes.com/sites/noahbarsky/2023/01/31/walmart-recession-proofs-retail-reign-with-3-rare-moves/?sh=64fd4cf22573</v>
      </c>
      <c r="S168" t="s">
        <v>2260</v>
      </c>
      <c r="T168" s="78" t="s">
        <v>2311</v>
      </c>
      <c r="U168" s="77" t="str">
        <f>HYPERLINK("https://pbs.twimg.com/media/Fn0Jb_waYAE9JXF.jpg")</f>
        <v>https://pbs.twimg.com/media/Fn0Jb_waYAE9JXF.jpg</v>
      </c>
      <c r="V168" s="77" t="str">
        <f>HYPERLINK("https://pbs.twimg.com/media/Fn0Jb_waYAE9JXF.jpg")</f>
        <v>https://pbs.twimg.com/media/Fn0Jb_waYAE9JXF.jpg</v>
      </c>
      <c r="W168" s="76">
        <v>44959.366516203707</v>
      </c>
      <c r="X168" s="80">
        <v>44959</v>
      </c>
      <c r="Y168" s="78" t="s">
        <v>3311</v>
      </c>
      <c r="Z168" s="77" t="str">
        <f>HYPERLINK("https://twitter.com/procurement2030/status/1621067845559025664")</f>
        <v>https://twitter.com/procurement2030/status/1621067845559025664</v>
      </c>
      <c r="AC168" s="78" t="s">
        <v>4376</v>
      </c>
      <c r="AE168" t="b">
        <v>0</v>
      </c>
      <c r="AF168">
        <v>0</v>
      </c>
      <c r="AG168" s="78" t="s">
        <v>4640</v>
      </c>
      <c r="AH168" t="b">
        <v>0</v>
      </c>
      <c r="AI168" t="s">
        <v>4829</v>
      </c>
      <c r="AK168" s="78" t="s">
        <v>4640</v>
      </c>
      <c r="AL168" t="b">
        <v>0</v>
      </c>
      <c r="AM168">
        <v>11</v>
      </c>
      <c r="AN168" s="78" t="s">
        <v>4374</v>
      </c>
      <c r="AO168" s="78" t="s">
        <v>4851</v>
      </c>
      <c r="AP168" t="b">
        <v>0</v>
      </c>
      <c r="AQ168" s="78" t="s">
        <v>4374</v>
      </c>
      <c r="AR168" t="s">
        <v>179</v>
      </c>
      <c r="AS168">
        <v>0</v>
      </c>
      <c r="AT168">
        <v>0</v>
      </c>
    </row>
    <row r="169" spans="1:46" x14ac:dyDescent="0.45">
      <c r="A169" s="62" t="s">
        <v>1017</v>
      </c>
      <c r="B169" s="62" t="s">
        <v>1124</v>
      </c>
      <c r="C169" s="63"/>
      <c r="D169" s="64"/>
      <c r="E169" s="65"/>
      <c r="F169" s="66"/>
      <c r="G169" s="63"/>
      <c r="H169" s="67"/>
      <c r="I169" s="68"/>
      <c r="J169" s="68"/>
      <c r="K169" s="32"/>
      <c r="L169" s="75"/>
      <c r="M169" s="75"/>
      <c r="N169" s="70"/>
      <c r="O169" t="s">
        <v>1570</v>
      </c>
      <c r="P169" s="76">
        <v>44958.313923611109</v>
      </c>
      <c r="Q169" t="s">
        <v>1584</v>
      </c>
      <c r="R169" s="77" t="str">
        <f>HYPERLINK("https://www.forbes.com/sites/noahbarsky/2023/01/31/walmart-recession-proofs-retail-reign-with-3-rare-moves/?sh=64fd4cf22573")</f>
        <v>https://www.forbes.com/sites/noahbarsky/2023/01/31/walmart-recession-proofs-retail-reign-with-3-rare-moves/?sh=64fd4cf22573</v>
      </c>
      <c r="S169" t="s">
        <v>2260</v>
      </c>
      <c r="T169" s="78" t="s">
        <v>2311</v>
      </c>
      <c r="U169" s="77" t="str">
        <f>HYPERLINK("https://pbs.twimg.com/media/Fn0Jb_waYAE9JXF.jpg")</f>
        <v>https://pbs.twimg.com/media/Fn0Jb_waYAE9JXF.jpg</v>
      </c>
      <c r="V169" s="77" t="str">
        <f>HYPERLINK("https://pbs.twimg.com/media/Fn0Jb_waYAE9JXF.jpg")</f>
        <v>https://pbs.twimg.com/media/Fn0Jb_waYAE9JXF.jpg</v>
      </c>
      <c r="W169" s="76">
        <v>44958.313923611109</v>
      </c>
      <c r="X169" s="80">
        <v>44958</v>
      </c>
      <c r="Y169" s="78" t="s">
        <v>3310</v>
      </c>
      <c r="Z169" s="77" t="str">
        <f>HYPERLINK("https://twitter.com/chboursin/status/1620686400478928896")</f>
        <v>https://twitter.com/chboursin/status/1620686400478928896</v>
      </c>
      <c r="AC169" s="78" t="s">
        <v>4375</v>
      </c>
      <c r="AE169" t="b">
        <v>0</v>
      </c>
      <c r="AF169">
        <v>0</v>
      </c>
      <c r="AG169" s="78" t="s">
        <v>4640</v>
      </c>
      <c r="AH169" t="b">
        <v>0</v>
      </c>
      <c r="AI169" t="s">
        <v>4829</v>
      </c>
      <c r="AK169" s="78" t="s">
        <v>4640</v>
      </c>
      <c r="AL169" t="b">
        <v>0</v>
      </c>
      <c r="AM169">
        <v>11</v>
      </c>
      <c r="AN169" s="78" t="s">
        <v>4374</v>
      </c>
      <c r="AO169" s="78" t="s">
        <v>4849</v>
      </c>
      <c r="AP169" t="b">
        <v>0</v>
      </c>
      <c r="AQ169" s="78" t="s">
        <v>4374</v>
      </c>
      <c r="AR169" t="s">
        <v>179</v>
      </c>
      <c r="AS169">
        <v>0</v>
      </c>
      <c r="AT169">
        <v>0</v>
      </c>
    </row>
    <row r="170" spans="1:46" x14ac:dyDescent="0.45">
      <c r="A170" s="62" t="s">
        <v>1017</v>
      </c>
      <c r="B170" s="62" t="s">
        <v>1125</v>
      </c>
      <c r="C170" s="63"/>
      <c r="D170" s="64"/>
      <c r="E170" s="65"/>
      <c r="F170" s="66"/>
      <c r="G170" s="63"/>
      <c r="H170" s="67"/>
      <c r="I170" s="68"/>
      <c r="J170" s="68"/>
      <c r="K170" s="32"/>
      <c r="L170" s="75"/>
      <c r="M170" s="75"/>
      <c r="N170" s="70"/>
      <c r="O170" t="s">
        <v>1570</v>
      </c>
      <c r="P170" s="76">
        <v>44958.313923611109</v>
      </c>
      <c r="Q170" t="s">
        <v>1584</v>
      </c>
      <c r="R170" s="77" t="str">
        <f>HYPERLINK("https://www.forbes.com/sites/noahbarsky/2023/01/31/walmart-recession-proofs-retail-reign-with-3-rare-moves/?sh=64fd4cf22573")</f>
        <v>https://www.forbes.com/sites/noahbarsky/2023/01/31/walmart-recession-proofs-retail-reign-with-3-rare-moves/?sh=64fd4cf22573</v>
      </c>
      <c r="S170" t="s">
        <v>2260</v>
      </c>
      <c r="T170" s="78" t="s">
        <v>2311</v>
      </c>
      <c r="U170" s="77" t="str">
        <f>HYPERLINK("https://pbs.twimg.com/media/Fn0Jb_waYAE9JXF.jpg")</f>
        <v>https://pbs.twimg.com/media/Fn0Jb_waYAE9JXF.jpg</v>
      </c>
      <c r="V170" s="77" t="str">
        <f>HYPERLINK("https://pbs.twimg.com/media/Fn0Jb_waYAE9JXF.jpg")</f>
        <v>https://pbs.twimg.com/media/Fn0Jb_waYAE9JXF.jpg</v>
      </c>
      <c r="W170" s="76">
        <v>44958.313923611109</v>
      </c>
      <c r="X170" s="80">
        <v>44958</v>
      </c>
      <c r="Y170" s="78" t="s">
        <v>3310</v>
      </c>
      <c r="Z170" s="77" t="str">
        <f>HYPERLINK("https://twitter.com/chboursin/status/1620686400478928896")</f>
        <v>https://twitter.com/chboursin/status/1620686400478928896</v>
      </c>
      <c r="AC170" s="78" t="s">
        <v>4375</v>
      </c>
      <c r="AE170" t="b">
        <v>0</v>
      </c>
      <c r="AF170">
        <v>0</v>
      </c>
      <c r="AG170" s="78" t="s">
        <v>4640</v>
      </c>
      <c r="AH170" t="b">
        <v>0</v>
      </c>
      <c r="AI170" t="s">
        <v>4829</v>
      </c>
      <c r="AK170" s="78" t="s">
        <v>4640</v>
      </c>
      <c r="AL170" t="b">
        <v>0</v>
      </c>
      <c r="AM170">
        <v>11</v>
      </c>
      <c r="AN170" s="78" t="s">
        <v>4374</v>
      </c>
      <c r="AO170" s="78" t="s">
        <v>4849</v>
      </c>
      <c r="AP170" t="b">
        <v>0</v>
      </c>
      <c r="AQ170" s="78" t="s">
        <v>4374</v>
      </c>
      <c r="AR170" t="s">
        <v>179</v>
      </c>
      <c r="AS170">
        <v>0</v>
      </c>
      <c r="AT170">
        <v>0</v>
      </c>
    </row>
    <row r="171" spans="1:46" x14ac:dyDescent="0.45">
      <c r="A171" s="62" t="s">
        <v>1017</v>
      </c>
      <c r="B171" s="62" t="s">
        <v>1126</v>
      </c>
      <c r="C171" s="63"/>
      <c r="D171" s="64"/>
      <c r="E171" s="65"/>
      <c r="F171" s="66"/>
      <c r="G171" s="63"/>
      <c r="H171" s="67"/>
      <c r="I171" s="68"/>
      <c r="J171" s="68"/>
      <c r="K171" s="32"/>
      <c r="L171" s="75"/>
      <c r="M171" s="75"/>
      <c r="N171" s="70"/>
      <c r="O171" t="s">
        <v>1570</v>
      </c>
      <c r="P171" s="76">
        <v>44958.313923611109</v>
      </c>
      <c r="Q171" t="s">
        <v>1584</v>
      </c>
      <c r="R171" s="77" t="str">
        <f>HYPERLINK("https://www.forbes.com/sites/noahbarsky/2023/01/31/walmart-recession-proofs-retail-reign-with-3-rare-moves/?sh=64fd4cf22573")</f>
        <v>https://www.forbes.com/sites/noahbarsky/2023/01/31/walmart-recession-proofs-retail-reign-with-3-rare-moves/?sh=64fd4cf22573</v>
      </c>
      <c r="S171" t="s">
        <v>2260</v>
      </c>
      <c r="T171" s="78" t="s">
        <v>2311</v>
      </c>
      <c r="U171" s="77" t="str">
        <f>HYPERLINK("https://pbs.twimg.com/media/Fn0Jb_waYAE9JXF.jpg")</f>
        <v>https://pbs.twimg.com/media/Fn0Jb_waYAE9JXF.jpg</v>
      </c>
      <c r="V171" s="77" t="str">
        <f>HYPERLINK("https://pbs.twimg.com/media/Fn0Jb_waYAE9JXF.jpg")</f>
        <v>https://pbs.twimg.com/media/Fn0Jb_waYAE9JXF.jpg</v>
      </c>
      <c r="W171" s="76">
        <v>44958.313923611109</v>
      </c>
      <c r="X171" s="80">
        <v>44958</v>
      </c>
      <c r="Y171" s="78" t="s">
        <v>3310</v>
      </c>
      <c r="Z171" s="77" t="str">
        <f>HYPERLINK("https://twitter.com/chboursin/status/1620686400478928896")</f>
        <v>https://twitter.com/chboursin/status/1620686400478928896</v>
      </c>
      <c r="AC171" s="78" t="s">
        <v>4375</v>
      </c>
      <c r="AE171" t="b">
        <v>0</v>
      </c>
      <c r="AF171">
        <v>0</v>
      </c>
      <c r="AG171" s="78" t="s">
        <v>4640</v>
      </c>
      <c r="AH171" t="b">
        <v>0</v>
      </c>
      <c r="AI171" t="s">
        <v>4829</v>
      </c>
      <c r="AK171" s="78" t="s">
        <v>4640</v>
      </c>
      <c r="AL171" t="b">
        <v>0</v>
      </c>
      <c r="AM171">
        <v>11</v>
      </c>
      <c r="AN171" s="78" t="s">
        <v>4374</v>
      </c>
      <c r="AO171" s="78" t="s">
        <v>4849</v>
      </c>
      <c r="AP171" t="b">
        <v>0</v>
      </c>
      <c r="AQ171" s="78" t="s">
        <v>4374</v>
      </c>
      <c r="AR171" t="s">
        <v>179</v>
      </c>
      <c r="AS171">
        <v>0</v>
      </c>
      <c r="AT171">
        <v>0</v>
      </c>
    </row>
    <row r="172" spans="1:46" x14ac:dyDescent="0.45">
      <c r="A172" s="62" t="s">
        <v>1017</v>
      </c>
      <c r="B172" s="62" t="s">
        <v>1127</v>
      </c>
      <c r="C172" s="63"/>
      <c r="D172" s="64"/>
      <c r="E172" s="65"/>
      <c r="F172" s="66"/>
      <c r="G172" s="63"/>
      <c r="H172" s="67"/>
      <c r="I172" s="68"/>
      <c r="J172" s="68"/>
      <c r="K172" s="32"/>
      <c r="L172" s="75"/>
      <c r="M172" s="75"/>
      <c r="N172" s="70"/>
      <c r="O172" t="s">
        <v>1570</v>
      </c>
      <c r="P172" s="76">
        <v>44958.313923611109</v>
      </c>
      <c r="Q172" t="s">
        <v>1584</v>
      </c>
      <c r="R172" s="77" t="str">
        <f>HYPERLINK("https://www.forbes.com/sites/noahbarsky/2023/01/31/walmart-recession-proofs-retail-reign-with-3-rare-moves/?sh=64fd4cf22573")</f>
        <v>https://www.forbes.com/sites/noahbarsky/2023/01/31/walmart-recession-proofs-retail-reign-with-3-rare-moves/?sh=64fd4cf22573</v>
      </c>
      <c r="S172" t="s">
        <v>2260</v>
      </c>
      <c r="T172" s="78" t="s">
        <v>2311</v>
      </c>
      <c r="U172" s="77" t="str">
        <f>HYPERLINK("https://pbs.twimg.com/media/Fn0Jb_waYAE9JXF.jpg")</f>
        <v>https://pbs.twimg.com/media/Fn0Jb_waYAE9JXF.jpg</v>
      </c>
      <c r="V172" s="77" t="str">
        <f>HYPERLINK("https://pbs.twimg.com/media/Fn0Jb_waYAE9JXF.jpg")</f>
        <v>https://pbs.twimg.com/media/Fn0Jb_waYAE9JXF.jpg</v>
      </c>
      <c r="W172" s="76">
        <v>44958.313923611109</v>
      </c>
      <c r="X172" s="80">
        <v>44958</v>
      </c>
      <c r="Y172" s="78" t="s">
        <v>3310</v>
      </c>
      <c r="Z172" s="77" t="str">
        <f>HYPERLINK("https://twitter.com/chboursin/status/1620686400478928896")</f>
        <v>https://twitter.com/chboursin/status/1620686400478928896</v>
      </c>
      <c r="AC172" s="78" t="s">
        <v>4375</v>
      </c>
      <c r="AE172" t="b">
        <v>0</v>
      </c>
      <c r="AF172">
        <v>0</v>
      </c>
      <c r="AG172" s="78" t="s">
        <v>4640</v>
      </c>
      <c r="AH172" t="b">
        <v>0</v>
      </c>
      <c r="AI172" t="s">
        <v>4829</v>
      </c>
      <c r="AK172" s="78" t="s">
        <v>4640</v>
      </c>
      <c r="AL172" t="b">
        <v>0</v>
      </c>
      <c r="AM172">
        <v>11</v>
      </c>
      <c r="AN172" s="78" t="s">
        <v>4374</v>
      </c>
      <c r="AO172" s="78" t="s">
        <v>4849</v>
      </c>
      <c r="AP172" t="b">
        <v>0</v>
      </c>
      <c r="AQ172" s="78" t="s">
        <v>4374</v>
      </c>
      <c r="AR172" t="s">
        <v>179</v>
      </c>
      <c r="AS172">
        <v>0</v>
      </c>
      <c r="AT172">
        <v>0</v>
      </c>
    </row>
    <row r="173" spans="1:46" x14ac:dyDescent="0.45">
      <c r="A173" s="62" t="s">
        <v>1017</v>
      </c>
      <c r="B173" s="62" t="s">
        <v>1128</v>
      </c>
      <c r="C173" s="63"/>
      <c r="D173" s="64"/>
      <c r="E173" s="65"/>
      <c r="F173" s="66"/>
      <c r="G173" s="63"/>
      <c r="H173" s="67"/>
      <c r="I173" s="68"/>
      <c r="J173" s="68"/>
      <c r="K173" s="32"/>
      <c r="L173" s="75"/>
      <c r="M173" s="75"/>
      <c r="N173" s="70"/>
      <c r="O173" t="s">
        <v>1570</v>
      </c>
      <c r="P173" s="76">
        <v>44958.313923611109</v>
      </c>
      <c r="Q173" t="s">
        <v>1584</v>
      </c>
      <c r="R173" s="77" t="str">
        <f>HYPERLINK("https://www.forbes.com/sites/noahbarsky/2023/01/31/walmart-recession-proofs-retail-reign-with-3-rare-moves/?sh=64fd4cf22573")</f>
        <v>https://www.forbes.com/sites/noahbarsky/2023/01/31/walmart-recession-proofs-retail-reign-with-3-rare-moves/?sh=64fd4cf22573</v>
      </c>
      <c r="S173" t="s">
        <v>2260</v>
      </c>
      <c r="T173" s="78" t="s">
        <v>2311</v>
      </c>
      <c r="U173" s="77" t="str">
        <f>HYPERLINK("https://pbs.twimg.com/media/Fn0Jb_waYAE9JXF.jpg")</f>
        <v>https://pbs.twimg.com/media/Fn0Jb_waYAE9JXF.jpg</v>
      </c>
      <c r="V173" s="77" t="str">
        <f>HYPERLINK("https://pbs.twimg.com/media/Fn0Jb_waYAE9JXF.jpg")</f>
        <v>https://pbs.twimg.com/media/Fn0Jb_waYAE9JXF.jpg</v>
      </c>
      <c r="W173" s="76">
        <v>44958.313923611109</v>
      </c>
      <c r="X173" s="80">
        <v>44958</v>
      </c>
      <c r="Y173" s="78" t="s">
        <v>3310</v>
      </c>
      <c r="Z173" s="77" t="str">
        <f>HYPERLINK("https://twitter.com/chboursin/status/1620686400478928896")</f>
        <v>https://twitter.com/chboursin/status/1620686400478928896</v>
      </c>
      <c r="AC173" s="78" t="s">
        <v>4375</v>
      </c>
      <c r="AE173" t="b">
        <v>0</v>
      </c>
      <c r="AF173">
        <v>0</v>
      </c>
      <c r="AG173" s="78" t="s">
        <v>4640</v>
      </c>
      <c r="AH173" t="b">
        <v>0</v>
      </c>
      <c r="AI173" t="s">
        <v>4829</v>
      </c>
      <c r="AK173" s="78" t="s">
        <v>4640</v>
      </c>
      <c r="AL173" t="b">
        <v>0</v>
      </c>
      <c r="AM173">
        <v>11</v>
      </c>
      <c r="AN173" s="78" t="s">
        <v>4374</v>
      </c>
      <c r="AO173" s="78" t="s">
        <v>4849</v>
      </c>
      <c r="AP173" t="b">
        <v>0</v>
      </c>
      <c r="AQ173" s="78" t="s">
        <v>4374</v>
      </c>
      <c r="AR173" t="s">
        <v>179</v>
      </c>
      <c r="AS173">
        <v>0</v>
      </c>
      <c r="AT173">
        <v>0</v>
      </c>
    </row>
    <row r="174" spans="1:46" x14ac:dyDescent="0.45">
      <c r="A174" s="62" t="s">
        <v>1017</v>
      </c>
      <c r="B174" s="62" t="s">
        <v>1129</v>
      </c>
      <c r="C174" s="63"/>
      <c r="D174" s="64"/>
      <c r="E174" s="65"/>
      <c r="F174" s="66"/>
      <c r="G174" s="63"/>
      <c r="H174" s="67"/>
      <c r="I174" s="68"/>
      <c r="J174" s="68"/>
      <c r="K174" s="32"/>
      <c r="L174" s="75"/>
      <c r="M174" s="75"/>
      <c r="N174" s="70"/>
      <c r="O174" t="s">
        <v>1570</v>
      </c>
      <c r="P174" s="76">
        <v>44958.313923611109</v>
      </c>
      <c r="Q174" t="s">
        <v>1584</v>
      </c>
      <c r="R174" s="77" t="str">
        <f>HYPERLINK("https://www.forbes.com/sites/noahbarsky/2023/01/31/walmart-recession-proofs-retail-reign-with-3-rare-moves/?sh=64fd4cf22573")</f>
        <v>https://www.forbes.com/sites/noahbarsky/2023/01/31/walmart-recession-proofs-retail-reign-with-3-rare-moves/?sh=64fd4cf22573</v>
      </c>
      <c r="S174" t="s">
        <v>2260</v>
      </c>
      <c r="T174" s="78" t="s">
        <v>2311</v>
      </c>
      <c r="U174" s="77" t="str">
        <f>HYPERLINK("https://pbs.twimg.com/media/Fn0Jb_waYAE9JXF.jpg")</f>
        <v>https://pbs.twimg.com/media/Fn0Jb_waYAE9JXF.jpg</v>
      </c>
      <c r="V174" s="77" t="str">
        <f>HYPERLINK("https://pbs.twimg.com/media/Fn0Jb_waYAE9JXF.jpg")</f>
        <v>https://pbs.twimg.com/media/Fn0Jb_waYAE9JXF.jpg</v>
      </c>
      <c r="W174" s="76">
        <v>44958.313923611109</v>
      </c>
      <c r="X174" s="80">
        <v>44958</v>
      </c>
      <c r="Y174" s="78" t="s">
        <v>3310</v>
      </c>
      <c r="Z174" s="77" t="str">
        <f>HYPERLINK("https://twitter.com/chboursin/status/1620686400478928896")</f>
        <v>https://twitter.com/chboursin/status/1620686400478928896</v>
      </c>
      <c r="AC174" s="78" t="s">
        <v>4375</v>
      </c>
      <c r="AE174" t="b">
        <v>0</v>
      </c>
      <c r="AF174">
        <v>0</v>
      </c>
      <c r="AG174" s="78" t="s">
        <v>4640</v>
      </c>
      <c r="AH174" t="b">
        <v>0</v>
      </c>
      <c r="AI174" t="s">
        <v>4829</v>
      </c>
      <c r="AK174" s="78" t="s">
        <v>4640</v>
      </c>
      <c r="AL174" t="b">
        <v>0</v>
      </c>
      <c r="AM174">
        <v>11</v>
      </c>
      <c r="AN174" s="78" t="s">
        <v>4374</v>
      </c>
      <c r="AO174" s="78" t="s">
        <v>4849</v>
      </c>
      <c r="AP174" t="b">
        <v>0</v>
      </c>
      <c r="AQ174" s="78" t="s">
        <v>4374</v>
      </c>
      <c r="AR174" t="s">
        <v>179</v>
      </c>
      <c r="AS174">
        <v>0</v>
      </c>
      <c r="AT174">
        <v>0</v>
      </c>
    </row>
    <row r="175" spans="1:46" x14ac:dyDescent="0.45">
      <c r="A175" s="62" t="s">
        <v>1017</v>
      </c>
      <c r="B175" s="62" t="s">
        <v>1130</v>
      </c>
      <c r="C175" s="63"/>
      <c r="D175" s="64"/>
      <c r="E175" s="65"/>
      <c r="F175" s="66"/>
      <c r="G175" s="63"/>
      <c r="H175" s="67"/>
      <c r="I175" s="68"/>
      <c r="J175" s="68"/>
      <c r="K175" s="32"/>
      <c r="L175" s="75"/>
      <c r="M175" s="75"/>
      <c r="N175" s="70"/>
      <c r="O175" t="s">
        <v>1570</v>
      </c>
      <c r="P175" s="76">
        <v>44958.313923611109</v>
      </c>
      <c r="Q175" t="s">
        <v>1584</v>
      </c>
      <c r="R175" s="77" t="str">
        <f>HYPERLINK("https://www.forbes.com/sites/noahbarsky/2023/01/31/walmart-recession-proofs-retail-reign-with-3-rare-moves/?sh=64fd4cf22573")</f>
        <v>https://www.forbes.com/sites/noahbarsky/2023/01/31/walmart-recession-proofs-retail-reign-with-3-rare-moves/?sh=64fd4cf22573</v>
      </c>
      <c r="S175" t="s">
        <v>2260</v>
      </c>
      <c r="T175" s="78" t="s">
        <v>2311</v>
      </c>
      <c r="U175" s="77" t="str">
        <f>HYPERLINK("https://pbs.twimg.com/media/Fn0Jb_waYAE9JXF.jpg")</f>
        <v>https://pbs.twimg.com/media/Fn0Jb_waYAE9JXF.jpg</v>
      </c>
      <c r="V175" s="77" t="str">
        <f>HYPERLINK("https://pbs.twimg.com/media/Fn0Jb_waYAE9JXF.jpg")</f>
        <v>https://pbs.twimg.com/media/Fn0Jb_waYAE9JXF.jpg</v>
      </c>
      <c r="W175" s="76">
        <v>44958.313923611109</v>
      </c>
      <c r="X175" s="80">
        <v>44958</v>
      </c>
      <c r="Y175" s="78" t="s">
        <v>3310</v>
      </c>
      <c r="Z175" s="77" t="str">
        <f>HYPERLINK("https://twitter.com/chboursin/status/1620686400478928896")</f>
        <v>https://twitter.com/chboursin/status/1620686400478928896</v>
      </c>
      <c r="AC175" s="78" t="s">
        <v>4375</v>
      </c>
      <c r="AE175" t="b">
        <v>0</v>
      </c>
      <c r="AF175">
        <v>0</v>
      </c>
      <c r="AG175" s="78" t="s">
        <v>4640</v>
      </c>
      <c r="AH175" t="b">
        <v>0</v>
      </c>
      <c r="AI175" t="s">
        <v>4829</v>
      </c>
      <c r="AK175" s="78" t="s">
        <v>4640</v>
      </c>
      <c r="AL175" t="b">
        <v>0</v>
      </c>
      <c r="AM175">
        <v>11</v>
      </c>
      <c r="AN175" s="78" t="s">
        <v>4374</v>
      </c>
      <c r="AO175" s="78" t="s">
        <v>4849</v>
      </c>
      <c r="AP175" t="b">
        <v>0</v>
      </c>
      <c r="AQ175" s="78" t="s">
        <v>4374</v>
      </c>
      <c r="AR175" t="s">
        <v>179</v>
      </c>
      <c r="AS175">
        <v>0</v>
      </c>
      <c r="AT175">
        <v>0</v>
      </c>
    </row>
    <row r="176" spans="1:46" x14ac:dyDescent="0.45">
      <c r="A176" s="62" t="s">
        <v>1017</v>
      </c>
      <c r="B176" s="62" t="s">
        <v>1131</v>
      </c>
      <c r="C176" s="63"/>
      <c r="D176" s="64"/>
      <c r="E176" s="65"/>
      <c r="F176" s="66"/>
      <c r="G176" s="63"/>
      <c r="H176" s="67"/>
      <c r="I176" s="68"/>
      <c r="J176" s="68"/>
      <c r="K176" s="32"/>
      <c r="L176" s="75"/>
      <c r="M176" s="75"/>
      <c r="N176" s="70"/>
      <c r="O176" t="s">
        <v>1570</v>
      </c>
      <c r="P176" s="76">
        <v>44958.313923611109</v>
      </c>
      <c r="Q176" t="s">
        <v>1584</v>
      </c>
      <c r="R176" s="77" t="str">
        <f>HYPERLINK("https://www.forbes.com/sites/noahbarsky/2023/01/31/walmart-recession-proofs-retail-reign-with-3-rare-moves/?sh=64fd4cf22573")</f>
        <v>https://www.forbes.com/sites/noahbarsky/2023/01/31/walmart-recession-proofs-retail-reign-with-3-rare-moves/?sh=64fd4cf22573</v>
      </c>
      <c r="S176" t="s">
        <v>2260</v>
      </c>
      <c r="T176" s="78" t="s">
        <v>2311</v>
      </c>
      <c r="U176" s="77" t="str">
        <f>HYPERLINK("https://pbs.twimg.com/media/Fn0Jb_waYAE9JXF.jpg")</f>
        <v>https://pbs.twimg.com/media/Fn0Jb_waYAE9JXF.jpg</v>
      </c>
      <c r="V176" s="77" t="str">
        <f>HYPERLINK("https://pbs.twimg.com/media/Fn0Jb_waYAE9JXF.jpg")</f>
        <v>https://pbs.twimg.com/media/Fn0Jb_waYAE9JXF.jpg</v>
      </c>
      <c r="W176" s="76">
        <v>44958.313923611109</v>
      </c>
      <c r="X176" s="80">
        <v>44958</v>
      </c>
      <c r="Y176" s="78" t="s">
        <v>3310</v>
      </c>
      <c r="Z176" s="77" t="str">
        <f>HYPERLINK("https://twitter.com/chboursin/status/1620686400478928896")</f>
        <v>https://twitter.com/chboursin/status/1620686400478928896</v>
      </c>
      <c r="AC176" s="78" t="s">
        <v>4375</v>
      </c>
      <c r="AE176" t="b">
        <v>0</v>
      </c>
      <c r="AF176">
        <v>0</v>
      </c>
      <c r="AG176" s="78" t="s">
        <v>4640</v>
      </c>
      <c r="AH176" t="b">
        <v>0</v>
      </c>
      <c r="AI176" t="s">
        <v>4829</v>
      </c>
      <c r="AK176" s="78" t="s">
        <v>4640</v>
      </c>
      <c r="AL176" t="b">
        <v>0</v>
      </c>
      <c r="AM176">
        <v>11</v>
      </c>
      <c r="AN176" s="78" t="s">
        <v>4374</v>
      </c>
      <c r="AO176" s="78" t="s">
        <v>4849</v>
      </c>
      <c r="AP176" t="b">
        <v>0</v>
      </c>
      <c r="AQ176" s="78" t="s">
        <v>4374</v>
      </c>
      <c r="AR176" t="s">
        <v>179</v>
      </c>
      <c r="AS176">
        <v>0</v>
      </c>
      <c r="AT176">
        <v>0</v>
      </c>
    </row>
    <row r="177" spans="1:46" x14ac:dyDescent="0.45">
      <c r="A177" s="62" t="s">
        <v>1017</v>
      </c>
      <c r="B177" s="62" t="s">
        <v>236</v>
      </c>
      <c r="C177" s="63"/>
      <c r="D177" s="64"/>
      <c r="E177" s="65"/>
      <c r="F177" s="66"/>
      <c r="G177" s="63"/>
      <c r="H177" s="67"/>
      <c r="I177" s="68"/>
      <c r="J177" s="68"/>
      <c r="K177" s="32"/>
      <c r="L177" s="75"/>
      <c r="M177" s="75"/>
      <c r="N177" s="70"/>
      <c r="O177" t="s">
        <v>1570</v>
      </c>
      <c r="P177" s="76">
        <v>44958.313923611109</v>
      </c>
      <c r="Q177" t="s">
        <v>1584</v>
      </c>
      <c r="R177" s="77" t="str">
        <f>HYPERLINK("https://www.forbes.com/sites/noahbarsky/2023/01/31/walmart-recession-proofs-retail-reign-with-3-rare-moves/?sh=64fd4cf22573")</f>
        <v>https://www.forbes.com/sites/noahbarsky/2023/01/31/walmart-recession-proofs-retail-reign-with-3-rare-moves/?sh=64fd4cf22573</v>
      </c>
      <c r="S177" t="s">
        <v>2260</v>
      </c>
      <c r="T177" s="78" t="s">
        <v>2311</v>
      </c>
      <c r="U177" s="77" t="str">
        <f>HYPERLINK("https://pbs.twimg.com/media/Fn0Jb_waYAE9JXF.jpg")</f>
        <v>https://pbs.twimg.com/media/Fn0Jb_waYAE9JXF.jpg</v>
      </c>
      <c r="V177" s="77" t="str">
        <f>HYPERLINK("https://pbs.twimg.com/media/Fn0Jb_waYAE9JXF.jpg")</f>
        <v>https://pbs.twimg.com/media/Fn0Jb_waYAE9JXF.jpg</v>
      </c>
      <c r="W177" s="76">
        <v>44958.313923611109</v>
      </c>
      <c r="X177" s="80">
        <v>44958</v>
      </c>
      <c r="Y177" s="78" t="s">
        <v>3310</v>
      </c>
      <c r="Z177" s="77" t="str">
        <f>HYPERLINK("https://twitter.com/chboursin/status/1620686400478928896")</f>
        <v>https://twitter.com/chboursin/status/1620686400478928896</v>
      </c>
      <c r="AC177" s="78" t="s">
        <v>4375</v>
      </c>
      <c r="AE177" t="b">
        <v>0</v>
      </c>
      <c r="AF177">
        <v>0</v>
      </c>
      <c r="AG177" s="78" t="s">
        <v>4640</v>
      </c>
      <c r="AH177" t="b">
        <v>0</v>
      </c>
      <c r="AI177" t="s">
        <v>4829</v>
      </c>
      <c r="AK177" s="78" t="s">
        <v>4640</v>
      </c>
      <c r="AL177" t="b">
        <v>0</v>
      </c>
      <c r="AM177">
        <v>11</v>
      </c>
      <c r="AN177" s="78" t="s">
        <v>4374</v>
      </c>
      <c r="AO177" s="78" t="s">
        <v>4849</v>
      </c>
      <c r="AP177" t="b">
        <v>0</v>
      </c>
      <c r="AQ177" s="78" t="s">
        <v>4374</v>
      </c>
      <c r="AR177" t="s">
        <v>179</v>
      </c>
      <c r="AS177">
        <v>0</v>
      </c>
      <c r="AT177">
        <v>0</v>
      </c>
    </row>
    <row r="178" spans="1:46" x14ac:dyDescent="0.45">
      <c r="A178" s="62" t="s">
        <v>1017</v>
      </c>
      <c r="B178" s="62" t="s">
        <v>957</v>
      </c>
      <c r="C178" s="63"/>
      <c r="D178" s="64"/>
      <c r="E178" s="65"/>
      <c r="F178" s="66"/>
      <c r="G178" s="63"/>
      <c r="H178" s="67"/>
      <c r="I178" s="68"/>
      <c r="J178" s="68"/>
      <c r="K178" s="32"/>
      <c r="L178" s="75"/>
      <c r="M178" s="75"/>
      <c r="N178" s="70"/>
      <c r="O178" t="s">
        <v>1570</v>
      </c>
      <c r="P178" s="76">
        <v>44958.313923611109</v>
      </c>
      <c r="Q178" t="s">
        <v>1584</v>
      </c>
      <c r="R178" s="77" t="str">
        <f>HYPERLINK("https://www.forbes.com/sites/noahbarsky/2023/01/31/walmart-recession-proofs-retail-reign-with-3-rare-moves/?sh=64fd4cf22573")</f>
        <v>https://www.forbes.com/sites/noahbarsky/2023/01/31/walmart-recession-proofs-retail-reign-with-3-rare-moves/?sh=64fd4cf22573</v>
      </c>
      <c r="S178" t="s">
        <v>2260</v>
      </c>
      <c r="T178" s="78" t="s">
        <v>2311</v>
      </c>
      <c r="U178" s="77" t="str">
        <f>HYPERLINK("https://pbs.twimg.com/media/Fn0Jb_waYAE9JXF.jpg")</f>
        <v>https://pbs.twimg.com/media/Fn0Jb_waYAE9JXF.jpg</v>
      </c>
      <c r="V178" s="77" t="str">
        <f>HYPERLINK("https://pbs.twimg.com/media/Fn0Jb_waYAE9JXF.jpg")</f>
        <v>https://pbs.twimg.com/media/Fn0Jb_waYAE9JXF.jpg</v>
      </c>
      <c r="W178" s="76">
        <v>44958.313923611109</v>
      </c>
      <c r="X178" s="80">
        <v>44958</v>
      </c>
      <c r="Y178" s="78" t="s">
        <v>3310</v>
      </c>
      <c r="Z178" s="77" t="str">
        <f>HYPERLINK("https://twitter.com/chboursin/status/1620686400478928896")</f>
        <v>https://twitter.com/chboursin/status/1620686400478928896</v>
      </c>
      <c r="AC178" s="78" t="s">
        <v>4375</v>
      </c>
      <c r="AE178" t="b">
        <v>0</v>
      </c>
      <c r="AF178">
        <v>0</v>
      </c>
      <c r="AG178" s="78" t="s">
        <v>4640</v>
      </c>
      <c r="AH178" t="b">
        <v>0</v>
      </c>
      <c r="AI178" t="s">
        <v>4829</v>
      </c>
      <c r="AK178" s="78" t="s">
        <v>4640</v>
      </c>
      <c r="AL178" t="b">
        <v>0</v>
      </c>
      <c r="AM178">
        <v>11</v>
      </c>
      <c r="AN178" s="78" t="s">
        <v>4374</v>
      </c>
      <c r="AO178" s="78" t="s">
        <v>4849</v>
      </c>
      <c r="AP178" t="b">
        <v>0</v>
      </c>
      <c r="AQ178" s="78" t="s">
        <v>4374</v>
      </c>
      <c r="AR178" t="s">
        <v>179</v>
      </c>
      <c r="AS178">
        <v>0</v>
      </c>
      <c r="AT178">
        <v>0</v>
      </c>
    </row>
    <row r="179" spans="1:46" x14ac:dyDescent="0.45">
      <c r="A179" s="62" t="s">
        <v>1017</v>
      </c>
      <c r="B179" s="62" t="s">
        <v>242</v>
      </c>
      <c r="C179" s="63"/>
      <c r="D179" s="64"/>
      <c r="E179" s="65"/>
      <c r="F179" s="66"/>
      <c r="G179" s="63"/>
      <c r="H179" s="67"/>
      <c r="I179" s="68"/>
      <c r="J179" s="68"/>
      <c r="K179" s="32"/>
      <c r="L179" s="75"/>
      <c r="M179" s="75"/>
      <c r="N179" s="70"/>
      <c r="O179" t="s">
        <v>1570</v>
      </c>
      <c r="P179" s="76">
        <v>44958.313923611109</v>
      </c>
      <c r="Q179" t="s">
        <v>1584</v>
      </c>
      <c r="R179" s="77" t="str">
        <f>HYPERLINK("https://www.forbes.com/sites/noahbarsky/2023/01/31/walmart-recession-proofs-retail-reign-with-3-rare-moves/?sh=64fd4cf22573")</f>
        <v>https://www.forbes.com/sites/noahbarsky/2023/01/31/walmart-recession-proofs-retail-reign-with-3-rare-moves/?sh=64fd4cf22573</v>
      </c>
      <c r="S179" t="s">
        <v>2260</v>
      </c>
      <c r="T179" s="78" t="s">
        <v>2311</v>
      </c>
      <c r="U179" s="77" t="str">
        <f>HYPERLINK("https://pbs.twimg.com/media/Fn0Jb_waYAE9JXF.jpg")</f>
        <v>https://pbs.twimg.com/media/Fn0Jb_waYAE9JXF.jpg</v>
      </c>
      <c r="V179" s="77" t="str">
        <f>HYPERLINK("https://pbs.twimg.com/media/Fn0Jb_waYAE9JXF.jpg")</f>
        <v>https://pbs.twimg.com/media/Fn0Jb_waYAE9JXF.jpg</v>
      </c>
      <c r="W179" s="76">
        <v>44958.313923611109</v>
      </c>
      <c r="X179" s="80">
        <v>44958</v>
      </c>
      <c r="Y179" s="78" t="s">
        <v>3310</v>
      </c>
      <c r="Z179" s="77" t="str">
        <f>HYPERLINK("https://twitter.com/chboursin/status/1620686400478928896")</f>
        <v>https://twitter.com/chboursin/status/1620686400478928896</v>
      </c>
      <c r="AC179" s="78" t="s">
        <v>4375</v>
      </c>
      <c r="AE179" t="b">
        <v>0</v>
      </c>
      <c r="AF179">
        <v>0</v>
      </c>
      <c r="AG179" s="78" t="s">
        <v>4640</v>
      </c>
      <c r="AH179" t="b">
        <v>0</v>
      </c>
      <c r="AI179" t="s">
        <v>4829</v>
      </c>
      <c r="AK179" s="78" t="s">
        <v>4640</v>
      </c>
      <c r="AL179" t="b">
        <v>0</v>
      </c>
      <c r="AM179">
        <v>11</v>
      </c>
      <c r="AN179" s="78" t="s">
        <v>4374</v>
      </c>
      <c r="AO179" s="78" t="s">
        <v>4849</v>
      </c>
      <c r="AP179" t="b">
        <v>0</v>
      </c>
      <c r="AQ179" s="78" t="s">
        <v>4374</v>
      </c>
      <c r="AR179" t="s">
        <v>179</v>
      </c>
      <c r="AS179">
        <v>0</v>
      </c>
      <c r="AT179">
        <v>0</v>
      </c>
    </row>
    <row r="180" spans="1:46" x14ac:dyDescent="0.45">
      <c r="A180" s="62" t="s">
        <v>1017</v>
      </c>
      <c r="B180" s="62" t="s">
        <v>1016</v>
      </c>
      <c r="C180" s="63"/>
      <c r="D180" s="64"/>
      <c r="E180" s="65"/>
      <c r="F180" s="66"/>
      <c r="G180" s="63"/>
      <c r="H180" s="67"/>
      <c r="I180" s="68"/>
      <c r="J180" s="68"/>
      <c r="K180" s="32"/>
      <c r="L180" s="75"/>
      <c r="M180" s="75"/>
      <c r="N180" s="70"/>
      <c r="O180" t="s">
        <v>1569</v>
      </c>
      <c r="P180" s="76">
        <v>44958.313923611109</v>
      </c>
      <c r="Q180" t="s">
        <v>1584</v>
      </c>
      <c r="R180" s="77" t="str">
        <f>HYPERLINK("https://www.forbes.com/sites/noahbarsky/2023/01/31/walmart-recession-proofs-retail-reign-with-3-rare-moves/?sh=64fd4cf22573")</f>
        <v>https://www.forbes.com/sites/noahbarsky/2023/01/31/walmart-recession-proofs-retail-reign-with-3-rare-moves/?sh=64fd4cf22573</v>
      </c>
      <c r="S180" t="s">
        <v>2260</v>
      </c>
      <c r="T180" s="78" t="s">
        <v>2311</v>
      </c>
      <c r="U180" s="77" t="str">
        <f>HYPERLINK("https://pbs.twimg.com/media/Fn0Jb_waYAE9JXF.jpg")</f>
        <v>https://pbs.twimg.com/media/Fn0Jb_waYAE9JXF.jpg</v>
      </c>
      <c r="V180" s="77" t="str">
        <f>HYPERLINK("https://pbs.twimg.com/media/Fn0Jb_waYAE9JXF.jpg")</f>
        <v>https://pbs.twimg.com/media/Fn0Jb_waYAE9JXF.jpg</v>
      </c>
      <c r="W180" s="76">
        <v>44958.313923611109</v>
      </c>
      <c r="X180" s="80">
        <v>44958</v>
      </c>
      <c r="Y180" s="78" t="s">
        <v>3310</v>
      </c>
      <c r="Z180" s="77" t="str">
        <f>HYPERLINK("https://twitter.com/chboursin/status/1620686400478928896")</f>
        <v>https://twitter.com/chboursin/status/1620686400478928896</v>
      </c>
      <c r="AC180" s="78" t="s">
        <v>4375</v>
      </c>
      <c r="AE180" t="b">
        <v>0</v>
      </c>
      <c r="AF180">
        <v>0</v>
      </c>
      <c r="AG180" s="78" t="s">
        <v>4640</v>
      </c>
      <c r="AH180" t="b">
        <v>0</v>
      </c>
      <c r="AI180" t="s">
        <v>4829</v>
      </c>
      <c r="AK180" s="78" t="s">
        <v>4640</v>
      </c>
      <c r="AL180" t="b">
        <v>0</v>
      </c>
      <c r="AM180">
        <v>11</v>
      </c>
      <c r="AN180" s="78" t="s">
        <v>4374</v>
      </c>
      <c r="AO180" s="78" t="s">
        <v>4849</v>
      </c>
      <c r="AP180" t="b">
        <v>0</v>
      </c>
      <c r="AQ180" s="78" t="s">
        <v>4374</v>
      </c>
      <c r="AR180" t="s">
        <v>179</v>
      </c>
      <c r="AS180">
        <v>0</v>
      </c>
      <c r="AT180">
        <v>0</v>
      </c>
    </row>
    <row r="181" spans="1:46" x14ac:dyDescent="0.45">
      <c r="A181" s="62" t="s">
        <v>1018</v>
      </c>
      <c r="B181" s="62" t="s">
        <v>1017</v>
      </c>
      <c r="C181" s="63"/>
      <c r="D181" s="64"/>
      <c r="E181" s="65"/>
      <c r="F181" s="66"/>
      <c r="G181" s="63"/>
      <c r="H181" s="67"/>
      <c r="I181" s="68"/>
      <c r="J181" s="68"/>
      <c r="K181" s="32"/>
      <c r="L181" s="75"/>
      <c r="M181" s="75"/>
      <c r="N181" s="70"/>
      <c r="O181" t="s">
        <v>1570</v>
      </c>
      <c r="P181" s="76">
        <v>44959.366516203707</v>
      </c>
      <c r="Q181" t="s">
        <v>1584</v>
      </c>
      <c r="R181" s="77" t="str">
        <f>HYPERLINK("https://www.forbes.com/sites/noahbarsky/2023/01/31/walmart-recession-proofs-retail-reign-with-3-rare-moves/?sh=64fd4cf22573")</f>
        <v>https://www.forbes.com/sites/noahbarsky/2023/01/31/walmart-recession-proofs-retail-reign-with-3-rare-moves/?sh=64fd4cf22573</v>
      </c>
      <c r="S181" t="s">
        <v>2260</v>
      </c>
      <c r="T181" s="78" t="s">
        <v>2311</v>
      </c>
      <c r="U181" s="77" t="str">
        <f>HYPERLINK("https://pbs.twimg.com/media/Fn0Jb_waYAE9JXF.jpg")</f>
        <v>https://pbs.twimg.com/media/Fn0Jb_waYAE9JXF.jpg</v>
      </c>
      <c r="V181" s="77" t="str">
        <f>HYPERLINK("https://pbs.twimg.com/media/Fn0Jb_waYAE9JXF.jpg")</f>
        <v>https://pbs.twimg.com/media/Fn0Jb_waYAE9JXF.jpg</v>
      </c>
      <c r="W181" s="76">
        <v>44959.366516203707</v>
      </c>
      <c r="X181" s="80">
        <v>44959</v>
      </c>
      <c r="Y181" s="78" t="s">
        <v>3311</v>
      </c>
      <c r="Z181" s="77" t="str">
        <f>HYPERLINK("https://twitter.com/procurement2030/status/1621067845559025664")</f>
        <v>https://twitter.com/procurement2030/status/1621067845559025664</v>
      </c>
      <c r="AC181" s="78" t="s">
        <v>4376</v>
      </c>
      <c r="AE181" t="b">
        <v>0</v>
      </c>
      <c r="AF181">
        <v>0</v>
      </c>
      <c r="AG181" s="78" t="s">
        <v>4640</v>
      </c>
      <c r="AH181" t="b">
        <v>0</v>
      </c>
      <c r="AI181" t="s">
        <v>4829</v>
      </c>
      <c r="AK181" s="78" t="s">
        <v>4640</v>
      </c>
      <c r="AL181" t="b">
        <v>0</v>
      </c>
      <c r="AM181">
        <v>11</v>
      </c>
      <c r="AN181" s="78" t="s">
        <v>4374</v>
      </c>
      <c r="AO181" s="78" t="s">
        <v>4851</v>
      </c>
      <c r="AP181" t="b">
        <v>0</v>
      </c>
      <c r="AQ181" s="78" t="s">
        <v>4374</v>
      </c>
      <c r="AR181" t="s">
        <v>179</v>
      </c>
      <c r="AS181">
        <v>0</v>
      </c>
      <c r="AT181">
        <v>0</v>
      </c>
    </row>
    <row r="182" spans="1:46" x14ac:dyDescent="0.45">
      <c r="A182" s="62" t="s">
        <v>1018</v>
      </c>
      <c r="B182" s="62" t="s">
        <v>1124</v>
      </c>
      <c r="C182" s="63"/>
      <c r="D182" s="64"/>
      <c r="E182" s="65"/>
      <c r="F182" s="66"/>
      <c r="G182" s="63"/>
      <c r="H182" s="67"/>
      <c r="I182" s="68"/>
      <c r="J182" s="68"/>
      <c r="K182" s="32"/>
      <c r="L182" s="75"/>
      <c r="M182" s="75"/>
      <c r="N182" s="70"/>
      <c r="O182" t="s">
        <v>1570</v>
      </c>
      <c r="P182" s="76">
        <v>44959.366516203707</v>
      </c>
      <c r="Q182" t="s">
        <v>1584</v>
      </c>
      <c r="R182" s="77" t="str">
        <f>HYPERLINK("https://www.forbes.com/sites/noahbarsky/2023/01/31/walmart-recession-proofs-retail-reign-with-3-rare-moves/?sh=64fd4cf22573")</f>
        <v>https://www.forbes.com/sites/noahbarsky/2023/01/31/walmart-recession-proofs-retail-reign-with-3-rare-moves/?sh=64fd4cf22573</v>
      </c>
      <c r="S182" t="s">
        <v>2260</v>
      </c>
      <c r="T182" s="78" t="s">
        <v>2311</v>
      </c>
      <c r="U182" s="77" t="str">
        <f>HYPERLINK("https://pbs.twimg.com/media/Fn0Jb_waYAE9JXF.jpg")</f>
        <v>https://pbs.twimg.com/media/Fn0Jb_waYAE9JXF.jpg</v>
      </c>
      <c r="V182" s="77" t="str">
        <f>HYPERLINK("https://pbs.twimg.com/media/Fn0Jb_waYAE9JXF.jpg")</f>
        <v>https://pbs.twimg.com/media/Fn0Jb_waYAE9JXF.jpg</v>
      </c>
      <c r="W182" s="76">
        <v>44959.366516203707</v>
      </c>
      <c r="X182" s="80">
        <v>44959</v>
      </c>
      <c r="Y182" s="78" t="s">
        <v>3311</v>
      </c>
      <c r="Z182" s="77" t="str">
        <f>HYPERLINK("https://twitter.com/procurement2030/status/1621067845559025664")</f>
        <v>https://twitter.com/procurement2030/status/1621067845559025664</v>
      </c>
      <c r="AC182" s="78" t="s">
        <v>4376</v>
      </c>
      <c r="AE182" t="b">
        <v>0</v>
      </c>
      <c r="AF182">
        <v>0</v>
      </c>
      <c r="AG182" s="78" t="s">
        <v>4640</v>
      </c>
      <c r="AH182" t="b">
        <v>0</v>
      </c>
      <c r="AI182" t="s">
        <v>4829</v>
      </c>
      <c r="AK182" s="78" t="s">
        <v>4640</v>
      </c>
      <c r="AL182" t="b">
        <v>0</v>
      </c>
      <c r="AM182">
        <v>11</v>
      </c>
      <c r="AN182" s="78" t="s">
        <v>4374</v>
      </c>
      <c r="AO182" s="78" t="s">
        <v>4851</v>
      </c>
      <c r="AP182" t="b">
        <v>0</v>
      </c>
      <c r="AQ182" s="78" t="s">
        <v>4374</v>
      </c>
      <c r="AR182" t="s">
        <v>179</v>
      </c>
      <c r="AS182">
        <v>0</v>
      </c>
      <c r="AT182">
        <v>0</v>
      </c>
    </row>
    <row r="183" spans="1:46" x14ac:dyDescent="0.45">
      <c r="A183" s="62" t="s">
        <v>1018</v>
      </c>
      <c r="B183" s="62" t="s">
        <v>1125</v>
      </c>
      <c r="C183" s="63"/>
      <c r="D183" s="64"/>
      <c r="E183" s="65"/>
      <c r="F183" s="66"/>
      <c r="G183" s="63"/>
      <c r="H183" s="67"/>
      <c r="I183" s="68"/>
      <c r="J183" s="68"/>
      <c r="K183" s="32"/>
      <c r="L183" s="75"/>
      <c r="M183" s="75"/>
      <c r="N183" s="70"/>
      <c r="O183" t="s">
        <v>1570</v>
      </c>
      <c r="P183" s="76">
        <v>44959.366516203707</v>
      </c>
      <c r="Q183" t="s">
        <v>1584</v>
      </c>
      <c r="R183" s="77" t="str">
        <f>HYPERLINK("https://www.forbes.com/sites/noahbarsky/2023/01/31/walmart-recession-proofs-retail-reign-with-3-rare-moves/?sh=64fd4cf22573")</f>
        <v>https://www.forbes.com/sites/noahbarsky/2023/01/31/walmart-recession-proofs-retail-reign-with-3-rare-moves/?sh=64fd4cf22573</v>
      </c>
      <c r="S183" t="s">
        <v>2260</v>
      </c>
      <c r="T183" s="78" t="s">
        <v>2311</v>
      </c>
      <c r="U183" s="77" t="str">
        <f>HYPERLINK("https://pbs.twimg.com/media/Fn0Jb_waYAE9JXF.jpg")</f>
        <v>https://pbs.twimg.com/media/Fn0Jb_waYAE9JXF.jpg</v>
      </c>
      <c r="V183" s="77" t="str">
        <f>HYPERLINK("https://pbs.twimg.com/media/Fn0Jb_waYAE9JXF.jpg")</f>
        <v>https://pbs.twimg.com/media/Fn0Jb_waYAE9JXF.jpg</v>
      </c>
      <c r="W183" s="76">
        <v>44959.366516203707</v>
      </c>
      <c r="X183" s="80">
        <v>44959</v>
      </c>
      <c r="Y183" s="78" t="s">
        <v>3311</v>
      </c>
      <c r="Z183" s="77" t="str">
        <f>HYPERLINK("https://twitter.com/procurement2030/status/1621067845559025664")</f>
        <v>https://twitter.com/procurement2030/status/1621067845559025664</v>
      </c>
      <c r="AC183" s="78" t="s">
        <v>4376</v>
      </c>
      <c r="AE183" t="b">
        <v>0</v>
      </c>
      <c r="AF183">
        <v>0</v>
      </c>
      <c r="AG183" s="78" t="s">
        <v>4640</v>
      </c>
      <c r="AH183" t="b">
        <v>0</v>
      </c>
      <c r="AI183" t="s">
        <v>4829</v>
      </c>
      <c r="AK183" s="78" t="s">
        <v>4640</v>
      </c>
      <c r="AL183" t="b">
        <v>0</v>
      </c>
      <c r="AM183">
        <v>11</v>
      </c>
      <c r="AN183" s="78" t="s">
        <v>4374</v>
      </c>
      <c r="AO183" s="78" t="s">
        <v>4851</v>
      </c>
      <c r="AP183" t="b">
        <v>0</v>
      </c>
      <c r="AQ183" s="78" t="s">
        <v>4374</v>
      </c>
      <c r="AR183" t="s">
        <v>179</v>
      </c>
      <c r="AS183">
        <v>0</v>
      </c>
      <c r="AT183">
        <v>0</v>
      </c>
    </row>
    <row r="184" spans="1:46" x14ac:dyDescent="0.45">
      <c r="A184" s="62" t="s">
        <v>1018</v>
      </c>
      <c r="B184" s="62" t="s">
        <v>1126</v>
      </c>
      <c r="C184" s="63"/>
      <c r="D184" s="64"/>
      <c r="E184" s="65"/>
      <c r="F184" s="66"/>
      <c r="G184" s="63"/>
      <c r="H184" s="67"/>
      <c r="I184" s="68"/>
      <c r="J184" s="68"/>
      <c r="K184" s="32"/>
      <c r="L184" s="75"/>
      <c r="M184" s="75"/>
      <c r="N184" s="70"/>
      <c r="O184" t="s">
        <v>1570</v>
      </c>
      <c r="P184" s="76">
        <v>44959.366516203707</v>
      </c>
      <c r="Q184" t="s">
        <v>1584</v>
      </c>
      <c r="R184" s="77" t="str">
        <f>HYPERLINK("https://www.forbes.com/sites/noahbarsky/2023/01/31/walmart-recession-proofs-retail-reign-with-3-rare-moves/?sh=64fd4cf22573")</f>
        <v>https://www.forbes.com/sites/noahbarsky/2023/01/31/walmart-recession-proofs-retail-reign-with-3-rare-moves/?sh=64fd4cf22573</v>
      </c>
      <c r="S184" t="s">
        <v>2260</v>
      </c>
      <c r="T184" s="78" t="s">
        <v>2311</v>
      </c>
      <c r="U184" s="77" t="str">
        <f>HYPERLINK("https://pbs.twimg.com/media/Fn0Jb_waYAE9JXF.jpg")</f>
        <v>https://pbs.twimg.com/media/Fn0Jb_waYAE9JXF.jpg</v>
      </c>
      <c r="V184" s="77" t="str">
        <f>HYPERLINK("https://pbs.twimg.com/media/Fn0Jb_waYAE9JXF.jpg")</f>
        <v>https://pbs.twimg.com/media/Fn0Jb_waYAE9JXF.jpg</v>
      </c>
      <c r="W184" s="76">
        <v>44959.366516203707</v>
      </c>
      <c r="X184" s="80">
        <v>44959</v>
      </c>
      <c r="Y184" s="78" t="s">
        <v>3311</v>
      </c>
      <c r="Z184" s="77" t="str">
        <f>HYPERLINK("https://twitter.com/procurement2030/status/1621067845559025664")</f>
        <v>https://twitter.com/procurement2030/status/1621067845559025664</v>
      </c>
      <c r="AC184" s="78" t="s">
        <v>4376</v>
      </c>
      <c r="AE184" t="b">
        <v>0</v>
      </c>
      <c r="AF184">
        <v>0</v>
      </c>
      <c r="AG184" s="78" t="s">
        <v>4640</v>
      </c>
      <c r="AH184" t="b">
        <v>0</v>
      </c>
      <c r="AI184" t="s">
        <v>4829</v>
      </c>
      <c r="AK184" s="78" t="s">
        <v>4640</v>
      </c>
      <c r="AL184" t="b">
        <v>0</v>
      </c>
      <c r="AM184">
        <v>11</v>
      </c>
      <c r="AN184" s="78" t="s">
        <v>4374</v>
      </c>
      <c r="AO184" s="78" t="s">
        <v>4851</v>
      </c>
      <c r="AP184" t="b">
        <v>0</v>
      </c>
      <c r="AQ184" s="78" t="s">
        <v>4374</v>
      </c>
      <c r="AR184" t="s">
        <v>179</v>
      </c>
      <c r="AS184">
        <v>0</v>
      </c>
      <c r="AT184">
        <v>0</v>
      </c>
    </row>
    <row r="185" spans="1:46" x14ac:dyDescent="0.45">
      <c r="A185" s="62" t="s">
        <v>1018</v>
      </c>
      <c r="B185" s="62" t="s">
        <v>1127</v>
      </c>
      <c r="C185" s="63"/>
      <c r="D185" s="64"/>
      <c r="E185" s="65"/>
      <c r="F185" s="66"/>
      <c r="G185" s="63"/>
      <c r="H185" s="67"/>
      <c r="I185" s="68"/>
      <c r="J185" s="68"/>
      <c r="K185" s="32"/>
      <c r="L185" s="75"/>
      <c r="M185" s="75"/>
      <c r="N185" s="70"/>
      <c r="O185" t="s">
        <v>1570</v>
      </c>
      <c r="P185" s="76">
        <v>44959.366516203707</v>
      </c>
      <c r="Q185" t="s">
        <v>1584</v>
      </c>
      <c r="R185" s="77" t="str">
        <f>HYPERLINK("https://www.forbes.com/sites/noahbarsky/2023/01/31/walmart-recession-proofs-retail-reign-with-3-rare-moves/?sh=64fd4cf22573")</f>
        <v>https://www.forbes.com/sites/noahbarsky/2023/01/31/walmart-recession-proofs-retail-reign-with-3-rare-moves/?sh=64fd4cf22573</v>
      </c>
      <c r="S185" t="s">
        <v>2260</v>
      </c>
      <c r="T185" s="78" t="s">
        <v>2311</v>
      </c>
      <c r="U185" s="77" t="str">
        <f>HYPERLINK("https://pbs.twimg.com/media/Fn0Jb_waYAE9JXF.jpg")</f>
        <v>https://pbs.twimg.com/media/Fn0Jb_waYAE9JXF.jpg</v>
      </c>
      <c r="V185" s="77" t="str">
        <f>HYPERLINK("https://pbs.twimg.com/media/Fn0Jb_waYAE9JXF.jpg")</f>
        <v>https://pbs.twimg.com/media/Fn0Jb_waYAE9JXF.jpg</v>
      </c>
      <c r="W185" s="76">
        <v>44959.366516203707</v>
      </c>
      <c r="X185" s="80">
        <v>44959</v>
      </c>
      <c r="Y185" s="78" t="s">
        <v>3311</v>
      </c>
      <c r="Z185" s="77" t="str">
        <f>HYPERLINK("https://twitter.com/procurement2030/status/1621067845559025664")</f>
        <v>https://twitter.com/procurement2030/status/1621067845559025664</v>
      </c>
      <c r="AC185" s="78" t="s">
        <v>4376</v>
      </c>
      <c r="AE185" t="b">
        <v>0</v>
      </c>
      <c r="AF185">
        <v>0</v>
      </c>
      <c r="AG185" s="78" t="s">
        <v>4640</v>
      </c>
      <c r="AH185" t="b">
        <v>0</v>
      </c>
      <c r="AI185" t="s">
        <v>4829</v>
      </c>
      <c r="AK185" s="78" t="s">
        <v>4640</v>
      </c>
      <c r="AL185" t="b">
        <v>0</v>
      </c>
      <c r="AM185">
        <v>11</v>
      </c>
      <c r="AN185" s="78" t="s">
        <v>4374</v>
      </c>
      <c r="AO185" s="78" t="s">
        <v>4851</v>
      </c>
      <c r="AP185" t="b">
        <v>0</v>
      </c>
      <c r="AQ185" s="78" t="s">
        <v>4374</v>
      </c>
      <c r="AR185" t="s">
        <v>179</v>
      </c>
      <c r="AS185">
        <v>0</v>
      </c>
      <c r="AT185">
        <v>0</v>
      </c>
    </row>
    <row r="186" spans="1:46" x14ac:dyDescent="0.45">
      <c r="A186" s="62" t="s">
        <v>1018</v>
      </c>
      <c r="B186" s="62" t="s">
        <v>1128</v>
      </c>
      <c r="C186" s="63"/>
      <c r="D186" s="64"/>
      <c r="E186" s="65"/>
      <c r="F186" s="66"/>
      <c r="G186" s="63"/>
      <c r="H186" s="67"/>
      <c r="I186" s="68"/>
      <c r="J186" s="68"/>
      <c r="K186" s="32"/>
      <c r="L186" s="75"/>
      <c r="M186" s="75"/>
      <c r="N186" s="70"/>
      <c r="O186" t="s">
        <v>1570</v>
      </c>
      <c r="P186" s="76">
        <v>44959.366516203707</v>
      </c>
      <c r="Q186" t="s">
        <v>1584</v>
      </c>
      <c r="R186" s="77" t="str">
        <f>HYPERLINK("https://www.forbes.com/sites/noahbarsky/2023/01/31/walmart-recession-proofs-retail-reign-with-3-rare-moves/?sh=64fd4cf22573")</f>
        <v>https://www.forbes.com/sites/noahbarsky/2023/01/31/walmart-recession-proofs-retail-reign-with-3-rare-moves/?sh=64fd4cf22573</v>
      </c>
      <c r="S186" t="s">
        <v>2260</v>
      </c>
      <c r="T186" s="78" t="s">
        <v>2311</v>
      </c>
      <c r="U186" s="77" t="str">
        <f>HYPERLINK("https://pbs.twimg.com/media/Fn0Jb_waYAE9JXF.jpg")</f>
        <v>https://pbs.twimg.com/media/Fn0Jb_waYAE9JXF.jpg</v>
      </c>
      <c r="V186" s="77" t="str">
        <f>HYPERLINK("https://pbs.twimg.com/media/Fn0Jb_waYAE9JXF.jpg")</f>
        <v>https://pbs.twimg.com/media/Fn0Jb_waYAE9JXF.jpg</v>
      </c>
      <c r="W186" s="76">
        <v>44959.366516203707</v>
      </c>
      <c r="X186" s="80">
        <v>44959</v>
      </c>
      <c r="Y186" s="78" t="s">
        <v>3311</v>
      </c>
      <c r="Z186" s="77" t="str">
        <f>HYPERLINK("https://twitter.com/procurement2030/status/1621067845559025664")</f>
        <v>https://twitter.com/procurement2030/status/1621067845559025664</v>
      </c>
      <c r="AC186" s="78" t="s">
        <v>4376</v>
      </c>
      <c r="AE186" t="b">
        <v>0</v>
      </c>
      <c r="AF186">
        <v>0</v>
      </c>
      <c r="AG186" s="78" t="s">
        <v>4640</v>
      </c>
      <c r="AH186" t="b">
        <v>0</v>
      </c>
      <c r="AI186" t="s">
        <v>4829</v>
      </c>
      <c r="AK186" s="78" t="s">
        <v>4640</v>
      </c>
      <c r="AL186" t="b">
        <v>0</v>
      </c>
      <c r="AM186">
        <v>11</v>
      </c>
      <c r="AN186" s="78" t="s">
        <v>4374</v>
      </c>
      <c r="AO186" s="78" t="s">
        <v>4851</v>
      </c>
      <c r="AP186" t="b">
        <v>0</v>
      </c>
      <c r="AQ186" s="78" t="s">
        <v>4374</v>
      </c>
      <c r="AR186" t="s">
        <v>179</v>
      </c>
      <c r="AS186">
        <v>0</v>
      </c>
      <c r="AT186">
        <v>0</v>
      </c>
    </row>
    <row r="187" spans="1:46" x14ac:dyDescent="0.45">
      <c r="A187" s="62" t="s">
        <v>1018</v>
      </c>
      <c r="B187" s="62" t="s">
        <v>1129</v>
      </c>
      <c r="C187" s="63"/>
      <c r="D187" s="64"/>
      <c r="E187" s="65"/>
      <c r="F187" s="66"/>
      <c r="G187" s="63"/>
      <c r="H187" s="67"/>
      <c r="I187" s="68"/>
      <c r="J187" s="68"/>
      <c r="K187" s="32"/>
      <c r="L187" s="75"/>
      <c r="M187" s="75"/>
      <c r="N187" s="70"/>
      <c r="O187" t="s">
        <v>1570</v>
      </c>
      <c r="P187" s="76">
        <v>44959.366516203707</v>
      </c>
      <c r="Q187" t="s">
        <v>1584</v>
      </c>
      <c r="R187" s="77" t="str">
        <f>HYPERLINK("https://www.forbes.com/sites/noahbarsky/2023/01/31/walmart-recession-proofs-retail-reign-with-3-rare-moves/?sh=64fd4cf22573")</f>
        <v>https://www.forbes.com/sites/noahbarsky/2023/01/31/walmart-recession-proofs-retail-reign-with-3-rare-moves/?sh=64fd4cf22573</v>
      </c>
      <c r="S187" t="s">
        <v>2260</v>
      </c>
      <c r="T187" s="78" t="s">
        <v>2311</v>
      </c>
      <c r="U187" s="77" t="str">
        <f>HYPERLINK("https://pbs.twimg.com/media/Fn0Jb_waYAE9JXF.jpg")</f>
        <v>https://pbs.twimg.com/media/Fn0Jb_waYAE9JXF.jpg</v>
      </c>
      <c r="V187" s="77" t="str">
        <f>HYPERLINK("https://pbs.twimg.com/media/Fn0Jb_waYAE9JXF.jpg")</f>
        <v>https://pbs.twimg.com/media/Fn0Jb_waYAE9JXF.jpg</v>
      </c>
      <c r="W187" s="76">
        <v>44959.366516203707</v>
      </c>
      <c r="X187" s="80">
        <v>44959</v>
      </c>
      <c r="Y187" s="78" t="s">
        <v>3311</v>
      </c>
      <c r="Z187" s="77" t="str">
        <f>HYPERLINK("https://twitter.com/procurement2030/status/1621067845559025664")</f>
        <v>https://twitter.com/procurement2030/status/1621067845559025664</v>
      </c>
      <c r="AC187" s="78" t="s">
        <v>4376</v>
      </c>
      <c r="AE187" t="b">
        <v>0</v>
      </c>
      <c r="AF187">
        <v>0</v>
      </c>
      <c r="AG187" s="78" t="s">
        <v>4640</v>
      </c>
      <c r="AH187" t="b">
        <v>0</v>
      </c>
      <c r="AI187" t="s">
        <v>4829</v>
      </c>
      <c r="AK187" s="78" t="s">
        <v>4640</v>
      </c>
      <c r="AL187" t="b">
        <v>0</v>
      </c>
      <c r="AM187">
        <v>11</v>
      </c>
      <c r="AN187" s="78" t="s">
        <v>4374</v>
      </c>
      <c r="AO187" s="78" t="s">
        <v>4851</v>
      </c>
      <c r="AP187" t="b">
        <v>0</v>
      </c>
      <c r="AQ187" s="78" t="s">
        <v>4374</v>
      </c>
      <c r="AR187" t="s">
        <v>179</v>
      </c>
      <c r="AS187">
        <v>0</v>
      </c>
      <c r="AT187">
        <v>0</v>
      </c>
    </row>
    <row r="188" spans="1:46" x14ac:dyDescent="0.45">
      <c r="A188" s="62" t="s">
        <v>1018</v>
      </c>
      <c r="B188" s="62" t="s">
        <v>1130</v>
      </c>
      <c r="C188" s="63"/>
      <c r="D188" s="64"/>
      <c r="E188" s="65"/>
      <c r="F188" s="66"/>
      <c r="G188" s="63"/>
      <c r="H188" s="67"/>
      <c r="I188" s="68"/>
      <c r="J188" s="68"/>
      <c r="K188" s="32"/>
      <c r="L188" s="75"/>
      <c r="M188" s="75"/>
      <c r="N188" s="70"/>
      <c r="O188" t="s">
        <v>1570</v>
      </c>
      <c r="P188" s="76">
        <v>44959.366516203707</v>
      </c>
      <c r="Q188" t="s">
        <v>1584</v>
      </c>
      <c r="R188" s="77" t="str">
        <f>HYPERLINK("https://www.forbes.com/sites/noahbarsky/2023/01/31/walmart-recession-proofs-retail-reign-with-3-rare-moves/?sh=64fd4cf22573")</f>
        <v>https://www.forbes.com/sites/noahbarsky/2023/01/31/walmart-recession-proofs-retail-reign-with-3-rare-moves/?sh=64fd4cf22573</v>
      </c>
      <c r="S188" t="s">
        <v>2260</v>
      </c>
      <c r="T188" s="78" t="s">
        <v>2311</v>
      </c>
      <c r="U188" s="77" t="str">
        <f>HYPERLINK("https://pbs.twimg.com/media/Fn0Jb_waYAE9JXF.jpg")</f>
        <v>https://pbs.twimg.com/media/Fn0Jb_waYAE9JXF.jpg</v>
      </c>
      <c r="V188" s="77" t="str">
        <f>HYPERLINK("https://pbs.twimg.com/media/Fn0Jb_waYAE9JXF.jpg")</f>
        <v>https://pbs.twimg.com/media/Fn0Jb_waYAE9JXF.jpg</v>
      </c>
      <c r="W188" s="76">
        <v>44959.366516203707</v>
      </c>
      <c r="X188" s="80">
        <v>44959</v>
      </c>
      <c r="Y188" s="78" t="s">
        <v>3311</v>
      </c>
      <c r="Z188" s="77" t="str">
        <f>HYPERLINK("https://twitter.com/procurement2030/status/1621067845559025664")</f>
        <v>https://twitter.com/procurement2030/status/1621067845559025664</v>
      </c>
      <c r="AC188" s="78" t="s">
        <v>4376</v>
      </c>
      <c r="AE188" t="b">
        <v>0</v>
      </c>
      <c r="AF188">
        <v>0</v>
      </c>
      <c r="AG188" s="78" t="s">
        <v>4640</v>
      </c>
      <c r="AH188" t="b">
        <v>0</v>
      </c>
      <c r="AI188" t="s">
        <v>4829</v>
      </c>
      <c r="AK188" s="78" t="s">
        <v>4640</v>
      </c>
      <c r="AL188" t="b">
        <v>0</v>
      </c>
      <c r="AM188">
        <v>11</v>
      </c>
      <c r="AN188" s="78" t="s">
        <v>4374</v>
      </c>
      <c r="AO188" s="78" t="s">
        <v>4851</v>
      </c>
      <c r="AP188" t="b">
        <v>0</v>
      </c>
      <c r="AQ188" s="78" t="s">
        <v>4374</v>
      </c>
      <c r="AR188" t="s">
        <v>179</v>
      </c>
      <c r="AS188">
        <v>0</v>
      </c>
      <c r="AT188">
        <v>0</v>
      </c>
    </row>
    <row r="189" spans="1:46" x14ac:dyDescent="0.45">
      <c r="A189" s="62" t="s">
        <v>1018</v>
      </c>
      <c r="B189" s="62" t="s">
        <v>1131</v>
      </c>
      <c r="C189" s="63"/>
      <c r="D189" s="64"/>
      <c r="E189" s="65"/>
      <c r="F189" s="66"/>
      <c r="G189" s="63"/>
      <c r="H189" s="67"/>
      <c r="I189" s="68"/>
      <c r="J189" s="68"/>
      <c r="K189" s="32"/>
      <c r="L189" s="75"/>
      <c r="M189" s="75"/>
      <c r="N189" s="70"/>
      <c r="O189" t="s">
        <v>1570</v>
      </c>
      <c r="P189" s="76">
        <v>44959.366516203707</v>
      </c>
      <c r="Q189" t="s">
        <v>1584</v>
      </c>
      <c r="R189" s="77" t="str">
        <f>HYPERLINK("https://www.forbes.com/sites/noahbarsky/2023/01/31/walmart-recession-proofs-retail-reign-with-3-rare-moves/?sh=64fd4cf22573")</f>
        <v>https://www.forbes.com/sites/noahbarsky/2023/01/31/walmart-recession-proofs-retail-reign-with-3-rare-moves/?sh=64fd4cf22573</v>
      </c>
      <c r="S189" t="s">
        <v>2260</v>
      </c>
      <c r="T189" s="78" t="s">
        <v>2311</v>
      </c>
      <c r="U189" s="77" t="str">
        <f>HYPERLINK("https://pbs.twimg.com/media/Fn0Jb_waYAE9JXF.jpg")</f>
        <v>https://pbs.twimg.com/media/Fn0Jb_waYAE9JXF.jpg</v>
      </c>
      <c r="V189" s="77" t="str">
        <f>HYPERLINK("https://pbs.twimg.com/media/Fn0Jb_waYAE9JXF.jpg")</f>
        <v>https://pbs.twimg.com/media/Fn0Jb_waYAE9JXF.jpg</v>
      </c>
      <c r="W189" s="76">
        <v>44959.366516203707</v>
      </c>
      <c r="X189" s="80">
        <v>44959</v>
      </c>
      <c r="Y189" s="78" t="s">
        <v>3311</v>
      </c>
      <c r="Z189" s="77" t="str">
        <f>HYPERLINK("https://twitter.com/procurement2030/status/1621067845559025664")</f>
        <v>https://twitter.com/procurement2030/status/1621067845559025664</v>
      </c>
      <c r="AC189" s="78" t="s">
        <v>4376</v>
      </c>
      <c r="AE189" t="b">
        <v>0</v>
      </c>
      <c r="AF189">
        <v>0</v>
      </c>
      <c r="AG189" s="78" t="s">
        <v>4640</v>
      </c>
      <c r="AH189" t="b">
        <v>0</v>
      </c>
      <c r="AI189" t="s">
        <v>4829</v>
      </c>
      <c r="AK189" s="78" t="s">
        <v>4640</v>
      </c>
      <c r="AL189" t="b">
        <v>0</v>
      </c>
      <c r="AM189">
        <v>11</v>
      </c>
      <c r="AN189" s="78" t="s">
        <v>4374</v>
      </c>
      <c r="AO189" s="78" t="s">
        <v>4851</v>
      </c>
      <c r="AP189" t="b">
        <v>0</v>
      </c>
      <c r="AQ189" s="78" t="s">
        <v>4374</v>
      </c>
      <c r="AR189" t="s">
        <v>179</v>
      </c>
      <c r="AS189">
        <v>0</v>
      </c>
      <c r="AT189">
        <v>0</v>
      </c>
    </row>
    <row r="190" spans="1:46" x14ac:dyDescent="0.45">
      <c r="A190" s="62" t="s">
        <v>1018</v>
      </c>
      <c r="B190" s="62" t="s">
        <v>236</v>
      </c>
      <c r="C190" s="63"/>
      <c r="D190" s="64"/>
      <c r="E190" s="65"/>
      <c r="F190" s="66"/>
      <c r="G190" s="63"/>
      <c r="H190" s="67"/>
      <c r="I190" s="68"/>
      <c r="J190" s="68"/>
      <c r="K190" s="32"/>
      <c r="L190" s="75"/>
      <c r="M190" s="75"/>
      <c r="N190" s="70"/>
      <c r="O190" t="s">
        <v>1570</v>
      </c>
      <c r="P190" s="76">
        <v>44959.366516203707</v>
      </c>
      <c r="Q190" t="s">
        <v>1584</v>
      </c>
      <c r="R190" s="77" t="str">
        <f>HYPERLINK("https://www.forbes.com/sites/noahbarsky/2023/01/31/walmart-recession-proofs-retail-reign-with-3-rare-moves/?sh=64fd4cf22573")</f>
        <v>https://www.forbes.com/sites/noahbarsky/2023/01/31/walmart-recession-proofs-retail-reign-with-3-rare-moves/?sh=64fd4cf22573</v>
      </c>
      <c r="S190" t="s">
        <v>2260</v>
      </c>
      <c r="T190" s="78" t="s">
        <v>2311</v>
      </c>
      <c r="U190" s="77" t="str">
        <f>HYPERLINK("https://pbs.twimg.com/media/Fn0Jb_waYAE9JXF.jpg")</f>
        <v>https://pbs.twimg.com/media/Fn0Jb_waYAE9JXF.jpg</v>
      </c>
      <c r="V190" s="77" t="str">
        <f>HYPERLINK("https://pbs.twimg.com/media/Fn0Jb_waYAE9JXF.jpg")</f>
        <v>https://pbs.twimg.com/media/Fn0Jb_waYAE9JXF.jpg</v>
      </c>
      <c r="W190" s="76">
        <v>44959.366516203707</v>
      </c>
      <c r="X190" s="80">
        <v>44959</v>
      </c>
      <c r="Y190" s="78" t="s">
        <v>3311</v>
      </c>
      <c r="Z190" s="77" t="str">
        <f>HYPERLINK("https://twitter.com/procurement2030/status/1621067845559025664")</f>
        <v>https://twitter.com/procurement2030/status/1621067845559025664</v>
      </c>
      <c r="AC190" s="78" t="s">
        <v>4376</v>
      </c>
      <c r="AE190" t="b">
        <v>0</v>
      </c>
      <c r="AF190">
        <v>0</v>
      </c>
      <c r="AG190" s="78" t="s">
        <v>4640</v>
      </c>
      <c r="AH190" t="b">
        <v>0</v>
      </c>
      <c r="AI190" t="s">
        <v>4829</v>
      </c>
      <c r="AK190" s="78" t="s">
        <v>4640</v>
      </c>
      <c r="AL190" t="b">
        <v>0</v>
      </c>
      <c r="AM190">
        <v>11</v>
      </c>
      <c r="AN190" s="78" t="s">
        <v>4374</v>
      </c>
      <c r="AO190" s="78" t="s">
        <v>4851</v>
      </c>
      <c r="AP190" t="b">
        <v>0</v>
      </c>
      <c r="AQ190" s="78" t="s">
        <v>4374</v>
      </c>
      <c r="AR190" t="s">
        <v>179</v>
      </c>
      <c r="AS190">
        <v>0</v>
      </c>
      <c r="AT190">
        <v>0</v>
      </c>
    </row>
    <row r="191" spans="1:46" x14ac:dyDescent="0.45">
      <c r="A191" s="62" t="s">
        <v>1018</v>
      </c>
      <c r="B191" s="62" t="s">
        <v>957</v>
      </c>
      <c r="C191" s="63"/>
      <c r="D191" s="64"/>
      <c r="E191" s="65"/>
      <c r="F191" s="66"/>
      <c r="G191" s="63"/>
      <c r="H191" s="67"/>
      <c r="I191" s="68"/>
      <c r="J191" s="68"/>
      <c r="K191" s="32"/>
      <c r="L191" s="75"/>
      <c r="M191" s="75"/>
      <c r="N191" s="70"/>
      <c r="O191" t="s">
        <v>1570</v>
      </c>
      <c r="P191" s="76">
        <v>44959.366516203707</v>
      </c>
      <c r="Q191" t="s">
        <v>1584</v>
      </c>
      <c r="R191" s="77" t="str">
        <f>HYPERLINK("https://www.forbes.com/sites/noahbarsky/2023/01/31/walmart-recession-proofs-retail-reign-with-3-rare-moves/?sh=64fd4cf22573")</f>
        <v>https://www.forbes.com/sites/noahbarsky/2023/01/31/walmart-recession-proofs-retail-reign-with-3-rare-moves/?sh=64fd4cf22573</v>
      </c>
      <c r="S191" t="s">
        <v>2260</v>
      </c>
      <c r="T191" s="78" t="s">
        <v>2311</v>
      </c>
      <c r="U191" s="77" t="str">
        <f>HYPERLINK("https://pbs.twimg.com/media/Fn0Jb_waYAE9JXF.jpg")</f>
        <v>https://pbs.twimg.com/media/Fn0Jb_waYAE9JXF.jpg</v>
      </c>
      <c r="V191" s="77" t="str">
        <f>HYPERLINK("https://pbs.twimg.com/media/Fn0Jb_waYAE9JXF.jpg")</f>
        <v>https://pbs.twimg.com/media/Fn0Jb_waYAE9JXF.jpg</v>
      </c>
      <c r="W191" s="76">
        <v>44959.366516203707</v>
      </c>
      <c r="X191" s="80">
        <v>44959</v>
      </c>
      <c r="Y191" s="78" t="s">
        <v>3311</v>
      </c>
      <c r="Z191" s="77" t="str">
        <f>HYPERLINK("https://twitter.com/procurement2030/status/1621067845559025664")</f>
        <v>https://twitter.com/procurement2030/status/1621067845559025664</v>
      </c>
      <c r="AC191" s="78" t="s">
        <v>4376</v>
      </c>
      <c r="AE191" t="b">
        <v>0</v>
      </c>
      <c r="AF191">
        <v>0</v>
      </c>
      <c r="AG191" s="78" t="s">
        <v>4640</v>
      </c>
      <c r="AH191" t="b">
        <v>0</v>
      </c>
      <c r="AI191" t="s">
        <v>4829</v>
      </c>
      <c r="AK191" s="78" t="s">
        <v>4640</v>
      </c>
      <c r="AL191" t="b">
        <v>0</v>
      </c>
      <c r="AM191">
        <v>11</v>
      </c>
      <c r="AN191" s="78" t="s">
        <v>4374</v>
      </c>
      <c r="AO191" s="78" t="s">
        <v>4851</v>
      </c>
      <c r="AP191" t="b">
        <v>0</v>
      </c>
      <c r="AQ191" s="78" t="s">
        <v>4374</v>
      </c>
      <c r="AR191" t="s">
        <v>179</v>
      </c>
      <c r="AS191">
        <v>0</v>
      </c>
      <c r="AT191">
        <v>0</v>
      </c>
    </row>
    <row r="192" spans="1:46" x14ac:dyDescent="0.45">
      <c r="A192" s="62" t="s">
        <v>1018</v>
      </c>
      <c r="B192" s="62" t="s">
        <v>1016</v>
      </c>
      <c r="C192" s="63"/>
      <c r="D192" s="64"/>
      <c r="E192" s="65"/>
      <c r="F192" s="66"/>
      <c r="G192" s="63"/>
      <c r="H192" s="67"/>
      <c r="I192" s="68"/>
      <c r="J192" s="68"/>
      <c r="K192" s="32"/>
      <c r="L192" s="75"/>
      <c r="M192" s="75"/>
      <c r="N192" s="70"/>
      <c r="O192" t="s">
        <v>1569</v>
      </c>
      <c r="P192" s="76">
        <v>44959.366516203707</v>
      </c>
      <c r="Q192" t="s">
        <v>1584</v>
      </c>
      <c r="R192" s="77" t="str">
        <f>HYPERLINK("https://www.forbes.com/sites/noahbarsky/2023/01/31/walmart-recession-proofs-retail-reign-with-3-rare-moves/?sh=64fd4cf22573")</f>
        <v>https://www.forbes.com/sites/noahbarsky/2023/01/31/walmart-recession-proofs-retail-reign-with-3-rare-moves/?sh=64fd4cf22573</v>
      </c>
      <c r="S192" t="s">
        <v>2260</v>
      </c>
      <c r="T192" s="78" t="s">
        <v>2311</v>
      </c>
      <c r="U192" s="77" t="str">
        <f>HYPERLINK("https://pbs.twimg.com/media/Fn0Jb_waYAE9JXF.jpg")</f>
        <v>https://pbs.twimg.com/media/Fn0Jb_waYAE9JXF.jpg</v>
      </c>
      <c r="V192" s="77" t="str">
        <f>HYPERLINK("https://pbs.twimg.com/media/Fn0Jb_waYAE9JXF.jpg")</f>
        <v>https://pbs.twimg.com/media/Fn0Jb_waYAE9JXF.jpg</v>
      </c>
      <c r="W192" s="76">
        <v>44959.366516203707</v>
      </c>
      <c r="X192" s="80">
        <v>44959</v>
      </c>
      <c r="Y192" s="78" t="s">
        <v>3311</v>
      </c>
      <c r="Z192" s="77" t="str">
        <f>HYPERLINK("https://twitter.com/procurement2030/status/1621067845559025664")</f>
        <v>https://twitter.com/procurement2030/status/1621067845559025664</v>
      </c>
      <c r="AC192" s="78" t="s">
        <v>4376</v>
      </c>
      <c r="AE192" t="b">
        <v>0</v>
      </c>
      <c r="AF192">
        <v>0</v>
      </c>
      <c r="AG192" s="78" t="s">
        <v>4640</v>
      </c>
      <c r="AH192" t="b">
        <v>0</v>
      </c>
      <c r="AI192" t="s">
        <v>4829</v>
      </c>
      <c r="AK192" s="78" t="s">
        <v>4640</v>
      </c>
      <c r="AL192" t="b">
        <v>0</v>
      </c>
      <c r="AM192">
        <v>11</v>
      </c>
      <c r="AN192" s="78" t="s">
        <v>4374</v>
      </c>
      <c r="AO192" s="78" t="s">
        <v>4851</v>
      </c>
      <c r="AP192" t="b">
        <v>0</v>
      </c>
      <c r="AQ192" s="78" t="s">
        <v>4374</v>
      </c>
      <c r="AR192" t="s">
        <v>179</v>
      </c>
      <c r="AS192">
        <v>0</v>
      </c>
      <c r="AT192">
        <v>0</v>
      </c>
    </row>
    <row r="193" spans="1:46" x14ac:dyDescent="0.45">
      <c r="A193" s="62" t="s">
        <v>1018</v>
      </c>
      <c r="B193" s="62" t="s">
        <v>242</v>
      </c>
      <c r="C193" s="63"/>
      <c r="D193" s="64"/>
      <c r="E193" s="65"/>
      <c r="F193" s="66"/>
      <c r="G193" s="63"/>
      <c r="H193" s="67"/>
      <c r="I193" s="68"/>
      <c r="J193" s="68"/>
      <c r="K193" s="32"/>
      <c r="L193" s="75"/>
      <c r="M193" s="75"/>
      <c r="N193" s="70"/>
      <c r="O193" t="s">
        <v>1570</v>
      </c>
      <c r="P193" s="76">
        <v>44959.366516203707</v>
      </c>
      <c r="Q193" t="s">
        <v>1584</v>
      </c>
      <c r="R193" s="77" t="str">
        <f>HYPERLINK("https://www.forbes.com/sites/noahbarsky/2023/01/31/walmart-recession-proofs-retail-reign-with-3-rare-moves/?sh=64fd4cf22573")</f>
        <v>https://www.forbes.com/sites/noahbarsky/2023/01/31/walmart-recession-proofs-retail-reign-with-3-rare-moves/?sh=64fd4cf22573</v>
      </c>
      <c r="S193" t="s">
        <v>2260</v>
      </c>
      <c r="T193" s="78" t="s">
        <v>2311</v>
      </c>
      <c r="U193" s="77" t="str">
        <f>HYPERLINK("https://pbs.twimg.com/media/Fn0Jb_waYAE9JXF.jpg")</f>
        <v>https://pbs.twimg.com/media/Fn0Jb_waYAE9JXF.jpg</v>
      </c>
      <c r="V193" s="77" t="str">
        <f>HYPERLINK("https://pbs.twimg.com/media/Fn0Jb_waYAE9JXF.jpg")</f>
        <v>https://pbs.twimg.com/media/Fn0Jb_waYAE9JXF.jpg</v>
      </c>
      <c r="W193" s="76">
        <v>44959.366516203707</v>
      </c>
      <c r="X193" s="80">
        <v>44959</v>
      </c>
      <c r="Y193" s="78" t="s">
        <v>3311</v>
      </c>
      <c r="Z193" s="77" t="str">
        <f>HYPERLINK("https://twitter.com/procurement2030/status/1621067845559025664")</f>
        <v>https://twitter.com/procurement2030/status/1621067845559025664</v>
      </c>
      <c r="AC193" s="78" t="s">
        <v>4376</v>
      </c>
      <c r="AE193" t="b">
        <v>0</v>
      </c>
      <c r="AF193">
        <v>0</v>
      </c>
      <c r="AG193" s="78" t="s">
        <v>4640</v>
      </c>
      <c r="AH193" t="b">
        <v>0</v>
      </c>
      <c r="AI193" t="s">
        <v>4829</v>
      </c>
      <c r="AK193" s="78" t="s">
        <v>4640</v>
      </c>
      <c r="AL193" t="b">
        <v>0</v>
      </c>
      <c r="AM193">
        <v>11</v>
      </c>
      <c r="AN193" s="78" t="s">
        <v>4374</v>
      </c>
      <c r="AO193" s="78" t="s">
        <v>4851</v>
      </c>
      <c r="AP193" t="b">
        <v>0</v>
      </c>
      <c r="AQ193" s="78" t="s">
        <v>4374</v>
      </c>
      <c r="AR193" t="s">
        <v>179</v>
      </c>
      <c r="AS193">
        <v>0</v>
      </c>
      <c r="AT193">
        <v>0</v>
      </c>
    </row>
    <row r="194" spans="1:46" x14ac:dyDescent="0.45">
      <c r="A194" s="62" t="s">
        <v>1016</v>
      </c>
      <c r="B194" s="62" t="s">
        <v>1122</v>
      </c>
      <c r="C194" s="63"/>
      <c r="D194" s="64"/>
      <c r="E194" s="65"/>
      <c r="F194" s="66"/>
      <c r="G194" s="63"/>
      <c r="H194" s="67"/>
      <c r="I194" s="68"/>
      <c r="J194" s="68"/>
      <c r="K194" s="32"/>
      <c r="L194" s="75"/>
      <c r="M194" s="75"/>
      <c r="N194" s="70"/>
      <c r="O194" t="s">
        <v>1568</v>
      </c>
      <c r="P194" s="76">
        <v>44957.699421296296</v>
      </c>
      <c r="Q194" t="s">
        <v>1584</v>
      </c>
      <c r="R194" s="77" t="str">
        <f>HYPERLINK("https://www.forbes.com/sites/noahbarsky/2023/01/31/walmart-recession-proofs-retail-reign-with-3-rare-moves/?sh=64fd4cf22573")</f>
        <v>https://www.forbes.com/sites/noahbarsky/2023/01/31/walmart-recession-proofs-retail-reign-with-3-rare-moves/?sh=64fd4cf22573</v>
      </c>
      <c r="S194" t="s">
        <v>2260</v>
      </c>
      <c r="T194" s="78" t="s">
        <v>2408</v>
      </c>
      <c r="U194" s="77" t="str">
        <f>HYPERLINK("https://pbs.twimg.com/media/Fn0Jb_waYAE9JXF.jpg")</f>
        <v>https://pbs.twimg.com/media/Fn0Jb_waYAE9JXF.jpg</v>
      </c>
      <c r="V194" s="77" t="str">
        <f>HYPERLINK("https://pbs.twimg.com/media/Fn0Jb_waYAE9JXF.jpg")</f>
        <v>https://pbs.twimg.com/media/Fn0Jb_waYAE9JXF.jpg</v>
      </c>
      <c r="W194" s="76">
        <v>44957.699421296296</v>
      </c>
      <c r="X194" s="80">
        <v>44957</v>
      </c>
      <c r="Y194" s="78" t="s">
        <v>3309</v>
      </c>
      <c r="Z194" s="77" t="str">
        <f>HYPERLINK("https://twitter.com/shi4tech/status/1620463710962864128")</f>
        <v>https://twitter.com/shi4tech/status/1620463710962864128</v>
      </c>
      <c r="AC194" s="78" t="s">
        <v>4374</v>
      </c>
      <c r="AE194" t="b">
        <v>0</v>
      </c>
      <c r="AF194">
        <v>12</v>
      </c>
      <c r="AG194" s="78" t="s">
        <v>4640</v>
      </c>
      <c r="AH194" t="b">
        <v>0</v>
      </c>
      <c r="AI194" t="s">
        <v>4829</v>
      </c>
      <c r="AK194" s="78" t="s">
        <v>4640</v>
      </c>
      <c r="AL194" t="b">
        <v>0</v>
      </c>
      <c r="AM194">
        <v>11</v>
      </c>
      <c r="AN194" s="78" t="s">
        <v>4640</v>
      </c>
      <c r="AO194" s="78" t="s">
        <v>4851</v>
      </c>
      <c r="AP194" t="b">
        <v>0</v>
      </c>
      <c r="AQ194" s="78" t="s">
        <v>4374</v>
      </c>
      <c r="AR194" t="s">
        <v>1569</v>
      </c>
      <c r="AS194">
        <v>0</v>
      </c>
      <c r="AT194">
        <v>0</v>
      </c>
    </row>
    <row r="195" spans="1:46" x14ac:dyDescent="0.45">
      <c r="A195" s="62" t="s">
        <v>1016</v>
      </c>
      <c r="B195" s="62" t="s">
        <v>1123</v>
      </c>
      <c r="C195" s="63"/>
      <c r="D195" s="64"/>
      <c r="E195" s="65"/>
      <c r="F195" s="66"/>
      <c r="G195" s="63"/>
      <c r="H195" s="67"/>
      <c r="I195" s="68"/>
      <c r="J195" s="68"/>
      <c r="K195" s="32"/>
      <c r="L195" s="75"/>
      <c r="M195" s="75"/>
      <c r="N195" s="70"/>
      <c r="O195" t="s">
        <v>1568</v>
      </c>
      <c r="P195" s="76">
        <v>44957.699421296296</v>
      </c>
      <c r="Q195" t="s">
        <v>1584</v>
      </c>
      <c r="R195" s="77" t="str">
        <f>HYPERLINK("https://www.forbes.com/sites/noahbarsky/2023/01/31/walmart-recession-proofs-retail-reign-with-3-rare-moves/?sh=64fd4cf22573")</f>
        <v>https://www.forbes.com/sites/noahbarsky/2023/01/31/walmart-recession-proofs-retail-reign-with-3-rare-moves/?sh=64fd4cf22573</v>
      </c>
      <c r="S195" t="s">
        <v>2260</v>
      </c>
      <c r="T195" s="78" t="s">
        <v>2408</v>
      </c>
      <c r="U195" s="77" t="str">
        <f>HYPERLINK("https://pbs.twimg.com/media/Fn0Jb_waYAE9JXF.jpg")</f>
        <v>https://pbs.twimg.com/media/Fn0Jb_waYAE9JXF.jpg</v>
      </c>
      <c r="V195" s="77" t="str">
        <f>HYPERLINK("https://pbs.twimg.com/media/Fn0Jb_waYAE9JXF.jpg")</f>
        <v>https://pbs.twimg.com/media/Fn0Jb_waYAE9JXF.jpg</v>
      </c>
      <c r="W195" s="76">
        <v>44957.699421296296</v>
      </c>
      <c r="X195" s="80">
        <v>44957</v>
      </c>
      <c r="Y195" s="78" t="s">
        <v>3309</v>
      </c>
      <c r="Z195" s="77" t="str">
        <f>HYPERLINK("https://twitter.com/shi4tech/status/1620463710962864128")</f>
        <v>https://twitter.com/shi4tech/status/1620463710962864128</v>
      </c>
      <c r="AC195" s="78" t="s">
        <v>4374</v>
      </c>
      <c r="AE195" t="b">
        <v>0</v>
      </c>
      <c r="AF195">
        <v>12</v>
      </c>
      <c r="AG195" s="78" t="s">
        <v>4640</v>
      </c>
      <c r="AH195" t="b">
        <v>0</v>
      </c>
      <c r="AI195" t="s">
        <v>4829</v>
      </c>
      <c r="AK195" s="78" t="s">
        <v>4640</v>
      </c>
      <c r="AL195" t="b">
        <v>0</v>
      </c>
      <c r="AM195">
        <v>11</v>
      </c>
      <c r="AN195" s="78" t="s">
        <v>4640</v>
      </c>
      <c r="AO195" s="78" t="s">
        <v>4851</v>
      </c>
      <c r="AP195" t="b">
        <v>0</v>
      </c>
      <c r="AQ195" s="78" t="s">
        <v>4374</v>
      </c>
      <c r="AR195" t="s">
        <v>1569</v>
      </c>
      <c r="AS195">
        <v>0</v>
      </c>
      <c r="AT195">
        <v>0</v>
      </c>
    </row>
    <row r="196" spans="1:46" x14ac:dyDescent="0.45">
      <c r="A196" s="62" t="s">
        <v>1016</v>
      </c>
      <c r="B196" s="62" t="s">
        <v>1017</v>
      </c>
      <c r="C196" s="63"/>
      <c r="D196" s="64"/>
      <c r="E196" s="65"/>
      <c r="F196" s="66"/>
      <c r="G196" s="63"/>
      <c r="H196" s="67"/>
      <c r="I196" s="68"/>
      <c r="J196" s="68"/>
      <c r="K196" s="32"/>
      <c r="L196" s="75"/>
      <c r="M196" s="75"/>
      <c r="N196" s="70"/>
      <c r="O196" t="s">
        <v>1568</v>
      </c>
      <c r="P196" s="76">
        <v>44957.699421296296</v>
      </c>
      <c r="Q196" t="s">
        <v>1584</v>
      </c>
      <c r="R196" s="77" t="str">
        <f>HYPERLINK("https://www.forbes.com/sites/noahbarsky/2023/01/31/walmart-recession-proofs-retail-reign-with-3-rare-moves/?sh=64fd4cf22573")</f>
        <v>https://www.forbes.com/sites/noahbarsky/2023/01/31/walmart-recession-proofs-retail-reign-with-3-rare-moves/?sh=64fd4cf22573</v>
      </c>
      <c r="S196" t="s">
        <v>2260</v>
      </c>
      <c r="T196" s="78" t="s">
        <v>2408</v>
      </c>
      <c r="U196" s="77" t="str">
        <f>HYPERLINK("https://pbs.twimg.com/media/Fn0Jb_waYAE9JXF.jpg")</f>
        <v>https://pbs.twimg.com/media/Fn0Jb_waYAE9JXF.jpg</v>
      </c>
      <c r="V196" s="77" t="str">
        <f>HYPERLINK("https://pbs.twimg.com/media/Fn0Jb_waYAE9JXF.jpg")</f>
        <v>https://pbs.twimg.com/media/Fn0Jb_waYAE9JXF.jpg</v>
      </c>
      <c r="W196" s="76">
        <v>44957.699421296296</v>
      </c>
      <c r="X196" s="80">
        <v>44957</v>
      </c>
      <c r="Y196" s="78" t="s">
        <v>3309</v>
      </c>
      <c r="Z196" s="77" t="str">
        <f>HYPERLINK("https://twitter.com/shi4tech/status/1620463710962864128")</f>
        <v>https://twitter.com/shi4tech/status/1620463710962864128</v>
      </c>
      <c r="AC196" s="78" t="s">
        <v>4374</v>
      </c>
      <c r="AE196" t="b">
        <v>0</v>
      </c>
      <c r="AF196">
        <v>12</v>
      </c>
      <c r="AG196" s="78" t="s">
        <v>4640</v>
      </c>
      <c r="AH196" t="b">
        <v>0</v>
      </c>
      <c r="AI196" t="s">
        <v>4829</v>
      </c>
      <c r="AK196" s="78" t="s">
        <v>4640</v>
      </c>
      <c r="AL196" t="b">
        <v>0</v>
      </c>
      <c r="AM196">
        <v>11</v>
      </c>
      <c r="AN196" s="78" t="s">
        <v>4640</v>
      </c>
      <c r="AO196" s="78" t="s">
        <v>4851</v>
      </c>
      <c r="AP196" t="b">
        <v>0</v>
      </c>
      <c r="AQ196" s="78" t="s">
        <v>4374</v>
      </c>
      <c r="AR196" t="s">
        <v>1569</v>
      </c>
      <c r="AS196">
        <v>0</v>
      </c>
      <c r="AT196">
        <v>0</v>
      </c>
    </row>
    <row r="197" spans="1:46" x14ac:dyDescent="0.45">
      <c r="A197" s="62" t="s">
        <v>1016</v>
      </c>
      <c r="B197" s="62" t="s">
        <v>1124</v>
      </c>
      <c r="C197" s="63"/>
      <c r="D197" s="64"/>
      <c r="E197" s="65"/>
      <c r="F197" s="66"/>
      <c r="G197" s="63"/>
      <c r="H197" s="67"/>
      <c r="I197" s="68"/>
      <c r="J197" s="68"/>
      <c r="K197" s="32"/>
      <c r="L197" s="75"/>
      <c r="M197" s="75"/>
      <c r="N197" s="70"/>
      <c r="O197" t="s">
        <v>1568</v>
      </c>
      <c r="P197" s="76">
        <v>44957.699421296296</v>
      </c>
      <c r="Q197" t="s">
        <v>1584</v>
      </c>
      <c r="R197" s="77" t="str">
        <f>HYPERLINK("https://www.forbes.com/sites/noahbarsky/2023/01/31/walmart-recession-proofs-retail-reign-with-3-rare-moves/?sh=64fd4cf22573")</f>
        <v>https://www.forbes.com/sites/noahbarsky/2023/01/31/walmart-recession-proofs-retail-reign-with-3-rare-moves/?sh=64fd4cf22573</v>
      </c>
      <c r="S197" t="s">
        <v>2260</v>
      </c>
      <c r="T197" s="78" t="s">
        <v>2408</v>
      </c>
      <c r="U197" s="77" t="str">
        <f>HYPERLINK("https://pbs.twimg.com/media/Fn0Jb_waYAE9JXF.jpg")</f>
        <v>https://pbs.twimg.com/media/Fn0Jb_waYAE9JXF.jpg</v>
      </c>
      <c r="V197" s="77" t="str">
        <f>HYPERLINK("https://pbs.twimg.com/media/Fn0Jb_waYAE9JXF.jpg")</f>
        <v>https://pbs.twimg.com/media/Fn0Jb_waYAE9JXF.jpg</v>
      </c>
      <c r="W197" s="76">
        <v>44957.699421296296</v>
      </c>
      <c r="X197" s="80">
        <v>44957</v>
      </c>
      <c r="Y197" s="78" t="s">
        <v>3309</v>
      </c>
      <c r="Z197" s="77" t="str">
        <f>HYPERLINK("https://twitter.com/shi4tech/status/1620463710962864128")</f>
        <v>https://twitter.com/shi4tech/status/1620463710962864128</v>
      </c>
      <c r="AC197" s="78" t="s">
        <v>4374</v>
      </c>
      <c r="AE197" t="b">
        <v>0</v>
      </c>
      <c r="AF197">
        <v>12</v>
      </c>
      <c r="AG197" s="78" t="s">
        <v>4640</v>
      </c>
      <c r="AH197" t="b">
        <v>0</v>
      </c>
      <c r="AI197" t="s">
        <v>4829</v>
      </c>
      <c r="AK197" s="78" t="s">
        <v>4640</v>
      </c>
      <c r="AL197" t="b">
        <v>0</v>
      </c>
      <c r="AM197">
        <v>11</v>
      </c>
      <c r="AN197" s="78" t="s">
        <v>4640</v>
      </c>
      <c r="AO197" s="78" t="s">
        <v>4851</v>
      </c>
      <c r="AP197" t="b">
        <v>0</v>
      </c>
      <c r="AQ197" s="78" t="s">
        <v>4374</v>
      </c>
      <c r="AR197" t="s">
        <v>1569</v>
      </c>
      <c r="AS197">
        <v>0</v>
      </c>
      <c r="AT197">
        <v>0</v>
      </c>
    </row>
    <row r="198" spans="1:46" x14ac:dyDescent="0.45">
      <c r="A198" s="62" t="s">
        <v>1016</v>
      </c>
      <c r="B198" s="62" t="s">
        <v>1125</v>
      </c>
      <c r="C198" s="63"/>
      <c r="D198" s="64"/>
      <c r="E198" s="65"/>
      <c r="F198" s="66"/>
      <c r="G198" s="63"/>
      <c r="H198" s="67"/>
      <c r="I198" s="68"/>
      <c r="J198" s="68"/>
      <c r="K198" s="32"/>
      <c r="L198" s="75"/>
      <c r="M198" s="75"/>
      <c r="N198" s="70"/>
      <c r="O198" t="s">
        <v>1568</v>
      </c>
      <c r="P198" s="76">
        <v>44957.699421296296</v>
      </c>
      <c r="Q198" t="s">
        <v>1584</v>
      </c>
      <c r="R198" s="77" t="str">
        <f>HYPERLINK("https://www.forbes.com/sites/noahbarsky/2023/01/31/walmart-recession-proofs-retail-reign-with-3-rare-moves/?sh=64fd4cf22573")</f>
        <v>https://www.forbes.com/sites/noahbarsky/2023/01/31/walmart-recession-proofs-retail-reign-with-3-rare-moves/?sh=64fd4cf22573</v>
      </c>
      <c r="S198" t="s">
        <v>2260</v>
      </c>
      <c r="T198" s="78" t="s">
        <v>2408</v>
      </c>
      <c r="U198" s="77" t="str">
        <f>HYPERLINK("https://pbs.twimg.com/media/Fn0Jb_waYAE9JXF.jpg")</f>
        <v>https://pbs.twimg.com/media/Fn0Jb_waYAE9JXF.jpg</v>
      </c>
      <c r="V198" s="77" t="str">
        <f>HYPERLINK("https://pbs.twimg.com/media/Fn0Jb_waYAE9JXF.jpg")</f>
        <v>https://pbs.twimg.com/media/Fn0Jb_waYAE9JXF.jpg</v>
      </c>
      <c r="W198" s="76">
        <v>44957.699421296296</v>
      </c>
      <c r="X198" s="80">
        <v>44957</v>
      </c>
      <c r="Y198" s="78" t="s">
        <v>3309</v>
      </c>
      <c r="Z198" s="77" t="str">
        <f>HYPERLINK("https://twitter.com/shi4tech/status/1620463710962864128")</f>
        <v>https://twitter.com/shi4tech/status/1620463710962864128</v>
      </c>
      <c r="AC198" s="78" t="s">
        <v>4374</v>
      </c>
      <c r="AE198" t="b">
        <v>0</v>
      </c>
      <c r="AF198">
        <v>12</v>
      </c>
      <c r="AG198" s="78" t="s">
        <v>4640</v>
      </c>
      <c r="AH198" t="b">
        <v>0</v>
      </c>
      <c r="AI198" t="s">
        <v>4829</v>
      </c>
      <c r="AK198" s="78" t="s">
        <v>4640</v>
      </c>
      <c r="AL198" t="b">
        <v>0</v>
      </c>
      <c r="AM198">
        <v>11</v>
      </c>
      <c r="AN198" s="78" t="s">
        <v>4640</v>
      </c>
      <c r="AO198" s="78" t="s">
        <v>4851</v>
      </c>
      <c r="AP198" t="b">
        <v>0</v>
      </c>
      <c r="AQ198" s="78" t="s">
        <v>4374</v>
      </c>
      <c r="AR198" t="s">
        <v>1569</v>
      </c>
      <c r="AS198">
        <v>0</v>
      </c>
      <c r="AT198">
        <v>0</v>
      </c>
    </row>
    <row r="199" spans="1:46" x14ac:dyDescent="0.45">
      <c r="A199" s="62" t="s">
        <v>1016</v>
      </c>
      <c r="B199" s="62" t="s">
        <v>1126</v>
      </c>
      <c r="C199" s="63"/>
      <c r="D199" s="64"/>
      <c r="E199" s="65"/>
      <c r="F199" s="66"/>
      <c r="G199" s="63"/>
      <c r="H199" s="67"/>
      <c r="I199" s="68"/>
      <c r="J199" s="68"/>
      <c r="K199" s="32"/>
      <c r="L199" s="75"/>
      <c r="M199" s="75"/>
      <c r="N199" s="70"/>
      <c r="O199" t="s">
        <v>1568</v>
      </c>
      <c r="P199" s="76">
        <v>44957.699421296296</v>
      </c>
      <c r="Q199" t="s">
        <v>1584</v>
      </c>
      <c r="R199" s="77" t="str">
        <f>HYPERLINK("https://www.forbes.com/sites/noahbarsky/2023/01/31/walmart-recession-proofs-retail-reign-with-3-rare-moves/?sh=64fd4cf22573")</f>
        <v>https://www.forbes.com/sites/noahbarsky/2023/01/31/walmart-recession-proofs-retail-reign-with-3-rare-moves/?sh=64fd4cf22573</v>
      </c>
      <c r="S199" t="s">
        <v>2260</v>
      </c>
      <c r="T199" s="78" t="s">
        <v>2408</v>
      </c>
      <c r="U199" s="77" t="str">
        <f>HYPERLINK("https://pbs.twimg.com/media/Fn0Jb_waYAE9JXF.jpg")</f>
        <v>https://pbs.twimg.com/media/Fn0Jb_waYAE9JXF.jpg</v>
      </c>
      <c r="V199" s="77" t="str">
        <f>HYPERLINK("https://pbs.twimg.com/media/Fn0Jb_waYAE9JXF.jpg")</f>
        <v>https://pbs.twimg.com/media/Fn0Jb_waYAE9JXF.jpg</v>
      </c>
      <c r="W199" s="76">
        <v>44957.699421296296</v>
      </c>
      <c r="X199" s="80">
        <v>44957</v>
      </c>
      <c r="Y199" s="78" t="s">
        <v>3309</v>
      </c>
      <c r="Z199" s="77" t="str">
        <f>HYPERLINK("https://twitter.com/shi4tech/status/1620463710962864128")</f>
        <v>https://twitter.com/shi4tech/status/1620463710962864128</v>
      </c>
      <c r="AC199" s="78" t="s">
        <v>4374</v>
      </c>
      <c r="AE199" t="b">
        <v>0</v>
      </c>
      <c r="AF199">
        <v>12</v>
      </c>
      <c r="AG199" s="78" t="s">
        <v>4640</v>
      </c>
      <c r="AH199" t="b">
        <v>0</v>
      </c>
      <c r="AI199" t="s">
        <v>4829</v>
      </c>
      <c r="AK199" s="78" t="s">
        <v>4640</v>
      </c>
      <c r="AL199" t="b">
        <v>0</v>
      </c>
      <c r="AM199">
        <v>11</v>
      </c>
      <c r="AN199" s="78" t="s">
        <v>4640</v>
      </c>
      <c r="AO199" s="78" t="s">
        <v>4851</v>
      </c>
      <c r="AP199" t="b">
        <v>0</v>
      </c>
      <c r="AQ199" s="78" t="s">
        <v>4374</v>
      </c>
      <c r="AR199" t="s">
        <v>1569</v>
      </c>
      <c r="AS199">
        <v>0</v>
      </c>
      <c r="AT199">
        <v>0</v>
      </c>
    </row>
    <row r="200" spans="1:46" x14ac:dyDescent="0.45">
      <c r="A200" s="62" t="s">
        <v>1016</v>
      </c>
      <c r="B200" s="62" t="s">
        <v>1127</v>
      </c>
      <c r="C200" s="63"/>
      <c r="D200" s="64"/>
      <c r="E200" s="65"/>
      <c r="F200" s="66"/>
      <c r="G200" s="63"/>
      <c r="H200" s="67"/>
      <c r="I200" s="68"/>
      <c r="J200" s="68"/>
      <c r="K200" s="32"/>
      <c r="L200" s="75"/>
      <c r="M200" s="75"/>
      <c r="N200" s="70"/>
      <c r="O200" t="s">
        <v>1568</v>
      </c>
      <c r="P200" s="76">
        <v>44957.699421296296</v>
      </c>
      <c r="Q200" t="s">
        <v>1584</v>
      </c>
      <c r="R200" s="77" t="str">
        <f>HYPERLINK("https://www.forbes.com/sites/noahbarsky/2023/01/31/walmart-recession-proofs-retail-reign-with-3-rare-moves/?sh=64fd4cf22573")</f>
        <v>https://www.forbes.com/sites/noahbarsky/2023/01/31/walmart-recession-proofs-retail-reign-with-3-rare-moves/?sh=64fd4cf22573</v>
      </c>
      <c r="S200" t="s">
        <v>2260</v>
      </c>
      <c r="T200" s="78" t="s">
        <v>2408</v>
      </c>
      <c r="U200" s="77" t="str">
        <f>HYPERLINK("https://pbs.twimg.com/media/Fn0Jb_waYAE9JXF.jpg")</f>
        <v>https://pbs.twimg.com/media/Fn0Jb_waYAE9JXF.jpg</v>
      </c>
      <c r="V200" s="77" t="str">
        <f>HYPERLINK("https://pbs.twimg.com/media/Fn0Jb_waYAE9JXF.jpg")</f>
        <v>https://pbs.twimg.com/media/Fn0Jb_waYAE9JXF.jpg</v>
      </c>
      <c r="W200" s="76">
        <v>44957.699421296296</v>
      </c>
      <c r="X200" s="80">
        <v>44957</v>
      </c>
      <c r="Y200" s="78" t="s">
        <v>3309</v>
      </c>
      <c r="Z200" s="77" t="str">
        <f>HYPERLINK("https://twitter.com/shi4tech/status/1620463710962864128")</f>
        <v>https://twitter.com/shi4tech/status/1620463710962864128</v>
      </c>
      <c r="AC200" s="78" t="s">
        <v>4374</v>
      </c>
      <c r="AE200" t="b">
        <v>0</v>
      </c>
      <c r="AF200">
        <v>12</v>
      </c>
      <c r="AG200" s="78" t="s">
        <v>4640</v>
      </c>
      <c r="AH200" t="b">
        <v>0</v>
      </c>
      <c r="AI200" t="s">
        <v>4829</v>
      </c>
      <c r="AK200" s="78" t="s">
        <v>4640</v>
      </c>
      <c r="AL200" t="b">
        <v>0</v>
      </c>
      <c r="AM200">
        <v>11</v>
      </c>
      <c r="AN200" s="78" t="s">
        <v>4640</v>
      </c>
      <c r="AO200" s="78" t="s">
        <v>4851</v>
      </c>
      <c r="AP200" t="b">
        <v>0</v>
      </c>
      <c r="AQ200" s="78" t="s">
        <v>4374</v>
      </c>
      <c r="AR200" t="s">
        <v>1569</v>
      </c>
      <c r="AS200">
        <v>0</v>
      </c>
      <c r="AT200">
        <v>0</v>
      </c>
    </row>
    <row r="201" spans="1:46" x14ac:dyDescent="0.45">
      <c r="A201" s="62" t="s">
        <v>1016</v>
      </c>
      <c r="B201" s="62" t="s">
        <v>1128</v>
      </c>
      <c r="C201" s="63"/>
      <c r="D201" s="64"/>
      <c r="E201" s="65"/>
      <c r="F201" s="66"/>
      <c r="G201" s="63"/>
      <c r="H201" s="67"/>
      <c r="I201" s="68"/>
      <c r="J201" s="68"/>
      <c r="K201" s="32"/>
      <c r="L201" s="75"/>
      <c r="M201" s="75"/>
      <c r="N201" s="70"/>
      <c r="O201" t="s">
        <v>1568</v>
      </c>
      <c r="P201" s="76">
        <v>44957.699421296296</v>
      </c>
      <c r="Q201" t="s">
        <v>1584</v>
      </c>
      <c r="R201" s="77" t="str">
        <f>HYPERLINK("https://www.forbes.com/sites/noahbarsky/2023/01/31/walmart-recession-proofs-retail-reign-with-3-rare-moves/?sh=64fd4cf22573")</f>
        <v>https://www.forbes.com/sites/noahbarsky/2023/01/31/walmart-recession-proofs-retail-reign-with-3-rare-moves/?sh=64fd4cf22573</v>
      </c>
      <c r="S201" t="s">
        <v>2260</v>
      </c>
      <c r="T201" s="78" t="s">
        <v>2408</v>
      </c>
      <c r="U201" s="77" t="str">
        <f>HYPERLINK("https://pbs.twimg.com/media/Fn0Jb_waYAE9JXF.jpg")</f>
        <v>https://pbs.twimg.com/media/Fn0Jb_waYAE9JXF.jpg</v>
      </c>
      <c r="V201" s="77" t="str">
        <f>HYPERLINK("https://pbs.twimg.com/media/Fn0Jb_waYAE9JXF.jpg")</f>
        <v>https://pbs.twimg.com/media/Fn0Jb_waYAE9JXF.jpg</v>
      </c>
      <c r="W201" s="76">
        <v>44957.699421296296</v>
      </c>
      <c r="X201" s="80">
        <v>44957</v>
      </c>
      <c r="Y201" s="78" t="s">
        <v>3309</v>
      </c>
      <c r="Z201" s="77" t="str">
        <f>HYPERLINK("https://twitter.com/shi4tech/status/1620463710962864128")</f>
        <v>https://twitter.com/shi4tech/status/1620463710962864128</v>
      </c>
      <c r="AC201" s="78" t="s">
        <v>4374</v>
      </c>
      <c r="AE201" t="b">
        <v>0</v>
      </c>
      <c r="AF201">
        <v>12</v>
      </c>
      <c r="AG201" s="78" t="s">
        <v>4640</v>
      </c>
      <c r="AH201" t="b">
        <v>0</v>
      </c>
      <c r="AI201" t="s">
        <v>4829</v>
      </c>
      <c r="AK201" s="78" t="s">
        <v>4640</v>
      </c>
      <c r="AL201" t="b">
        <v>0</v>
      </c>
      <c r="AM201">
        <v>11</v>
      </c>
      <c r="AN201" s="78" t="s">
        <v>4640</v>
      </c>
      <c r="AO201" s="78" t="s">
        <v>4851</v>
      </c>
      <c r="AP201" t="b">
        <v>0</v>
      </c>
      <c r="AQ201" s="78" t="s">
        <v>4374</v>
      </c>
      <c r="AR201" t="s">
        <v>1569</v>
      </c>
      <c r="AS201">
        <v>0</v>
      </c>
      <c r="AT201">
        <v>0</v>
      </c>
    </row>
    <row r="202" spans="1:46" x14ac:dyDescent="0.45">
      <c r="A202" s="62" t="s">
        <v>1016</v>
      </c>
      <c r="B202" s="62" t="s">
        <v>1129</v>
      </c>
      <c r="C202" s="63"/>
      <c r="D202" s="64"/>
      <c r="E202" s="65"/>
      <c r="F202" s="66"/>
      <c r="G202" s="63"/>
      <c r="H202" s="67"/>
      <c r="I202" s="68"/>
      <c r="J202" s="68"/>
      <c r="K202" s="32"/>
      <c r="L202" s="75"/>
      <c r="M202" s="75"/>
      <c r="N202" s="70"/>
      <c r="O202" t="s">
        <v>1568</v>
      </c>
      <c r="P202" s="76">
        <v>44957.699421296296</v>
      </c>
      <c r="Q202" t="s">
        <v>1584</v>
      </c>
      <c r="R202" s="77" t="str">
        <f>HYPERLINK("https://www.forbes.com/sites/noahbarsky/2023/01/31/walmart-recession-proofs-retail-reign-with-3-rare-moves/?sh=64fd4cf22573")</f>
        <v>https://www.forbes.com/sites/noahbarsky/2023/01/31/walmart-recession-proofs-retail-reign-with-3-rare-moves/?sh=64fd4cf22573</v>
      </c>
      <c r="S202" t="s">
        <v>2260</v>
      </c>
      <c r="T202" s="78" t="s">
        <v>2408</v>
      </c>
      <c r="U202" s="77" t="str">
        <f>HYPERLINK("https://pbs.twimg.com/media/Fn0Jb_waYAE9JXF.jpg")</f>
        <v>https://pbs.twimg.com/media/Fn0Jb_waYAE9JXF.jpg</v>
      </c>
      <c r="V202" s="77" t="str">
        <f>HYPERLINK("https://pbs.twimg.com/media/Fn0Jb_waYAE9JXF.jpg")</f>
        <v>https://pbs.twimg.com/media/Fn0Jb_waYAE9JXF.jpg</v>
      </c>
      <c r="W202" s="76">
        <v>44957.699421296296</v>
      </c>
      <c r="X202" s="80">
        <v>44957</v>
      </c>
      <c r="Y202" s="78" t="s">
        <v>3309</v>
      </c>
      <c r="Z202" s="77" t="str">
        <f>HYPERLINK("https://twitter.com/shi4tech/status/1620463710962864128")</f>
        <v>https://twitter.com/shi4tech/status/1620463710962864128</v>
      </c>
      <c r="AC202" s="78" t="s">
        <v>4374</v>
      </c>
      <c r="AE202" t="b">
        <v>0</v>
      </c>
      <c r="AF202">
        <v>12</v>
      </c>
      <c r="AG202" s="78" t="s">
        <v>4640</v>
      </c>
      <c r="AH202" t="b">
        <v>0</v>
      </c>
      <c r="AI202" t="s">
        <v>4829</v>
      </c>
      <c r="AK202" s="78" t="s">
        <v>4640</v>
      </c>
      <c r="AL202" t="b">
        <v>0</v>
      </c>
      <c r="AM202">
        <v>11</v>
      </c>
      <c r="AN202" s="78" t="s">
        <v>4640</v>
      </c>
      <c r="AO202" s="78" t="s">
        <v>4851</v>
      </c>
      <c r="AP202" t="b">
        <v>0</v>
      </c>
      <c r="AQ202" s="78" t="s">
        <v>4374</v>
      </c>
      <c r="AR202" t="s">
        <v>1569</v>
      </c>
      <c r="AS202">
        <v>0</v>
      </c>
      <c r="AT202">
        <v>0</v>
      </c>
    </row>
    <row r="203" spans="1:46" x14ac:dyDescent="0.45">
      <c r="A203" s="62" t="s">
        <v>1016</v>
      </c>
      <c r="B203" s="62" t="s">
        <v>1130</v>
      </c>
      <c r="C203" s="63"/>
      <c r="D203" s="64"/>
      <c r="E203" s="65"/>
      <c r="F203" s="66"/>
      <c r="G203" s="63"/>
      <c r="H203" s="67"/>
      <c r="I203" s="68"/>
      <c r="J203" s="68"/>
      <c r="K203" s="32"/>
      <c r="L203" s="75"/>
      <c r="M203" s="75"/>
      <c r="N203" s="70"/>
      <c r="O203" t="s">
        <v>1568</v>
      </c>
      <c r="P203" s="76">
        <v>44957.699421296296</v>
      </c>
      <c r="Q203" t="s">
        <v>1584</v>
      </c>
      <c r="R203" s="77" t="str">
        <f>HYPERLINK("https://www.forbes.com/sites/noahbarsky/2023/01/31/walmart-recession-proofs-retail-reign-with-3-rare-moves/?sh=64fd4cf22573")</f>
        <v>https://www.forbes.com/sites/noahbarsky/2023/01/31/walmart-recession-proofs-retail-reign-with-3-rare-moves/?sh=64fd4cf22573</v>
      </c>
      <c r="S203" t="s">
        <v>2260</v>
      </c>
      <c r="T203" s="78" t="s">
        <v>2408</v>
      </c>
      <c r="U203" s="77" t="str">
        <f>HYPERLINK("https://pbs.twimg.com/media/Fn0Jb_waYAE9JXF.jpg")</f>
        <v>https://pbs.twimg.com/media/Fn0Jb_waYAE9JXF.jpg</v>
      </c>
      <c r="V203" s="77" t="str">
        <f>HYPERLINK("https://pbs.twimg.com/media/Fn0Jb_waYAE9JXF.jpg")</f>
        <v>https://pbs.twimg.com/media/Fn0Jb_waYAE9JXF.jpg</v>
      </c>
      <c r="W203" s="76">
        <v>44957.699421296296</v>
      </c>
      <c r="X203" s="80">
        <v>44957</v>
      </c>
      <c r="Y203" s="78" t="s">
        <v>3309</v>
      </c>
      <c r="Z203" s="77" t="str">
        <f>HYPERLINK("https://twitter.com/shi4tech/status/1620463710962864128")</f>
        <v>https://twitter.com/shi4tech/status/1620463710962864128</v>
      </c>
      <c r="AC203" s="78" t="s">
        <v>4374</v>
      </c>
      <c r="AE203" t="b">
        <v>0</v>
      </c>
      <c r="AF203">
        <v>12</v>
      </c>
      <c r="AG203" s="78" t="s">
        <v>4640</v>
      </c>
      <c r="AH203" t="b">
        <v>0</v>
      </c>
      <c r="AI203" t="s">
        <v>4829</v>
      </c>
      <c r="AK203" s="78" t="s">
        <v>4640</v>
      </c>
      <c r="AL203" t="b">
        <v>0</v>
      </c>
      <c r="AM203">
        <v>11</v>
      </c>
      <c r="AN203" s="78" t="s">
        <v>4640</v>
      </c>
      <c r="AO203" s="78" t="s">
        <v>4851</v>
      </c>
      <c r="AP203" t="b">
        <v>0</v>
      </c>
      <c r="AQ203" s="78" t="s">
        <v>4374</v>
      </c>
      <c r="AR203" t="s">
        <v>1569</v>
      </c>
      <c r="AS203">
        <v>0</v>
      </c>
      <c r="AT203">
        <v>0</v>
      </c>
    </row>
    <row r="204" spans="1:46" x14ac:dyDescent="0.45">
      <c r="A204" s="62" t="s">
        <v>1016</v>
      </c>
      <c r="B204" s="62" t="s">
        <v>1131</v>
      </c>
      <c r="C204" s="63"/>
      <c r="D204" s="64"/>
      <c r="E204" s="65"/>
      <c r="F204" s="66"/>
      <c r="G204" s="63"/>
      <c r="H204" s="67"/>
      <c r="I204" s="68"/>
      <c r="J204" s="68"/>
      <c r="K204" s="32"/>
      <c r="L204" s="75"/>
      <c r="M204" s="75"/>
      <c r="N204" s="70"/>
      <c r="O204" t="s">
        <v>1568</v>
      </c>
      <c r="P204" s="76">
        <v>44957.699421296296</v>
      </c>
      <c r="Q204" t="s">
        <v>1584</v>
      </c>
      <c r="R204" s="77" t="str">
        <f>HYPERLINK("https://www.forbes.com/sites/noahbarsky/2023/01/31/walmart-recession-proofs-retail-reign-with-3-rare-moves/?sh=64fd4cf22573")</f>
        <v>https://www.forbes.com/sites/noahbarsky/2023/01/31/walmart-recession-proofs-retail-reign-with-3-rare-moves/?sh=64fd4cf22573</v>
      </c>
      <c r="S204" t="s">
        <v>2260</v>
      </c>
      <c r="T204" s="78" t="s">
        <v>2408</v>
      </c>
      <c r="U204" s="77" t="str">
        <f>HYPERLINK("https://pbs.twimg.com/media/Fn0Jb_waYAE9JXF.jpg")</f>
        <v>https://pbs.twimg.com/media/Fn0Jb_waYAE9JXF.jpg</v>
      </c>
      <c r="V204" s="77" t="str">
        <f>HYPERLINK("https://pbs.twimg.com/media/Fn0Jb_waYAE9JXF.jpg")</f>
        <v>https://pbs.twimg.com/media/Fn0Jb_waYAE9JXF.jpg</v>
      </c>
      <c r="W204" s="76">
        <v>44957.699421296296</v>
      </c>
      <c r="X204" s="80">
        <v>44957</v>
      </c>
      <c r="Y204" s="78" t="s">
        <v>3309</v>
      </c>
      <c r="Z204" s="77" t="str">
        <f>HYPERLINK("https://twitter.com/shi4tech/status/1620463710962864128")</f>
        <v>https://twitter.com/shi4tech/status/1620463710962864128</v>
      </c>
      <c r="AC204" s="78" t="s">
        <v>4374</v>
      </c>
      <c r="AE204" t="b">
        <v>0</v>
      </c>
      <c r="AF204">
        <v>12</v>
      </c>
      <c r="AG204" s="78" t="s">
        <v>4640</v>
      </c>
      <c r="AH204" t="b">
        <v>0</v>
      </c>
      <c r="AI204" t="s">
        <v>4829</v>
      </c>
      <c r="AK204" s="78" t="s">
        <v>4640</v>
      </c>
      <c r="AL204" t="b">
        <v>0</v>
      </c>
      <c r="AM204">
        <v>11</v>
      </c>
      <c r="AN204" s="78" t="s">
        <v>4640</v>
      </c>
      <c r="AO204" s="78" t="s">
        <v>4851</v>
      </c>
      <c r="AP204" t="b">
        <v>0</v>
      </c>
      <c r="AQ204" s="78" t="s">
        <v>4374</v>
      </c>
      <c r="AR204" t="s">
        <v>1569</v>
      </c>
      <c r="AS204">
        <v>0</v>
      </c>
      <c r="AT204">
        <v>0</v>
      </c>
    </row>
    <row r="205" spans="1:46" x14ac:dyDescent="0.45">
      <c r="A205" s="62" t="s">
        <v>1016</v>
      </c>
      <c r="B205" s="62" t="s">
        <v>236</v>
      </c>
      <c r="C205" s="63"/>
      <c r="D205" s="64"/>
      <c r="E205" s="65"/>
      <c r="F205" s="66"/>
      <c r="G205" s="63"/>
      <c r="H205" s="67"/>
      <c r="I205" s="68"/>
      <c r="J205" s="68"/>
      <c r="K205" s="32"/>
      <c r="L205" s="75"/>
      <c r="M205" s="75"/>
      <c r="N205" s="70"/>
      <c r="O205" t="s">
        <v>1568</v>
      </c>
      <c r="P205" s="76">
        <v>44957.699421296296</v>
      </c>
      <c r="Q205" t="s">
        <v>1584</v>
      </c>
      <c r="R205" s="77" t="str">
        <f>HYPERLINK("https://www.forbes.com/sites/noahbarsky/2023/01/31/walmart-recession-proofs-retail-reign-with-3-rare-moves/?sh=64fd4cf22573")</f>
        <v>https://www.forbes.com/sites/noahbarsky/2023/01/31/walmart-recession-proofs-retail-reign-with-3-rare-moves/?sh=64fd4cf22573</v>
      </c>
      <c r="S205" t="s">
        <v>2260</v>
      </c>
      <c r="T205" s="78" t="s">
        <v>2408</v>
      </c>
      <c r="U205" s="77" t="str">
        <f>HYPERLINK("https://pbs.twimg.com/media/Fn0Jb_waYAE9JXF.jpg")</f>
        <v>https://pbs.twimg.com/media/Fn0Jb_waYAE9JXF.jpg</v>
      </c>
      <c r="V205" s="77" t="str">
        <f>HYPERLINK("https://pbs.twimg.com/media/Fn0Jb_waYAE9JXF.jpg")</f>
        <v>https://pbs.twimg.com/media/Fn0Jb_waYAE9JXF.jpg</v>
      </c>
      <c r="W205" s="76">
        <v>44957.699421296296</v>
      </c>
      <c r="X205" s="80">
        <v>44957</v>
      </c>
      <c r="Y205" s="78" t="s">
        <v>3309</v>
      </c>
      <c r="Z205" s="77" t="str">
        <f>HYPERLINK("https://twitter.com/shi4tech/status/1620463710962864128")</f>
        <v>https://twitter.com/shi4tech/status/1620463710962864128</v>
      </c>
      <c r="AC205" s="78" t="s">
        <v>4374</v>
      </c>
      <c r="AE205" t="b">
        <v>0</v>
      </c>
      <c r="AF205">
        <v>12</v>
      </c>
      <c r="AG205" s="78" t="s">
        <v>4640</v>
      </c>
      <c r="AH205" t="b">
        <v>0</v>
      </c>
      <c r="AI205" t="s">
        <v>4829</v>
      </c>
      <c r="AK205" s="78" t="s">
        <v>4640</v>
      </c>
      <c r="AL205" t="b">
        <v>0</v>
      </c>
      <c r="AM205">
        <v>11</v>
      </c>
      <c r="AN205" s="78" t="s">
        <v>4640</v>
      </c>
      <c r="AO205" s="78" t="s">
        <v>4851</v>
      </c>
      <c r="AP205" t="b">
        <v>0</v>
      </c>
      <c r="AQ205" s="78" t="s">
        <v>4374</v>
      </c>
      <c r="AR205" t="s">
        <v>1569</v>
      </c>
      <c r="AS205">
        <v>0</v>
      </c>
      <c r="AT205">
        <v>0</v>
      </c>
    </row>
    <row r="206" spans="1:46" x14ac:dyDescent="0.45">
      <c r="A206" s="62" t="s">
        <v>1016</v>
      </c>
      <c r="B206" s="62" t="s">
        <v>957</v>
      </c>
      <c r="C206" s="63"/>
      <c r="D206" s="64"/>
      <c r="E206" s="65"/>
      <c r="F206" s="66"/>
      <c r="G206" s="63"/>
      <c r="H206" s="67"/>
      <c r="I206" s="68"/>
      <c r="J206" s="68"/>
      <c r="K206" s="32"/>
      <c r="L206" s="75"/>
      <c r="M206" s="75"/>
      <c r="N206" s="70"/>
      <c r="O206" t="s">
        <v>1568</v>
      </c>
      <c r="P206" s="76">
        <v>44957.699421296296</v>
      </c>
      <c r="Q206" t="s">
        <v>1584</v>
      </c>
      <c r="R206" s="77" t="str">
        <f>HYPERLINK("https://www.forbes.com/sites/noahbarsky/2023/01/31/walmart-recession-proofs-retail-reign-with-3-rare-moves/?sh=64fd4cf22573")</f>
        <v>https://www.forbes.com/sites/noahbarsky/2023/01/31/walmart-recession-proofs-retail-reign-with-3-rare-moves/?sh=64fd4cf22573</v>
      </c>
      <c r="S206" t="s">
        <v>2260</v>
      </c>
      <c r="T206" s="78" t="s">
        <v>2408</v>
      </c>
      <c r="U206" s="77" t="str">
        <f>HYPERLINK("https://pbs.twimg.com/media/Fn0Jb_waYAE9JXF.jpg")</f>
        <v>https://pbs.twimg.com/media/Fn0Jb_waYAE9JXF.jpg</v>
      </c>
      <c r="V206" s="77" t="str">
        <f>HYPERLINK("https://pbs.twimg.com/media/Fn0Jb_waYAE9JXF.jpg")</f>
        <v>https://pbs.twimg.com/media/Fn0Jb_waYAE9JXF.jpg</v>
      </c>
      <c r="W206" s="76">
        <v>44957.699421296296</v>
      </c>
      <c r="X206" s="80">
        <v>44957</v>
      </c>
      <c r="Y206" s="78" t="s">
        <v>3309</v>
      </c>
      <c r="Z206" s="77" t="str">
        <f>HYPERLINK("https://twitter.com/shi4tech/status/1620463710962864128")</f>
        <v>https://twitter.com/shi4tech/status/1620463710962864128</v>
      </c>
      <c r="AC206" s="78" t="s">
        <v>4374</v>
      </c>
      <c r="AE206" t="b">
        <v>0</v>
      </c>
      <c r="AF206">
        <v>12</v>
      </c>
      <c r="AG206" s="78" t="s">
        <v>4640</v>
      </c>
      <c r="AH206" t="b">
        <v>0</v>
      </c>
      <c r="AI206" t="s">
        <v>4829</v>
      </c>
      <c r="AK206" s="78" t="s">
        <v>4640</v>
      </c>
      <c r="AL206" t="b">
        <v>0</v>
      </c>
      <c r="AM206">
        <v>11</v>
      </c>
      <c r="AN206" s="78" t="s">
        <v>4640</v>
      </c>
      <c r="AO206" s="78" t="s">
        <v>4851</v>
      </c>
      <c r="AP206" t="b">
        <v>0</v>
      </c>
      <c r="AQ206" s="78" t="s">
        <v>4374</v>
      </c>
      <c r="AR206" t="s">
        <v>1569</v>
      </c>
      <c r="AS206">
        <v>0</v>
      </c>
      <c r="AT206">
        <v>0</v>
      </c>
    </row>
    <row r="207" spans="1:46" x14ac:dyDescent="0.45">
      <c r="A207" s="62" t="s">
        <v>1016</v>
      </c>
      <c r="B207" s="62" t="s">
        <v>242</v>
      </c>
      <c r="C207" s="63"/>
      <c r="D207" s="64"/>
      <c r="E207" s="65"/>
      <c r="F207" s="66"/>
      <c r="G207" s="63"/>
      <c r="H207" s="67"/>
      <c r="I207" s="68"/>
      <c r="J207" s="68"/>
      <c r="K207" s="32"/>
      <c r="L207" s="75"/>
      <c r="M207" s="75"/>
      <c r="N207" s="70"/>
      <c r="O207" t="s">
        <v>1568</v>
      </c>
      <c r="P207" s="76">
        <v>44957.699421296296</v>
      </c>
      <c r="Q207" t="s">
        <v>1584</v>
      </c>
      <c r="R207" s="77" t="str">
        <f>HYPERLINK("https://www.forbes.com/sites/noahbarsky/2023/01/31/walmart-recession-proofs-retail-reign-with-3-rare-moves/?sh=64fd4cf22573")</f>
        <v>https://www.forbes.com/sites/noahbarsky/2023/01/31/walmart-recession-proofs-retail-reign-with-3-rare-moves/?sh=64fd4cf22573</v>
      </c>
      <c r="S207" t="s">
        <v>2260</v>
      </c>
      <c r="T207" s="78" t="s">
        <v>2408</v>
      </c>
      <c r="U207" s="77" t="str">
        <f>HYPERLINK("https://pbs.twimg.com/media/Fn0Jb_waYAE9JXF.jpg")</f>
        <v>https://pbs.twimg.com/media/Fn0Jb_waYAE9JXF.jpg</v>
      </c>
      <c r="V207" s="77" t="str">
        <f>HYPERLINK("https://pbs.twimg.com/media/Fn0Jb_waYAE9JXF.jpg")</f>
        <v>https://pbs.twimg.com/media/Fn0Jb_waYAE9JXF.jpg</v>
      </c>
      <c r="W207" s="76">
        <v>44957.699421296296</v>
      </c>
      <c r="X207" s="80">
        <v>44957</v>
      </c>
      <c r="Y207" s="78" t="s">
        <v>3309</v>
      </c>
      <c r="Z207" s="77" t="str">
        <f>HYPERLINK("https://twitter.com/shi4tech/status/1620463710962864128")</f>
        <v>https://twitter.com/shi4tech/status/1620463710962864128</v>
      </c>
      <c r="AC207" s="78" t="s">
        <v>4374</v>
      </c>
      <c r="AE207" t="b">
        <v>0</v>
      </c>
      <c r="AF207">
        <v>12</v>
      </c>
      <c r="AG207" s="78" t="s">
        <v>4640</v>
      </c>
      <c r="AH207" t="b">
        <v>0</v>
      </c>
      <c r="AI207" t="s">
        <v>4829</v>
      </c>
      <c r="AK207" s="78" t="s">
        <v>4640</v>
      </c>
      <c r="AL207" t="b">
        <v>0</v>
      </c>
      <c r="AM207">
        <v>11</v>
      </c>
      <c r="AN207" s="78" t="s">
        <v>4640</v>
      </c>
      <c r="AO207" s="78" t="s">
        <v>4851</v>
      </c>
      <c r="AP207" t="b">
        <v>0</v>
      </c>
      <c r="AQ207" s="78" t="s">
        <v>4374</v>
      </c>
      <c r="AR207" t="s">
        <v>1569</v>
      </c>
      <c r="AS207">
        <v>0</v>
      </c>
      <c r="AT207">
        <v>0</v>
      </c>
    </row>
    <row r="208" spans="1:46" x14ac:dyDescent="0.45">
      <c r="A208" s="62" t="s">
        <v>824</v>
      </c>
      <c r="B208" s="62" t="s">
        <v>821</v>
      </c>
      <c r="C208" s="63"/>
      <c r="D208" s="64"/>
      <c r="E208" s="65"/>
      <c r="F208" s="66"/>
      <c r="G208" s="63"/>
      <c r="H208" s="67"/>
      <c r="I208" s="68"/>
      <c r="J208" s="68"/>
      <c r="K208" s="32"/>
      <c r="L208" s="75"/>
      <c r="M208" s="75"/>
      <c r="N208" s="70"/>
      <c r="O208" t="s">
        <v>1568</v>
      </c>
      <c r="P208" s="76">
        <v>44957.879629629628</v>
      </c>
      <c r="Q208" t="s">
        <v>2006</v>
      </c>
      <c r="R208" s="77" t="str">
        <f>HYPERLINK("https://www.gaynycdad.com/2023/01/15-walmart.html")</f>
        <v>https://www.gaynycdad.com/2023/01/15-walmart.html</v>
      </c>
      <c r="S208" t="s">
        <v>2291</v>
      </c>
      <c r="T208" s="78" t="s">
        <v>242</v>
      </c>
      <c r="V208" s="77" t="str">
        <f>HYPERLINK("https://pbs.twimg.com/profile_images/859924226765185029/8jPY5lEt_normal.jpg")</f>
        <v>https://pbs.twimg.com/profile_images/859924226765185029/8jPY5lEt_normal.jpg</v>
      </c>
      <c r="W208" s="76">
        <v>44957.879629629628</v>
      </c>
      <c r="X208" s="80">
        <v>44957</v>
      </c>
      <c r="Y208" s="78" t="s">
        <v>3069</v>
      </c>
      <c r="Z208" s="77" t="str">
        <f>HYPERLINK("https://twitter.com/sstrode/status/1620529015818969088")</f>
        <v>https://twitter.com/sstrode/status/1620529015818969088</v>
      </c>
      <c r="AC208" s="78" t="s">
        <v>4134</v>
      </c>
      <c r="AE208" t="b">
        <v>0</v>
      </c>
      <c r="AF208">
        <v>0</v>
      </c>
      <c r="AG208" s="78" t="s">
        <v>4640</v>
      </c>
      <c r="AH208" t="b">
        <v>0</v>
      </c>
      <c r="AI208" t="s">
        <v>4829</v>
      </c>
      <c r="AK208" s="78" t="s">
        <v>4640</v>
      </c>
      <c r="AL208" t="b">
        <v>0</v>
      </c>
      <c r="AM208">
        <v>1</v>
      </c>
      <c r="AN208" s="78" t="s">
        <v>4640</v>
      </c>
      <c r="AO208" s="78" t="s">
        <v>4851</v>
      </c>
      <c r="AP208" t="b">
        <v>0</v>
      </c>
      <c r="AQ208" s="78" t="s">
        <v>4134</v>
      </c>
      <c r="AR208" t="s">
        <v>1569</v>
      </c>
      <c r="AS208">
        <v>0</v>
      </c>
      <c r="AT208">
        <v>0</v>
      </c>
    </row>
    <row r="209" spans="1:46" x14ac:dyDescent="0.45">
      <c r="A209" s="62" t="s">
        <v>824</v>
      </c>
      <c r="B209" s="62" t="s">
        <v>242</v>
      </c>
      <c r="C209" s="63"/>
      <c r="D209" s="64"/>
      <c r="E209" s="65"/>
      <c r="F209" s="66"/>
      <c r="G209" s="63"/>
      <c r="H209" s="67"/>
      <c r="I209" s="68"/>
      <c r="J209" s="68"/>
      <c r="K209" s="32"/>
      <c r="L209" s="75"/>
      <c r="M209" s="75"/>
      <c r="N209" s="70"/>
      <c r="O209" t="s">
        <v>1568</v>
      </c>
      <c r="P209" s="76">
        <v>44957.879629629628</v>
      </c>
      <c r="Q209" t="s">
        <v>2006</v>
      </c>
      <c r="R209" s="77" t="str">
        <f>HYPERLINK("https://www.gaynycdad.com/2023/01/15-walmart.html")</f>
        <v>https://www.gaynycdad.com/2023/01/15-walmart.html</v>
      </c>
      <c r="S209" t="s">
        <v>2291</v>
      </c>
      <c r="T209" s="78" t="s">
        <v>242</v>
      </c>
      <c r="V209" s="77" t="str">
        <f>HYPERLINK("https://pbs.twimg.com/profile_images/859924226765185029/8jPY5lEt_normal.jpg")</f>
        <v>https://pbs.twimg.com/profile_images/859924226765185029/8jPY5lEt_normal.jpg</v>
      </c>
      <c r="W209" s="76">
        <v>44957.879629629628</v>
      </c>
      <c r="X209" s="80">
        <v>44957</v>
      </c>
      <c r="Y209" s="78" t="s">
        <v>3069</v>
      </c>
      <c r="Z209" s="77" t="str">
        <f>HYPERLINK("https://twitter.com/sstrode/status/1620529015818969088")</f>
        <v>https://twitter.com/sstrode/status/1620529015818969088</v>
      </c>
      <c r="AC209" s="78" t="s">
        <v>4134</v>
      </c>
      <c r="AE209" t="b">
        <v>0</v>
      </c>
      <c r="AF209">
        <v>0</v>
      </c>
      <c r="AG209" s="78" t="s">
        <v>4640</v>
      </c>
      <c r="AH209" t="b">
        <v>0</v>
      </c>
      <c r="AI209" t="s">
        <v>4829</v>
      </c>
      <c r="AK209" s="78" t="s">
        <v>4640</v>
      </c>
      <c r="AL209" t="b">
        <v>0</v>
      </c>
      <c r="AM209">
        <v>1</v>
      </c>
      <c r="AN209" s="78" t="s">
        <v>4640</v>
      </c>
      <c r="AO209" s="78" t="s">
        <v>4851</v>
      </c>
      <c r="AP209" t="b">
        <v>0</v>
      </c>
      <c r="AQ209" s="78" t="s">
        <v>4134</v>
      </c>
      <c r="AR209" t="s">
        <v>1569</v>
      </c>
      <c r="AS209">
        <v>0</v>
      </c>
      <c r="AT209">
        <v>0</v>
      </c>
    </row>
    <row r="210" spans="1:46" x14ac:dyDescent="0.45">
      <c r="A210" s="62" t="s">
        <v>824</v>
      </c>
      <c r="B210" s="62" t="s">
        <v>821</v>
      </c>
      <c r="C210" s="63"/>
      <c r="D210" s="64"/>
      <c r="E210" s="65"/>
      <c r="F210" s="66"/>
      <c r="G210" s="63"/>
      <c r="H210" s="67"/>
      <c r="I210" s="68"/>
      <c r="J210" s="68"/>
      <c r="K210" s="32"/>
      <c r="L210" s="75"/>
      <c r="M210" s="75"/>
      <c r="N210" s="70"/>
      <c r="O210" t="s">
        <v>1568</v>
      </c>
      <c r="P210" s="76">
        <v>44957.062106481484</v>
      </c>
      <c r="Q210" t="s">
        <v>2006</v>
      </c>
      <c r="R210" s="77" t="str">
        <f>HYPERLINK("https://www.gaynycdad.com/2023/01/15-walmart.html")</f>
        <v>https://www.gaynycdad.com/2023/01/15-walmart.html</v>
      </c>
      <c r="S210" t="s">
        <v>2291</v>
      </c>
      <c r="T210" s="78" t="s">
        <v>242</v>
      </c>
      <c r="V210" s="77" t="str">
        <f>HYPERLINK("https://pbs.twimg.com/profile_images/859924226765185029/8jPY5lEt_normal.jpg")</f>
        <v>https://pbs.twimg.com/profile_images/859924226765185029/8jPY5lEt_normal.jpg</v>
      </c>
      <c r="W210" s="76">
        <v>44957.062106481484</v>
      </c>
      <c r="X210" s="80">
        <v>44957</v>
      </c>
      <c r="Y210" s="78" t="s">
        <v>3070</v>
      </c>
      <c r="Z210" s="77" t="str">
        <f>HYPERLINK("https://twitter.com/sstrode/status/1620232757879382016")</f>
        <v>https://twitter.com/sstrode/status/1620232757879382016</v>
      </c>
      <c r="AC210" s="78" t="s">
        <v>4135</v>
      </c>
      <c r="AE210" t="b">
        <v>0</v>
      </c>
      <c r="AF210">
        <v>0</v>
      </c>
      <c r="AG210" s="78" t="s">
        <v>4640</v>
      </c>
      <c r="AH210" t="b">
        <v>0</v>
      </c>
      <c r="AI210" t="s">
        <v>4829</v>
      </c>
      <c r="AK210" s="78" t="s">
        <v>4640</v>
      </c>
      <c r="AL210" t="b">
        <v>0</v>
      </c>
      <c r="AM210">
        <v>1</v>
      </c>
      <c r="AN210" s="78" t="s">
        <v>4640</v>
      </c>
      <c r="AO210" s="78" t="s">
        <v>4851</v>
      </c>
      <c r="AP210" t="b">
        <v>0</v>
      </c>
      <c r="AQ210" s="78" t="s">
        <v>4135</v>
      </c>
      <c r="AR210" t="s">
        <v>1569</v>
      </c>
      <c r="AS210">
        <v>0</v>
      </c>
      <c r="AT210">
        <v>0</v>
      </c>
    </row>
    <row r="211" spans="1:46" x14ac:dyDescent="0.45">
      <c r="A211" s="62" t="s">
        <v>824</v>
      </c>
      <c r="B211" s="62" t="s">
        <v>242</v>
      </c>
      <c r="C211" s="63"/>
      <c r="D211" s="64"/>
      <c r="E211" s="65"/>
      <c r="F211" s="66"/>
      <c r="G211" s="63"/>
      <c r="H211" s="67"/>
      <c r="I211" s="68"/>
      <c r="J211" s="68"/>
      <c r="K211" s="32"/>
      <c r="L211" s="75"/>
      <c r="M211" s="75"/>
      <c r="N211" s="70"/>
      <c r="O211" t="s">
        <v>1568</v>
      </c>
      <c r="P211" s="76">
        <v>44957.062106481484</v>
      </c>
      <c r="Q211" t="s">
        <v>2006</v>
      </c>
      <c r="R211" s="77" t="str">
        <f>HYPERLINK("https://www.gaynycdad.com/2023/01/15-walmart.html")</f>
        <v>https://www.gaynycdad.com/2023/01/15-walmart.html</v>
      </c>
      <c r="S211" t="s">
        <v>2291</v>
      </c>
      <c r="T211" s="78" t="s">
        <v>242</v>
      </c>
      <c r="V211" s="77" t="str">
        <f>HYPERLINK("https://pbs.twimg.com/profile_images/859924226765185029/8jPY5lEt_normal.jpg")</f>
        <v>https://pbs.twimg.com/profile_images/859924226765185029/8jPY5lEt_normal.jpg</v>
      </c>
      <c r="W211" s="76">
        <v>44957.062106481484</v>
      </c>
      <c r="X211" s="80">
        <v>44957</v>
      </c>
      <c r="Y211" s="78" t="s">
        <v>3070</v>
      </c>
      <c r="Z211" s="77" t="str">
        <f>HYPERLINK("https://twitter.com/sstrode/status/1620232757879382016")</f>
        <v>https://twitter.com/sstrode/status/1620232757879382016</v>
      </c>
      <c r="AC211" s="78" t="s">
        <v>4135</v>
      </c>
      <c r="AE211" t="b">
        <v>0</v>
      </c>
      <c r="AF211">
        <v>0</v>
      </c>
      <c r="AG211" s="78" t="s">
        <v>4640</v>
      </c>
      <c r="AH211" t="b">
        <v>0</v>
      </c>
      <c r="AI211" t="s">
        <v>4829</v>
      </c>
      <c r="AK211" s="78" t="s">
        <v>4640</v>
      </c>
      <c r="AL211" t="b">
        <v>0</v>
      </c>
      <c r="AM211">
        <v>1</v>
      </c>
      <c r="AN211" s="78" t="s">
        <v>4640</v>
      </c>
      <c r="AO211" s="78" t="s">
        <v>4851</v>
      </c>
      <c r="AP211" t="b">
        <v>0</v>
      </c>
      <c r="AQ211" s="78" t="s">
        <v>4135</v>
      </c>
      <c r="AR211" t="s">
        <v>1569</v>
      </c>
      <c r="AS211">
        <v>0</v>
      </c>
      <c r="AT211">
        <v>0</v>
      </c>
    </row>
    <row r="212" spans="1:46" x14ac:dyDescent="0.45">
      <c r="A212" s="62" t="s">
        <v>821</v>
      </c>
      <c r="B212" s="62" t="s">
        <v>824</v>
      </c>
      <c r="C212" s="63"/>
      <c r="D212" s="64"/>
      <c r="E212" s="65"/>
      <c r="F212" s="66"/>
      <c r="G212" s="63"/>
      <c r="H212" s="67"/>
      <c r="I212" s="68"/>
      <c r="J212" s="68"/>
      <c r="K212" s="32"/>
      <c r="L212" s="75"/>
      <c r="M212" s="75"/>
      <c r="N212" s="70"/>
      <c r="O212" t="s">
        <v>1569</v>
      </c>
      <c r="P212" s="76">
        <v>44958.464155092595</v>
      </c>
      <c r="Q212" t="s">
        <v>2006</v>
      </c>
      <c r="R212" s="77" t="str">
        <f>HYPERLINK("https://www.gaynycdad.com/2023/01/15-walmart.html")</f>
        <v>https://www.gaynycdad.com/2023/01/15-walmart.html</v>
      </c>
      <c r="S212" t="s">
        <v>2291</v>
      </c>
      <c r="T212" s="78" t="s">
        <v>242</v>
      </c>
      <c r="V212" s="77" t="str">
        <f>HYPERLINK("https://pbs.twimg.com/profile_images/858088924899663872/6bhNyhri_normal.jpg")</f>
        <v>https://pbs.twimg.com/profile_images/858088924899663872/6bhNyhri_normal.jpg</v>
      </c>
      <c r="W212" s="76">
        <v>44958.464155092595</v>
      </c>
      <c r="X212" s="80">
        <v>44958</v>
      </c>
      <c r="Y212" s="78" t="s">
        <v>3071</v>
      </c>
      <c r="Z212" s="77" t="str">
        <f>HYPERLINK("https://twitter.com/gaynycdad/status/1620740843660546048")</f>
        <v>https://twitter.com/gaynycdad/status/1620740843660546048</v>
      </c>
      <c r="AC212" s="78" t="s">
        <v>4136</v>
      </c>
      <c r="AE212" t="b">
        <v>0</v>
      </c>
      <c r="AF212">
        <v>0</v>
      </c>
      <c r="AG212" s="78" t="s">
        <v>4640</v>
      </c>
      <c r="AH212" t="b">
        <v>0</v>
      </c>
      <c r="AI212" t="s">
        <v>4829</v>
      </c>
      <c r="AK212" s="78" t="s">
        <v>4640</v>
      </c>
      <c r="AL212" t="b">
        <v>0</v>
      </c>
      <c r="AM212">
        <v>1</v>
      </c>
      <c r="AN212" s="78" t="s">
        <v>4134</v>
      </c>
      <c r="AO212" s="78" t="s">
        <v>4849</v>
      </c>
      <c r="AP212" t="b">
        <v>0</v>
      </c>
      <c r="AQ212" s="78" t="s">
        <v>4134</v>
      </c>
      <c r="AR212" t="s">
        <v>179</v>
      </c>
      <c r="AS212">
        <v>0</v>
      </c>
      <c r="AT212">
        <v>0</v>
      </c>
    </row>
    <row r="213" spans="1:46" x14ac:dyDescent="0.45">
      <c r="A213" s="62" t="s">
        <v>821</v>
      </c>
      <c r="B213" s="62" t="s">
        <v>824</v>
      </c>
      <c r="C213" s="63"/>
      <c r="D213" s="64"/>
      <c r="E213" s="65"/>
      <c r="F213" s="66"/>
      <c r="G213" s="63"/>
      <c r="H213" s="67"/>
      <c r="I213" s="68"/>
      <c r="J213" s="68"/>
      <c r="K213" s="32"/>
      <c r="L213" s="75"/>
      <c r="M213" s="75"/>
      <c r="N213" s="70"/>
      <c r="O213" t="s">
        <v>1569</v>
      </c>
      <c r="P213" s="76">
        <v>44959.000405092593</v>
      </c>
      <c r="Q213" t="s">
        <v>2006</v>
      </c>
      <c r="R213" s="77" t="str">
        <f>HYPERLINK("https://www.gaynycdad.com/2023/01/15-walmart.html")</f>
        <v>https://www.gaynycdad.com/2023/01/15-walmart.html</v>
      </c>
      <c r="S213" t="s">
        <v>2291</v>
      </c>
      <c r="T213" s="78" t="s">
        <v>242</v>
      </c>
      <c r="V213" s="77" t="str">
        <f>HYPERLINK("https://pbs.twimg.com/profile_images/858088924899663872/6bhNyhri_normal.jpg")</f>
        <v>https://pbs.twimg.com/profile_images/858088924899663872/6bhNyhri_normal.jpg</v>
      </c>
      <c r="W213" s="76">
        <v>44959.000405092593</v>
      </c>
      <c r="X213" s="80">
        <v>44959</v>
      </c>
      <c r="Y213" s="78" t="s">
        <v>3072</v>
      </c>
      <c r="Z213" s="77" t="str">
        <f>HYPERLINK("https://twitter.com/gaynycdad/status/1620935174761627649")</f>
        <v>https://twitter.com/gaynycdad/status/1620935174761627649</v>
      </c>
      <c r="AC213" s="78" t="s">
        <v>4137</v>
      </c>
      <c r="AE213" t="b">
        <v>0</v>
      </c>
      <c r="AF213">
        <v>0</v>
      </c>
      <c r="AG213" s="78" t="s">
        <v>4640</v>
      </c>
      <c r="AH213" t="b">
        <v>0</v>
      </c>
      <c r="AI213" t="s">
        <v>4829</v>
      </c>
      <c r="AK213" s="78" t="s">
        <v>4640</v>
      </c>
      <c r="AL213" t="b">
        <v>0</v>
      </c>
      <c r="AM213">
        <v>1</v>
      </c>
      <c r="AN213" s="78" t="s">
        <v>4135</v>
      </c>
      <c r="AO213" s="78" t="s">
        <v>4849</v>
      </c>
      <c r="AP213" t="b">
        <v>0</v>
      </c>
      <c r="AQ213" s="78" t="s">
        <v>4135</v>
      </c>
      <c r="AR213" t="s">
        <v>179</v>
      </c>
      <c r="AS213">
        <v>0</v>
      </c>
      <c r="AT213">
        <v>0</v>
      </c>
    </row>
    <row r="214" spans="1:46" x14ac:dyDescent="0.45">
      <c r="A214" s="62" t="s">
        <v>821</v>
      </c>
      <c r="B214" s="62" t="s">
        <v>242</v>
      </c>
      <c r="C214" s="63"/>
      <c r="D214" s="64"/>
      <c r="E214" s="65"/>
      <c r="F214" s="66"/>
      <c r="G214" s="63"/>
      <c r="H214" s="67"/>
      <c r="I214" s="68"/>
      <c r="J214" s="68"/>
      <c r="K214" s="32"/>
      <c r="L214" s="75"/>
      <c r="M214" s="75"/>
      <c r="N214" s="70"/>
      <c r="O214" t="s">
        <v>1570</v>
      </c>
      <c r="P214" s="76">
        <v>44958.464155092595</v>
      </c>
      <c r="Q214" t="s">
        <v>2006</v>
      </c>
      <c r="R214" s="77" t="str">
        <f>HYPERLINK("https://www.gaynycdad.com/2023/01/15-walmart.html")</f>
        <v>https://www.gaynycdad.com/2023/01/15-walmart.html</v>
      </c>
      <c r="S214" t="s">
        <v>2291</v>
      </c>
      <c r="T214" s="78" t="s">
        <v>242</v>
      </c>
      <c r="V214" s="77" t="str">
        <f>HYPERLINK("https://pbs.twimg.com/profile_images/858088924899663872/6bhNyhri_normal.jpg")</f>
        <v>https://pbs.twimg.com/profile_images/858088924899663872/6bhNyhri_normal.jpg</v>
      </c>
      <c r="W214" s="76">
        <v>44958.464155092595</v>
      </c>
      <c r="X214" s="80">
        <v>44958</v>
      </c>
      <c r="Y214" s="78" t="s">
        <v>3071</v>
      </c>
      <c r="Z214" s="77" t="str">
        <f>HYPERLINK("https://twitter.com/gaynycdad/status/1620740843660546048")</f>
        <v>https://twitter.com/gaynycdad/status/1620740843660546048</v>
      </c>
      <c r="AC214" s="78" t="s">
        <v>4136</v>
      </c>
      <c r="AE214" t="b">
        <v>0</v>
      </c>
      <c r="AF214">
        <v>0</v>
      </c>
      <c r="AG214" s="78" t="s">
        <v>4640</v>
      </c>
      <c r="AH214" t="b">
        <v>0</v>
      </c>
      <c r="AI214" t="s">
        <v>4829</v>
      </c>
      <c r="AK214" s="78" t="s">
        <v>4640</v>
      </c>
      <c r="AL214" t="b">
        <v>0</v>
      </c>
      <c r="AM214">
        <v>1</v>
      </c>
      <c r="AN214" s="78" t="s">
        <v>4134</v>
      </c>
      <c r="AO214" s="78" t="s">
        <v>4849</v>
      </c>
      <c r="AP214" t="b">
        <v>0</v>
      </c>
      <c r="AQ214" s="78" t="s">
        <v>4134</v>
      </c>
      <c r="AR214" t="s">
        <v>179</v>
      </c>
      <c r="AS214">
        <v>0</v>
      </c>
      <c r="AT214">
        <v>0</v>
      </c>
    </row>
    <row r="215" spans="1:46" x14ac:dyDescent="0.45">
      <c r="A215" s="62" t="s">
        <v>821</v>
      </c>
      <c r="B215" s="62" t="s">
        <v>242</v>
      </c>
      <c r="C215" s="63"/>
      <c r="D215" s="64"/>
      <c r="E215" s="65"/>
      <c r="F215" s="66"/>
      <c r="G215" s="63"/>
      <c r="H215" s="67"/>
      <c r="I215" s="68"/>
      <c r="J215" s="68"/>
      <c r="K215" s="32"/>
      <c r="L215" s="75"/>
      <c r="M215" s="75"/>
      <c r="N215" s="70"/>
      <c r="O215" t="s">
        <v>1570</v>
      </c>
      <c r="P215" s="76">
        <v>44959.000405092593</v>
      </c>
      <c r="Q215" t="s">
        <v>2006</v>
      </c>
      <c r="R215" s="77" t="str">
        <f>HYPERLINK("https://www.gaynycdad.com/2023/01/15-walmart.html")</f>
        <v>https://www.gaynycdad.com/2023/01/15-walmart.html</v>
      </c>
      <c r="S215" t="s">
        <v>2291</v>
      </c>
      <c r="T215" s="78" t="s">
        <v>242</v>
      </c>
      <c r="V215" s="77" t="str">
        <f>HYPERLINK("https://pbs.twimg.com/profile_images/858088924899663872/6bhNyhri_normal.jpg")</f>
        <v>https://pbs.twimg.com/profile_images/858088924899663872/6bhNyhri_normal.jpg</v>
      </c>
      <c r="W215" s="76">
        <v>44959.000405092593</v>
      </c>
      <c r="X215" s="80">
        <v>44959</v>
      </c>
      <c r="Y215" s="78" t="s">
        <v>3072</v>
      </c>
      <c r="Z215" s="77" t="str">
        <f>HYPERLINK("https://twitter.com/gaynycdad/status/1620935174761627649")</f>
        <v>https://twitter.com/gaynycdad/status/1620935174761627649</v>
      </c>
      <c r="AC215" s="78" t="s">
        <v>4137</v>
      </c>
      <c r="AE215" t="b">
        <v>0</v>
      </c>
      <c r="AF215">
        <v>0</v>
      </c>
      <c r="AG215" s="78" t="s">
        <v>4640</v>
      </c>
      <c r="AH215" t="b">
        <v>0</v>
      </c>
      <c r="AI215" t="s">
        <v>4829</v>
      </c>
      <c r="AK215" s="78" t="s">
        <v>4640</v>
      </c>
      <c r="AL215" t="b">
        <v>0</v>
      </c>
      <c r="AM215">
        <v>1</v>
      </c>
      <c r="AN215" s="78" t="s">
        <v>4135</v>
      </c>
      <c r="AO215" s="78" t="s">
        <v>4849</v>
      </c>
      <c r="AP215" t="b">
        <v>0</v>
      </c>
      <c r="AQ215" s="78" t="s">
        <v>4135</v>
      </c>
      <c r="AR215" t="s">
        <v>179</v>
      </c>
      <c r="AS215">
        <v>0</v>
      </c>
      <c r="AT215">
        <v>0</v>
      </c>
    </row>
    <row r="216" spans="1:46" x14ac:dyDescent="0.45">
      <c r="A216" s="62" t="s">
        <v>820</v>
      </c>
      <c r="B216" s="62" t="s">
        <v>821</v>
      </c>
      <c r="C216" s="63"/>
      <c r="D216" s="64"/>
      <c r="E216" s="65"/>
      <c r="F216" s="66"/>
      <c r="G216" s="63"/>
      <c r="H216" s="67"/>
      <c r="I216" s="68"/>
      <c r="J216" s="68"/>
      <c r="K216" s="32"/>
      <c r="L216" s="75"/>
      <c r="M216" s="75"/>
      <c r="N216" s="70"/>
      <c r="O216" t="s">
        <v>1568</v>
      </c>
      <c r="P216" s="76">
        <v>44957.662488425929</v>
      </c>
      <c r="Q216" t="s">
        <v>2003</v>
      </c>
      <c r="R216" s="77" t="str">
        <f>HYPERLINK("https://www.gaynycdad.com/2023/01/15-walmart.html")</f>
        <v>https://www.gaynycdad.com/2023/01/15-walmart.html</v>
      </c>
      <c r="S216" t="s">
        <v>2291</v>
      </c>
      <c r="T216" s="78" t="s">
        <v>2374</v>
      </c>
      <c r="V216" s="77" t="str">
        <f>HYPERLINK("https://pbs.twimg.com/profile_images/1321816709641179137/ZxCDD5bQ_normal.jpg")</f>
        <v>https://pbs.twimg.com/profile_images/1321816709641179137/ZxCDD5bQ_normal.jpg</v>
      </c>
      <c r="W216" s="76">
        <v>44957.662488425929</v>
      </c>
      <c r="X216" s="80">
        <v>44957</v>
      </c>
      <c r="Y216" s="78" t="s">
        <v>3063</v>
      </c>
      <c r="Z216" s="77" t="str">
        <f>HYPERLINK("https://twitter.com/h3artonf1r3/status/1620450330185195522")</f>
        <v>https://twitter.com/h3artonf1r3/status/1620450330185195522</v>
      </c>
      <c r="AC216" s="78" t="s">
        <v>4128</v>
      </c>
      <c r="AE216" t="b">
        <v>0</v>
      </c>
      <c r="AF216">
        <v>1</v>
      </c>
      <c r="AG216" s="78" t="s">
        <v>4640</v>
      </c>
      <c r="AH216" t="b">
        <v>0</v>
      </c>
      <c r="AI216" t="s">
        <v>4829</v>
      </c>
      <c r="AK216" s="78" t="s">
        <v>4640</v>
      </c>
      <c r="AL216" t="b">
        <v>0</v>
      </c>
      <c r="AM216">
        <v>1</v>
      </c>
      <c r="AN216" s="78" t="s">
        <v>4640</v>
      </c>
      <c r="AO216" s="78" t="s">
        <v>4852</v>
      </c>
      <c r="AP216" t="b">
        <v>0</v>
      </c>
      <c r="AQ216" s="78" t="s">
        <v>4128</v>
      </c>
      <c r="AR216" t="s">
        <v>1569</v>
      </c>
      <c r="AS216">
        <v>0</v>
      </c>
      <c r="AT216">
        <v>0</v>
      </c>
    </row>
    <row r="217" spans="1:46" x14ac:dyDescent="0.45">
      <c r="A217" s="62" t="s">
        <v>820</v>
      </c>
      <c r="B217" s="62" t="s">
        <v>242</v>
      </c>
      <c r="C217" s="63"/>
      <c r="D217" s="64"/>
      <c r="E217" s="65"/>
      <c r="F217" s="66"/>
      <c r="G217" s="63"/>
      <c r="H217" s="67"/>
      <c r="I217" s="68"/>
      <c r="J217" s="68"/>
      <c r="K217" s="32"/>
      <c r="L217" s="75"/>
      <c r="M217" s="75"/>
      <c r="N217" s="70"/>
      <c r="O217" t="s">
        <v>1568</v>
      </c>
      <c r="P217" s="76">
        <v>44957.662488425929</v>
      </c>
      <c r="Q217" t="s">
        <v>2003</v>
      </c>
      <c r="R217" s="77" t="str">
        <f>HYPERLINK("https://www.gaynycdad.com/2023/01/15-walmart.html")</f>
        <v>https://www.gaynycdad.com/2023/01/15-walmart.html</v>
      </c>
      <c r="S217" t="s">
        <v>2291</v>
      </c>
      <c r="T217" s="78" t="s">
        <v>2374</v>
      </c>
      <c r="V217" s="77" t="str">
        <f>HYPERLINK("https://pbs.twimg.com/profile_images/1321816709641179137/ZxCDD5bQ_normal.jpg")</f>
        <v>https://pbs.twimg.com/profile_images/1321816709641179137/ZxCDD5bQ_normal.jpg</v>
      </c>
      <c r="W217" s="76">
        <v>44957.662488425929</v>
      </c>
      <c r="X217" s="80">
        <v>44957</v>
      </c>
      <c r="Y217" s="78" t="s">
        <v>3063</v>
      </c>
      <c r="Z217" s="77" t="str">
        <f>HYPERLINK("https://twitter.com/h3artonf1r3/status/1620450330185195522")</f>
        <v>https://twitter.com/h3artonf1r3/status/1620450330185195522</v>
      </c>
      <c r="AC217" s="78" t="s">
        <v>4128</v>
      </c>
      <c r="AE217" t="b">
        <v>0</v>
      </c>
      <c r="AF217">
        <v>1</v>
      </c>
      <c r="AG217" s="78" t="s">
        <v>4640</v>
      </c>
      <c r="AH217" t="b">
        <v>0</v>
      </c>
      <c r="AI217" t="s">
        <v>4829</v>
      </c>
      <c r="AK217" s="78" t="s">
        <v>4640</v>
      </c>
      <c r="AL217" t="b">
        <v>0</v>
      </c>
      <c r="AM217">
        <v>1</v>
      </c>
      <c r="AN217" s="78" t="s">
        <v>4640</v>
      </c>
      <c r="AO217" s="78" t="s">
        <v>4852</v>
      </c>
      <c r="AP217" t="b">
        <v>0</v>
      </c>
      <c r="AQ217" s="78" t="s">
        <v>4128</v>
      </c>
      <c r="AR217" t="s">
        <v>1569</v>
      </c>
      <c r="AS217">
        <v>0</v>
      </c>
      <c r="AT217">
        <v>0</v>
      </c>
    </row>
    <row r="218" spans="1:46" x14ac:dyDescent="0.45">
      <c r="A218" s="62" t="s">
        <v>822</v>
      </c>
      <c r="B218" s="62" t="s">
        <v>821</v>
      </c>
      <c r="C218" s="63"/>
      <c r="D218" s="64"/>
      <c r="E218" s="65"/>
      <c r="F218" s="66"/>
      <c r="G218" s="63"/>
      <c r="H218" s="67"/>
      <c r="I218" s="68"/>
      <c r="J218" s="68"/>
      <c r="K218" s="32"/>
      <c r="L218" s="75"/>
      <c r="M218" s="75"/>
      <c r="N218" s="70"/>
      <c r="O218" t="s">
        <v>1568</v>
      </c>
      <c r="P218" s="76">
        <v>44958.287731481483</v>
      </c>
      <c r="Q218" t="s">
        <v>2004</v>
      </c>
      <c r="R218" s="77" t="str">
        <f>HYPERLINK("https://www.gaynycdad.com/2023/01/15-walmart.html#comment-1148686")</f>
        <v>https://www.gaynycdad.com/2023/01/15-walmart.html#comment-1148686</v>
      </c>
      <c r="S218" t="s">
        <v>2291</v>
      </c>
      <c r="T218" s="78" t="s">
        <v>2374</v>
      </c>
      <c r="V218" s="77" t="str">
        <f>HYPERLINK("https://pbs.twimg.com/profile_images/1054294969886953473/ewt8u_bh_normal.jpg")</f>
        <v>https://pbs.twimg.com/profile_images/1054294969886953473/ewt8u_bh_normal.jpg</v>
      </c>
      <c r="W218" s="76">
        <v>44958.287731481483</v>
      </c>
      <c r="X218" s="80">
        <v>44958</v>
      </c>
      <c r="Y218" s="78" t="s">
        <v>3065</v>
      </c>
      <c r="Z218" s="77" t="str">
        <f>HYPERLINK("https://twitter.com/brielleprincess/status/1620676909880459264")</f>
        <v>https://twitter.com/brielleprincess/status/1620676909880459264</v>
      </c>
      <c r="AC218" s="78" t="s">
        <v>4130</v>
      </c>
      <c r="AE218" t="b">
        <v>0</v>
      </c>
      <c r="AF218">
        <v>1</v>
      </c>
      <c r="AG218" s="78" t="s">
        <v>4640</v>
      </c>
      <c r="AH218" t="b">
        <v>0</v>
      </c>
      <c r="AI218" t="s">
        <v>4829</v>
      </c>
      <c r="AK218" s="78" t="s">
        <v>4640</v>
      </c>
      <c r="AL218" t="b">
        <v>0</v>
      </c>
      <c r="AM218">
        <v>1</v>
      </c>
      <c r="AN218" s="78" t="s">
        <v>4640</v>
      </c>
      <c r="AO218" s="78" t="s">
        <v>4851</v>
      </c>
      <c r="AP218" t="b">
        <v>0</v>
      </c>
      <c r="AQ218" s="78" t="s">
        <v>4130</v>
      </c>
      <c r="AR218" t="s">
        <v>179</v>
      </c>
      <c r="AS218">
        <v>0</v>
      </c>
      <c r="AT218">
        <v>0</v>
      </c>
    </row>
    <row r="219" spans="1:46" x14ac:dyDescent="0.45">
      <c r="A219" s="62" t="s">
        <v>822</v>
      </c>
      <c r="B219" s="62" t="s">
        <v>242</v>
      </c>
      <c r="C219" s="63"/>
      <c r="D219" s="64"/>
      <c r="E219" s="65"/>
      <c r="F219" s="66"/>
      <c r="G219" s="63"/>
      <c r="H219" s="67"/>
      <c r="I219" s="68"/>
      <c r="J219" s="68"/>
      <c r="K219" s="32"/>
      <c r="L219" s="75"/>
      <c r="M219" s="75"/>
      <c r="N219" s="70"/>
      <c r="O219" t="s">
        <v>1568</v>
      </c>
      <c r="P219" s="76">
        <v>44958.287731481483</v>
      </c>
      <c r="Q219" t="s">
        <v>2004</v>
      </c>
      <c r="R219" s="77" t="str">
        <f>HYPERLINK("https://www.gaynycdad.com/2023/01/15-walmart.html#comment-1148686")</f>
        <v>https://www.gaynycdad.com/2023/01/15-walmart.html#comment-1148686</v>
      </c>
      <c r="S219" t="s">
        <v>2291</v>
      </c>
      <c r="T219" s="78" t="s">
        <v>2374</v>
      </c>
      <c r="V219" s="77" t="str">
        <f>HYPERLINK("https://pbs.twimg.com/profile_images/1054294969886953473/ewt8u_bh_normal.jpg")</f>
        <v>https://pbs.twimg.com/profile_images/1054294969886953473/ewt8u_bh_normal.jpg</v>
      </c>
      <c r="W219" s="76">
        <v>44958.287731481483</v>
      </c>
      <c r="X219" s="80">
        <v>44958</v>
      </c>
      <c r="Y219" s="78" t="s">
        <v>3065</v>
      </c>
      <c r="Z219" s="77" t="str">
        <f>HYPERLINK("https://twitter.com/brielleprincess/status/1620676909880459264")</f>
        <v>https://twitter.com/brielleprincess/status/1620676909880459264</v>
      </c>
      <c r="AC219" s="78" t="s">
        <v>4130</v>
      </c>
      <c r="AE219" t="b">
        <v>0</v>
      </c>
      <c r="AF219">
        <v>1</v>
      </c>
      <c r="AG219" s="78" t="s">
        <v>4640</v>
      </c>
      <c r="AH219" t="b">
        <v>0</v>
      </c>
      <c r="AI219" t="s">
        <v>4829</v>
      </c>
      <c r="AK219" s="78" t="s">
        <v>4640</v>
      </c>
      <c r="AL219" t="b">
        <v>0</v>
      </c>
      <c r="AM219">
        <v>1</v>
      </c>
      <c r="AN219" s="78" t="s">
        <v>4640</v>
      </c>
      <c r="AO219" s="78" t="s">
        <v>4851</v>
      </c>
      <c r="AP219" t="b">
        <v>0</v>
      </c>
      <c r="AQ219" s="78" t="s">
        <v>4130</v>
      </c>
      <c r="AR219" t="s">
        <v>179</v>
      </c>
      <c r="AS219">
        <v>0</v>
      </c>
      <c r="AT219">
        <v>0</v>
      </c>
    </row>
    <row r="220" spans="1:46" x14ac:dyDescent="0.45">
      <c r="A220" s="62" t="s">
        <v>785</v>
      </c>
      <c r="B220" s="62" t="s">
        <v>821</v>
      </c>
      <c r="C220" s="63"/>
      <c r="D220" s="64"/>
      <c r="E220" s="65"/>
      <c r="F220" s="66"/>
      <c r="G220" s="63"/>
      <c r="H220" s="67"/>
      <c r="I220" s="68"/>
      <c r="J220" s="68"/>
      <c r="K220" s="32"/>
      <c r="L220" s="75"/>
      <c r="M220" s="75"/>
      <c r="N220" s="70"/>
      <c r="O220" t="s">
        <v>1568</v>
      </c>
      <c r="P220" s="76">
        <v>44958.97184027778</v>
      </c>
      <c r="Q220" t="s">
        <v>1958</v>
      </c>
      <c r="R220" s="77" t="str">
        <f>HYPERLINK("https://www.gaynycdad.com/2023/01/15-walmart.html")</f>
        <v>https://www.gaynycdad.com/2023/01/15-walmart.html</v>
      </c>
      <c r="S220" t="s">
        <v>2291</v>
      </c>
      <c r="T220" s="78" t="s">
        <v>2374</v>
      </c>
      <c r="V220" s="77" t="str">
        <f>HYPERLINK("https://pbs.twimg.com/profile_images/1339117956828078080/5mEamU7V_normal.jpg")</f>
        <v>https://pbs.twimg.com/profile_images/1339117956828078080/5mEamU7V_normal.jpg</v>
      </c>
      <c r="W220" s="76">
        <v>44958.97184027778</v>
      </c>
      <c r="X220" s="80">
        <v>44958</v>
      </c>
      <c r="Y220" s="78" t="s">
        <v>3007</v>
      </c>
      <c r="Z220" s="77" t="str">
        <f>HYPERLINK("https://twitter.com/jennerjann/status/1620924821902344192")</f>
        <v>https://twitter.com/jennerjann/status/1620924821902344192</v>
      </c>
      <c r="AC220" s="78" t="s">
        <v>4072</v>
      </c>
      <c r="AE220" t="b">
        <v>0</v>
      </c>
      <c r="AF220">
        <v>0</v>
      </c>
      <c r="AG220" s="78" t="s">
        <v>4640</v>
      </c>
      <c r="AH220" t="b">
        <v>0</v>
      </c>
      <c r="AI220" t="s">
        <v>4829</v>
      </c>
      <c r="AK220" s="78" t="s">
        <v>4640</v>
      </c>
      <c r="AL220" t="b">
        <v>0</v>
      </c>
      <c r="AM220">
        <v>0</v>
      </c>
      <c r="AN220" s="78" t="s">
        <v>4640</v>
      </c>
      <c r="AO220" s="78" t="s">
        <v>4851</v>
      </c>
      <c r="AP220" t="b">
        <v>0</v>
      </c>
      <c r="AQ220" s="78" t="s">
        <v>4072</v>
      </c>
      <c r="AR220" t="s">
        <v>179</v>
      </c>
      <c r="AS220">
        <v>0</v>
      </c>
      <c r="AT220">
        <v>0</v>
      </c>
    </row>
    <row r="221" spans="1:46" x14ac:dyDescent="0.45">
      <c r="A221" s="62" t="s">
        <v>785</v>
      </c>
      <c r="B221" s="62" t="s">
        <v>242</v>
      </c>
      <c r="C221" s="63"/>
      <c r="D221" s="64"/>
      <c r="E221" s="65"/>
      <c r="F221" s="66"/>
      <c r="G221" s="63"/>
      <c r="H221" s="67"/>
      <c r="I221" s="68"/>
      <c r="J221" s="68"/>
      <c r="K221" s="32"/>
      <c r="L221" s="75"/>
      <c r="M221" s="75"/>
      <c r="N221" s="70"/>
      <c r="O221" t="s">
        <v>1568</v>
      </c>
      <c r="P221" s="76">
        <v>44958.97184027778</v>
      </c>
      <c r="Q221" t="s">
        <v>1958</v>
      </c>
      <c r="R221" s="77" t="str">
        <f>HYPERLINK("https://www.gaynycdad.com/2023/01/15-walmart.html")</f>
        <v>https://www.gaynycdad.com/2023/01/15-walmart.html</v>
      </c>
      <c r="S221" t="s">
        <v>2291</v>
      </c>
      <c r="T221" s="78" t="s">
        <v>2374</v>
      </c>
      <c r="V221" s="77" t="str">
        <f>HYPERLINK("https://pbs.twimg.com/profile_images/1339117956828078080/5mEamU7V_normal.jpg")</f>
        <v>https://pbs.twimg.com/profile_images/1339117956828078080/5mEamU7V_normal.jpg</v>
      </c>
      <c r="W221" s="76">
        <v>44958.97184027778</v>
      </c>
      <c r="X221" s="80">
        <v>44958</v>
      </c>
      <c r="Y221" s="78" t="s">
        <v>3007</v>
      </c>
      <c r="Z221" s="77" t="str">
        <f>HYPERLINK("https://twitter.com/jennerjann/status/1620924821902344192")</f>
        <v>https://twitter.com/jennerjann/status/1620924821902344192</v>
      </c>
      <c r="AC221" s="78" t="s">
        <v>4072</v>
      </c>
      <c r="AE221" t="b">
        <v>0</v>
      </c>
      <c r="AF221">
        <v>0</v>
      </c>
      <c r="AG221" s="78" t="s">
        <v>4640</v>
      </c>
      <c r="AH221" t="b">
        <v>0</v>
      </c>
      <c r="AI221" t="s">
        <v>4829</v>
      </c>
      <c r="AK221" s="78" t="s">
        <v>4640</v>
      </c>
      <c r="AL221" t="b">
        <v>0</v>
      </c>
      <c r="AM221">
        <v>0</v>
      </c>
      <c r="AN221" s="78" t="s">
        <v>4640</v>
      </c>
      <c r="AO221" s="78" t="s">
        <v>4851</v>
      </c>
      <c r="AP221" t="b">
        <v>0</v>
      </c>
      <c r="AQ221" s="78" t="s">
        <v>4072</v>
      </c>
      <c r="AR221" t="s">
        <v>179</v>
      </c>
      <c r="AS221">
        <v>0</v>
      </c>
      <c r="AT221">
        <v>0</v>
      </c>
    </row>
    <row r="222" spans="1:46" x14ac:dyDescent="0.45">
      <c r="A222" s="62" t="s">
        <v>821</v>
      </c>
      <c r="B222" s="62" t="s">
        <v>820</v>
      </c>
      <c r="C222" s="63"/>
      <c r="D222" s="64"/>
      <c r="E222" s="65"/>
      <c r="F222" s="66"/>
      <c r="G222" s="63"/>
      <c r="H222" s="67"/>
      <c r="I222" s="68"/>
      <c r="J222" s="68"/>
      <c r="K222" s="32"/>
      <c r="L222" s="75"/>
      <c r="M222" s="75"/>
      <c r="N222" s="70"/>
      <c r="O222" t="s">
        <v>1569</v>
      </c>
      <c r="P222" s="76">
        <v>44958.464409722219</v>
      </c>
      <c r="Q222" t="s">
        <v>2003</v>
      </c>
      <c r="R222" s="77" t="str">
        <f>HYPERLINK("https://www.gaynycdad.com/2023/01/15-walmart.html")</f>
        <v>https://www.gaynycdad.com/2023/01/15-walmart.html</v>
      </c>
      <c r="S222" t="s">
        <v>2291</v>
      </c>
      <c r="T222" s="78" t="s">
        <v>2374</v>
      </c>
      <c r="V222" s="77" t="str">
        <f>HYPERLINK("https://pbs.twimg.com/profile_images/858088924899663872/6bhNyhri_normal.jpg")</f>
        <v>https://pbs.twimg.com/profile_images/858088924899663872/6bhNyhri_normal.jpg</v>
      </c>
      <c r="W222" s="76">
        <v>44958.464409722219</v>
      </c>
      <c r="X222" s="80">
        <v>44958</v>
      </c>
      <c r="Y222" s="78" t="s">
        <v>3064</v>
      </c>
      <c r="Z222" s="77" t="str">
        <f>HYPERLINK("https://twitter.com/gaynycdad/status/1620740936673423361")</f>
        <v>https://twitter.com/gaynycdad/status/1620740936673423361</v>
      </c>
      <c r="AC222" s="78" t="s">
        <v>4129</v>
      </c>
      <c r="AE222" t="b">
        <v>0</v>
      </c>
      <c r="AF222">
        <v>0</v>
      </c>
      <c r="AG222" s="78" t="s">
        <v>4640</v>
      </c>
      <c r="AH222" t="b">
        <v>0</v>
      </c>
      <c r="AI222" t="s">
        <v>4829</v>
      </c>
      <c r="AK222" s="78" t="s">
        <v>4640</v>
      </c>
      <c r="AL222" t="b">
        <v>0</v>
      </c>
      <c r="AM222">
        <v>1</v>
      </c>
      <c r="AN222" s="78" t="s">
        <v>4128</v>
      </c>
      <c r="AO222" s="78" t="s">
        <v>4849</v>
      </c>
      <c r="AP222" t="b">
        <v>0</v>
      </c>
      <c r="AQ222" s="78" t="s">
        <v>4128</v>
      </c>
      <c r="AR222" t="s">
        <v>179</v>
      </c>
      <c r="AS222">
        <v>0</v>
      </c>
      <c r="AT222">
        <v>0</v>
      </c>
    </row>
    <row r="223" spans="1:46" x14ac:dyDescent="0.45">
      <c r="A223" s="62" t="s">
        <v>821</v>
      </c>
      <c r="B223" s="62" t="s">
        <v>822</v>
      </c>
      <c r="C223" s="63"/>
      <c r="D223" s="64"/>
      <c r="E223" s="65"/>
      <c r="F223" s="66"/>
      <c r="G223" s="63"/>
      <c r="H223" s="67"/>
      <c r="I223" s="68"/>
      <c r="J223" s="68"/>
      <c r="K223" s="32"/>
      <c r="L223" s="75"/>
      <c r="M223" s="75"/>
      <c r="N223" s="70"/>
      <c r="O223" t="s">
        <v>1569</v>
      </c>
      <c r="P223" s="76">
        <v>44958.591527777775</v>
      </c>
      <c r="Q223" t="s">
        <v>2004</v>
      </c>
      <c r="R223" s="77" t="str">
        <f>HYPERLINK("https://www.gaynycdad.com/2023/01/15-walmart.html#comment-1148686")</f>
        <v>https://www.gaynycdad.com/2023/01/15-walmart.html#comment-1148686</v>
      </c>
      <c r="S223" t="s">
        <v>2291</v>
      </c>
      <c r="T223" s="78" t="s">
        <v>2374</v>
      </c>
      <c r="V223" s="77" t="str">
        <f>HYPERLINK("https://pbs.twimg.com/profile_images/858088924899663872/6bhNyhri_normal.jpg")</f>
        <v>https://pbs.twimg.com/profile_images/858088924899663872/6bhNyhri_normal.jpg</v>
      </c>
      <c r="W223" s="76">
        <v>44958.591527777775</v>
      </c>
      <c r="X223" s="80">
        <v>44958</v>
      </c>
      <c r="Y223" s="78" t="s">
        <v>3066</v>
      </c>
      <c r="Z223" s="77" t="str">
        <f>HYPERLINK("https://twitter.com/gaynycdad/status/1620787001967648770")</f>
        <v>https://twitter.com/gaynycdad/status/1620787001967648770</v>
      </c>
      <c r="AC223" s="78" t="s">
        <v>4131</v>
      </c>
      <c r="AE223" t="b">
        <v>0</v>
      </c>
      <c r="AF223">
        <v>0</v>
      </c>
      <c r="AG223" s="78" t="s">
        <v>4640</v>
      </c>
      <c r="AH223" t="b">
        <v>0</v>
      </c>
      <c r="AI223" t="s">
        <v>4829</v>
      </c>
      <c r="AK223" s="78" t="s">
        <v>4640</v>
      </c>
      <c r="AL223" t="b">
        <v>0</v>
      </c>
      <c r="AM223">
        <v>1</v>
      </c>
      <c r="AN223" s="78" t="s">
        <v>4130</v>
      </c>
      <c r="AO223" s="78" t="s">
        <v>4851</v>
      </c>
      <c r="AP223" t="b">
        <v>0</v>
      </c>
      <c r="AQ223" s="78" t="s">
        <v>4130</v>
      </c>
      <c r="AR223" t="s">
        <v>179</v>
      </c>
      <c r="AS223">
        <v>0</v>
      </c>
      <c r="AT223">
        <v>0</v>
      </c>
    </row>
    <row r="224" spans="1:46" x14ac:dyDescent="0.45">
      <c r="A224" s="62" t="s">
        <v>823</v>
      </c>
      <c r="B224" s="62" t="s">
        <v>821</v>
      </c>
      <c r="C224" s="63"/>
      <c r="D224" s="64"/>
      <c r="E224" s="65"/>
      <c r="F224" s="66"/>
      <c r="G224" s="63"/>
      <c r="H224" s="67"/>
      <c r="I224" s="68"/>
      <c r="J224" s="68"/>
      <c r="K224" s="32"/>
      <c r="L224" s="75"/>
      <c r="M224" s="75"/>
      <c r="N224" s="70"/>
      <c r="O224" t="s">
        <v>1568</v>
      </c>
      <c r="P224" s="76">
        <v>44958.76390046296</v>
      </c>
      <c r="Q224" t="s">
        <v>2005</v>
      </c>
      <c r="R224" s="77" t="str">
        <f>HYPERLINK("https://www.gaynycdad.com/2023/01/15-walmart.html")</f>
        <v>https://www.gaynycdad.com/2023/01/15-walmart.html</v>
      </c>
      <c r="S224" t="s">
        <v>2291</v>
      </c>
      <c r="T224" s="78" t="s">
        <v>2374</v>
      </c>
      <c r="V224" s="77" t="str">
        <f>HYPERLINK("https://pbs.twimg.com/profile_images/1356817694398504965/BDrT261V_normal.jpg")</f>
        <v>https://pbs.twimg.com/profile_images/1356817694398504965/BDrT261V_normal.jpg</v>
      </c>
      <c r="W224" s="76">
        <v>44958.76390046296</v>
      </c>
      <c r="X224" s="80">
        <v>44958</v>
      </c>
      <c r="Y224" s="78" t="s">
        <v>3067</v>
      </c>
      <c r="Z224" s="77" t="str">
        <f>HYPERLINK("https://twitter.com/jennifer57/status/1620849465954557955")</f>
        <v>https://twitter.com/jennifer57/status/1620849465954557955</v>
      </c>
      <c r="AC224" s="78" t="s">
        <v>4132</v>
      </c>
      <c r="AE224" t="b">
        <v>0</v>
      </c>
      <c r="AF224">
        <v>0</v>
      </c>
      <c r="AG224" s="78" t="s">
        <v>4640</v>
      </c>
      <c r="AH224" t="b">
        <v>0</v>
      </c>
      <c r="AI224" t="s">
        <v>4829</v>
      </c>
      <c r="AK224" s="78" t="s">
        <v>4640</v>
      </c>
      <c r="AL224" t="b">
        <v>0</v>
      </c>
      <c r="AM224">
        <v>1</v>
      </c>
      <c r="AN224" s="78" t="s">
        <v>4640</v>
      </c>
      <c r="AO224" s="78" t="s">
        <v>4851</v>
      </c>
      <c r="AP224" t="b">
        <v>0</v>
      </c>
      <c r="AQ224" s="78" t="s">
        <v>4132</v>
      </c>
      <c r="AR224" t="s">
        <v>179</v>
      </c>
      <c r="AS224">
        <v>0</v>
      </c>
      <c r="AT224">
        <v>0</v>
      </c>
    </row>
    <row r="225" spans="1:46" x14ac:dyDescent="0.45">
      <c r="A225" s="62" t="s">
        <v>823</v>
      </c>
      <c r="B225" s="62" t="s">
        <v>242</v>
      </c>
      <c r="C225" s="63"/>
      <c r="D225" s="64"/>
      <c r="E225" s="65"/>
      <c r="F225" s="66"/>
      <c r="G225" s="63"/>
      <c r="H225" s="67"/>
      <c r="I225" s="68"/>
      <c r="J225" s="68"/>
      <c r="K225" s="32"/>
      <c r="L225" s="75"/>
      <c r="M225" s="75"/>
      <c r="N225" s="70"/>
      <c r="O225" t="s">
        <v>1568</v>
      </c>
      <c r="P225" s="76">
        <v>44958.76390046296</v>
      </c>
      <c r="Q225" t="s">
        <v>2005</v>
      </c>
      <c r="R225" s="77" t="str">
        <f>HYPERLINK("https://www.gaynycdad.com/2023/01/15-walmart.html")</f>
        <v>https://www.gaynycdad.com/2023/01/15-walmart.html</v>
      </c>
      <c r="S225" t="s">
        <v>2291</v>
      </c>
      <c r="T225" s="78" t="s">
        <v>2374</v>
      </c>
      <c r="V225" s="77" t="str">
        <f>HYPERLINK("https://pbs.twimg.com/profile_images/1356817694398504965/BDrT261V_normal.jpg")</f>
        <v>https://pbs.twimg.com/profile_images/1356817694398504965/BDrT261V_normal.jpg</v>
      </c>
      <c r="W225" s="76">
        <v>44958.76390046296</v>
      </c>
      <c r="X225" s="80">
        <v>44958</v>
      </c>
      <c r="Y225" s="78" t="s">
        <v>3067</v>
      </c>
      <c r="Z225" s="77" t="str">
        <f>HYPERLINK("https://twitter.com/jennifer57/status/1620849465954557955")</f>
        <v>https://twitter.com/jennifer57/status/1620849465954557955</v>
      </c>
      <c r="AC225" s="78" t="s">
        <v>4132</v>
      </c>
      <c r="AE225" t="b">
        <v>0</v>
      </c>
      <c r="AF225">
        <v>0</v>
      </c>
      <c r="AG225" s="78" t="s">
        <v>4640</v>
      </c>
      <c r="AH225" t="b">
        <v>0</v>
      </c>
      <c r="AI225" t="s">
        <v>4829</v>
      </c>
      <c r="AK225" s="78" t="s">
        <v>4640</v>
      </c>
      <c r="AL225" t="b">
        <v>0</v>
      </c>
      <c r="AM225">
        <v>1</v>
      </c>
      <c r="AN225" s="78" t="s">
        <v>4640</v>
      </c>
      <c r="AO225" s="78" t="s">
        <v>4851</v>
      </c>
      <c r="AP225" t="b">
        <v>0</v>
      </c>
      <c r="AQ225" s="78" t="s">
        <v>4132</v>
      </c>
      <c r="AR225" t="s">
        <v>179</v>
      </c>
      <c r="AS225">
        <v>0</v>
      </c>
      <c r="AT225">
        <v>0</v>
      </c>
    </row>
    <row r="226" spans="1:46" x14ac:dyDescent="0.45">
      <c r="A226" s="62" t="s">
        <v>821</v>
      </c>
      <c r="B226" s="62" t="s">
        <v>823</v>
      </c>
      <c r="C226" s="63"/>
      <c r="D226" s="64"/>
      <c r="E226" s="65"/>
      <c r="F226" s="66"/>
      <c r="G226" s="63"/>
      <c r="H226" s="67"/>
      <c r="I226" s="68"/>
      <c r="J226" s="68"/>
      <c r="K226" s="32"/>
      <c r="L226" s="75"/>
      <c r="M226" s="75"/>
      <c r="N226" s="70"/>
      <c r="O226" t="s">
        <v>1569</v>
      </c>
      <c r="P226" s="76">
        <v>44959.000104166669</v>
      </c>
      <c r="Q226" t="s">
        <v>2005</v>
      </c>
      <c r="R226" s="77" t="str">
        <f>HYPERLINK("https://www.gaynycdad.com/2023/01/15-walmart.html")</f>
        <v>https://www.gaynycdad.com/2023/01/15-walmart.html</v>
      </c>
      <c r="S226" t="s">
        <v>2291</v>
      </c>
      <c r="T226" s="78" t="s">
        <v>2374</v>
      </c>
      <c r="V226" s="77" t="str">
        <f>HYPERLINK("https://pbs.twimg.com/profile_images/858088924899663872/6bhNyhri_normal.jpg")</f>
        <v>https://pbs.twimg.com/profile_images/858088924899663872/6bhNyhri_normal.jpg</v>
      </c>
      <c r="W226" s="76">
        <v>44959.000104166669</v>
      </c>
      <c r="X226" s="80">
        <v>44959</v>
      </c>
      <c r="Y226" s="78" t="s">
        <v>3068</v>
      </c>
      <c r="Z226" s="77" t="str">
        <f>HYPERLINK("https://twitter.com/gaynycdad/status/1620935065533546496")</f>
        <v>https://twitter.com/gaynycdad/status/1620935065533546496</v>
      </c>
      <c r="AC226" s="78" t="s">
        <v>4133</v>
      </c>
      <c r="AE226" t="b">
        <v>0</v>
      </c>
      <c r="AF226">
        <v>0</v>
      </c>
      <c r="AG226" s="78" t="s">
        <v>4640</v>
      </c>
      <c r="AH226" t="b">
        <v>0</v>
      </c>
      <c r="AI226" t="s">
        <v>4829</v>
      </c>
      <c r="AK226" s="78" t="s">
        <v>4640</v>
      </c>
      <c r="AL226" t="b">
        <v>0</v>
      </c>
      <c r="AM226">
        <v>1</v>
      </c>
      <c r="AN226" s="78" t="s">
        <v>4132</v>
      </c>
      <c r="AO226" s="78" t="s">
        <v>4849</v>
      </c>
      <c r="AP226" t="b">
        <v>0</v>
      </c>
      <c r="AQ226" s="78" t="s">
        <v>4132</v>
      </c>
      <c r="AR226" t="s">
        <v>179</v>
      </c>
      <c r="AS226">
        <v>0</v>
      </c>
      <c r="AT226">
        <v>0</v>
      </c>
    </row>
    <row r="227" spans="1:46" x14ac:dyDescent="0.45">
      <c r="A227" s="62" t="s">
        <v>821</v>
      </c>
      <c r="B227" s="62" t="s">
        <v>242</v>
      </c>
      <c r="C227" s="63"/>
      <c r="D227" s="64"/>
      <c r="E227" s="65"/>
      <c r="F227" s="66"/>
      <c r="G227" s="63"/>
      <c r="H227" s="67"/>
      <c r="I227" s="68"/>
      <c r="J227" s="68"/>
      <c r="K227" s="32"/>
      <c r="L227" s="75"/>
      <c r="M227" s="75"/>
      <c r="N227" s="70"/>
      <c r="O227" t="s">
        <v>1570</v>
      </c>
      <c r="P227" s="76">
        <v>44958.464409722219</v>
      </c>
      <c r="Q227" t="s">
        <v>2003</v>
      </c>
      <c r="R227" s="77" t="str">
        <f>HYPERLINK("https://www.gaynycdad.com/2023/01/15-walmart.html")</f>
        <v>https://www.gaynycdad.com/2023/01/15-walmart.html</v>
      </c>
      <c r="S227" t="s">
        <v>2291</v>
      </c>
      <c r="T227" s="78" t="s">
        <v>2374</v>
      </c>
      <c r="V227" s="77" t="str">
        <f>HYPERLINK("https://pbs.twimg.com/profile_images/858088924899663872/6bhNyhri_normal.jpg")</f>
        <v>https://pbs.twimg.com/profile_images/858088924899663872/6bhNyhri_normal.jpg</v>
      </c>
      <c r="W227" s="76">
        <v>44958.464409722219</v>
      </c>
      <c r="X227" s="80">
        <v>44958</v>
      </c>
      <c r="Y227" s="78" t="s">
        <v>3064</v>
      </c>
      <c r="Z227" s="77" t="str">
        <f>HYPERLINK("https://twitter.com/gaynycdad/status/1620740936673423361")</f>
        <v>https://twitter.com/gaynycdad/status/1620740936673423361</v>
      </c>
      <c r="AC227" s="78" t="s">
        <v>4129</v>
      </c>
      <c r="AE227" t="b">
        <v>0</v>
      </c>
      <c r="AF227">
        <v>0</v>
      </c>
      <c r="AG227" s="78" t="s">
        <v>4640</v>
      </c>
      <c r="AH227" t="b">
        <v>0</v>
      </c>
      <c r="AI227" t="s">
        <v>4829</v>
      </c>
      <c r="AK227" s="78" t="s">
        <v>4640</v>
      </c>
      <c r="AL227" t="b">
        <v>0</v>
      </c>
      <c r="AM227">
        <v>1</v>
      </c>
      <c r="AN227" s="78" t="s">
        <v>4128</v>
      </c>
      <c r="AO227" s="78" t="s">
        <v>4849</v>
      </c>
      <c r="AP227" t="b">
        <v>0</v>
      </c>
      <c r="AQ227" s="78" t="s">
        <v>4128</v>
      </c>
      <c r="AR227" t="s">
        <v>179</v>
      </c>
      <c r="AS227">
        <v>0</v>
      </c>
      <c r="AT227">
        <v>0</v>
      </c>
    </row>
    <row r="228" spans="1:46" x14ac:dyDescent="0.45">
      <c r="A228" s="62" t="s">
        <v>821</v>
      </c>
      <c r="B228" s="62" t="s">
        <v>242</v>
      </c>
      <c r="C228" s="63"/>
      <c r="D228" s="64"/>
      <c r="E228" s="65"/>
      <c r="F228" s="66"/>
      <c r="G228" s="63"/>
      <c r="H228" s="67"/>
      <c r="I228" s="68"/>
      <c r="J228" s="68"/>
      <c r="K228" s="32"/>
      <c r="L228" s="75"/>
      <c r="M228" s="75"/>
      <c r="N228" s="70"/>
      <c r="O228" t="s">
        <v>1570</v>
      </c>
      <c r="P228" s="76">
        <v>44958.591527777775</v>
      </c>
      <c r="Q228" t="s">
        <v>2004</v>
      </c>
      <c r="R228" s="77" t="str">
        <f>HYPERLINK("https://www.gaynycdad.com/2023/01/15-walmart.html#comment-1148686")</f>
        <v>https://www.gaynycdad.com/2023/01/15-walmart.html#comment-1148686</v>
      </c>
      <c r="S228" t="s">
        <v>2291</v>
      </c>
      <c r="T228" s="78" t="s">
        <v>2374</v>
      </c>
      <c r="V228" s="77" t="str">
        <f>HYPERLINK("https://pbs.twimg.com/profile_images/858088924899663872/6bhNyhri_normal.jpg")</f>
        <v>https://pbs.twimg.com/profile_images/858088924899663872/6bhNyhri_normal.jpg</v>
      </c>
      <c r="W228" s="76">
        <v>44958.591527777775</v>
      </c>
      <c r="X228" s="80">
        <v>44958</v>
      </c>
      <c r="Y228" s="78" t="s">
        <v>3066</v>
      </c>
      <c r="Z228" s="77" t="str">
        <f>HYPERLINK("https://twitter.com/gaynycdad/status/1620787001967648770")</f>
        <v>https://twitter.com/gaynycdad/status/1620787001967648770</v>
      </c>
      <c r="AC228" s="78" t="s">
        <v>4131</v>
      </c>
      <c r="AE228" t="b">
        <v>0</v>
      </c>
      <c r="AF228">
        <v>0</v>
      </c>
      <c r="AG228" s="78" t="s">
        <v>4640</v>
      </c>
      <c r="AH228" t="b">
        <v>0</v>
      </c>
      <c r="AI228" t="s">
        <v>4829</v>
      </c>
      <c r="AK228" s="78" t="s">
        <v>4640</v>
      </c>
      <c r="AL228" t="b">
        <v>0</v>
      </c>
      <c r="AM228">
        <v>1</v>
      </c>
      <c r="AN228" s="78" t="s">
        <v>4130</v>
      </c>
      <c r="AO228" s="78" t="s">
        <v>4851</v>
      </c>
      <c r="AP228" t="b">
        <v>0</v>
      </c>
      <c r="AQ228" s="78" t="s">
        <v>4130</v>
      </c>
      <c r="AR228" t="s">
        <v>179</v>
      </c>
      <c r="AS228">
        <v>0</v>
      </c>
      <c r="AT228">
        <v>0</v>
      </c>
    </row>
    <row r="229" spans="1:46" x14ac:dyDescent="0.45">
      <c r="A229" s="62" t="s">
        <v>821</v>
      </c>
      <c r="B229" s="62" t="s">
        <v>242</v>
      </c>
      <c r="C229" s="63"/>
      <c r="D229" s="64"/>
      <c r="E229" s="65"/>
      <c r="F229" s="66"/>
      <c r="G229" s="63"/>
      <c r="H229" s="67"/>
      <c r="I229" s="68"/>
      <c r="J229" s="68"/>
      <c r="K229" s="32"/>
      <c r="L229" s="75"/>
      <c r="M229" s="75"/>
      <c r="N229" s="70"/>
      <c r="O229" t="s">
        <v>1570</v>
      </c>
      <c r="P229" s="76">
        <v>44959.000104166669</v>
      </c>
      <c r="Q229" t="s">
        <v>2005</v>
      </c>
      <c r="R229" s="77" t="str">
        <f>HYPERLINK("https://www.gaynycdad.com/2023/01/15-walmart.html")</f>
        <v>https://www.gaynycdad.com/2023/01/15-walmart.html</v>
      </c>
      <c r="S229" t="s">
        <v>2291</v>
      </c>
      <c r="T229" s="78" t="s">
        <v>2374</v>
      </c>
      <c r="V229" s="77" t="str">
        <f>HYPERLINK("https://pbs.twimg.com/profile_images/858088924899663872/6bhNyhri_normal.jpg")</f>
        <v>https://pbs.twimg.com/profile_images/858088924899663872/6bhNyhri_normal.jpg</v>
      </c>
      <c r="W229" s="76">
        <v>44959.000104166669</v>
      </c>
      <c r="X229" s="80">
        <v>44959</v>
      </c>
      <c r="Y229" s="78" t="s">
        <v>3068</v>
      </c>
      <c r="Z229" s="77" t="str">
        <f>HYPERLINK("https://twitter.com/gaynycdad/status/1620935065533546496")</f>
        <v>https://twitter.com/gaynycdad/status/1620935065533546496</v>
      </c>
      <c r="AC229" s="78" t="s">
        <v>4133</v>
      </c>
      <c r="AE229" t="b">
        <v>0</v>
      </c>
      <c r="AF229">
        <v>0</v>
      </c>
      <c r="AG229" s="78" t="s">
        <v>4640</v>
      </c>
      <c r="AH229" t="b">
        <v>0</v>
      </c>
      <c r="AI229" t="s">
        <v>4829</v>
      </c>
      <c r="AK229" s="78" t="s">
        <v>4640</v>
      </c>
      <c r="AL229" t="b">
        <v>0</v>
      </c>
      <c r="AM229">
        <v>1</v>
      </c>
      <c r="AN229" s="78" t="s">
        <v>4132</v>
      </c>
      <c r="AO229" s="78" t="s">
        <v>4849</v>
      </c>
      <c r="AP229" t="b">
        <v>0</v>
      </c>
      <c r="AQ229" s="78" t="s">
        <v>4132</v>
      </c>
      <c r="AR229" t="s">
        <v>179</v>
      </c>
      <c r="AS229">
        <v>0</v>
      </c>
      <c r="AT229">
        <v>0</v>
      </c>
    </row>
    <row r="230" spans="1:46" x14ac:dyDescent="0.45">
      <c r="A230" s="62" t="s">
        <v>655</v>
      </c>
      <c r="B230" s="62" t="s">
        <v>1317</v>
      </c>
      <c r="C230" s="63"/>
      <c r="D230" s="64"/>
      <c r="E230" s="65"/>
      <c r="F230" s="66"/>
      <c r="G230" s="63"/>
      <c r="H230" s="67"/>
      <c r="I230" s="68"/>
      <c r="J230" s="68"/>
      <c r="K230" s="32"/>
      <c r="L230" s="75"/>
      <c r="M230" s="75"/>
      <c r="N230" s="70"/>
      <c r="O230" t="s">
        <v>1570</v>
      </c>
      <c r="P230" s="76">
        <v>44958.8596412037</v>
      </c>
      <c r="Q230" t="s">
        <v>1849</v>
      </c>
      <c r="R230" s="77" t="str">
        <f>HYPERLINK("https://www.gobankingrates.com/money/business/how-inflation-affect-target-shoppers/")</f>
        <v>https://www.gobankingrates.com/money/business/how-inflation-affect-target-shoppers/</v>
      </c>
      <c r="S230" t="s">
        <v>2288</v>
      </c>
      <c r="T230" s="78" t="s">
        <v>2354</v>
      </c>
      <c r="V230" s="77" t="str">
        <f>HYPERLINK("https://pbs.twimg.com/profile_images/818495627244015616/SM_URVDM_normal.jpg")</f>
        <v>https://pbs.twimg.com/profile_images/818495627244015616/SM_URVDM_normal.jpg</v>
      </c>
      <c r="W230" s="76">
        <v>44958.8596412037</v>
      </c>
      <c r="X230" s="80">
        <v>44958</v>
      </c>
      <c r="Y230" s="78" t="s">
        <v>2856</v>
      </c>
      <c r="Z230" s="77" t="str">
        <f>HYPERLINK("https://twitter.com/jeffkagan/status/1620884164034830339")</f>
        <v>https://twitter.com/jeffkagan/status/1620884164034830339</v>
      </c>
      <c r="AC230" s="78" t="s">
        <v>3921</v>
      </c>
      <c r="AE230" t="b">
        <v>0</v>
      </c>
      <c r="AF230">
        <v>0</v>
      </c>
      <c r="AG230" s="78" t="s">
        <v>4640</v>
      </c>
      <c r="AH230" t="b">
        <v>0</v>
      </c>
      <c r="AI230" t="s">
        <v>4829</v>
      </c>
      <c r="AK230" s="78" t="s">
        <v>4640</v>
      </c>
      <c r="AL230" t="b">
        <v>0</v>
      </c>
      <c r="AM230">
        <v>17</v>
      </c>
      <c r="AN230" s="78" t="s">
        <v>3920</v>
      </c>
      <c r="AO230" s="78" t="s">
        <v>4851</v>
      </c>
      <c r="AP230" t="b">
        <v>0</v>
      </c>
      <c r="AQ230" s="78" t="s">
        <v>3920</v>
      </c>
      <c r="AR230" t="s">
        <v>179</v>
      </c>
      <c r="AS230">
        <v>0</v>
      </c>
      <c r="AT230">
        <v>0</v>
      </c>
    </row>
    <row r="231" spans="1:46" x14ac:dyDescent="0.45">
      <c r="A231" s="62" t="s">
        <v>655</v>
      </c>
      <c r="B231" s="62" t="s">
        <v>242</v>
      </c>
      <c r="C231" s="63"/>
      <c r="D231" s="64"/>
      <c r="E231" s="65"/>
      <c r="F231" s="66"/>
      <c r="G231" s="63"/>
      <c r="H231" s="67"/>
      <c r="I231" s="68"/>
      <c r="J231" s="68"/>
      <c r="K231" s="32"/>
      <c r="L231" s="75"/>
      <c r="M231" s="75"/>
      <c r="N231" s="70"/>
      <c r="O231" t="s">
        <v>1570</v>
      </c>
      <c r="P231" s="76">
        <v>44958.8596412037</v>
      </c>
      <c r="Q231" t="s">
        <v>1849</v>
      </c>
      <c r="R231" s="77" t="str">
        <f>HYPERLINK("https://www.gobankingrates.com/money/business/how-inflation-affect-target-shoppers/")</f>
        <v>https://www.gobankingrates.com/money/business/how-inflation-affect-target-shoppers/</v>
      </c>
      <c r="S231" t="s">
        <v>2288</v>
      </c>
      <c r="T231" s="78" t="s">
        <v>2354</v>
      </c>
      <c r="V231" s="77" t="str">
        <f>HYPERLINK("https://pbs.twimg.com/profile_images/818495627244015616/SM_URVDM_normal.jpg")</f>
        <v>https://pbs.twimg.com/profile_images/818495627244015616/SM_URVDM_normal.jpg</v>
      </c>
      <c r="W231" s="76">
        <v>44958.8596412037</v>
      </c>
      <c r="X231" s="80">
        <v>44958</v>
      </c>
      <c r="Y231" s="78" t="s">
        <v>2856</v>
      </c>
      <c r="Z231" s="77" t="str">
        <f>HYPERLINK("https://twitter.com/jeffkagan/status/1620884164034830339")</f>
        <v>https://twitter.com/jeffkagan/status/1620884164034830339</v>
      </c>
      <c r="AC231" s="78" t="s">
        <v>3921</v>
      </c>
      <c r="AE231" t="b">
        <v>0</v>
      </c>
      <c r="AF231">
        <v>0</v>
      </c>
      <c r="AG231" s="78" t="s">
        <v>4640</v>
      </c>
      <c r="AH231" t="b">
        <v>0</v>
      </c>
      <c r="AI231" t="s">
        <v>4829</v>
      </c>
      <c r="AK231" s="78" t="s">
        <v>4640</v>
      </c>
      <c r="AL231" t="b">
        <v>0</v>
      </c>
      <c r="AM231">
        <v>17</v>
      </c>
      <c r="AN231" s="78" t="s">
        <v>3920</v>
      </c>
      <c r="AO231" s="78" t="s">
        <v>4851</v>
      </c>
      <c r="AP231" t="b">
        <v>0</v>
      </c>
      <c r="AQ231" s="78" t="s">
        <v>3920</v>
      </c>
      <c r="AR231" t="s">
        <v>179</v>
      </c>
      <c r="AS231">
        <v>0</v>
      </c>
      <c r="AT231">
        <v>0</v>
      </c>
    </row>
    <row r="232" spans="1:46" x14ac:dyDescent="0.45">
      <c r="A232" s="62" t="s">
        <v>655</v>
      </c>
      <c r="B232" s="62" t="s">
        <v>1181</v>
      </c>
      <c r="C232" s="63"/>
      <c r="D232" s="64"/>
      <c r="E232" s="65"/>
      <c r="F232" s="66"/>
      <c r="G232" s="63"/>
      <c r="H232" s="67"/>
      <c r="I232" s="68"/>
      <c r="J232" s="68"/>
      <c r="K232" s="32"/>
      <c r="L232" s="75"/>
      <c r="M232" s="75"/>
      <c r="N232" s="70"/>
      <c r="O232" t="s">
        <v>1570</v>
      </c>
      <c r="P232" s="76">
        <v>44958.8596412037</v>
      </c>
      <c r="Q232" t="s">
        <v>1849</v>
      </c>
      <c r="R232" s="77" t="str">
        <f>HYPERLINK("https://www.gobankingrates.com/money/business/how-inflation-affect-target-shoppers/")</f>
        <v>https://www.gobankingrates.com/money/business/how-inflation-affect-target-shoppers/</v>
      </c>
      <c r="S232" t="s">
        <v>2288</v>
      </c>
      <c r="T232" s="78" t="s">
        <v>2354</v>
      </c>
      <c r="V232" s="77" t="str">
        <f>HYPERLINK("https://pbs.twimg.com/profile_images/818495627244015616/SM_URVDM_normal.jpg")</f>
        <v>https://pbs.twimg.com/profile_images/818495627244015616/SM_URVDM_normal.jpg</v>
      </c>
      <c r="W232" s="76">
        <v>44958.8596412037</v>
      </c>
      <c r="X232" s="80">
        <v>44958</v>
      </c>
      <c r="Y232" s="78" t="s">
        <v>2856</v>
      </c>
      <c r="Z232" s="77" t="str">
        <f>HYPERLINK("https://twitter.com/jeffkagan/status/1620884164034830339")</f>
        <v>https://twitter.com/jeffkagan/status/1620884164034830339</v>
      </c>
      <c r="AC232" s="78" t="s">
        <v>3921</v>
      </c>
      <c r="AE232" t="b">
        <v>0</v>
      </c>
      <c r="AF232">
        <v>0</v>
      </c>
      <c r="AG232" s="78" t="s">
        <v>4640</v>
      </c>
      <c r="AH232" t="b">
        <v>0</v>
      </c>
      <c r="AI232" t="s">
        <v>4829</v>
      </c>
      <c r="AK232" s="78" t="s">
        <v>4640</v>
      </c>
      <c r="AL232" t="b">
        <v>0</v>
      </c>
      <c r="AM232">
        <v>17</v>
      </c>
      <c r="AN232" s="78" t="s">
        <v>3920</v>
      </c>
      <c r="AO232" s="78" t="s">
        <v>4851</v>
      </c>
      <c r="AP232" t="b">
        <v>0</v>
      </c>
      <c r="AQ232" s="78" t="s">
        <v>3920</v>
      </c>
      <c r="AR232" t="s">
        <v>179</v>
      </c>
      <c r="AS232">
        <v>0</v>
      </c>
      <c r="AT232">
        <v>0</v>
      </c>
    </row>
    <row r="233" spans="1:46" x14ac:dyDescent="0.45">
      <c r="A233" s="62" t="s">
        <v>655</v>
      </c>
      <c r="B233" s="62" t="s">
        <v>655</v>
      </c>
      <c r="C233" s="63"/>
      <c r="D233" s="64"/>
      <c r="E233" s="65"/>
      <c r="F233" s="66"/>
      <c r="G233" s="63"/>
      <c r="H233" s="67"/>
      <c r="I233" s="68"/>
      <c r="J233" s="68"/>
      <c r="K233" s="32"/>
      <c r="L233" s="75"/>
      <c r="M233" s="75"/>
      <c r="N233" s="70"/>
      <c r="O233" t="s">
        <v>1569</v>
      </c>
      <c r="P233" s="76">
        <v>44958.8596412037</v>
      </c>
      <c r="Q233" t="s">
        <v>1849</v>
      </c>
      <c r="R233" s="77" t="str">
        <f>HYPERLINK("https://www.gobankingrates.com/money/business/how-inflation-affect-target-shoppers/")</f>
        <v>https://www.gobankingrates.com/money/business/how-inflation-affect-target-shoppers/</v>
      </c>
      <c r="S233" t="s">
        <v>2288</v>
      </c>
      <c r="T233" s="78" t="s">
        <v>2354</v>
      </c>
      <c r="V233" s="77" t="str">
        <f>HYPERLINK("https://pbs.twimg.com/profile_images/818495627244015616/SM_URVDM_normal.jpg")</f>
        <v>https://pbs.twimg.com/profile_images/818495627244015616/SM_URVDM_normal.jpg</v>
      </c>
      <c r="W233" s="76">
        <v>44958.8596412037</v>
      </c>
      <c r="X233" s="80">
        <v>44958</v>
      </c>
      <c r="Y233" s="78" t="s">
        <v>2856</v>
      </c>
      <c r="Z233" s="77" t="str">
        <f>HYPERLINK("https://twitter.com/jeffkagan/status/1620884164034830339")</f>
        <v>https://twitter.com/jeffkagan/status/1620884164034830339</v>
      </c>
      <c r="AC233" s="78" t="s">
        <v>3921</v>
      </c>
      <c r="AE233" t="b">
        <v>0</v>
      </c>
      <c r="AF233">
        <v>0</v>
      </c>
      <c r="AG233" s="78" t="s">
        <v>4640</v>
      </c>
      <c r="AH233" t="b">
        <v>0</v>
      </c>
      <c r="AI233" t="s">
        <v>4829</v>
      </c>
      <c r="AK233" s="78" t="s">
        <v>4640</v>
      </c>
      <c r="AL233" t="b">
        <v>0</v>
      </c>
      <c r="AM233">
        <v>17</v>
      </c>
      <c r="AN233" s="78" t="s">
        <v>3920</v>
      </c>
      <c r="AO233" s="78" t="s">
        <v>4851</v>
      </c>
      <c r="AP233" t="b">
        <v>0</v>
      </c>
      <c r="AQ233" s="78" t="s">
        <v>3920</v>
      </c>
      <c r="AR233" t="s">
        <v>179</v>
      </c>
      <c r="AS233">
        <v>0</v>
      </c>
      <c r="AT233">
        <v>0</v>
      </c>
    </row>
    <row r="234" spans="1:46" x14ac:dyDescent="0.45">
      <c r="A234" s="62" t="s">
        <v>655</v>
      </c>
      <c r="B234" s="62" t="s">
        <v>1317</v>
      </c>
      <c r="C234" s="63"/>
      <c r="D234" s="64"/>
      <c r="E234" s="65"/>
      <c r="F234" s="66"/>
      <c r="G234" s="63"/>
      <c r="H234" s="67"/>
      <c r="I234" s="68"/>
      <c r="J234" s="68"/>
      <c r="K234" s="32"/>
      <c r="L234" s="75"/>
      <c r="M234" s="75"/>
      <c r="N234" s="70"/>
      <c r="O234" t="s">
        <v>1568</v>
      </c>
      <c r="P234" s="76">
        <v>44923.510104166664</v>
      </c>
      <c r="Q234" t="s">
        <v>1849</v>
      </c>
      <c r="R234" s="77" t="str">
        <f>HYPERLINK("https://www.gobankingrates.com/money/business/how-inflation-affect-target-shoppers/")</f>
        <v>https://www.gobankingrates.com/money/business/how-inflation-affect-target-shoppers/</v>
      </c>
      <c r="S234" t="s">
        <v>2288</v>
      </c>
      <c r="T234" s="78" t="s">
        <v>2353</v>
      </c>
      <c r="V234" s="77" t="str">
        <f>HYPERLINK("https://pbs.twimg.com/profile_images/818495627244015616/SM_URVDM_normal.jpg")</f>
        <v>https://pbs.twimg.com/profile_images/818495627244015616/SM_URVDM_normal.jpg</v>
      </c>
      <c r="W234" s="76">
        <v>44923.510104166664</v>
      </c>
      <c r="X234" s="80">
        <v>44923</v>
      </c>
      <c r="Y234" s="78" t="s">
        <v>2855</v>
      </c>
      <c r="Z234" s="77" t="str">
        <f>HYPERLINK("https://twitter.com/jeffkagan/status/1608073920258920450")</f>
        <v>https://twitter.com/jeffkagan/status/1608073920258920450</v>
      </c>
      <c r="AC234" s="78" t="s">
        <v>3920</v>
      </c>
      <c r="AE234" t="b">
        <v>0</v>
      </c>
      <c r="AF234">
        <v>18</v>
      </c>
      <c r="AG234" s="78" t="s">
        <v>4640</v>
      </c>
      <c r="AH234" t="b">
        <v>0</v>
      </c>
      <c r="AI234" t="s">
        <v>4829</v>
      </c>
      <c r="AK234" s="78" t="s">
        <v>4640</v>
      </c>
      <c r="AL234" t="b">
        <v>0</v>
      </c>
      <c r="AM234">
        <v>17</v>
      </c>
      <c r="AN234" s="78" t="s">
        <v>4640</v>
      </c>
      <c r="AO234" s="78" t="s">
        <v>4851</v>
      </c>
      <c r="AP234" t="b">
        <v>0</v>
      </c>
      <c r="AQ234" s="78" t="s">
        <v>3920</v>
      </c>
      <c r="AR234" t="s">
        <v>1569</v>
      </c>
      <c r="AS234">
        <v>0</v>
      </c>
      <c r="AT234">
        <v>0</v>
      </c>
    </row>
    <row r="235" spans="1:46" x14ac:dyDescent="0.45">
      <c r="A235" s="62" t="s">
        <v>655</v>
      </c>
      <c r="B235" s="62" t="s">
        <v>242</v>
      </c>
      <c r="C235" s="63"/>
      <c r="D235" s="64"/>
      <c r="E235" s="65"/>
      <c r="F235" s="66"/>
      <c r="G235" s="63"/>
      <c r="H235" s="67"/>
      <c r="I235" s="68"/>
      <c r="J235" s="68"/>
      <c r="K235" s="32"/>
      <c r="L235" s="75"/>
      <c r="M235" s="75"/>
      <c r="N235" s="70"/>
      <c r="O235" t="s">
        <v>1568</v>
      </c>
      <c r="P235" s="76">
        <v>44923.510104166664</v>
      </c>
      <c r="Q235" t="s">
        <v>1849</v>
      </c>
      <c r="R235" s="77" t="str">
        <f>HYPERLINK("https://www.gobankingrates.com/money/business/how-inflation-affect-target-shoppers/")</f>
        <v>https://www.gobankingrates.com/money/business/how-inflation-affect-target-shoppers/</v>
      </c>
      <c r="S235" t="s">
        <v>2288</v>
      </c>
      <c r="T235" s="78" t="s">
        <v>2353</v>
      </c>
      <c r="V235" s="77" t="str">
        <f>HYPERLINK("https://pbs.twimg.com/profile_images/818495627244015616/SM_URVDM_normal.jpg")</f>
        <v>https://pbs.twimg.com/profile_images/818495627244015616/SM_URVDM_normal.jpg</v>
      </c>
      <c r="W235" s="76">
        <v>44923.510104166664</v>
      </c>
      <c r="X235" s="80">
        <v>44923</v>
      </c>
      <c r="Y235" s="78" t="s">
        <v>2855</v>
      </c>
      <c r="Z235" s="77" t="str">
        <f>HYPERLINK("https://twitter.com/jeffkagan/status/1608073920258920450")</f>
        <v>https://twitter.com/jeffkagan/status/1608073920258920450</v>
      </c>
      <c r="AC235" s="78" t="s">
        <v>3920</v>
      </c>
      <c r="AE235" t="b">
        <v>0</v>
      </c>
      <c r="AF235">
        <v>18</v>
      </c>
      <c r="AG235" s="78" t="s">
        <v>4640</v>
      </c>
      <c r="AH235" t="b">
        <v>0</v>
      </c>
      <c r="AI235" t="s">
        <v>4829</v>
      </c>
      <c r="AK235" s="78" t="s">
        <v>4640</v>
      </c>
      <c r="AL235" t="b">
        <v>0</v>
      </c>
      <c r="AM235">
        <v>17</v>
      </c>
      <c r="AN235" s="78" t="s">
        <v>4640</v>
      </c>
      <c r="AO235" s="78" t="s">
        <v>4851</v>
      </c>
      <c r="AP235" t="b">
        <v>0</v>
      </c>
      <c r="AQ235" s="78" t="s">
        <v>3920</v>
      </c>
      <c r="AR235" t="s">
        <v>1569</v>
      </c>
      <c r="AS235">
        <v>0</v>
      </c>
      <c r="AT235">
        <v>0</v>
      </c>
    </row>
    <row r="236" spans="1:46" x14ac:dyDescent="0.45">
      <c r="A236" s="62" t="s">
        <v>655</v>
      </c>
      <c r="B236" s="62" t="s">
        <v>1181</v>
      </c>
      <c r="C236" s="63"/>
      <c r="D236" s="64"/>
      <c r="E236" s="65"/>
      <c r="F236" s="66"/>
      <c r="G236" s="63"/>
      <c r="H236" s="67"/>
      <c r="I236" s="68"/>
      <c r="J236" s="68"/>
      <c r="K236" s="32"/>
      <c r="L236" s="75"/>
      <c r="M236" s="75"/>
      <c r="N236" s="70"/>
      <c r="O236" t="s">
        <v>1568</v>
      </c>
      <c r="P236" s="76">
        <v>44923.510104166664</v>
      </c>
      <c r="Q236" t="s">
        <v>1849</v>
      </c>
      <c r="R236" s="77" t="str">
        <f>HYPERLINK("https://www.gobankingrates.com/money/business/how-inflation-affect-target-shoppers/")</f>
        <v>https://www.gobankingrates.com/money/business/how-inflation-affect-target-shoppers/</v>
      </c>
      <c r="S236" t="s">
        <v>2288</v>
      </c>
      <c r="T236" s="78" t="s">
        <v>2353</v>
      </c>
      <c r="V236" s="77" t="str">
        <f>HYPERLINK("https://pbs.twimg.com/profile_images/818495627244015616/SM_URVDM_normal.jpg")</f>
        <v>https://pbs.twimg.com/profile_images/818495627244015616/SM_URVDM_normal.jpg</v>
      </c>
      <c r="W236" s="76">
        <v>44923.510104166664</v>
      </c>
      <c r="X236" s="80">
        <v>44923</v>
      </c>
      <c r="Y236" s="78" t="s">
        <v>2855</v>
      </c>
      <c r="Z236" s="77" t="str">
        <f>HYPERLINK("https://twitter.com/jeffkagan/status/1608073920258920450")</f>
        <v>https://twitter.com/jeffkagan/status/1608073920258920450</v>
      </c>
      <c r="AC236" s="78" t="s">
        <v>3920</v>
      </c>
      <c r="AE236" t="b">
        <v>0</v>
      </c>
      <c r="AF236">
        <v>18</v>
      </c>
      <c r="AG236" s="78" t="s">
        <v>4640</v>
      </c>
      <c r="AH236" t="b">
        <v>0</v>
      </c>
      <c r="AI236" t="s">
        <v>4829</v>
      </c>
      <c r="AK236" s="78" t="s">
        <v>4640</v>
      </c>
      <c r="AL236" t="b">
        <v>0</v>
      </c>
      <c r="AM236">
        <v>17</v>
      </c>
      <c r="AN236" s="78" t="s">
        <v>4640</v>
      </c>
      <c r="AO236" s="78" t="s">
        <v>4851</v>
      </c>
      <c r="AP236" t="b">
        <v>0</v>
      </c>
      <c r="AQ236" s="78" t="s">
        <v>3920</v>
      </c>
      <c r="AR236" t="s">
        <v>1569</v>
      </c>
      <c r="AS236">
        <v>0</v>
      </c>
      <c r="AT236">
        <v>0</v>
      </c>
    </row>
    <row r="237" spans="1:46" x14ac:dyDescent="0.45">
      <c r="A237" s="62" t="s">
        <v>655</v>
      </c>
      <c r="B237" s="62" t="s">
        <v>242</v>
      </c>
      <c r="C237" s="63"/>
      <c r="D237" s="64"/>
      <c r="E237" s="65"/>
      <c r="F237" s="66"/>
      <c r="G237" s="63"/>
      <c r="H237" s="67"/>
      <c r="I237" s="68"/>
      <c r="J237" s="68"/>
      <c r="K237" s="32"/>
      <c r="L237" s="75"/>
      <c r="M237" s="75"/>
      <c r="N237" s="70"/>
      <c r="O237" t="s">
        <v>1570</v>
      </c>
      <c r="P237" s="76">
        <v>44958.859166666669</v>
      </c>
      <c r="Q237" t="s">
        <v>2165</v>
      </c>
      <c r="R237" s="77" t="str">
        <f>HYPERLINK("https://www.gobankingrates.com/money/business/how-inflation-affect-target-shoppers/")</f>
        <v>https://www.gobankingrates.com/money/business/how-inflation-affect-target-shoppers/</v>
      </c>
      <c r="S237" t="s">
        <v>2288</v>
      </c>
      <c r="T237" s="78" t="s">
        <v>2407</v>
      </c>
      <c r="V237" s="77" t="str">
        <f>HYPERLINK("https://pbs.twimg.com/profile_images/818495627244015616/SM_URVDM_normal.jpg")</f>
        <v>https://pbs.twimg.com/profile_images/818495627244015616/SM_URVDM_normal.jpg</v>
      </c>
      <c r="W237" s="76">
        <v>44958.859166666669</v>
      </c>
      <c r="X237" s="80">
        <v>44958</v>
      </c>
      <c r="Y237" s="78" t="s">
        <v>3301</v>
      </c>
      <c r="Z237" s="77" t="str">
        <f>HYPERLINK("https://twitter.com/jeffkagan/status/1620883988276736000")</f>
        <v>https://twitter.com/jeffkagan/status/1620883988276736000</v>
      </c>
      <c r="AC237" s="78" t="s">
        <v>4366</v>
      </c>
      <c r="AE237" t="b">
        <v>0</v>
      </c>
      <c r="AF237">
        <v>0</v>
      </c>
      <c r="AG237" s="78" t="s">
        <v>4640</v>
      </c>
      <c r="AH237" t="b">
        <v>0</v>
      </c>
      <c r="AI237" t="s">
        <v>4829</v>
      </c>
      <c r="AK237" s="78" t="s">
        <v>4640</v>
      </c>
      <c r="AL237" t="b">
        <v>0</v>
      </c>
      <c r="AM237">
        <v>7</v>
      </c>
      <c r="AN237" s="78" t="s">
        <v>4365</v>
      </c>
      <c r="AO237" s="78" t="s">
        <v>4851</v>
      </c>
      <c r="AP237" t="b">
        <v>0</v>
      </c>
      <c r="AQ237" s="78" t="s">
        <v>4365</v>
      </c>
      <c r="AR237" t="s">
        <v>179</v>
      </c>
      <c r="AS237">
        <v>0</v>
      </c>
      <c r="AT237">
        <v>0</v>
      </c>
    </row>
    <row r="238" spans="1:46" x14ac:dyDescent="0.45">
      <c r="A238" s="62" t="s">
        <v>655</v>
      </c>
      <c r="B238" s="62" t="s">
        <v>1181</v>
      </c>
      <c r="C238" s="63"/>
      <c r="D238" s="64"/>
      <c r="E238" s="65"/>
      <c r="F238" s="66"/>
      <c r="G238" s="63"/>
      <c r="H238" s="67"/>
      <c r="I238" s="68"/>
      <c r="J238" s="68"/>
      <c r="K238" s="32"/>
      <c r="L238" s="75"/>
      <c r="M238" s="75"/>
      <c r="N238" s="70"/>
      <c r="O238" t="s">
        <v>1570</v>
      </c>
      <c r="P238" s="76">
        <v>44958.859166666669</v>
      </c>
      <c r="Q238" t="s">
        <v>2165</v>
      </c>
      <c r="R238" s="77" t="str">
        <f>HYPERLINK("https://www.gobankingrates.com/money/business/how-inflation-affect-target-shoppers/")</f>
        <v>https://www.gobankingrates.com/money/business/how-inflation-affect-target-shoppers/</v>
      </c>
      <c r="S238" t="s">
        <v>2288</v>
      </c>
      <c r="T238" s="78" t="s">
        <v>2407</v>
      </c>
      <c r="V238" s="77" t="str">
        <f>HYPERLINK("https://pbs.twimg.com/profile_images/818495627244015616/SM_URVDM_normal.jpg")</f>
        <v>https://pbs.twimg.com/profile_images/818495627244015616/SM_URVDM_normal.jpg</v>
      </c>
      <c r="W238" s="76">
        <v>44958.859166666669</v>
      </c>
      <c r="X238" s="80">
        <v>44958</v>
      </c>
      <c r="Y238" s="78" t="s">
        <v>3301</v>
      </c>
      <c r="Z238" s="77" t="str">
        <f>HYPERLINK("https://twitter.com/jeffkagan/status/1620883988276736000")</f>
        <v>https://twitter.com/jeffkagan/status/1620883988276736000</v>
      </c>
      <c r="AC238" s="78" t="s">
        <v>4366</v>
      </c>
      <c r="AE238" t="b">
        <v>0</v>
      </c>
      <c r="AF238">
        <v>0</v>
      </c>
      <c r="AG238" s="78" t="s">
        <v>4640</v>
      </c>
      <c r="AH238" t="b">
        <v>0</v>
      </c>
      <c r="AI238" t="s">
        <v>4829</v>
      </c>
      <c r="AK238" s="78" t="s">
        <v>4640</v>
      </c>
      <c r="AL238" t="b">
        <v>0</v>
      </c>
      <c r="AM238">
        <v>7</v>
      </c>
      <c r="AN238" s="78" t="s">
        <v>4365</v>
      </c>
      <c r="AO238" s="78" t="s">
        <v>4851</v>
      </c>
      <c r="AP238" t="b">
        <v>0</v>
      </c>
      <c r="AQ238" s="78" t="s">
        <v>4365</v>
      </c>
      <c r="AR238" t="s">
        <v>179</v>
      </c>
      <c r="AS238">
        <v>0</v>
      </c>
      <c r="AT238">
        <v>0</v>
      </c>
    </row>
    <row r="239" spans="1:46" x14ac:dyDescent="0.45">
      <c r="A239" s="62" t="s">
        <v>655</v>
      </c>
      <c r="B239" s="62" t="s">
        <v>655</v>
      </c>
      <c r="C239" s="63"/>
      <c r="D239" s="64"/>
      <c r="E239" s="65"/>
      <c r="F239" s="66"/>
      <c r="G239" s="63"/>
      <c r="H239" s="67"/>
      <c r="I239" s="68"/>
      <c r="J239" s="68"/>
      <c r="K239" s="32"/>
      <c r="L239" s="75"/>
      <c r="M239" s="75"/>
      <c r="N239" s="70"/>
      <c r="O239" t="s">
        <v>1569</v>
      </c>
      <c r="P239" s="76">
        <v>44958.859166666669</v>
      </c>
      <c r="Q239" t="s">
        <v>2165</v>
      </c>
      <c r="R239" s="77" t="str">
        <f>HYPERLINK("https://www.gobankingrates.com/money/business/how-inflation-affect-target-shoppers/")</f>
        <v>https://www.gobankingrates.com/money/business/how-inflation-affect-target-shoppers/</v>
      </c>
      <c r="S239" t="s">
        <v>2288</v>
      </c>
      <c r="T239" s="78" t="s">
        <v>2407</v>
      </c>
      <c r="V239" s="77" t="str">
        <f>HYPERLINK("https://pbs.twimg.com/profile_images/818495627244015616/SM_URVDM_normal.jpg")</f>
        <v>https://pbs.twimg.com/profile_images/818495627244015616/SM_URVDM_normal.jpg</v>
      </c>
      <c r="W239" s="76">
        <v>44958.859166666669</v>
      </c>
      <c r="X239" s="80">
        <v>44958</v>
      </c>
      <c r="Y239" s="78" t="s">
        <v>3301</v>
      </c>
      <c r="Z239" s="77" t="str">
        <f>HYPERLINK("https://twitter.com/jeffkagan/status/1620883988276736000")</f>
        <v>https://twitter.com/jeffkagan/status/1620883988276736000</v>
      </c>
      <c r="AC239" s="78" t="s">
        <v>4366</v>
      </c>
      <c r="AE239" t="b">
        <v>0</v>
      </c>
      <c r="AF239">
        <v>0</v>
      </c>
      <c r="AG239" s="78" t="s">
        <v>4640</v>
      </c>
      <c r="AH239" t="b">
        <v>0</v>
      </c>
      <c r="AI239" t="s">
        <v>4829</v>
      </c>
      <c r="AK239" s="78" t="s">
        <v>4640</v>
      </c>
      <c r="AL239" t="b">
        <v>0</v>
      </c>
      <c r="AM239">
        <v>7</v>
      </c>
      <c r="AN239" s="78" t="s">
        <v>4365</v>
      </c>
      <c r="AO239" s="78" t="s">
        <v>4851</v>
      </c>
      <c r="AP239" t="b">
        <v>0</v>
      </c>
      <c r="AQ239" s="78" t="s">
        <v>4365</v>
      </c>
      <c r="AR239" t="s">
        <v>179</v>
      </c>
      <c r="AS239">
        <v>0</v>
      </c>
      <c r="AT239">
        <v>0</v>
      </c>
    </row>
    <row r="240" spans="1:46" x14ac:dyDescent="0.45">
      <c r="A240" s="62" t="s">
        <v>1010</v>
      </c>
      <c r="B240" s="62" t="s">
        <v>655</v>
      </c>
      <c r="C240" s="63"/>
      <c r="D240" s="64"/>
      <c r="E240" s="65"/>
      <c r="F240" s="66"/>
      <c r="G240" s="63"/>
      <c r="H240" s="67"/>
      <c r="I240" s="68"/>
      <c r="J240" s="68"/>
      <c r="K240" s="32"/>
      <c r="L240" s="75"/>
      <c r="M240" s="75"/>
      <c r="N240" s="70"/>
      <c r="O240" t="s">
        <v>1570</v>
      </c>
      <c r="P240" s="76">
        <v>44959.331157407411</v>
      </c>
      <c r="Q240" t="s">
        <v>2165</v>
      </c>
      <c r="R240" s="77" t="str">
        <f>HYPERLINK("https://www.gobankingrates.com/money/business/how-inflation-affect-target-shoppers/")</f>
        <v>https://www.gobankingrates.com/money/business/how-inflation-affect-target-shoppers/</v>
      </c>
      <c r="S240" t="s">
        <v>2288</v>
      </c>
      <c r="T240" s="78" t="s">
        <v>2407</v>
      </c>
      <c r="V240" s="77" t="str">
        <f>HYPERLINK("https://pbs.twimg.com/profile_images/999933899261267968/guCaJ44v_normal.jpg")</f>
        <v>https://pbs.twimg.com/profile_images/999933899261267968/guCaJ44v_normal.jpg</v>
      </c>
      <c r="W240" s="76">
        <v>44959.331157407411</v>
      </c>
      <c r="X240" s="80">
        <v>44959</v>
      </c>
      <c r="Y240" s="78" t="s">
        <v>3302</v>
      </c>
      <c r="Z240" s="77" t="str">
        <f>HYPERLINK("https://twitter.com/pazagnya/status/1621055033415434240")</f>
        <v>https://twitter.com/pazagnya/status/1621055033415434240</v>
      </c>
      <c r="AC240" s="78" t="s">
        <v>4367</v>
      </c>
      <c r="AE240" t="b">
        <v>0</v>
      </c>
      <c r="AF240">
        <v>0</v>
      </c>
      <c r="AG240" s="78" t="s">
        <v>4640</v>
      </c>
      <c r="AH240" t="b">
        <v>0</v>
      </c>
      <c r="AI240" t="s">
        <v>4829</v>
      </c>
      <c r="AK240" s="78" t="s">
        <v>4640</v>
      </c>
      <c r="AL240" t="b">
        <v>0</v>
      </c>
      <c r="AM240">
        <v>7</v>
      </c>
      <c r="AN240" s="78" t="s">
        <v>4365</v>
      </c>
      <c r="AO240" s="78" t="s">
        <v>4850</v>
      </c>
      <c r="AP240" t="b">
        <v>0</v>
      </c>
      <c r="AQ240" s="78" t="s">
        <v>4365</v>
      </c>
      <c r="AR240" t="s">
        <v>179</v>
      </c>
      <c r="AS240">
        <v>0</v>
      </c>
      <c r="AT240">
        <v>0</v>
      </c>
    </row>
    <row r="241" spans="1:46" x14ac:dyDescent="0.45">
      <c r="A241" s="62" t="s">
        <v>1010</v>
      </c>
      <c r="B241" s="62" t="s">
        <v>655</v>
      </c>
      <c r="C241" s="63"/>
      <c r="D241" s="64"/>
      <c r="E241" s="65"/>
      <c r="F241" s="66"/>
      <c r="G241" s="63"/>
      <c r="H241" s="67"/>
      <c r="I241" s="68"/>
      <c r="J241" s="68"/>
      <c r="K241" s="32"/>
      <c r="L241" s="75"/>
      <c r="M241" s="75"/>
      <c r="N241" s="70"/>
      <c r="O241" t="s">
        <v>1569</v>
      </c>
      <c r="P241" s="76">
        <v>44959.331157407411</v>
      </c>
      <c r="Q241" t="s">
        <v>2165</v>
      </c>
      <c r="R241" s="77" t="str">
        <f>HYPERLINK("https://www.gobankingrates.com/money/business/how-inflation-affect-target-shoppers/")</f>
        <v>https://www.gobankingrates.com/money/business/how-inflation-affect-target-shoppers/</v>
      </c>
      <c r="S241" t="s">
        <v>2288</v>
      </c>
      <c r="T241" s="78" t="s">
        <v>2407</v>
      </c>
      <c r="V241" s="77" t="str">
        <f>HYPERLINK("https://pbs.twimg.com/profile_images/999933899261267968/guCaJ44v_normal.jpg")</f>
        <v>https://pbs.twimg.com/profile_images/999933899261267968/guCaJ44v_normal.jpg</v>
      </c>
      <c r="W241" s="76">
        <v>44959.331157407411</v>
      </c>
      <c r="X241" s="80">
        <v>44959</v>
      </c>
      <c r="Y241" s="78" t="s">
        <v>3302</v>
      </c>
      <c r="Z241" s="77" t="str">
        <f>HYPERLINK("https://twitter.com/pazagnya/status/1621055033415434240")</f>
        <v>https://twitter.com/pazagnya/status/1621055033415434240</v>
      </c>
      <c r="AC241" s="78" t="s">
        <v>4367</v>
      </c>
      <c r="AE241" t="b">
        <v>0</v>
      </c>
      <c r="AF241">
        <v>0</v>
      </c>
      <c r="AG241" s="78" t="s">
        <v>4640</v>
      </c>
      <c r="AH241" t="b">
        <v>0</v>
      </c>
      <c r="AI241" t="s">
        <v>4829</v>
      </c>
      <c r="AK241" s="78" t="s">
        <v>4640</v>
      </c>
      <c r="AL241" t="b">
        <v>0</v>
      </c>
      <c r="AM241">
        <v>7</v>
      </c>
      <c r="AN241" s="78" t="s">
        <v>4365</v>
      </c>
      <c r="AO241" s="78" t="s">
        <v>4850</v>
      </c>
      <c r="AP241" t="b">
        <v>0</v>
      </c>
      <c r="AQ241" s="78" t="s">
        <v>4365</v>
      </c>
      <c r="AR241" t="s">
        <v>179</v>
      </c>
      <c r="AS241">
        <v>0</v>
      </c>
      <c r="AT241">
        <v>0</v>
      </c>
    </row>
    <row r="242" spans="1:46" x14ac:dyDescent="0.45">
      <c r="A242" s="62" t="s">
        <v>1010</v>
      </c>
      <c r="B242" s="62" t="s">
        <v>242</v>
      </c>
      <c r="C242" s="63"/>
      <c r="D242" s="64"/>
      <c r="E242" s="65"/>
      <c r="F242" s="66"/>
      <c r="G242" s="63"/>
      <c r="H242" s="67"/>
      <c r="I242" s="68"/>
      <c r="J242" s="68"/>
      <c r="K242" s="32"/>
      <c r="L242" s="75"/>
      <c r="M242" s="75"/>
      <c r="N242" s="70"/>
      <c r="O242" t="s">
        <v>1570</v>
      </c>
      <c r="P242" s="76">
        <v>44959.331157407411</v>
      </c>
      <c r="Q242" t="s">
        <v>2165</v>
      </c>
      <c r="R242" s="77" t="str">
        <f>HYPERLINK("https://www.gobankingrates.com/money/business/how-inflation-affect-target-shoppers/")</f>
        <v>https://www.gobankingrates.com/money/business/how-inflation-affect-target-shoppers/</v>
      </c>
      <c r="S242" t="s">
        <v>2288</v>
      </c>
      <c r="T242" s="78" t="s">
        <v>2407</v>
      </c>
      <c r="V242" s="77" t="str">
        <f>HYPERLINK("https://pbs.twimg.com/profile_images/999933899261267968/guCaJ44v_normal.jpg")</f>
        <v>https://pbs.twimg.com/profile_images/999933899261267968/guCaJ44v_normal.jpg</v>
      </c>
      <c r="W242" s="76">
        <v>44959.331157407411</v>
      </c>
      <c r="X242" s="80">
        <v>44959</v>
      </c>
      <c r="Y242" s="78" t="s">
        <v>3302</v>
      </c>
      <c r="Z242" s="77" t="str">
        <f>HYPERLINK("https://twitter.com/pazagnya/status/1621055033415434240")</f>
        <v>https://twitter.com/pazagnya/status/1621055033415434240</v>
      </c>
      <c r="AC242" s="78" t="s">
        <v>4367</v>
      </c>
      <c r="AE242" t="b">
        <v>0</v>
      </c>
      <c r="AF242">
        <v>0</v>
      </c>
      <c r="AG242" s="78" t="s">
        <v>4640</v>
      </c>
      <c r="AH242" t="b">
        <v>0</v>
      </c>
      <c r="AI242" t="s">
        <v>4829</v>
      </c>
      <c r="AK242" s="78" t="s">
        <v>4640</v>
      </c>
      <c r="AL242" t="b">
        <v>0</v>
      </c>
      <c r="AM242">
        <v>7</v>
      </c>
      <c r="AN242" s="78" t="s">
        <v>4365</v>
      </c>
      <c r="AO242" s="78" t="s">
        <v>4850</v>
      </c>
      <c r="AP242" t="b">
        <v>0</v>
      </c>
      <c r="AQ242" s="78" t="s">
        <v>4365</v>
      </c>
      <c r="AR242" t="s">
        <v>179</v>
      </c>
      <c r="AS242">
        <v>0</v>
      </c>
      <c r="AT242">
        <v>0</v>
      </c>
    </row>
    <row r="243" spans="1:46" x14ac:dyDescent="0.45">
      <c r="A243" s="62" t="s">
        <v>1010</v>
      </c>
      <c r="B243" s="62" t="s">
        <v>1181</v>
      </c>
      <c r="C243" s="63"/>
      <c r="D243" s="64"/>
      <c r="E243" s="65"/>
      <c r="F243" s="66"/>
      <c r="G243" s="63"/>
      <c r="H243" s="67"/>
      <c r="I243" s="68"/>
      <c r="J243" s="68"/>
      <c r="K243" s="32"/>
      <c r="L243" s="75"/>
      <c r="M243" s="75"/>
      <c r="N243" s="70"/>
      <c r="O243" t="s">
        <v>1570</v>
      </c>
      <c r="P243" s="76">
        <v>44959.331157407411</v>
      </c>
      <c r="Q243" t="s">
        <v>2165</v>
      </c>
      <c r="R243" s="77" t="str">
        <f>HYPERLINK("https://www.gobankingrates.com/money/business/how-inflation-affect-target-shoppers/")</f>
        <v>https://www.gobankingrates.com/money/business/how-inflation-affect-target-shoppers/</v>
      </c>
      <c r="S243" t="s">
        <v>2288</v>
      </c>
      <c r="T243" s="78" t="s">
        <v>2407</v>
      </c>
      <c r="V243" s="77" t="str">
        <f>HYPERLINK("https://pbs.twimg.com/profile_images/999933899261267968/guCaJ44v_normal.jpg")</f>
        <v>https://pbs.twimg.com/profile_images/999933899261267968/guCaJ44v_normal.jpg</v>
      </c>
      <c r="W243" s="76">
        <v>44959.331157407411</v>
      </c>
      <c r="X243" s="80">
        <v>44959</v>
      </c>
      <c r="Y243" s="78" t="s">
        <v>3302</v>
      </c>
      <c r="Z243" s="77" t="str">
        <f>HYPERLINK("https://twitter.com/pazagnya/status/1621055033415434240")</f>
        <v>https://twitter.com/pazagnya/status/1621055033415434240</v>
      </c>
      <c r="AC243" s="78" t="s">
        <v>4367</v>
      </c>
      <c r="AE243" t="b">
        <v>0</v>
      </c>
      <c r="AF243">
        <v>0</v>
      </c>
      <c r="AG243" s="78" t="s">
        <v>4640</v>
      </c>
      <c r="AH243" t="b">
        <v>0</v>
      </c>
      <c r="AI243" t="s">
        <v>4829</v>
      </c>
      <c r="AK243" s="78" t="s">
        <v>4640</v>
      </c>
      <c r="AL243" t="b">
        <v>0</v>
      </c>
      <c r="AM243">
        <v>7</v>
      </c>
      <c r="AN243" s="78" t="s">
        <v>4365</v>
      </c>
      <c r="AO243" s="78" t="s">
        <v>4850</v>
      </c>
      <c r="AP243" t="b">
        <v>0</v>
      </c>
      <c r="AQ243" s="78" t="s">
        <v>4365</v>
      </c>
      <c r="AR243" t="s">
        <v>179</v>
      </c>
      <c r="AS243">
        <v>0</v>
      </c>
      <c r="AT243">
        <v>0</v>
      </c>
    </row>
    <row r="244" spans="1:46" x14ac:dyDescent="0.45">
      <c r="A244" s="62" t="s">
        <v>655</v>
      </c>
      <c r="B244" s="62" t="s">
        <v>242</v>
      </c>
      <c r="C244" s="63"/>
      <c r="D244" s="64"/>
      <c r="E244" s="65"/>
      <c r="F244" s="66"/>
      <c r="G244" s="63"/>
      <c r="H244" s="67"/>
      <c r="I244" s="68"/>
      <c r="J244" s="68"/>
      <c r="K244" s="32"/>
      <c r="L244" s="75"/>
      <c r="M244" s="75"/>
      <c r="N244" s="70"/>
      <c r="O244" t="s">
        <v>1568</v>
      </c>
      <c r="P244" s="76">
        <v>44932.950196759259</v>
      </c>
      <c r="Q244" t="s">
        <v>2165</v>
      </c>
      <c r="R244" s="77" t="str">
        <f>HYPERLINK("https://www.gobankingrates.com/money/business/how-inflation-affect-target-shoppers/")</f>
        <v>https://www.gobankingrates.com/money/business/how-inflation-affect-target-shoppers/</v>
      </c>
      <c r="S244" t="s">
        <v>2288</v>
      </c>
      <c r="T244" s="78" t="s">
        <v>2406</v>
      </c>
      <c r="V244" s="77" t="str">
        <f>HYPERLINK("https://pbs.twimg.com/profile_images/818495627244015616/SM_URVDM_normal.jpg")</f>
        <v>https://pbs.twimg.com/profile_images/818495627244015616/SM_URVDM_normal.jpg</v>
      </c>
      <c r="W244" s="76">
        <v>44932.950196759259</v>
      </c>
      <c r="X244" s="80">
        <v>44932</v>
      </c>
      <c r="Y244" s="78" t="s">
        <v>3300</v>
      </c>
      <c r="Z244" s="77" t="str">
        <f>HYPERLINK("https://twitter.com/jeffkagan/status/1611494894442364928")</f>
        <v>https://twitter.com/jeffkagan/status/1611494894442364928</v>
      </c>
      <c r="AC244" s="78" t="s">
        <v>4365</v>
      </c>
      <c r="AE244" t="b">
        <v>0</v>
      </c>
      <c r="AF244">
        <v>10</v>
      </c>
      <c r="AG244" s="78" t="s">
        <v>4640</v>
      </c>
      <c r="AH244" t="b">
        <v>0</v>
      </c>
      <c r="AI244" t="s">
        <v>4829</v>
      </c>
      <c r="AK244" s="78" t="s">
        <v>4640</v>
      </c>
      <c r="AL244" t="b">
        <v>0</v>
      </c>
      <c r="AM244">
        <v>7</v>
      </c>
      <c r="AN244" s="78" t="s">
        <v>4640</v>
      </c>
      <c r="AO244" s="78" t="s">
        <v>4851</v>
      </c>
      <c r="AP244" t="b">
        <v>0</v>
      </c>
      <c r="AQ244" s="78" t="s">
        <v>4365</v>
      </c>
      <c r="AR244" t="s">
        <v>1569</v>
      </c>
      <c r="AS244">
        <v>0</v>
      </c>
      <c r="AT244">
        <v>0</v>
      </c>
    </row>
    <row r="245" spans="1:46" x14ac:dyDescent="0.45">
      <c r="A245" s="62" t="s">
        <v>655</v>
      </c>
      <c r="B245" s="62" t="s">
        <v>1181</v>
      </c>
      <c r="C245" s="63"/>
      <c r="D245" s="64"/>
      <c r="E245" s="65"/>
      <c r="F245" s="66"/>
      <c r="G245" s="63"/>
      <c r="H245" s="67"/>
      <c r="I245" s="68"/>
      <c r="J245" s="68"/>
      <c r="K245" s="32"/>
      <c r="L245" s="75"/>
      <c r="M245" s="75"/>
      <c r="N245" s="70"/>
      <c r="O245" t="s">
        <v>1568</v>
      </c>
      <c r="P245" s="76">
        <v>44932.950196759259</v>
      </c>
      <c r="Q245" t="s">
        <v>2165</v>
      </c>
      <c r="R245" s="77" t="str">
        <f>HYPERLINK("https://www.gobankingrates.com/money/business/how-inflation-affect-target-shoppers/")</f>
        <v>https://www.gobankingrates.com/money/business/how-inflation-affect-target-shoppers/</v>
      </c>
      <c r="S245" t="s">
        <v>2288</v>
      </c>
      <c r="T245" s="78" t="s">
        <v>2406</v>
      </c>
      <c r="V245" s="77" t="str">
        <f>HYPERLINK("https://pbs.twimg.com/profile_images/818495627244015616/SM_URVDM_normal.jpg")</f>
        <v>https://pbs.twimg.com/profile_images/818495627244015616/SM_URVDM_normal.jpg</v>
      </c>
      <c r="W245" s="76">
        <v>44932.950196759259</v>
      </c>
      <c r="X245" s="80">
        <v>44932</v>
      </c>
      <c r="Y245" s="78" t="s">
        <v>3300</v>
      </c>
      <c r="Z245" s="77" t="str">
        <f>HYPERLINK("https://twitter.com/jeffkagan/status/1611494894442364928")</f>
        <v>https://twitter.com/jeffkagan/status/1611494894442364928</v>
      </c>
      <c r="AC245" s="78" t="s">
        <v>4365</v>
      </c>
      <c r="AE245" t="b">
        <v>0</v>
      </c>
      <c r="AF245">
        <v>10</v>
      </c>
      <c r="AG245" s="78" t="s">
        <v>4640</v>
      </c>
      <c r="AH245" t="b">
        <v>0</v>
      </c>
      <c r="AI245" t="s">
        <v>4829</v>
      </c>
      <c r="AK245" s="78" t="s">
        <v>4640</v>
      </c>
      <c r="AL245" t="b">
        <v>0</v>
      </c>
      <c r="AM245">
        <v>7</v>
      </c>
      <c r="AN245" s="78" t="s">
        <v>4640</v>
      </c>
      <c r="AO245" s="78" t="s">
        <v>4851</v>
      </c>
      <c r="AP245" t="b">
        <v>0</v>
      </c>
      <c r="AQ245" s="78" t="s">
        <v>4365</v>
      </c>
      <c r="AR245" t="s">
        <v>1569</v>
      </c>
      <c r="AS245">
        <v>0</v>
      </c>
      <c r="AT245">
        <v>0</v>
      </c>
    </row>
    <row r="246" spans="1:46" x14ac:dyDescent="0.45">
      <c r="A246" s="62" t="s">
        <v>263</v>
      </c>
      <c r="B246" s="62" t="s">
        <v>242</v>
      </c>
      <c r="C246" s="63"/>
      <c r="D246" s="64"/>
      <c r="E246" s="65"/>
      <c r="F246" s="66"/>
      <c r="G246" s="63"/>
      <c r="H246" s="67"/>
      <c r="I246" s="68"/>
      <c r="J246" s="68"/>
      <c r="K246" s="32"/>
      <c r="L246" s="75"/>
      <c r="M246" s="75"/>
      <c r="N246" s="70"/>
      <c r="O246" t="s">
        <v>1567</v>
      </c>
      <c r="P246" s="76">
        <v>44958.480729166666</v>
      </c>
      <c r="Q246" t="s">
        <v>1609</v>
      </c>
      <c r="R246" s="77" t="str">
        <f>HYPERLINK("https://sites.google.com/view/your-iphone-13-pro/home")</f>
        <v>https://sites.google.com/view/your-iphone-13-pro/home</v>
      </c>
      <c r="S246" t="s">
        <v>2263</v>
      </c>
      <c r="U246" s="77" t="str">
        <f>HYPERLINK("https://pbs.twimg.com/media/Fn4MqffakAIW60J.jpg")</f>
        <v>https://pbs.twimg.com/media/Fn4MqffakAIW60J.jpg</v>
      </c>
      <c r="V246" s="77" t="str">
        <f>HYPERLINK("https://pbs.twimg.com/media/Fn4MqffakAIW60J.jpg")</f>
        <v>https://pbs.twimg.com/media/Fn4MqffakAIW60J.jpg</v>
      </c>
      <c r="W246" s="76">
        <v>44958.480729166666</v>
      </c>
      <c r="X246" s="80">
        <v>44958</v>
      </c>
      <c r="Y246" s="78" t="s">
        <v>2469</v>
      </c>
      <c r="Z246" s="77" t="str">
        <f>HYPERLINK("https://twitter.com/mariamu18729133/status/1620746847328555008")</f>
        <v>https://twitter.com/mariamu18729133/status/1620746847328555008</v>
      </c>
      <c r="AC246" s="78" t="s">
        <v>3484</v>
      </c>
      <c r="AD246" s="78" t="s">
        <v>4498</v>
      </c>
      <c r="AE246" t="b">
        <v>0</v>
      </c>
      <c r="AF246">
        <v>0</v>
      </c>
      <c r="AG246" s="78" t="s">
        <v>4639</v>
      </c>
      <c r="AH246" t="b">
        <v>0</v>
      </c>
      <c r="AI246" t="s">
        <v>4829</v>
      </c>
      <c r="AK246" s="78" t="s">
        <v>4640</v>
      </c>
      <c r="AL246" t="b">
        <v>0</v>
      </c>
      <c r="AM246">
        <v>0</v>
      </c>
      <c r="AN246" s="78" t="s">
        <v>4640</v>
      </c>
      <c r="AO246" s="78" t="s">
        <v>4851</v>
      </c>
      <c r="AP246" t="b">
        <v>0</v>
      </c>
      <c r="AQ246" s="78" t="s">
        <v>4498</v>
      </c>
      <c r="AR246" t="s">
        <v>179</v>
      </c>
      <c r="AS246">
        <v>0</v>
      </c>
      <c r="AT246">
        <v>0</v>
      </c>
    </row>
    <row r="247" spans="1:46" x14ac:dyDescent="0.45">
      <c r="A247" s="62" t="s">
        <v>1045</v>
      </c>
      <c r="B247" s="62" t="s">
        <v>1520</v>
      </c>
      <c r="C247" s="63"/>
      <c r="D247" s="64"/>
      <c r="E247" s="65"/>
      <c r="F247" s="66"/>
      <c r="G247" s="63"/>
      <c r="H247" s="67"/>
      <c r="I247" s="68"/>
      <c r="J247" s="68"/>
      <c r="K247" s="32"/>
      <c r="L247" s="75"/>
      <c r="M247" s="75"/>
      <c r="N247" s="70"/>
      <c r="O247" t="s">
        <v>1568</v>
      </c>
      <c r="P247" s="76">
        <v>44131.299444444441</v>
      </c>
      <c r="Q247" t="s">
        <v>2199</v>
      </c>
      <c r="R247" s="77" t="str">
        <f>HYPERLINK("https://hostnoc.com/trending-products-to-sell-online/?utm_source=Sarmad_Twitter")</f>
        <v>https://hostnoc.com/trending-products-to-sell-online/?utm_source=Sarmad_Twitter</v>
      </c>
      <c r="S247" t="s">
        <v>2301</v>
      </c>
      <c r="T247" s="78" t="s">
        <v>2413</v>
      </c>
      <c r="U247" s="77" t="str">
        <f>HYPERLINK("https://pbs.twimg.com/media/ElUUNllXYAAu_xn.png")</f>
        <v>https://pbs.twimg.com/media/ElUUNllXYAAu_xn.png</v>
      </c>
      <c r="V247" s="77" t="str">
        <f>HYPERLINK("https://pbs.twimg.com/media/ElUUNllXYAAu_xn.png")</f>
        <v>https://pbs.twimg.com/media/ElUUNllXYAAu_xn.png</v>
      </c>
      <c r="W247" s="76">
        <v>44131.299444444441</v>
      </c>
      <c r="X247" s="80">
        <v>44131</v>
      </c>
      <c r="Y247" s="78" t="s">
        <v>3353</v>
      </c>
      <c r="Z247" s="77" t="str">
        <f>HYPERLINK("https://twitter.com/joeclark947/status/1320986388255412224")</f>
        <v>https://twitter.com/joeclark947/status/1320986388255412224</v>
      </c>
      <c r="AC247" s="78" t="s">
        <v>4418</v>
      </c>
      <c r="AE247" t="b">
        <v>0</v>
      </c>
      <c r="AF247">
        <v>10</v>
      </c>
      <c r="AG247" s="78" t="s">
        <v>4808</v>
      </c>
      <c r="AH247" t="b">
        <v>0</v>
      </c>
      <c r="AI247" t="s">
        <v>4829</v>
      </c>
      <c r="AK247" s="78" t="s">
        <v>4640</v>
      </c>
      <c r="AL247" t="b">
        <v>0</v>
      </c>
      <c r="AM247">
        <v>8</v>
      </c>
      <c r="AN247" s="78" t="s">
        <v>4640</v>
      </c>
      <c r="AO247" s="78" t="s">
        <v>4851</v>
      </c>
      <c r="AP247" t="b">
        <v>0</v>
      </c>
      <c r="AQ247" s="78" t="s">
        <v>4418</v>
      </c>
      <c r="AR247" t="s">
        <v>1569</v>
      </c>
      <c r="AS247">
        <v>0</v>
      </c>
      <c r="AT247">
        <v>0</v>
      </c>
    </row>
    <row r="248" spans="1:46" x14ac:dyDescent="0.45">
      <c r="A248" s="62" t="s">
        <v>1045</v>
      </c>
      <c r="B248" s="62" t="s">
        <v>1521</v>
      </c>
      <c r="C248" s="63"/>
      <c r="D248" s="64"/>
      <c r="E248" s="65"/>
      <c r="F248" s="66"/>
      <c r="G248" s="63"/>
      <c r="H248" s="67"/>
      <c r="I248" s="68"/>
      <c r="J248" s="68"/>
      <c r="K248" s="32"/>
      <c r="L248" s="75"/>
      <c r="M248" s="75"/>
      <c r="N248" s="70"/>
      <c r="O248" t="s">
        <v>1568</v>
      </c>
      <c r="P248" s="76">
        <v>44131.299444444441</v>
      </c>
      <c r="Q248" t="s">
        <v>2199</v>
      </c>
      <c r="R248" s="77" t="str">
        <f>HYPERLINK("https://hostnoc.com/trending-products-to-sell-online/?utm_source=Sarmad_Twitter")</f>
        <v>https://hostnoc.com/trending-products-to-sell-online/?utm_source=Sarmad_Twitter</v>
      </c>
      <c r="S248" t="s">
        <v>2301</v>
      </c>
      <c r="T248" s="78" t="s">
        <v>2413</v>
      </c>
      <c r="U248" s="77" t="str">
        <f>HYPERLINK("https://pbs.twimg.com/media/ElUUNllXYAAu_xn.png")</f>
        <v>https://pbs.twimg.com/media/ElUUNllXYAAu_xn.png</v>
      </c>
      <c r="V248" s="77" t="str">
        <f>HYPERLINK("https://pbs.twimg.com/media/ElUUNllXYAAu_xn.png")</f>
        <v>https://pbs.twimg.com/media/ElUUNllXYAAu_xn.png</v>
      </c>
      <c r="W248" s="76">
        <v>44131.299444444441</v>
      </c>
      <c r="X248" s="80">
        <v>44131</v>
      </c>
      <c r="Y248" s="78" t="s">
        <v>3353</v>
      </c>
      <c r="Z248" s="77" t="str">
        <f>HYPERLINK("https://twitter.com/joeclark947/status/1320986388255412224")</f>
        <v>https://twitter.com/joeclark947/status/1320986388255412224</v>
      </c>
      <c r="AC248" s="78" t="s">
        <v>4418</v>
      </c>
      <c r="AE248" t="b">
        <v>0</v>
      </c>
      <c r="AF248">
        <v>10</v>
      </c>
      <c r="AG248" s="78" t="s">
        <v>4808</v>
      </c>
      <c r="AH248" t="b">
        <v>0</v>
      </c>
      <c r="AI248" t="s">
        <v>4829</v>
      </c>
      <c r="AK248" s="78" t="s">
        <v>4640</v>
      </c>
      <c r="AL248" t="b">
        <v>0</v>
      </c>
      <c r="AM248">
        <v>8</v>
      </c>
      <c r="AN248" s="78" t="s">
        <v>4640</v>
      </c>
      <c r="AO248" s="78" t="s">
        <v>4851</v>
      </c>
      <c r="AP248" t="b">
        <v>0</v>
      </c>
      <c r="AQ248" s="78" t="s">
        <v>4418</v>
      </c>
      <c r="AR248" t="s">
        <v>1569</v>
      </c>
      <c r="AS248">
        <v>0</v>
      </c>
      <c r="AT248">
        <v>0</v>
      </c>
    </row>
    <row r="249" spans="1:46" x14ac:dyDescent="0.45">
      <c r="A249" s="62" t="s">
        <v>1045</v>
      </c>
      <c r="B249" s="62" t="s">
        <v>1522</v>
      </c>
      <c r="C249" s="63"/>
      <c r="D249" s="64"/>
      <c r="E249" s="65"/>
      <c r="F249" s="66"/>
      <c r="G249" s="63"/>
      <c r="H249" s="67"/>
      <c r="I249" s="68"/>
      <c r="J249" s="68"/>
      <c r="K249" s="32"/>
      <c r="L249" s="75"/>
      <c r="M249" s="75"/>
      <c r="N249" s="70"/>
      <c r="O249" t="s">
        <v>1568</v>
      </c>
      <c r="P249" s="76">
        <v>44131.299444444441</v>
      </c>
      <c r="Q249" t="s">
        <v>2199</v>
      </c>
      <c r="R249" s="77" t="str">
        <f>HYPERLINK("https://hostnoc.com/trending-products-to-sell-online/?utm_source=Sarmad_Twitter")</f>
        <v>https://hostnoc.com/trending-products-to-sell-online/?utm_source=Sarmad_Twitter</v>
      </c>
      <c r="S249" t="s">
        <v>2301</v>
      </c>
      <c r="T249" s="78" t="s">
        <v>2413</v>
      </c>
      <c r="U249" s="77" t="str">
        <f>HYPERLINK("https://pbs.twimg.com/media/ElUUNllXYAAu_xn.png")</f>
        <v>https://pbs.twimg.com/media/ElUUNllXYAAu_xn.png</v>
      </c>
      <c r="V249" s="77" t="str">
        <f>HYPERLINK("https://pbs.twimg.com/media/ElUUNllXYAAu_xn.png")</f>
        <v>https://pbs.twimg.com/media/ElUUNllXYAAu_xn.png</v>
      </c>
      <c r="W249" s="76">
        <v>44131.299444444441</v>
      </c>
      <c r="X249" s="80">
        <v>44131</v>
      </c>
      <c r="Y249" s="78" t="s">
        <v>3353</v>
      </c>
      <c r="Z249" s="77" t="str">
        <f>HYPERLINK("https://twitter.com/joeclark947/status/1320986388255412224")</f>
        <v>https://twitter.com/joeclark947/status/1320986388255412224</v>
      </c>
      <c r="AC249" s="78" t="s">
        <v>4418</v>
      </c>
      <c r="AE249" t="b">
        <v>0</v>
      </c>
      <c r="AF249">
        <v>10</v>
      </c>
      <c r="AG249" s="78" t="s">
        <v>4808</v>
      </c>
      <c r="AH249" t="b">
        <v>0</v>
      </c>
      <c r="AI249" t="s">
        <v>4829</v>
      </c>
      <c r="AK249" s="78" t="s">
        <v>4640</v>
      </c>
      <c r="AL249" t="b">
        <v>0</v>
      </c>
      <c r="AM249">
        <v>8</v>
      </c>
      <c r="AN249" s="78" t="s">
        <v>4640</v>
      </c>
      <c r="AO249" s="78" t="s">
        <v>4851</v>
      </c>
      <c r="AP249" t="b">
        <v>0</v>
      </c>
      <c r="AQ249" s="78" t="s">
        <v>4418</v>
      </c>
      <c r="AR249" t="s">
        <v>1569</v>
      </c>
      <c r="AS249">
        <v>0</v>
      </c>
      <c r="AT249">
        <v>0</v>
      </c>
    </row>
    <row r="250" spans="1:46" x14ac:dyDescent="0.45">
      <c r="A250" s="62" t="s">
        <v>1045</v>
      </c>
      <c r="B250" s="62" t="s">
        <v>1523</v>
      </c>
      <c r="C250" s="63"/>
      <c r="D250" s="64"/>
      <c r="E250" s="65"/>
      <c r="F250" s="66"/>
      <c r="G250" s="63"/>
      <c r="H250" s="67"/>
      <c r="I250" s="68"/>
      <c r="J250" s="68"/>
      <c r="K250" s="32"/>
      <c r="L250" s="75"/>
      <c r="M250" s="75"/>
      <c r="N250" s="70"/>
      <c r="O250" t="s">
        <v>1568</v>
      </c>
      <c r="P250" s="76">
        <v>44131.299444444441</v>
      </c>
      <c r="Q250" t="s">
        <v>2199</v>
      </c>
      <c r="R250" s="77" t="str">
        <f>HYPERLINK("https://hostnoc.com/trending-products-to-sell-online/?utm_source=Sarmad_Twitter")</f>
        <v>https://hostnoc.com/trending-products-to-sell-online/?utm_source=Sarmad_Twitter</v>
      </c>
      <c r="S250" t="s">
        <v>2301</v>
      </c>
      <c r="T250" s="78" t="s">
        <v>2413</v>
      </c>
      <c r="U250" s="77" t="str">
        <f>HYPERLINK("https://pbs.twimg.com/media/ElUUNllXYAAu_xn.png")</f>
        <v>https://pbs.twimg.com/media/ElUUNllXYAAu_xn.png</v>
      </c>
      <c r="V250" s="77" t="str">
        <f>HYPERLINK("https://pbs.twimg.com/media/ElUUNllXYAAu_xn.png")</f>
        <v>https://pbs.twimg.com/media/ElUUNllXYAAu_xn.png</v>
      </c>
      <c r="W250" s="76">
        <v>44131.299444444441</v>
      </c>
      <c r="X250" s="80">
        <v>44131</v>
      </c>
      <c r="Y250" s="78" t="s">
        <v>3353</v>
      </c>
      <c r="Z250" s="77" t="str">
        <f>HYPERLINK("https://twitter.com/joeclark947/status/1320986388255412224")</f>
        <v>https://twitter.com/joeclark947/status/1320986388255412224</v>
      </c>
      <c r="AC250" s="78" t="s">
        <v>4418</v>
      </c>
      <c r="AE250" t="b">
        <v>0</v>
      </c>
      <c r="AF250">
        <v>10</v>
      </c>
      <c r="AG250" s="78" t="s">
        <v>4808</v>
      </c>
      <c r="AH250" t="b">
        <v>0</v>
      </c>
      <c r="AI250" t="s">
        <v>4829</v>
      </c>
      <c r="AK250" s="78" t="s">
        <v>4640</v>
      </c>
      <c r="AL250" t="b">
        <v>0</v>
      </c>
      <c r="AM250">
        <v>8</v>
      </c>
      <c r="AN250" s="78" t="s">
        <v>4640</v>
      </c>
      <c r="AO250" s="78" t="s">
        <v>4851</v>
      </c>
      <c r="AP250" t="b">
        <v>0</v>
      </c>
      <c r="AQ250" s="78" t="s">
        <v>4418</v>
      </c>
      <c r="AR250" t="s">
        <v>1569</v>
      </c>
      <c r="AS250">
        <v>0</v>
      </c>
      <c r="AT250">
        <v>0</v>
      </c>
    </row>
    <row r="251" spans="1:46" x14ac:dyDescent="0.45">
      <c r="A251" s="62" t="s">
        <v>1045</v>
      </c>
      <c r="B251" s="62" t="s">
        <v>1143</v>
      </c>
      <c r="C251" s="63"/>
      <c r="D251" s="64"/>
      <c r="E251" s="65"/>
      <c r="F251" s="66"/>
      <c r="G251" s="63"/>
      <c r="H251" s="67"/>
      <c r="I251" s="68"/>
      <c r="J251" s="68"/>
      <c r="K251" s="32"/>
      <c r="L251" s="75"/>
      <c r="M251" s="75"/>
      <c r="N251" s="70"/>
      <c r="O251" t="s">
        <v>1568</v>
      </c>
      <c r="P251" s="76">
        <v>44131.299444444441</v>
      </c>
      <c r="Q251" t="s">
        <v>2199</v>
      </c>
      <c r="R251" s="77" t="str">
        <f>HYPERLINK("https://hostnoc.com/trending-products-to-sell-online/?utm_source=Sarmad_Twitter")</f>
        <v>https://hostnoc.com/trending-products-to-sell-online/?utm_source=Sarmad_Twitter</v>
      </c>
      <c r="S251" t="s">
        <v>2301</v>
      </c>
      <c r="T251" s="78" t="s">
        <v>2413</v>
      </c>
      <c r="U251" s="77" t="str">
        <f>HYPERLINK("https://pbs.twimg.com/media/ElUUNllXYAAu_xn.png")</f>
        <v>https://pbs.twimg.com/media/ElUUNllXYAAu_xn.png</v>
      </c>
      <c r="V251" s="77" t="str">
        <f>HYPERLINK("https://pbs.twimg.com/media/ElUUNllXYAAu_xn.png")</f>
        <v>https://pbs.twimg.com/media/ElUUNllXYAAu_xn.png</v>
      </c>
      <c r="W251" s="76">
        <v>44131.299444444441</v>
      </c>
      <c r="X251" s="80">
        <v>44131</v>
      </c>
      <c r="Y251" s="78" t="s">
        <v>3353</v>
      </c>
      <c r="Z251" s="77" t="str">
        <f>HYPERLINK("https://twitter.com/joeclark947/status/1320986388255412224")</f>
        <v>https://twitter.com/joeclark947/status/1320986388255412224</v>
      </c>
      <c r="AC251" s="78" t="s">
        <v>4418</v>
      </c>
      <c r="AE251" t="b">
        <v>0</v>
      </c>
      <c r="AF251">
        <v>10</v>
      </c>
      <c r="AG251" s="78" t="s">
        <v>4808</v>
      </c>
      <c r="AH251" t="b">
        <v>0</v>
      </c>
      <c r="AI251" t="s">
        <v>4829</v>
      </c>
      <c r="AK251" s="78" t="s">
        <v>4640</v>
      </c>
      <c r="AL251" t="b">
        <v>0</v>
      </c>
      <c r="AM251">
        <v>8</v>
      </c>
      <c r="AN251" s="78" t="s">
        <v>4640</v>
      </c>
      <c r="AO251" s="78" t="s">
        <v>4851</v>
      </c>
      <c r="AP251" t="b">
        <v>0</v>
      </c>
      <c r="AQ251" s="78" t="s">
        <v>4418</v>
      </c>
      <c r="AR251" t="s">
        <v>1569</v>
      </c>
      <c r="AS251">
        <v>0</v>
      </c>
      <c r="AT251">
        <v>0</v>
      </c>
    </row>
    <row r="252" spans="1:46" x14ac:dyDescent="0.45">
      <c r="A252" s="62" t="s">
        <v>1045</v>
      </c>
      <c r="B252" s="62" t="s">
        <v>1524</v>
      </c>
      <c r="C252" s="63"/>
      <c r="D252" s="64"/>
      <c r="E252" s="65"/>
      <c r="F252" s="66"/>
      <c r="G252" s="63"/>
      <c r="H252" s="67"/>
      <c r="I252" s="68"/>
      <c r="J252" s="68"/>
      <c r="K252" s="32"/>
      <c r="L252" s="75"/>
      <c r="M252" s="75"/>
      <c r="N252" s="70"/>
      <c r="O252" t="s">
        <v>1568</v>
      </c>
      <c r="P252" s="76">
        <v>44131.299444444441</v>
      </c>
      <c r="Q252" t="s">
        <v>2199</v>
      </c>
      <c r="R252" s="77" t="str">
        <f>HYPERLINK("https://hostnoc.com/trending-products-to-sell-online/?utm_source=Sarmad_Twitter")</f>
        <v>https://hostnoc.com/trending-products-to-sell-online/?utm_source=Sarmad_Twitter</v>
      </c>
      <c r="S252" t="s">
        <v>2301</v>
      </c>
      <c r="T252" s="78" t="s">
        <v>2413</v>
      </c>
      <c r="U252" s="77" t="str">
        <f>HYPERLINK("https://pbs.twimg.com/media/ElUUNllXYAAu_xn.png")</f>
        <v>https://pbs.twimg.com/media/ElUUNllXYAAu_xn.png</v>
      </c>
      <c r="V252" s="77" t="str">
        <f>HYPERLINK("https://pbs.twimg.com/media/ElUUNllXYAAu_xn.png")</f>
        <v>https://pbs.twimg.com/media/ElUUNllXYAAu_xn.png</v>
      </c>
      <c r="W252" s="76">
        <v>44131.299444444441</v>
      </c>
      <c r="X252" s="80">
        <v>44131</v>
      </c>
      <c r="Y252" s="78" t="s">
        <v>3353</v>
      </c>
      <c r="Z252" s="77" t="str">
        <f>HYPERLINK("https://twitter.com/joeclark947/status/1320986388255412224")</f>
        <v>https://twitter.com/joeclark947/status/1320986388255412224</v>
      </c>
      <c r="AC252" s="78" t="s">
        <v>4418</v>
      </c>
      <c r="AE252" t="b">
        <v>0</v>
      </c>
      <c r="AF252">
        <v>10</v>
      </c>
      <c r="AG252" s="78" t="s">
        <v>4808</v>
      </c>
      <c r="AH252" t="b">
        <v>0</v>
      </c>
      <c r="AI252" t="s">
        <v>4829</v>
      </c>
      <c r="AK252" s="78" t="s">
        <v>4640</v>
      </c>
      <c r="AL252" t="b">
        <v>0</v>
      </c>
      <c r="AM252">
        <v>8</v>
      </c>
      <c r="AN252" s="78" t="s">
        <v>4640</v>
      </c>
      <c r="AO252" s="78" t="s">
        <v>4851</v>
      </c>
      <c r="AP252" t="b">
        <v>0</v>
      </c>
      <c r="AQ252" s="78" t="s">
        <v>4418</v>
      </c>
      <c r="AR252" t="s">
        <v>1569</v>
      </c>
      <c r="AS252">
        <v>0</v>
      </c>
      <c r="AT252">
        <v>0</v>
      </c>
    </row>
    <row r="253" spans="1:46" x14ac:dyDescent="0.45">
      <c r="A253" s="62" t="s">
        <v>1045</v>
      </c>
      <c r="B253" s="62" t="s">
        <v>1217</v>
      </c>
      <c r="C253" s="63"/>
      <c r="D253" s="64"/>
      <c r="E253" s="65"/>
      <c r="F253" s="66"/>
      <c r="G253" s="63"/>
      <c r="H253" s="67"/>
      <c r="I253" s="68"/>
      <c r="J253" s="68"/>
      <c r="K253" s="32"/>
      <c r="L253" s="75"/>
      <c r="M253" s="75"/>
      <c r="N253" s="70"/>
      <c r="O253" t="s">
        <v>1568</v>
      </c>
      <c r="P253" s="76">
        <v>44131.299444444441</v>
      </c>
      <c r="Q253" t="s">
        <v>2199</v>
      </c>
      <c r="R253" s="77" t="str">
        <f>HYPERLINK("https://hostnoc.com/trending-products-to-sell-online/?utm_source=Sarmad_Twitter")</f>
        <v>https://hostnoc.com/trending-products-to-sell-online/?utm_source=Sarmad_Twitter</v>
      </c>
      <c r="S253" t="s">
        <v>2301</v>
      </c>
      <c r="T253" s="78" t="s">
        <v>2413</v>
      </c>
      <c r="U253" s="77" t="str">
        <f>HYPERLINK("https://pbs.twimg.com/media/ElUUNllXYAAu_xn.png")</f>
        <v>https://pbs.twimg.com/media/ElUUNllXYAAu_xn.png</v>
      </c>
      <c r="V253" s="77" t="str">
        <f>HYPERLINK("https://pbs.twimg.com/media/ElUUNllXYAAu_xn.png")</f>
        <v>https://pbs.twimg.com/media/ElUUNllXYAAu_xn.png</v>
      </c>
      <c r="W253" s="76">
        <v>44131.299444444441</v>
      </c>
      <c r="X253" s="80">
        <v>44131</v>
      </c>
      <c r="Y253" s="78" t="s">
        <v>3353</v>
      </c>
      <c r="Z253" s="77" t="str">
        <f>HYPERLINK("https://twitter.com/joeclark947/status/1320986388255412224")</f>
        <v>https://twitter.com/joeclark947/status/1320986388255412224</v>
      </c>
      <c r="AC253" s="78" t="s">
        <v>4418</v>
      </c>
      <c r="AE253" t="b">
        <v>0</v>
      </c>
      <c r="AF253">
        <v>10</v>
      </c>
      <c r="AG253" s="78" t="s">
        <v>4808</v>
      </c>
      <c r="AH253" t="b">
        <v>0</v>
      </c>
      <c r="AI253" t="s">
        <v>4829</v>
      </c>
      <c r="AK253" s="78" t="s">
        <v>4640</v>
      </c>
      <c r="AL253" t="b">
        <v>0</v>
      </c>
      <c r="AM253">
        <v>8</v>
      </c>
      <c r="AN253" s="78" t="s">
        <v>4640</v>
      </c>
      <c r="AO253" s="78" t="s">
        <v>4851</v>
      </c>
      <c r="AP253" t="b">
        <v>0</v>
      </c>
      <c r="AQ253" s="78" t="s">
        <v>4418</v>
      </c>
      <c r="AR253" t="s">
        <v>1569</v>
      </c>
      <c r="AS253">
        <v>0</v>
      </c>
      <c r="AT253">
        <v>0</v>
      </c>
    </row>
    <row r="254" spans="1:46" x14ac:dyDescent="0.45">
      <c r="A254" s="62" t="s">
        <v>1045</v>
      </c>
      <c r="B254" s="62" t="s">
        <v>1525</v>
      </c>
      <c r="C254" s="63"/>
      <c r="D254" s="64"/>
      <c r="E254" s="65"/>
      <c r="F254" s="66"/>
      <c r="G254" s="63"/>
      <c r="H254" s="67"/>
      <c r="I254" s="68"/>
      <c r="J254" s="68"/>
      <c r="K254" s="32"/>
      <c r="L254" s="75"/>
      <c r="M254" s="75"/>
      <c r="N254" s="70"/>
      <c r="O254" t="s">
        <v>1568</v>
      </c>
      <c r="P254" s="76">
        <v>44131.299444444441</v>
      </c>
      <c r="Q254" t="s">
        <v>2199</v>
      </c>
      <c r="R254" s="77" t="str">
        <f>HYPERLINK("https://hostnoc.com/trending-products-to-sell-online/?utm_source=Sarmad_Twitter")</f>
        <v>https://hostnoc.com/trending-products-to-sell-online/?utm_source=Sarmad_Twitter</v>
      </c>
      <c r="S254" t="s">
        <v>2301</v>
      </c>
      <c r="T254" s="78" t="s">
        <v>2413</v>
      </c>
      <c r="U254" s="77" t="str">
        <f>HYPERLINK("https://pbs.twimg.com/media/ElUUNllXYAAu_xn.png")</f>
        <v>https://pbs.twimg.com/media/ElUUNllXYAAu_xn.png</v>
      </c>
      <c r="V254" s="77" t="str">
        <f>HYPERLINK("https://pbs.twimg.com/media/ElUUNllXYAAu_xn.png")</f>
        <v>https://pbs.twimg.com/media/ElUUNllXYAAu_xn.png</v>
      </c>
      <c r="W254" s="76">
        <v>44131.299444444441</v>
      </c>
      <c r="X254" s="80">
        <v>44131</v>
      </c>
      <c r="Y254" s="78" t="s">
        <v>3353</v>
      </c>
      <c r="Z254" s="77" t="str">
        <f>HYPERLINK("https://twitter.com/joeclark947/status/1320986388255412224")</f>
        <v>https://twitter.com/joeclark947/status/1320986388255412224</v>
      </c>
      <c r="AC254" s="78" t="s">
        <v>4418</v>
      </c>
      <c r="AE254" t="b">
        <v>0</v>
      </c>
      <c r="AF254">
        <v>10</v>
      </c>
      <c r="AG254" s="78" t="s">
        <v>4808</v>
      </c>
      <c r="AH254" t="b">
        <v>0</v>
      </c>
      <c r="AI254" t="s">
        <v>4829</v>
      </c>
      <c r="AK254" s="78" t="s">
        <v>4640</v>
      </c>
      <c r="AL254" t="b">
        <v>0</v>
      </c>
      <c r="AM254">
        <v>8</v>
      </c>
      <c r="AN254" s="78" t="s">
        <v>4640</v>
      </c>
      <c r="AO254" s="78" t="s">
        <v>4851</v>
      </c>
      <c r="AP254" t="b">
        <v>0</v>
      </c>
      <c r="AQ254" s="78" t="s">
        <v>4418</v>
      </c>
      <c r="AR254" t="s">
        <v>1569</v>
      </c>
      <c r="AS254">
        <v>0</v>
      </c>
      <c r="AT254">
        <v>0</v>
      </c>
    </row>
    <row r="255" spans="1:46" x14ac:dyDescent="0.45">
      <c r="A255" s="62" t="s">
        <v>1045</v>
      </c>
      <c r="B255" s="62" t="s">
        <v>1526</v>
      </c>
      <c r="C255" s="63"/>
      <c r="D255" s="64"/>
      <c r="E255" s="65"/>
      <c r="F255" s="66"/>
      <c r="G255" s="63"/>
      <c r="H255" s="67"/>
      <c r="I255" s="68"/>
      <c r="J255" s="68"/>
      <c r="K255" s="32"/>
      <c r="L255" s="75"/>
      <c r="M255" s="75"/>
      <c r="N255" s="70"/>
      <c r="O255" t="s">
        <v>1568</v>
      </c>
      <c r="P255" s="76">
        <v>44131.299444444441</v>
      </c>
      <c r="Q255" t="s">
        <v>2199</v>
      </c>
      <c r="R255" s="77" t="str">
        <f>HYPERLINK("https://hostnoc.com/trending-products-to-sell-online/?utm_source=Sarmad_Twitter")</f>
        <v>https://hostnoc.com/trending-products-to-sell-online/?utm_source=Sarmad_Twitter</v>
      </c>
      <c r="S255" t="s">
        <v>2301</v>
      </c>
      <c r="T255" s="78" t="s">
        <v>2413</v>
      </c>
      <c r="U255" s="77" t="str">
        <f>HYPERLINK("https://pbs.twimg.com/media/ElUUNllXYAAu_xn.png")</f>
        <v>https://pbs.twimg.com/media/ElUUNllXYAAu_xn.png</v>
      </c>
      <c r="V255" s="77" t="str">
        <f>HYPERLINK("https://pbs.twimg.com/media/ElUUNllXYAAu_xn.png")</f>
        <v>https://pbs.twimg.com/media/ElUUNllXYAAu_xn.png</v>
      </c>
      <c r="W255" s="76">
        <v>44131.299444444441</v>
      </c>
      <c r="X255" s="80">
        <v>44131</v>
      </c>
      <c r="Y255" s="78" t="s">
        <v>3353</v>
      </c>
      <c r="Z255" s="77" t="str">
        <f>HYPERLINK("https://twitter.com/joeclark947/status/1320986388255412224")</f>
        <v>https://twitter.com/joeclark947/status/1320986388255412224</v>
      </c>
      <c r="AC255" s="78" t="s">
        <v>4418</v>
      </c>
      <c r="AE255" t="b">
        <v>0</v>
      </c>
      <c r="AF255">
        <v>10</v>
      </c>
      <c r="AG255" s="78" t="s">
        <v>4808</v>
      </c>
      <c r="AH255" t="b">
        <v>0</v>
      </c>
      <c r="AI255" t="s">
        <v>4829</v>
      </c>
      <c r="AK255" s="78" t="s">
        <v>4640</v>
      </c>
      <c r="AL255" t="b">
        <v>0</v>
      </c>
      <c r="AM255">
        <v>8</v>
      </c>
      <c r="AN255" s="78" t="s">
        <v>4640</v>
      </c>
      <c r="AO255" s="78" t="s">
        <v>4851</v>
      </c>
      <c r="AP255" t="b">
        <v>0</v>
      </c>
      <c r="AQ255" s="78" t="s">
        <v>4418</v>
      </c>
      <c r="AR255" t="s">
        <v>1569</v>
      </c>
      <c r="AS255">
        <v>0</v>
      </c>
      <c r="AT255">
        <v>0</v>
      </c>
    </row>
    <row r="256" spans="1:46" x14ac:dyDescent="0.45">
      <c r="A256" s="62" t="s">
        <v>1045</v>
      </c>
      <c r="B256" s="62" t="s">
        <v>1181</v>
      </c>
      <c r="C256" s="63"/>
      <c r="D256" s="64"/>
      <c r="E256" s="65"/>
      <c r="F256" s="66"/>
      <c r="G256" s="63"/>
      <c r="H256" s="67"/>
      <c r="I256" s="68"/>
      <c r="J256" s="68"/>
      <c r="K256" s="32"/>
      <c r="L256" s="75"/>
      <c r="M256" s="75"/>
      <c r="N256" s="70"/>
      <c r="O256" t="s">
        <v>1568</v>
      </c>
      <c r="P256" s="76">
        <v>44131.299444444441</v>
      </c>
      <c r="Q256" t="s">
        <v>2199</v>
      </c>
      <c r="R256" s="77" t="str">
        <f>HYPERLINK("https://hostnoc.com/trending-products-to-sell-online/?utm_source=Sarmad_Twitter")</f>
        <v>https://hostnoc.com/trending-products-to-sell-online/?utm_source=Sarmad_Twitter</v>
      </c>
      <c r="S256" t="s">
        <v>2301</v>
      </c>
      <c r="T256" s="78" t="s">
        <v>2413</v>
      </c>
      <c r="U256" s="77" t="str">
        <f>HYPERLINK("https://pbs.twimg.com/media/ElUUNllXYAAu_xn.png")</f>
        <v>https://pbs.twimg.com/media/ElUUNllXYAAu_xn.png</v>
      </c>
      <c r="V256" s="77" t="str">
        <f>HYPERLINK("https://pbs.twimg.com/media/ElUUNllXYAAu_xn.png")</f>
        <v>https://pbs.twimg.com/media/ElUUNllXYAAu_xn.png</v>
      </c>
      <c r="W256" s="76">
        <v>44131.299444444441</v>
      </c>
      <c r="X256" s="80">
        <v>44131</v>
      </c>
      <c r="Y256" s="78" t="s">
        <v>3353</v>
      </c>
      <c r="Z256" s="77" t="str">
        <f>HYPERLINK("https://twitter.com/joeclark947/status/1320986388255412224")</f>
        <v>https://twitter.com/joeclark947/status/1320986388255412224</v>
      </c>
      <c r="AC256" s="78" t="s">
        <v>4418</v>
      </c>
      <c r="AE256" t="b">
        <v>0</v>
      </c>
      <c r="AF256">
        <v>10</v>
      </c>
      <c r="AG256" s="78" t="s">
        <v>4808</v>
      </c>
      <c r="AH256" t="b">
        <v>0</v>
      </c>
      <c r="AI256" t="s">
        <v>4829</v>
      </c>
      <c r="AK256" s="78" t="s">
        <v>4640</v>
      </c>
      <c r="AL256" t="b">
        <v>0</v>
      </c>
      <c r="AM256">
        <v>8</v>
      </c>
      <c r="AN256" s="78" t="s">
        <v>4640</v>
      </c>
      <c r="AO256" s="78" t="s">
        <v>4851</v>
      </c>
      <c r="AP256" t="b">
        <v>0</v>
      </c>
      <c r="AQ256" s="78" t="s">
        <v>4418</v>
      </c>
      <c r="AR256" t="s">
        <v>1569</v>
      </c>
      <c r="AS256">
        <v>0</v>
      </c>
      <c r="AT256">
        <v>0</v>
      </c>
    </row>
    <row r="257" spans="1:46" x14ac:dyDescent="0.45">
      <c r="A257" s="62" t="s">
        <v>1045</v>
      </c>
      <c r="B257" s="62" t="s">
        <v>242</v>
      </c>
      <c r="C257" s="63"/>
      <c r="D257" s="64"/>
      <c r="E257" s="65"/>
      <c r="F257" s="66"/>
      <c r="G257" s="63"/>
      <c r="H257" s="67"/>
      <c r="I257" s="68"/>
      <c r="J257" s="68"/>
      <c r="K257" s="32"/>
      <c r="L257" s="75"/>
      <c r="M257" s="75"/>
      <c r="N257" s="70"/>
      <c r="O257" t="s">
        <v>1568</v>
      </c>
      <c r="P257" s="76">
        <v>44131.299444444441</v>
      </c>
      <c r="Q257" t="s">
        <v>2199</v>
      </c>
      <c r="R257" s="77" t="str">
        <f>HYPERLINK("https://hostnoc.com/trending-products-to-sell-online/?utm_source=Sarmad_Twitter")</f>
        <v>https://hostnoc.com/trending-products-to-sell-online/?utm_source=Sarmad_Twitter</v>
      </c>
      <c r="S257" t="s">
        <v>2301</v>
      </c>
      <c r="T257" s="78" t="s">
        <v>2413</v>
      </c>
      <c r="U257" s="77" t="str">
        <f>HYPERLINK("https://pbs.twimg.com/media/ElUUNllXYAAu_xn.png")</f>
        <v>https://pbs.twimg.com/media/ElUUNllXYAAu_xn.png</v>
      </c>
      <c r="V257" s="77" t="str">
        <f>HYPERLINK("https://pbs.twimg.com/media/ElUUNllXYAAu_xn.png")</f>
        <v>https://pbs.twimg.com/media/ElUUNllXYAAu_xn.png</v>
      </c>
      <c r="W257" s="76">
        <v>44131.299444444441</v>
      </c>
      <c r="X257" s="80">
        <v>44131</v>
      </c>
      <c r="Y257" s="78" t="s">
        <v>3353</v>
      </c>
      <c r="Z257" s="77" t="str">
        <f>HYPERLINK("https://twitter.com/joeclark947/status/1320986388255412224")</f>
        <v>https://twitter.com/joeclark947/status/1320986388255412224</v>
      </c>
      <c r="AC257" s="78" t="s">
        <v>4418</v>
      </c>
      <c r="AE257" t="b">
        <v>0</v>
      </c>
      <c r="AF257">
        <v>10</v>
      </c>
      <c r="AG257" s="78" t="s">
        <v>4808</v>
      </c>
      <c r="AH257" t="b">
        <v>0</v>
      </c>
      <c r="AI257" t="s">
        <v>4829</v>
      </c>
      <c r="AK257" s="78" t="s">
        <v>4640</v>
      </c>
      <c r="AL257" t="b">
        <v>0</v>
      </c>
      <c r="AM257">
        <v>8</v>
      </c>
      <c r="AN257" s="78" t="s">
        <v>4640</v>
      </c>
      <c r="AO257" s="78" t="s">
        <v>4851</v>
      </c>
      <c r="AP257" t="b">
        <v>0</v>
      </c>
      <c r="AQ257" s="78" t="s">
        <v>4418</v>
      </c>
      <c r="AR257" t="s">
        <v>1569</v>
      </c>
      <c r="AS257">
        <v>0</v>
      </c>
      <c r="AT257">
        <v>0</v>
      </c>
    </row>
    <row r="258" spans="1:46" x14ac:dyDescent="0.45">
      <c r="A258" s="62" t="s">
        <v>1045</v>
      </c>
      <c r="B258" s="62" t="s">
        <v>1241</v>
      </c>
      <c r="C258" s="63"/>
      <c r="D258" s="64"/>
      <c r="E258" s="65"/>
      <c r="F258" s="66"/>
      <c r="G258" s="63"/>
      <c r="H258" s="67"/>
      <c r="I258" s="68"/>
      <c r="J258" s="68"/>
      <c r="K258" s="32"/>
      <c r="L258" s="75"/>
      <c r="M258" s="75"/>
      <c r="N258" s="70"/>
      <c r="O258" t="s">
        <v>1568</v>
      </c>
      <c r="P258" s="76">
        <v>44131.299444444441</v>
      </c>
      <c r="Q258" t="s">
        <v>2199</v>
      </c>
      <c r="R258" s="77" t="str">
        <f>HYPERLINK("https://hostnoc.com/trending-products-to-sell-online/?utm_source=Sarmad_Twitter")</f>
        <v>https://hostnoc.com/trending-products-to-sell-online/?utm_source=Sarmad_Twitter</v>
      </c>
      <c r="S258" t="s">
        <v>2301</v>
      </c>
      <c r="T258" s="78" t="s">
        <v>2413</v>
      </c>
      <c r="U258" s="77" t="str">
        <f>HYPERLINK("https://pbs.twimg.com/media/ElUUNllXYAAu_xn.png")</f>
        <v>https://pbs.twimg.com/media/ElUUNllXYAAu_xn.png</v>
      </c>
      <c r="V258" s="77" t="str">
        <f>HYPERLINK("https://pbs.twimg.com/media/ElUUNllXYAAu_xn.png")</f>
        <v>https://pbs.twimg.com/media/ElUUNllXYAAu_xn.png</v>
      </c>
      <c r="W258" s="76">
        <v>44131.299444444441</v>
      </c>
      <c r="X258" s="80">
        <v>44131</v>
      </c>
      <c r="Y258" s="78" t="s">
        <v>3353</v>
      </c>
      <c r="Z258" s="77" t="str">
        <f>HYPERLINK("https://twitter.com/joeclark947/status/1320986388255412224")</f>
        <v>https://twitter.com/joeclark947/status/1320986388255412224</v>
      </c>
      <c r="AC258" s="78" t="s">
        <v>4418</v>
      </c>
      <c r="AE258" t="b">
        <v>0</v>
      </c>
      <c r="AF258">
        <v>10</v>
      </c>
      <c r="AG258" s="78" t="s">
        <v>4808</v>
      </c>
      <c r="AH258" t="b">
        <v>0</v>
      </c>
      <c r="AI258" t="s">
        <v>4829</v>
      </c>
      <c r="AK258" s="78" t="s">
        <v>4640</v>
      </c>
      <c r="AL258" t="b">
        <v>0</v>
      </c>
      <c r="AM258">
        <v>8</v>
      </c>
      <c r="AN258" s="78" t="s">
        <v>4640</v>
      </c>
      <c r="AO258" s="78" t="s">
        <v>4851</v>
      </c>
      <c r="AP258" t="b">
        <v>0</v>
      </c>
      <c r="AQ258" s="78" t="s">
        <v>4418</v>
      </c>
      <c r="AR258" t="s">
        <v>1569</v>
      </c>
      <c r="AS258">
        <v>0</v>
      </c>
      <c r="AT258">
        <v>0</v>
      </c>
    </row>
    <row r="259" spans="1:46" x14ac:dyDescent="0.45">
      <c r="A259" s="62" t="s">
        <v>1045</v>
      </c>
      <c r="B259" s="62" t="s">
        <v>1175</v>
      </c>
      <c r="C259" s="63"/>
      <c r="D259" s="64"/>
      <c r="E259" s="65"/>
      <c r="F259" s="66"/>
      <c r="G259" s="63"/>
      <c r="H259" s="67"/>
      <c r="I259" s="68"/>
      <c r="J259" s="68"/>
      <c r="K259" s="32"/>
      <c r="L259" s="75"/>
      <c r="M259" s="75"/>
      <c r="N259" s="70"/>
      <c r="O259" t="s">
        <v>1568</v>
      </c>
      <c r="P259" s="76">
        <v>44131.299444444441</v>
      </c>
      <c r="Q259" t="s">
        <v>2199</v>
      </c>
      <c r="R259" s="77" t="str">
        <f>HYPERLINK("https://hostnoc.com/trending-products-to-sell-online/?utm_source=Sarmad_Twitter")</f>
        <v>https://hostnoc.com/trending-products-to-sell-online/?utm_source=Sarmad_Twitter</v>
      </c>
      <c r="S259" t="s">
        <v>2301</v>
      </c>
      <c r="T259" s="78" t="s">
        <v>2413</v>
      </c>
      <c r="U259" s="77" t="str">
        <f>HYPERLINK("https://pbs.twimg.com/media/ElUUNllXYAAu_xn.png")</f>
        <v>https://pbs.twimg.com/media/ElUUNllXYAAu_xn.png</v>
      </c>
      <c r="V259" s="77" t="str">
        <f>HYPERLINK("https://pbs.twimg.com/media/ElUUNllXYAAu_xn.png")</f>
        <v>https://pbs.twimg.com/media/ElUUNllXYAAu_xn.png</v>
      </c>
      <c r="W259" s="76">
        <v>44131.299444444441</v>
      </c>
      <c r="X259" s="80">
        <v>44131</v>
      </c>
      <c r="Y259" s="78" t="s">
        <v>3353</v>
      </c>
      <c r="Z259" s="77" t="str">
        <f>HYPERLINK("https://twitter.com/joeclark947/status/1320986388255412224")</f>
        <v>https://twitter.com/joeclark947/status/1320986388255412224</v>
      </c>
      <c r="AC259" s="78" t="s">
        <v>4418</v>
      </c>
      <c r="AE259" t="b">
        <v>0</v>
      </c>
      <c r="AF259">
        <v>10</v>
      </c>
      <c r="AG259" s="78" t="s">
        <v>4808</v>
      </c>
      <c r="AH259" t="b">
        <v>0</v>
      </c>
      <c r="AI259" t="s">
        <v>4829</v>
      </c>
      <c r="AK259" s="78" t="s">
        <v>4640</v>
      </c>
      <c r="AL259" t="b">
        <v>0</v>
      </c>
      <c r="AM259">
        <v>8</v>
      </c>
      <c r="AN259" s="78" t="s">
        <v>4640</v>
      </c>
      <c r="AO259" s="78" t="s">
        <v>4851</v>
      </c>
      <c r="AP259" t="b">
        <v>0</v>
      </c>
      <c r="AQ259" s="78" t="s">
        <v>4418</v>
      </c>
      <c r="AR259" t="s">
        <v>1569</v>
      </c>
      <c r="AS259">
        <v>0</v>
      </c>
      <c r="AT259">
        <v>0</v>
      </c>
    </row>
    <row r="260" spans="1:46" x14ac:dyDescent="0.45">
      <c r="A260" s="62" t="s">
        <v>1045</v>
      </c>
      <c r="B260" s="62" t="s">
        <v>1113</v>
      </c>
      <c r="C260" s="63"/>
      <c r="D260" s="64"/>
      <c r="E260" s="65"/>
      <c r="F260" s="66"/>
      <c r="G260" s="63"/>
      <c r="H260" s="67"/>
      <c r="I260" s="68"/>
      <c r="J260" s="68"/>
      <c r="K260" s="32"/>
      <c r="L260" s="75"/>
      <c r="M260" s="75"/>
      <c r="N260" s="70"/>
      <c r="O260" t="s">
        <v>1567</v>
      </c>
      <c r="P260" s="76">
        <v>44131.299444444441</v>
      </c>
      <c r="Q260" t="s">
        <v>2199</v>
      </c>
      <c r="R260" s="77" t="str">
        <f>HYPERLINK("https://hostnoc.com/trending-products-to-sell-online/?utm_source=Sarmad_Twitter")</f>
        <v>https://hostnoc.com/trending-products-to-sell-online/?utm_source=Sarmad_Twitter</v>
      </c>
      <c r="S260" t="s">
        <v>2301</v>
      </c>
      <c r="T260" s="78" t="s">
        <v>2413</v>
      </c>
      <c r="U260" s="77" t="str">
        <f>HYPERLINK("https://pbs.twimg.com/media/ElUUNllXYAAu_xn.png")</f>
        <v>https://pbs.twimg.com/media/ElUUNllXYAAu_xn.png</v>
      </c>
      <c r="V260" s="77" t="str">
        <f>HYPERLINK("https://pbs.twimg.com/media/ElUUNllXYAAu_xn.png")</f>
        <v>https://pbs.twimg.com/media/ElUUNllXYAAu_xn.png</v>
      </c>
      <c r="W260" s="76">
        <v>44131.299444444441</v>
      </c>
      <c r="X260" s="80">
        <v>44131</v>
      </c>
      <c r="Y260" s="78" t="s">
        <v>3353</v>
      </c>
      <c r="Z260" s="77" t="str">
        <f>HYPERLINK("https://twitter.com/joeclark947/status/1320986388255412224")</f>
        <v>https://twitter.com/joeclark947/status/1320986388255412224</v>
      </c>
      <c r="AC260" s="78" t="s">
        <v>4418</v>
      </c>
      <c r="AE260" t="b">
        <v>0</v>
      </c>
      <c r="AF260">
        <v>10</v>
      </c>
      <c r="AG260" s="78" t="s">
        <v>4808</v>
      </c>
      <c r="AH260" t="b">
        <v>0</v>
      </c>
      <c r="AI260" t="s">
        <v>4829</v>
      </c>
      <c r="AK260" s="78" t="s">
        <v>4640</v>
      </c>
      <c r="AL260" t="b">
        <v>0</v>
      </c>
      <c r="AM260">
        <v>8</v>
      </c>
      <c r="AN260" s="78" t="s">
        <v>4640</v>
      </c>
      <c r="AO260" s="78" t="s">
        <v>4851</v>
      </c>
      <c r="AP260" t="b">
        <v>0</v>
      </c>
      <c r="AQ260" s="78" t="s">
        <v>4418</v>
      </c>
      <c r="AR260" t="s">
        <v>1569</v>
      </c>
      <c r="AS260">
        <v>0</v>
      </c>
      <c r="AT260">
        <v>0</v>
      </c>
    </row>
    <row r="261" spans="1:46" x14ac:dyDescent="0.45">
      <c r="A261" s="62" t="s">
        <v>1045</v>
      </c>
      <c r="B261" s="62" t="s">
        <v>1520</v>
      </c>
      <c r="C261" s="63"/>
      <c r="D261" s="64"/>
      <c r="E261" s="65"/>
      <c r="F261" s="66"/>
      <c r="G261" s="63"/>
      <c r="H261" s="67"/>
      <c r="I261" s="68"/>
      <c r="J261" s="68"/>
      <c r="K261" s="32"/>
      <c r="L261" s="75"/>
      <c r="M261" s="75"/>
      <c r="N261" s="70"/>
      <c r="O261" t="s">
        <v>1570</v>
      </c>
      <c r="P261" s="76">
        <v>44959.468657407408</v>
      </c>
      <c r="Q261" t="s">
        <v>2199</v>
      </c>
      <c r="R261" s="77" t="str">
        <f>HYPERLINK("https://hostnoc.com/trending-products-to-sell-online/?utm_source=Sarmad_Twitter")</f>
        <v>https://hostnoc.com/trending-products-to-sell-online/?utm_source=Sarmad_Twitter</v>
      </c>
      <c r="S261" t="s">
        <v>2301</v>
      </c>
      <c r="T261" s="78" t="s">
        <v>2413</v>
      </c>
      <c r="U261" s="77" t="str">
        <f>HYPERLINK("https://pbs.twimg.com/media/ElUUNllXYAAu_xn.png")</f>
        <v>https://pbs.twimg.com/media/ElUUNllXYAAu_xn.png</v>
      </c>
      <c r="V261" s="77" t="str">
        <f>HYPERLINK("https://pbs.twimg.com/media/ElUUNllXYAAu_xn.png")</f>
        <v>https://pbs.twimg.com/media/ElUUNllXYAAu_xn.png</v>
      </c>
      <c r="W261" s="76">
        <v>44959.468657407408</v>
      </c>
      <c r="X261" s="80">
        <v>44959</v>
      </c>
      <c r="Y261" s="78" t="s">
        <v>3354</v>
      </c>
      <c r="Z261" s="77" t="str">
        <f>HYPERLINK("https://twitter.com/joeclark947/status/1621104863802449921")</f>
        <v>https://twitter.com/joeclark947/status/1621104863802449921</v>
      </c>
      <c r="AC261" s="78" t="s">
        <v>4419</v>
      </c>
      <c r="AE261" t="b">
        <v>0</v>
      </c>
      <c r="AF261">
        <v>0</v>
      </c>
      <c r="AG261" s="78" t="s">
        <v>4640</v>
      </c>
      <c r="AH261" t="b">
        <v>0</v>
      </c>
      <c r="AI261" t="s">
        <v>4829</v>
      </c>
      <c r="AK261" s="78" t="s">
        <v>4640</v>
      </c>
      <c r="AL261" t="b">
        <v>0</v>
      </c>
      <c r="AM261">
        <v>8</v>
      </c>
      <c r="AN261" s="78" t="s">
        <v>4418</v>
      </c>
      <c r="AO261" s="78" t="s">
        <v>4851</v>
      </c>
      <c r="AP261" t="b">
        <v>0</v>
      </c>
      <c r="AQ261" s="78" t="s">
        <v>4418</v>
      </c>
      <c r="AR261" t="s">
        <v>179</v>
      </c>
      <c r="AS261">
        <v>0</v>
      </c>
      <c r="AT261">
        <v>0</v>
      </c>
    </row>
    <row r="262" spans="1:46" x14ac:dyDescent="0.45">
      <c r="A262" s="62" t="s">
        <v>1045</v>
      </c>
      <c r="B262" s="62" t="s">
        <v>1521</v>
      </c>
      <c r="C262" s="63"/>
      <c r="D262" s="64"/>
      <c r="E262" s="65"/>
      <c r="F262" s="66"/>
      <c r="G262" s="63"/>
      <c r="H262" s="67"/>
      <c r="I262" s="68"/>
      <c r="J262" s="68"/>
      <c r="K262" s="32"/>
      <c r="L262" s="75"/>
      <c r="M262" s="75"/>
      <c r="N262" s="70"/>
      <c r="O262" t="s">
        <v>1570</v>
      </c>
      <c r="P262" s="76">
        <v>44959.468657407408</v>
      </c>
      <c r="Q262" t="s">
        <v>2199</v>
      </c>
      <c r="R262" s="77" t="str">
        <f>HYPERLINK("https://hostnoc.com/trending-products-to-sell-online/?utm_source=Sarmad_Twitter")</f>
        <v>https://hostnoc.com/trending-products-to-sell-online/?utm_source=Sarmad_Twitter</v>
      </c>
      <c r="S262" t="s">
        <v>2301</v>
      </c>
      <c r="T262" s="78" t="s">
        <v>2413</v>
      </c>
      <c r="U262" s="77" t="str">
        <f>HYPERLINK("https://pbs.twimg.com/media/ElUUNllXYAAu_xn.png")</f>
        <v>https://pbs.twimg.com/media/ElUUNllXYAAu_xn.png</v>
      </c>
      <c r="V262" s="77" t="str">
        <f>HYPERLINK("https://pbs.twimg.com/media/ElUUNllXYAAu_xn.png")</f>
        <v>https://pbs.twimg.com/media/ElUUNllXYAAu_xn.png</v>
      </c>
      <c r="W262" s="76">
        <v>44959.468657407408</v>
      </c>
      <c r="X262" s="80">
        <v>44959</v>
      </c>
      <c r="Y262" s="78" t="s">
        <v>3354</v>
      </c>
      <c r="Z262" s="77" t="str">
        <f>HYPERLINK("https://twitter.com/joeclark947/status/1621104863802449921")</f>
        <v>https://twitter.com/joeclark947/status/1621104863802449921</v>
      </c>
      <c r="AC262" s="78" t="s">
        <v>4419</v>
      </c>
      <c r="AE262" t="b">
        <v>0</v>
      </c>
      <c r="AF262">
        <v>0</v>
      </c>
      <c r="AG262" s="78" t="s">
        <v>4640</v>
      </c>
      <c r="AH262" t="b">
        <v>0</v>
      </c>
      <c r="AI262" t="s">
        <v>4829</v>
      </c>
      <c r="AK262" s="78" t="s">
        <v>4640</v>
      </c>
      <c r="AL262" t="b">
        <v>0</v>
      </c>
      <c r="AM262">
        <v>8</v>
      </c>
      <c r="AN262" s="78" t="s">
        <v>4418</v>
      </c>
      <c r="AO262" s="78" t="s">
        <v>4851</v>
      </c>
      <c r="AP262" t="b">
        <v>0</v>
      </c>
      <c r="AQ262" s="78" t="s">
        <v>4418</v>
      </c>
      <c r="AR262" t="s">
        <v>179</v>
      </c>
      <c r="AS262">
        <v>0</v>
      </c>
      <c r="AT262">
        <v>0</v>
      </c>
    </row>
    <row r="263" spans="1:46" x14ac:dyDescent="0.45">
      <c r="A263" s="62" t="s">
        <v>1045</v>
      </c>
      <c r="B263" s="62" t="s">
        <v>1522</v>
      </c>
      <c r="C263" s="63"/>
      <c r="D263" s="64"/>
      <c r="E263" s="65"/>
      <c r="F263" s="66"/>
      <c r="G263" s="63"/>
      <c r="H263" s="67"/>
      <c r="I263" s="68"/>
      <c r="J263" s="68"/>
      <c r="K263" s="32"/>
      <c r="L263" s="75"/>
      <c r="M263" s="75"/>
      <c r="N263" s="70"/>
      <c r="O263" t="s">
        <v>1570</v>
      </c>
      <c r="P263" s="76">
        <v>44959.468657407408</v>
      </c>
      <c r="Q263" t="s">
        <v>2199</v>
      </c>
      <c r="R263" s="77" t="str">
        <f>HYPERLINK("https://hostnoc.com/trending-products-to-sell-online/?utm_source=Sarmad_Twitter")</f>
        <v>https://hostnoc.com/trending-products-to-sell-online/?utm_source=Sarmad_Twitter</v>
      </c>
      <c r="S263" t="s">
        <v>2301</v>
      </c>
      <c r="T263" s="78" t="s">
        <v>2413</v>
      </c>
      <c r="U263" s="77" t="str">
        <f>HYPERLINK("https://pbs.twimg.com/media/ElUUNllXYAAu_xn.png")</f>
        <v>https://pbs.twimg.com/media/ElUUNllXYAAu_xn.png</v>
      </c>
      <c r="V263" s="77" t="str">
        <f>HYPERLINK("https://pbs.twimg.com/media/ElUUNllXYAAu_xn.png")</f>
        <v>https://pbs.twimg.com/media/ElUUNllXYAAu_xn.png</v>
      </c>
      <c r="W263" s="76">
        <v>44959.468657407408</v>
      </c>
      <c r="X263" s="80">
        <v>44959</v>
      </c>
      <c r="Y263" s="78" t="s">
        <v>3354</v>
      </c>
      <c r="Z263" s="77" t="str">
        <f>HYPERLINK("https://twitter.com/joeclark947/status/1621104863802449921")</f>
        <v>https://twitter.com/joeclark947/status/1621104863802449921</v>
      </c>
      <c r="AC263" s="78" t="s">
        <v>4419</v>
      </c>
      <c r="AE263" t="b">
        <v>0</v>
      </c>
      <c r="AF263">
        <v>0</v>
      </c>
      <c r="AG263" s="78" t="s">
        <v>4640</v>
      </c>
      <c r="AH263" t="b">
        <v>0</v>
      </c>
      <c r="AI263" t="s">
        <v>4829</v>
      </c>
      <c r="AK263" s="78" t="s">
        <v>4640</v>
      </c>
      <c r="AL263" t="b">
        <v>0</v>
      </c>
      <c r="AM263">
        <v>8</v>
      </c>
      <c r="AN263" s="78" t="s">
        <v>4418</v>
      </c>
      <c r="AO263" s="78" t="s">
        <v>4851</v>
      </c>
      <c r="AP263" t="b">
        <v>0</v>
      </c>
      <c r="AQ263" s="78" t="s">
        <v>4418</v>
      </c>
      <c r="AR263" t="s">
        <v>179</v>
      </c>
      <c r="AS263">
        <v>0</v>
      </c>
      <c r="AT263">
        <v>0</v>
      </c>
    </row>
    <row r="264" spans="1:46" x14ac:dyDescent="0.45">
      <c r="A264" s="62" t="s">
        <v>1045</v>
      </c>
      <c r="B264" s="62" t="s">
        <v>1523</v>
      </c>
      <c r="C264" s="63"/>
      <c r="D264" s="64"/>
      <c r="E264" s="65"/>
      <c r="F264" s="66"/>
      <c r="G264" s="63"/>
      <c r="H264" s="67"/>
      <c r="I264" s="68"/>
      <c r="J264" s="68"/>
      <c r="K264" s="32"/>
      <c r="L264" s="75"/>
      <c r="M264" s="75"/>
      <c r="N264" s="70"/>
      <c r="O264" t="s">
        <v>1570</v>
      </c>
      <c r="P264" s="76">
        <v>44959.468657407408</v>
      </c>
      <c r="Q264" t="s">
        <v>2199</v>
      </c>
      <c r="R264" s="77" t="str">
        <f>HYPERLINK("https://hostnoc.com/trending-products-to-sell-online/?utm_source=Sarmad_Twitter")</f>
        <v>https://hostnoc.com/trending-products-to-sell-online/?utm_source=Sarmad_Twitter</v>
      </c>
      <c r="S264" t="s">
        <v>2301</v>
      </c>
      <c r="T264" s="78" t="s">
        <v>2413</v>
      </c>
      <c r="U264" s="77" t="str">
        <f>HYPERLINK("https://pbs.twimg.com/media/ElUUNllXYAAu_xn.png")</f>
        <v>https://pbs.twimg.com/media/ElUUNllXYAAu_xn.png</v>
      </c>
      <c r="V264" s="77" t="str">
        <f>HYPERLINK("https://pbs.twimg.com/media/ElUUNllXYAAu_xn.png")</f>
        <v>https://pbs.twimg.com/media/ElUUNllXYAAu_xn.png</v>
      </c>
      <c r="W264" s="76">
        <v>44959.468657407408</v>
      </c>
      <c r="X264" s="80">
        <v>44959</v>
      </c>
      <c r="Y264" s="78" t="s">
        <v>3354</v>
      </c>
      <c r="Z264" s="77" t="str">
        <f>HYPERLINK("https://twitter.com/joeclark947/status/1621104863802449921")</f>
        <v>https://twitter.com/joeclark947/status/1621104863802449921</v>
      </c>
      <c r="AC264" s="78" t="s">
        <v>4419</v>
      </c>
      <c r="AE264" t="b">
        <v>0</v>
      </c>
      <c r="AF264">
        <v>0</v>
      </c>
      <c r="AG264" s="78" t="s">
        <v>4640</v>
      </c>
      <c r="AH264" t="b">
        <v>0</v>
      </c>
      <c r="AI264" t="s">
        <v>4829</v>
      </c>
      <c r="AK264" s="78" t="s">
        <v>4640</v>
      </c>
      <c r="AL264" t="b">
        <v>0</v>
      </c>
      <c r="AM264">
        <v>8</v>
      </c>
      <c r="AN264" s="78" t="s">
        <v>4418</v>
      </c>
      <c r="AO264" s="78" t="s">
        <v>4851</v>
      </c>
      <c r="AP264" t="b">
        <v>0</v>
      </c>
      <c r="AQ264" s="78" t="s">
        <v>4418</v>
      </c>
      <c r="AR264" t="s">
        <v>179</v>
      </c>
      <c r="AS264">
        <v>0</v>
      </c>
      <c r="AT264">
        <v>0</v>
      </c>
    </row>
    <row r="265" spans="1:46" x14ac:dyDescent="0.45">
      <c r="A265" s="62" t="s">
        <v>1045</v>
      </c>
      <c r="B265" s="62" t="s">
        <v>1143</v>
      </c>
      <c r="C265" s="63"/>
      <c r="D265" s="64"/>
      <c r="E265" s="65"/>
      <c r="F265" s="66"/>
      <c r="G265" s="63"/>
      <c r="H265" s="67"/>
      <c r="I265" s="68"/>
      <c r="J265" s="68"/>
      <c r="K265" s="32"/>
      <c r="L265" s="75"/>
      <c r="M265" s="75"/>
      <c r="N265" s="70"/>
      <c r="O265" t="s">
        <v>1570</v>
      </c>
      <c r="P265" s="76">
        <v>44959.468657407408</v>
      </c>
      <c r="Q265" t="s">
        <v>2199</v>
      </c>
      <c r="R265" s="77" t="str">
        <f>HYPERLINK("https://hostnoc.com/trending-products-to-sell-online/?utm_source=Sarmad_Twitter")</f>
        <v>https://hostnoc.com/trending-products-to-sell-online/?utm_source=Sarmad_Twitter</v>
      </c>
      <c r="S265" t="s">
        <v>2301</v>
      </c>
      <c r="T265" s="78" t="s">
        <v>2413</v>
      </c>
      <c r="U265" s="77" t="str">
        <f>HYPERLINK("https://pbs.twimg.com/media/ElUUNllXYAAu_xn.png")</f>
        <v>https://pbs.twimg.com/media/ElUUNllXYAAu_xn.png</v>
      </c>
      <c r="V265" s="77" t="str">
        <f>HYPERLINK("https://pbs.twimg.com/media/ElUUNllXYAAu_xn.png")</f>
        <v>https://pbs.twimg.com/media/ElUUNllXYAAu_xn.png</v>
      </c>
      <c r="W265" s="76">
        <v>44959.468657407408</v>
      </c>
      <c r="X265" s="80">
        <v>44959</v>
      </c>
      <c r="Y265" s="78" t="s">
        <v>3354</v>
      </c>
      <c r="Z265" s="77" t="str">
        <f>HYPERLINK("https://twitter.com/joeclark947/status/1621104863802449921")</f>
        <v>https://twitter.com/joeclark947/status/1621104863802449921</v>
      </c>
      <c r="AC265" s="78" t="s">
        <v>4419</v>
      </c>
      <c r="AE265" t="b">
        <v>0</v>
      </c>
      <c r="AF265">
        <v>0</v>
      </c>
      <c r="AG265" s="78" t="s">
        <v>4640</v>
      </c>
      <c r="AH265" t="b">
        <v>0</v>
      </c>
      <c r="AI265" t="s">
        <v>4829</v>
      </c>
      <c r="AK265" s="78" t="s">
        <v>4640</v>
      </c>
      <c r="AL265" t="b">
        <v>0</v>
      </c>
      <c r="AM265">
        <v>8</v>
      </c>
      <c r="AN265" s="78" t="s">
        <v>4418</v>
      </c>
      <c r="AO265" s="78" t="s">
        <v>4851</v>
      </c>
      <c r="AP265" t="b">
        <v>0</v>
      </c>
      <c r="AQ265" s="78" t="s">
        <v>4418</v>
      </c>
      <c r="AR265" t="s">
        <v>179</v>
      </c>
      <c r="AS265">
        <v>0</v>
      </c>
      <c r="AT265">
        <v>0</v>
      </c>
    </row>
    <row r="266" spans="1:46" x14ac:dyDescent="0.45">
      <c r="A266" s="62" t="s">
        <v>1045</v>
      </c>
      <c r="B266" s="62" t="s">
        <v>1524</v>
      </c>
      <c r="C266" s="63"/>
      <c r="D266" s="64"/>
      <c r="E266" s="65"/>
      <c r="F266" s="66"/>
      <c r="G266" s="63"/>
      <c r="H266" s="67"/>
      <c r="I266" s="68"/>
      <c r="J266" s="68"/>
      <c r="K266" s="32"/>
      <c r="L266" s="75"/>
      <c r="M266" s="75"/>
      <c r="N266" s="70"/>
      <c r="O266" t="s">
        <v>1570</v>
      </c>
      <c r="P266" s="76">
        <v>44959.468657407408</v>
      </c>
      <c r="Q266" t="s">
        <v>2199</v>
      </c>
      <c r="R266" s="77" t="str">
        <f>HYPERLINK("https://hostnoc.com/trending-products-to-sell-online/?utm_source=Sarmad_Twitter")</f>
        <v>https://hostnoc.com/trending-products-to-sell-online/?utm_source=Sarmad_Twitter</v>
      </c>
      <c r="S266" t="s">
        <v>2301</v>
      </c>
      <c r="T266" s="78" t="s">
        <v>2413</v>
      </c>
      <c r="U266" s="77" t="str">
        <f>HYPERLINK("https://pbs.twimg.com/media/ElUUNllXYAAu_xn.png")</f>
        <v>https://pbs.twimg.com/media/ElUUNllXYAAu_xn.png</v>
      </c>
      <c r="V266" s="77" t="str">
        <f>HYPERLINK("https://pbs.twimg.com/media/ElUUNllXYAAu_xn.png")</f>
        <v>https://pbs.twimg.com/media/ElUUNllXYAAu_xn.png</v>
      </c>
      <c r="W266" s="76">
        <v>44959.468657407408</v>
      </c>
      <c r="X266" s="80">
        <v>44959</v>
      </c>
      <c r="Y266" s="78" t="s">
        <v>3354</v>
      </c>
      <c r="Z266" s="77" t="str">
        <f>HYPERLINK("https://twitter.com/joeclark947/status/1621104863802449921")</f>
        <v>https://twitter.com/joeclark947/status/1621104863802449921</v>
      </c>
      <c r="AC266" s="78" t="s">
        <v>4419</v>
      </c>
      <c r="AE266" t="b">
        <v>0</v>
      </c>
      <c r="AF266">
        <v>0</v>
      </c>
      <c r="AG266" s="78" t="s">
        <v>4640</v>
      </c>
      <c r="AH266" t="b">
        <v>0</v>
      </c>
      <c r="AI266" t="s">
        <v>4829</v>
      </c>
      <c r="AK266" s="78" t="s">
        <v>4640</v>
      </c>
      <c r="AL266" t="b">
        <v>0</v>
      </c>
      <c r="AM266">
        <v>8</v>
      </c>
      <c r="AN266" s="78" t="s">
        <v>4418</v>
      </c>
      <c r="AO266" s="78" t="s">
        <v>4851</v>
      </c>
      <c r="AP266" t="b">
        <v>0</v>
      </c>
      <c r="AQ266" s="78" t="s">
        <v>4418</v>
      </c>
      <c r="AR266" t="s">
        <v>179</v>
      </c>
      <c r="AS266">
        <v>0</v>
      </c>
      <c r="AT266">
        <v>0</v>
      </c>
    </row>
    <row r="267" spans="1:46" x14ac:dyDescent="0.45">
      <c r="A267" s="62" t="s">
        <v>1045</v>
      </c>
      <c r="B267" s="62" t="s">
        <v>1217</v>
      </c>
      <c r="C267" s="63"/>
      <c r="D267" s="64"/>
      <c r="E267" s="65"/>
      <c r="F267" s="66"/>
      <c r="G267" s="63"/>
      <c r="H267" s="67"/>
      <c r="I267" s="68"/>
      <c r="J267" s="68"/>
      <c r="K267" s="32"/>
      <c r="L267" s="75"/>
      <c r="M267" s="75"/>
      <c r="N267" s="70"/>
      <c r="O267" t="s">
        <v>1570</v>
      </c>
      <c r="P267" s="76">
        <v>44959.468657407408</v>
      </c>
      <c r="Q267" t="s">
        <v>2199</v>
      </c>
      <c r="R267" s="77" t="str">
        <f>HYPERLINK("https://hostnoc.com/trending-products-to-sell-online/?utm_source=Sarmad_Twitter")</f>
        <v>https://hostnoc.com/trending-products-to-sell-online/?utm_source=Sarmad_Twitter</v>
      </c>
      <c r="S267" t="s">
        <v>2301</v>
      </c>
      <c r="T267" s="78" t="s">
        <v>2413</v>
      </c>
      <c r="U267" s="77" t="str">
        <f>HYPERLINK("https://pbs.twimg.com/media/ElUUNllXYAAu_xn.png")</f>
        <v>https://pbs.twimg.com/media/ElUUNllXYAAu_xn.png</v>
      </c>
      <c r="V267" s="77" t="str">
        <f>HYPERLINK("https://pbs.twimg.com/media/ElUUNllXYAAu_xn.png")</f>
        <v>https://pbs.twimg.com/media/ElUUNllXYAAu_xn.png</v>
      </c>
      <c r="W267" s="76">
        <v>44959.468657407408</v>
      </c>
      <c r="X267" s="80">
        <v>44959</v>
      </c>
      <c r="Y267" s="78" t="s">
        <v>3354</v>
      </c>
      <c r="Z267" s="77" t="str">
        <f>HYPERLINK("https://twitter.com/joeclark947/status/1621104863802449921")</f>
        <v>https://twitter.com/joeclark947/status/1621104863802449921</v>
      </c>
      <c r="AC267" s="78" t="s">
        <v>4419</v>
      </c>
      <c r="AE267" t="b">
        <v>0</v>
      </c>
      <c r="AF267">
        <v>0</v>
      </c>
      <c r="AG267" s="78" t="s">
        <v>4640</v>
      </c>
      <c r="AH267" t="b">
        <v>0</v>
      </c>
      <c r="AI267" t="s">
        <v>4829</v>
      </c>
      <c r="AK267" s="78" t="s">
        <v>4640</v>
      </c>
      <c r="AL267" t="b">
        <v>0</v>
      </c>
      <c r="AM267">
        <v>8</v>
      </c>
      <c r="AN267" s="78" t="s">
        <v>4418</v>
      </c>
      <c r="AO267" s="78" t="s">
        <v>4851</v>
      </c>
      <c r="AP267" t="b">
        <v>0</v>
      </c>
      <c r="AQ267" s="78" t="s">
        <v>4418</v>
      </c>
      <c r="AR267" t="s">
        <v>179</v>
      </c>
      <c r="AS267">
        <v>0</v>
      </c>
      <c r="AT267">
        <v>0</v>
      </c>
    </row>
    <row r="268" spans="1:46" x14ac:dyDescent="0.45">
      <c r="A268" s="62" t="s">
        <v>1045</v>
      </c>
      <c r="B268" s="62" t="s">
        <v>1525</v>
      </c>
      <c r="C268" s="63"/>
      <c r="D268" s="64"/>
      <c r="E268" s="65"/>
      <c r="F268" s="66"/>
      <c r="G268" s="63"/>
      <c r="H268" s="67"/>
      <c r="I268" s="68"/>
      <c r="J268" s="68"/>
      <c r="K268" s="32"/>
      <c r="L268" s="75"/>
      <c r="M268" s="75"/>
      <c r="N268" s="70"/>
      <c r="O268" t="s">
        <v>1570</v>
      </c>
      <c r="P268" s="76">
        <v>44959.468657407408</v>
      </c>
      <c r="Q268" t="s">
        <v>2199</v>
      </c>
      <c r="R268" s="77" t="str">
        <f>HYPERLINK("https://hostnoc.com/trending-products-to-sell-online/?utm_source=Sarmad_Twitter")</f>
        <v>https://hostnoc.com/trending-products-to-sell-online/?utm_source=Sarmad_Twitter</v>
      </c>
      <c r="S268" t="s">
        <v>2301</v>
      </c>
      <c r="T268" s="78" t="s">
        <v>2413</v>
      </c>
      <c r="U268" s="77" t="str">
        <f>HYPERLINK("https://pbs.twimg.com/media/ElUUNllXYAAu_xn.png")</f>
        <v>https://pbs.twimg.com/media/ElUUNllXYAAu_xn.png</v>
      </c>
      <c r="V268" s="77" t="str">
        <f>HYPERLINK("https://pbs.twimg.com/media/ElUUNllXYAAu_xn.png")</f>
        <v>https://pbs.twimg.com/media/ElUUNllXYAAu_xn.png</v>
      </c>
      <c r="W268" s="76">
        <v>44959.468657407408</v>
      </c>
      <c r="X268" s="80">
        <v>44959</v>
      </c>
      <c r="Y268" s="78" t="s">
        <v>3354</v>
      </c>
      <c r="Z268" s="77" t="str">
        <f>HYPERLINK("https://twitter.com/joeclark947/status/1621104863802449921")</f>
        <v>https://twitter.com/joeclark947/status/1621104863802449921</v>
      </c>
      <c r="AC268" s="78" t="s">
        <v>4419</v>
      </c>
      <c r="AE268" t="b">
        <v>0</v>
      </c>
      <c r="AF268">
        <v>0</v>
      </c>
      <c r="AG268" s="78" t="s">
        <v>4640</v>
      </c>
      <c r="AH268" t="b">
        <v>0</v>
      </c>
      <c r="AI268" t="s">
        <v>4829</v>
      </c>
      <c r="AK268" s="78" t="s">
        <v>4640</v>
      </c>
      <c r="AL268" t="b">
        <v>0</v>
      </c>
      <c r="AM268">
        <v>8</v>
      </c>
      <c r="AN268" s="78" t="s">
        <v>4418</v>
      </c>
      <c r="AO268" s="78" t="s">
        <v>4851</v>
      </c>
      <c r="AP268" t="b">
        <v>0</v>
      </c>
      <c r="AQ268" s="78" t="s">
        <v>4418</v>
      </c>
      <c r="AR268" t="s">
        <v>179</v>
      </c>
      <c r="AS268">
        <v>0</v>
      </c>
      <c r="AT268">
        <v>0</v>
      </c>
    </row>
    <row r="269" spans="1:46" x14ac:dyDescent="0.45">
      <c r="A269" s="62" t="s">
        <v>1045</v>
      </c>
      <c r="B269" s="62" t="s">
        <v>1526</v>
      </c>
      <c r="C269" s="63"/>
      <c r="D269" s="64"/>
      <c r="E269" s="65"/>
      <c r="F269" s="66"/>
      <c r="G269" s="63"/>
      <c r="H269" s="67"/>
      <c r="I269" s="68"/>
      <c r="J269" s="68"/>
      <c r="K269" s="32"/>
      <c r="L269" s="75"/>
      <c r="M269" s="75"/>
      <c r="N269" s="70"/>
      <c r="O269" t="s">
        <v>1570</v>
      </c>
      <c r="P269" s="76">
        <v>44959.468657407408</v>
      </c>
      <c r="Q269" t="s">
        <v>2199</v>
      </c>
      <c r="R269" s="77" t="str">
        <f>HYPERLINK("https://hostnoc.com/trending-products-to-sell-online/?utm_source=Sarmad_Twitter")</f>
        <v>https://hostnoc.com/trending-products-to-sell-online/?utm_source=Sarmad_Twitter</v>
      </c>
      <c r="S269" t="s">
        <v>2301</v>
      </c>
      <c r="T269" s="78" t="s">
        <v>2413</v>
      </c>
      <c r="U269" s="77" t="str">
        <f>HYPERLINK("https://pbs.twimg.com/media/ElUUNllXYAAu_xn.png")</f>
        <v>https://pbs.twimg.com/media/ElUUNllXYAAu_xn.png</v>
      </c>
      <c r="V269" s="77" t="str">
        <f>HYPERLINK("https://pbs.twimg.com/media/ElUUNllXYAAu_xn.png")</f>
        <v>https://pbs.twimg.com/media/ElUUNllXYAAu_xn.png</v>
      </c>
      <c r="W269" s="76">
        <v>44959.468657407408</v>
      </c>
      <c r="X269" s="80">
        <v>44959</v>
      </c>
      <c r="Y269" s="78" t="s">
        <v>3354</v>
      </c>
      <c r="Z269" s="77" t="str">
        <f>HYPERLINK("https://twitter.com/joeclark947/status/1621104863802449921")</f>
        <v>https://twitter.com/joeclark947/status/1621104863802449921</v>
      </c>
      <c r="AC269" s="78" t="s">
        <v>4419</v>
      </c>
      <c r="AE269" t="b">
        <v>0</v>
      </c>
      <c r="AF269">
        <v>0</v>
      </c>
      <c r="AG269" s="78" t="s">
        <v>4640</v>
      </c>
      <c r="AH269" t="b">
        <v>0</v>
      </c>
      <c r="AI269" t="s">
        <v>4829</v>
      </c>
      <c r="AK269" s="78" t="s">
        <v>4640</v>
      </c>
      <c r="AL269" t="b">
        <v>0</v>
      </c>
      <c r="AM269">
        <v>8</v>
      </c>
      <c r="AN269" s="78" t="s">
        <v>4418</v>
      </c>
      <c r="AO269" s="78" t="s">
        <v>4851</v>
      </c>
      <c r="AP269" t="b">
        <v>0</v>
      </c>
      <c r="AQ269" s="78" t="s">
        <v>4418</v>
      </c>
      <c r="AR269" t="s">
        <v>179</v>
      </c>
      <c r="AS269">
        <v>0</v>
      </c>
      <c r="AT269">
        <v>0</v>
      </c>
    </row>
    <row r="270" spans="1:46" x14ac:dyDescent="0.45">
      <c r="A270" s="62" t="s">
        <v>1045</v>
      </c>
      <c r="B270" s="62" t="s">
        <v>1181</v>
      </c>
      <c r="C270" s="63"/>
      <c r="D270" s="64"/>
      <c r="E270" s="65"/>
      <c r="F270" s="66"/>
      <c r="G270" s="63"/>
      <c r="H270" s="67"/>
      <c r="I270" s="68"/>
      <c r="J270" s="68"/>
      <c r="K270" s="32"/>
      <c r="L270" s="75"/>
      <c r="M270" s="75"/>
      <c r="N270" s="70"/>
      <c r="O270" t="s">
        <v>1570</v>
      </c>
      <c r="P270" s="76">
        <v>44959.468657407408</v>
      </c>
      <c r="Q270" t="s">
        <v>2199</v>
      </c>
      <c r="R270" s="77" t="str">
        <f>HYPERLINK("https://hostnoc.com/trending-products-to-sell-online/?utm_source=Sarmad_Twitter")</f>
        <v>https://hostnoc.com/trending-products-to-sell-online/?utm_source=Sarmad_Twitter</v>
      </c>
      <c r="S270" t="s">
        <v>2301</v>
      </c>
      <c r="T270" s="78" t="s">
        <v>2413</v>
      </c>
      <c r="U270" s="77" t="str">
        <f>HYPERLINK("https://pbs.twimg.com/media/ElUUNllXYAAu_xn.png")</f>
        <v>https://pbs.twimg.com/media/ElUUNllXYAAu_xn.png</v>
      </c>
      <c r="V270" s="77" t="str">
        <f>HYPERLINK("https://pbs.twimg.com/media/ElUUNllXYAAu_xn.png")</f>
        <v>https://pbs.twimg.com/media/ElUUNllXYAAu_xn.png</v>
      </c>
      <c r="W270" s="76">
        <v>44959.468657407408</v>
      </c>
      <c r="X270" s="80">
        <v>44959</v>
      </c>
      <c r="Y270" s="78" t="s">
        <v>3354</v>
      </c>
      <c r="Z270" s="77" t="str">
        <f>HYPERLINK("https://twitter.com/joeclark947/status/1621104863802449921")</f>
        <v>https://twitter.com/joeclark947/status/1621104863802449921</v>
      </c>
      <c r="AC270" s="78" t="s">
        <v>4419</v>
      </c>
      <c r="AE270" t="b">
        <v>0</v>
      </c>
      <c r="AF270">
        <v>0</v>
      </c>
      <c r="AG270" s="78" t="s">
        <v>4640</v>
      </c>
      <c r="AH270" t="b">
        <v>0</v>
      </c>
      <c r="AI270" t="s">
        <v>4829</v>
      </c>
      <c r="AK270" s="78" t="s">
        <v>4640</v>
      </c>
      <c r="AL270" t="b">
        <v>0</v>
      </c>
      <c r="AM270">
        <v>8</v>
      </c>
      <c r="AN270" s="78" t="s">
        <v>4418</v>
      </c>
      <c r="AO270" s="78" t="s">
        <v>4851</v>
      </c>
      <c r="AP270" t="b">
        <v>0</v>
      </c>
      <c r="AQ270" s="78" t="s">
        <v>4418</v>
      </c>
      <c r="AR270" t="s">
        <v>179</v>
      </c>
      <c r="AS270">
        <v>0</v>
      </c>
      <c r="AT270">
        <v>0</v>
      </c>
    </row>
    <row r="271" spans="1:46" x14ac:dyDescent="0.45">
      <c r="A271" s="62" t="s">
        <v>1045</v>
      </c>
      <c r="B271" s="62" t="s">
        <v>242</v>
      </c>
      <c r="C271" s="63"/>
      <c r="D271" s="64"/>
      <c r="E271" s="65"/>
      <c r="F271" s="66"/>
      <c r="G271" s="63"/>
      <c r="H271" s="67"/>
      <c r="I271" s="68"/>
      <c r="J271" s="68"/>
      <c r="K271" s="32"/>
      <c r="L271" s="75"/>
      <c r="M271" s="75"/>
      <c r="N271" s="70"/>
      <c r="O271" t="s">
        <v>1570</v>
      </c>
      <c r="P271" s="76">
        <v>44959.468657407408</v>
      </c>
      <c r="Q271" t="s">
        <v>2199</v>
      </c>
      <c r="R271" s="77" t="str">
        <f>HYPERLINK("https://hostnoc.com/trending-products-to-sell-online/?utm_source=Sarmad_Twitter")</f>
        <v>https://hostnoc.com/trending-products-to-sell-online/?utm_source=Sarmad_Twitter</v>
      </c>
      <c r="S271" t="s">
        <v>2301</v>
      </c>
      <c r="T271" s="78" t="s">
        <v>2413</v>
      </c>
      <c r="U271" s="77" t="str">
        <f>HYPERLINK("https://pbs.twimg.com/media/ElUUNllXYAAu_xn.png")</f>
        <v>https://pbs.twimg.com/media/ElUUNllXYAAu_xn.png</v>
      </c>
      <c r="V271" s="77" t="str">
        <f>HYPERLINK("https://pbs.twimg.com/media/ElUUNllXYAAu_xn.png")</f>
        <v>https://pbs.twimg.com/media/ElUUNllXYAAu_xn.png</v>
      </c>
      <c r="W271" s="76">
        <v>44959.468657407408</v>
      </c>
      <c r="X271" s="80">
        <v>44959</v>
      </c>
      <c r="Y271" s="78" t="s">
        <v>3354</v>
      </c>
      <c r="Z271" s="77" t="str">
        <f>HYPERLINK("https://twitter.com/joeclark947/status/1621104863802449921")</f>
        <v>https://twitter.com/joeclark947/status/1621104863802449921</v>
      </c>
      <c r="AC271" s="78" t="s">
        <v>4419</v>
      </c>
      <c r="AE271" t="b">
        <v>0</v>
      </c>
      <c r="AF271">
        <v>0</v>
      </c>
      <c r="AG271" s="78" t="s">
        <v>4640</v>
      </c>
      <c r="AH271" t="b">
        <v>0</v>
      </c>
      <c r="AI271" t="s">
        <v>4829</v>
      </c>
      <c r="AK271" s="78" t="s">
        <v>4640</v>
      </c>
      <c r="AL271" t="b">
        <v>0</v>
      </c>
      <c r="AM271">
        <v>8</v>
      </c>
      <c r="AN271" s="78" t="s">
        <v>4418</v>
      </c>
      <c r="AO271" s="78" t="s">
        <v>4851</v>
      </c>
      <c r="AP271" t="b">
        <v>0</v>
      </c>
      <c r="AQ271" s="78" t="s">
        <v>4418</v>
      </c>
      <c r="AR271" t="s">
        <v>179</v>
      </c>
      <c r="AS271">
        <v>0</v>
      </c>
      <c r="AT271">
        <v>0</v>
      </c>
    </row>
    <row r="272" spans="1:46" x14ac:dyDescent="0.45">
      <c r="A272" s="62" t="s">
        <v>1045</v>
      </c>
      <c r="B272" s="62" t="s">
        <v>1241</v>
      </c>
      <c r="C272" s="63"/>
      <c r="D272" s="64"/>
      <c r="E272" s="65"/>
      <c r="F272" s="66"/>
      <c r="G272" s="63"/>
      <c r="H272" s="67"/>
      <c r="I272" s="68"/>
      <c r="J272" s="68"/>
      <c r="K272" s="32"/>
      <c r="L272" s="75"/>
      <c r="M272" s="75"/>
      <c r="N272" s="70"/>
      <c r="O272" t="s">
        <v>1570</v>
      </c>
      <c r="P272" s="76">
        <v>44959.468657407408</v>
      </c>
      <c r="Q272" t="s">
        <v>2199</v>
      </c>
      <c r="R272" s="77" t="str">
        <f>HYPERLINK("https://hostnoc.com/trending-products-to-sell-online/?utm_source=Sarmad_Twitter")</f>
        <v>https://hostnoc.com/trending-products-to-sell-online/?utm_source=Sarmad_Twitter</v>
      </c>
      <c r="S272" t="s">
        <v>2301</v>
      </c>
      <c r="T272" s="78" t="s">
        <v>2413</v>
      </c>
      <c r="U272" s="77" t="str">
        <f>HYPERLINK("https://pbs.twimg.com/media/ElUUNllXYAAu_xn.png")</f>
        <v>https://pbs.twimg.com/media/ElUUNllXYAAu_xn.png</v>
      </c>
      <c r="V272" s="77" t="str">
        <f>HYPERLINK("https://pbs.twimg.com/media/ElUUNllXYAAu_xn.png")</f>
        <v>https://pbs.twimg.com/media/ElUUNllXYAAu_xn.png</v>
      </c>
      <c r="W272" s="76">
        <v>44959.468657407408</v>
      </c>
      <c r="X272" s="80">
        <v>44959</v>
      </c>
      <c r="Y272" s="78" t="s">
        <v>3354</v>
      </c>
      <c r="Z272" s="77" t="str">
        <f>HYPERLINK("https://twitter.com/joeclark947/status/1621104863802449921")</f>
        <v>https://twitter.com/joeclark947/status/1621104863802449921</v>
      </c>
      <c r="AC272" s="78" t="s">
        <v>4419</v>
      </c>
      <c r="AE272" t="b">
        <v>0</v>
      </c>
      <c r="AF272">
        <v>0</v>
      </c>
      <c r="AG272" s="78" t="s">
        <v>4640</v>
      </c>
      <c r="AH272" t="b">
        <v>0</v>
      </c>
      <c r="AI272" t="s">
        <v>4829</v>
      </c>
      <c r="AK272" s="78" t="s">
        <v>4640</v>
      </c>
      <c r="AL272" t="b">
        <v>0</v>
      </c>
      <c r="AM272">
        <v>8</v>
      </c>
      <c r="AN272" s="78" t="s">
        <v>4418</v>
      </c>
      <c r="AO272" s="78" t="s">
        <v>4851</v>
      </c>
      <c r="AP272" t="b">
        <v>0</v>
      </c>
      <c r="AQ272" s="78" t="s">
        <v>4418</v>
      </c>
      <c r="AR272" t="s">
        <v>179</v>
      </c>
      <c r="AS272">
        <v>0</v>
      </c>
      <c r="AT272">
        <v>0</v>
      </c>
    </row>
    <row r="273" spans="1:54" x14ac:dyDescent="0.45">
      <c r="A273" s="62" t="s">
        <v>1045</v>
      </c>
      <c r="B273" s="62" t="s">
        <v>1175</v>
      </c>
      <c r="C273" s="63"/>
      <c r="D273" s="64"/>
      <c r="E273" s="65"/>
      <c r="F273" s="66"/>
      <c r="G273" s="63"/>
      <c r="H273" s="67"/>
      <c r="I273" s="68"/>
      <c r="J273" s="68"/>
      <c r="K273" s="32"/>
      <c r="L273" s="75"/>
      <c r="M273" s="75"/>
      <c r="N273" s="70"/>
      <c r="O273" t="s">
        <v>1570</v>
      </c>
      <c r="P273" s="76">
        <v>44959.468657407408</v>
      </c>
      <c r="Q273" t="s">
        <v>2199</v>
      </c>
      <c r="R273" s="77" t="str">
        <f>HYPERLINK("https://hostnoc.com/trending-products-to-sell-online/?utm_source=Sarmad_Twitter")</f>
        <v>https://hostnoc.com/trending-products-to-sell-online/?utm_source=Sarmad_Twitter</v>
      </c>
      <c r="S273" t="s">
        <v>2301</v>
      </c>
      <c r="T273" s="78" t="s">
        <v>2413</v>
      </c>
      <c r="U273" s="77" t="str">
        <f>HYPERLINK("https://pbs.twimg.com/media/ElUUNllXYAAu_xn.png")</f>
        <v>https://pbs.twimg.com/media/ElUUNllXYAAu_xn.png</v>
      </c>
      <c r="V273" s="77" t="str">
        <f>HYPERLINK("https://pbs.twimg.com/media/ElUUNllXYAAu_xn.png")</f>
        <v>https://pbs.twimg.com/media/ElUUNllXYAAu_xn.png</v>
      </c>
      <c r="W273" s="76">
        <v>44959.468657407408</v>
      </c>
      <c r="X273" s="80">
        <v>44959</v>
      </c>
      <c r="Y273" s="78" t="s">
        <v>3354</v>
      </c>
      <c r="Z273" s="77" t="str">
        <f>HYPERLINK("https://twitter.com/joeclark947/status/1621104863802449921")</f>
        <v>https://twitter.com/joeclark947/status/1621104863802449921</v>
      </c>
      <c r="AC273" s="78" t="s">
        <v>4419</v>
      </c>
      <c r="AE273" t="b">
        <v>0</v>
      </c>
      <c r="AF273">
        <v>0</v>
      </c>
      <c r="AG273" s="78" t="s">
        <v>4640</v>
      </c>
      <c r="AH273" t="b">
        <v>0</v>
      </c>
      <c r="AI273" t="s">
        <v>4829</v>
      </c>
      <c r="AK273" s="78" t="s">
        <v>4640</v>
      </c>
      <c r="AL273" t="b">
        <v>0</v>
      </c>
      <c r="AM273">
        <v>8</v>
      </c>
      <c r="AN273" s="78" t="s">
        <v>4418</v>
      </c>
      <c r="AO273" s="78" t="s">
        <v>4851</v>
      </c>
      <c r="AP273" t="b">
        <v>0</v>
      </c>
      <c r="AQ273" s="78" t="s">
        <v>4418</v>
      </c>
      <c r="AR273" t="s">
        <v>179</v>
      </c>
      <c r="AS273">
        <v>0</v>
      </c>
      <c r="AT273">
        <v>0</v>
      </c>
    </row>
    <row r="274" spans="1:54" x14ac:dyDescent="0.45">
      <c r="A274" s="62" t="s">
        <v>1045</v>
      </c>
      <c r="B274" s="62" t="s">
        <v>1045</v>
      </c>
      <c r="C274" s="63"/>
      <c r="D274" s="64"/>
      <c r="E274" s="65"/>
      <c r="F274" s="66"/>
      <c r="G274" s="63"/>
      <c r="H274" s="67"/>
      <c r="I274" s="68"/>
      <c r="J274" s="68"/>
      <c r="K274" s="32"/>
      <c r="L274" s="75"/>
      <c r="M274" s="75"/>
      <c r="N274" s="70"/>
      <c r="O274" t="s">
        <v>1569</v>
      </c>
      <c r="P274" s="76">
        <v>44959.468657407408</v>
      </c>
      <c r="Q274" t="s">
        <v>2199</v>
      </c>
      <c r="R274" s="77" t="str">
        <f>HYPERLINK("https://hostnoc.com/trending-products-to-sell-online/?utm_source=Sarmad_Twitter")</f>
        <v>https://hostnoc.com/trending-products-to-sell-online/?utm_source=Sarmad_Twitter</v>
      </c>
      <c r="S274" t="s">
        <v>2301</v>
      </c>
      <c r="T274" s="78" t="s">
        <v>2413</v>
      </c>
      <c r="U274" s="77" t="str">
        <f>HYPERLINK("https://pbs.twimg.com/media/ElUUNllXYAAu_xn.png")</f>
        <v>https://pbs.twimg.com/media/ElUUNllXYAAu_xn.png</v>
      </c>
      <c r="V274" s="77" t="str">
        <f>HYPERLINK("https://pbs.twimg.com/media/ElUUNllXYAAu_xn.png")</f>
        <v>https://pbs.twimg.com/media/ElUUNllXYAAu_xn.png</v>
      </c>
      <c r="W274" s="76">
        <v>44959.468657407408</v>
      </c>
      <c r="X274" s="80">
        <v>44959</v>
      </c>
      <c r="Y274" s="78" t="s">
        <v>3354</v>
      </c>
      <c r="Z274" s="77" t="str">
        <f>HYPERLINK("https://twitter.com/joeclark947/status/1621104863802449921")</f>
        <v>https://twitter.com/joeclark947/status/1621104863802449921</v>
      </c>
      <c r="AC274" s="78" t="s">
        <v>4419</v>
      </c>
      <c r="AE274" t="b">
        <v>0</v>
      </c>
      <c r="AF274">
        <v>0</v>
      </c>
      <c r="AG274" s="78" t="s">
        <v>4640</v>
      </c>
      <c r="AH274" t="b">
        <v>0</v>
      </c>
      <c r="AI274" t="s">
        <v>4829</v>
      </c>
      <c r="AK274" s="78" t="s">
        <v>4640</v>
      </c>
      <c r="AL274" t="b">
        <v>0</v>
      </c>
      <c r="AM274">
        <v>8</v>
      </c>
      <c r="AN274" s="78" t="s">
        <v>4418</v>
      </c>
      <c r="AO274" s="78" t="s">
        <v>4851</v>
      </c>
      <c r="AP274" t="b">
        <v>0</v>
      </c>
      <c r="AQ274" s="78" t="s">
        <v>4418</v>
      </c>
      <c r="AR274" t="s">
        <v>179</v>
      </c>
      <c r="AS274">
        <v>0</v>
      </c>
      <c r="AT274">
        <v>0</v>
      </c>
    </row>
    <row r="275" spans="1:54" x14ac:dyDescent="0.45">
      <c r="A275" s="62" t="s">
        <v>1045</v>
      </c>
      <c r="B275" s="62" t="s">
        <v>1113</v>
      </c>
      <c r="C275" s="63"/>
      <c r="D275" s="64"/>
      <c r="E275" s="65"/>
      <c r="F275" s="66"/>
      <c r="G275" s="63"/>
      <c r="H275" s="67"/>
      <c r="I275" s="68"/>
      <c r="J275" s="68"/>
      <c r="K275" s="32"/>
      <c r="L275" s="75"/>
      <c r="M275" s="75"/>
      <c r="N275" s="70"/>
      <c r="O275" t="s">
        <v>1567</v>
      </c>
      <c r="P275" s="76">
        <v>44959.468657407408</v>
      </c>
      <c r="Q275" t="s">
        <v>2199</v>
      </c>
      <c r="R275" s="77" t="str">
        <f>HYPERLINK("https://hostnoc.com/trending-products-to-sell-online/?utm_source=Sarmad_Twitter")</f>
        <v>https://hostnoc.com/trending-products-to-sell-online/?utm_source=Sarmad_Twitter</v>
      </c>
      <c r="S275" t="s">
        <v>2301</v>
      </c>
      <c r="T275" s="78" t="s">
        <v>2413</v>
      </c>
      <c r="U275" s="77" t="str">
        <f>HYPERLINK("https://pbs.twimg.com/media/ElUUNllXYAAu_xn.png")</f>
        <v>https://pbs.twimg.com/media/ElUUNllXYAAu_xn.png</v>
      </c>
      <c r="V275" s="77" t="str">
        <f>HYPERLINK("https://pbs.twimg.com/media/ElUUNllXYAAu_xn.png")</f>
        <v>https://pbs.twimg.com/media/ElUUNllXYAAu_xn.png</v>
      </c>
      <c r="W275" s="76">
        <v>44959.468657407408</v>
      </c>
      <c r="X275" s="80">
        <v>44959</v>
      </c>
      <c r="Y275" s="78" t="s">
        <v>3354</v>
      </c>
      <c r="Z275" s="77" t="str">
        <f>HYPERLINK("https://twitter.com/joeclark947/status/1621104863802449921")</f>
        <v>https://twitter.com/joeclark947/status/1621104863802449921</v>
      </c>
      <c r="AC275" s="78" t="s">
        <v>4419</v>
      </c>
      <c r="AE275" t="b">
        <v>0</v>
      </c>
      <c r="AF275">
        <v>0</v>
      </c>
      <c r="AG275" s="78" t="s">
        <v>4640</v>
      </c>
      <c r="AH275" t="b">
        <v>0</v>
      </c>
      <c r="AI275" t="s">
        <v>4829</v>
      </c>
      <c r="AK275" s="78" t="s">
        <v>4640</v>
      </c>
      <c r="AL275" t="b">
        <v>0</v>
      </c>
      <c r="AM275">
        <v>8</v>
      </c>
      <c r="AN275" s="78" t="s">
        <v>4418</v>
      </c>
      <c r="AO275" s="78" t="s">
        <v>4851</v>
      </c>
      <c r="AP275" t="b">
        <v>0</v>
      </c>
      <c r="AQ275" s="78" t="s">
        <v>4418</v>
      </c>
      <c r="AR275" t="s">
        <v>179</v>
      </c>
      <c r="AS275">
        <v>0</v>
      </c>
      <c r="AT275">
        <v>0</v>
      </c>
    </row>
    <row r="276" spans="1:54" x14ac:dyDescent="0.45">
      <c r="A276" s="62" t="s">
        <v>321</v>
      </c>
      <c r="B276" s="62" t="s">
        <v>242</v>
      </c>
      <c r="C276" s="63"/>
      <c r="D276" s="64"/>
      <c r="E276" s="65"/>
      <c r="F276" s="66"/>
      <c r="G276" s="63"/>
      <c r="H276" s="67"/>
      <c r="I276" s="68"/>
      <c r="J276" s="68"/>
      <c r="K276" s="32"/>
      <c r="L276" s="75"/>
      <c r="M276" s="75"/>
      <c r="N276" s="70"/>
      <c r="O276" t="s">
        <v>1568</v>
      </c>
      <c r="P276" s="76">
        <v>44958.631631944445</v>
      </c>
      <c r="Q276" t="s">
        <v>1666</v>
      </c>
      <c r="R276" s="77" t="str">
        <f>HYPERLINK("https://www.instagram.com/p/CoH9EBiLXQj/?igshid=YTgzYjQ4ZTY=")</f>
        <v>https://www.instagram.com/p/CoH9EBiLXQj/?igshid=YTgzYjQ4ZTY=</v>
      </c>
      <c r="S276" t="s">
        <v>2271</v>
      </c>
      <c r="T276" s="78" t="s">
        <v>2327</v>
      </c>
      <c r="V276" s="77" t="str">
        <f>HYPERLINK("https://pbs.twimg.com/profile_images/1400976339000184839/OEmjNJTi_normal.jpg")</f>
        <v>https://pbs.twimg.com/profile_images/1400976339000184839/OEmjNJTi_normal.jpg</v>
      </c>
      <c r="W276" s="76">
        <v>44958.631631944445</v>
      </c>
      <c r="X276" s="80">
        <v>44958</v>
      </c>
      <c r="Y276" s="78" t="s">
        <v>2536</v>
      </c>
      <c r="Z276" s="77" t="str">
        <f>HYPERLINK("https://twitter.com/krysleeskincare/status/1620801533163208704")</f>
        <v>https://twitter.com/krysleeskincare/status/1620801533163208704</v>
      </c>
      <c r="AC276" s="78" t="s">
        <v>3552</v>
      </c>
      <c r="AE276" t="b">
        <v>0</v>
      </c>
      <c r="AF276">
        <v>0</v>
      </c>
      <c r="AG276" s="78" t="s">
        <v>4640</v>
      </c>
      <c r="AH276" t="b">
        <v>0</v>
      </c>
      <c r="AI276" t="s">
        <v>4829</v>
      </c>
      <c r="AK276" s="78" t="s">
        <v>4640</v>
      </c>
      <c r="AL276" t="b">
        <v>0</v>
      </c>
      <c r="AM276">
        <v>0</v>
      </c>
      <c r="AN276" s="78" t="s">
        <v>4640</v>
      </c>
      <c r="AO276" s="78" t="s">
        <v>4858</v>
      </c>
      <c r="AP276" t="b">
        <v>0</v>
      </c>
      <c r="AQ276" s="78" t="s">
        <v>3552</v>
      </c>
      <c r="AR276" t="s">
        <v>179</v>
      </c>
      <c r="AS276">
        <v>0</v>
      </c>
      <c r="AT276">
        <v>0</v>
      </c>
    </row>
    <row r="277" spans="1:54" x14ac:dyDescent="0.45">
      <c r="A277" s="62" t="s">
        <v>447</v>
      </c>
      <c r="B277" s="62" t="s">
        <v>1263</v>
      </c>
      <c r="C277" s="63"/>
      <c r="D277" s="64"/>
      <c r="E277" s="65"/>
      <c r="F277" s="66"/>
      <c r="G277" s="63"/>
      <c r="H277" s="67"/>
      <c r="I277" s="68"/>
      <c r="J277" s="68"/>
      <c r="K277" s="32"/>
      <c r="L277" s="75"/>
      <c r="M277" s="75"/>
      <c r="N277" s="70"/>
      <c r="O277" t="s">
        <v>1568</v>
      </c>
      <c r="P277" s="76">
        <v>44958.721898148149</v>
      </c>
      <c r="Q277" t="s">
        <v>1749</v>
      </c>
      <c r="R277" s="77" t="str">
        <f>HYPERLINK("https://www.instagram.com/p/CoIL8GdJKJf/?igshid=YTgzYjQ4ZTY=")</f>
        <v>https://www.instagram.com/p/CoIL8GdJKJf/?igshid=YTgzYjQ4ZTY=</v>
      </c>
      <c r="S277" t="s">
        <v>2271</v>
      </c>
      <c r="T277" s="78" t="s">
        <v>2340</v>
      </c>
      <c r="V277" s="77" t="str">
        <f>HYPERLINK("https://pbs.twimg.com/profile_images/1605063568147288065/FnP2UFyq_normal.jpg")</f>
        <v>https://pbs.twimg.com/profile_images/1605063568147288065/FnP2UFyq_normal.jpg</v>
      </c>
      <c r="W277" s="76">
        <v>44958.721898148149</v>
      </c>
      <c r="X277" s="80">
        <v>44958</v>
      </c>
      <c r="Y277" s="78" t="s">
        <v>2677</v>
      </c>
      <c r="Z277" s="77" t="str">
        <f>HYPERLINK("https://twitter.com/themattsedlak/status/1620834246196695048")</f>
        <v>https://twitter.com/themattsedlak/status/1620834246196695048</v>
      </c>
      <c r="AC277" s="78" t="s">
        <v>3695</v>
      </c>
      <c r="AE277" t="b">
        <v>0</v>
      </c>
      <c r="AF277">
        <v>0</v>
      </c>
      <c r="AG277" s="78" t="s">
        <v>4640</v>
      </c>
      <c r="AH277" t="b">
        <v>0</v>
      </c>
      <c r="AI277" t="s">
        <v>4829</v>
      </c>
      <c r="AK277" s="78" t="s">
        <v>4640</v>
      </c>
      <c r="AL277" t="b">
        <v>0</v>
      </c>
      <c r="AM277">
        <v>0</v>
      </c>
      <c r="AN277" s="78" t="s">
        <v>4640</v>
      </c>
      <c r="AO277" s="78" t="s">
        <v>4858</v>
      </c>
      <c r="AP277" t="b">
        <v>0</v>
      </c>
      <c r="AQ277" s="78" t="s">
        <v>3695</v>
      </c>
      <c r="AR277" t="s">
        <v>179</v>
      </c>
      <c r="AS277">
        <v>0</v>
      </c>
      <c r="AT277">
        <v>0</v>
      </c>
    </row>
    <row r="278" spans="1:54" x14ac:dyDescent="0.45">
      <c r="A278" s="62" t="s">
        <v>447</v>
      </c>
      <c r="B278" s="62" t="s">
        <v>1264</v>
      </c>
      <c r="C278" s="63"/>
      <c r="D278" s="64"/>
      <c r="E278" s="65"/>
      <c r="F278" s="66"/>
      <c r="G278" s="63"/>
      <c r="H278" s="67"/>
      <c r="I278" s="68"/>
      <c r="J278" s="68"/>
      <c r="K278" s="32"/>
      <c r="L278" s="75"/>
      <c r="M278" s="75"/>
      <c r="N278" s="70"/>
      <c r="O278" t="s">
        <v>1568</v>
      </c>
      <c r="P278" s="76">
        <v>44958.721898148149</v>
      </c>
      <c r="Q278" t="s">
        <v>1749</v>
      </c>
      <c r="R278" s="77" t="str">
        <f>HYPERLINK("https://www.instagram.com/p/CoIL8GdJKJf/?igshid=YTgzYjQ4ZTY=")</f>
        <v>https://www.instagram.com/p/CoIL8GdJKJf/?igshid=YTgzYjQ4ZTY=</v>
      </c>
      <c r="S278" t="s">
        <v>2271</v>
      </c>
      <c r="T278" s="78" t="s">
        <v>2340</v>
      </c>
      <c r="V278" s="77" t="str">
        <f>HYPERLINK("https://pbs.twimg.com/profile_images/1605063568147288065/FnP2UFyq_normal.jpg")</f>
        <v>https://pbs.twimg.com/profile_images/1605063568147288065/FnP2UFyq_normal.jpg</v>
      </c>
      <c r="W278" s="76">
        <v>44958.721898148149</v>
      </c>
      <c r="X278" s="80">
        <v>44958</v>
      </c>
      <c r="Y278" s="78" t="s">
        <v>2677</v>
      </c>
      <c r="Z278" s="77" t="str">
        <f>HYPERLINK("https://twitter.com/themattsedlak/status/1620834246196695048")</f>
        <v>https://twitter.com/themattsedlak/status/1620834246196695048</v>
      </c>
      <c r="AC278" s="78" t="s">
        <v>3695</v>
      </c>
      <c r="AE278" t="b">
        <v>0</v>
      </c>
      <c r="AF278">
        <v>0</v>
      </c>
      <c r="AG278" s="78" t="s">
        <v>4640</v>
      </c>
      <c r="AH278" t="b">
        <v>0</v>
      </c>
      <c r="AI278" t="s">
        <v>4829</v>
      </c>
      <c r="AK278" s="78" t="s">
        <v>4640</v>
      </c>
      <c r="AL278" t="b">
        <v>0</v>
      </c>
      <c r="AM278">
        <v>0</v>
      </c>
      <c r="AN278" s="78" t="s">
        <v>4640</v>
      </c>
      <c r="AO278" s="78" t="s">
        <v>4858</v>
      </c>
      <c r="AP278" t="b">
        <v>0</v>
      </c>
      <c r="AQ278" s="78" t="s">
        <v>3695</v>
      </c>
      <c r="AR278" t="s">
        <v>179</v>
      </c>
      <c r="AS278">
        <v>0</v>
      </c>
      <c r="AT278">
        <v>0</v>
      </c>
    </row>
    <row r="279" spans="1:54" x14ac:dyDescent="0.45">
      <c r="A279" s="62" t="s">
        <v>447</v>
      </c>
      <c r="B279" s="62" t="s">
        <v>242</v>
      </c>
      <c r="C279" s="63"/>
      <c r="D279" s="64"/>
      <c r="E279" s="65"/>
      <c r="F279" s="66"/>
      <c r="G279" s="63"/>
      <c r="H279" s="67"/>
      <c r="I279" s="68"/>
      <c r="J279" s="68"/>
      <c r="K279" s="32"/>
      <c r="L279" s="75"/>
      <c r="M279" s="75"/>
      <c r="N279" s="70"/>
      <c r="O279" t="s">
        <v>1568</v>
      </c>
      <c r="P279" s="76">
        <v>44958.721898148149</v>
      </c>
      <c r="Q279" t="s">
        <v>1749</v>
      </c>
      <c r="R279" s="77" t="str">
        <f>HYPERLINK("https://www.instagram.com/p/CoIL8GdJKJf/?igshid=YTgzYjQ4ZTY=")</f>
        <v>https://www.instagram.com/p/CoIL8GdJKJf/?igshid=YTgzYjQ4ZTY=</v>
      </c>
      <c r="S279" t="s">
        <v>2271</v>
      </c>
      <c r="T279" s="78" t="s">
        <v>2340</v>
      </c>
      <c r="V279" s="77" t="str">
        <f>HYPERLINK("https://pbs.twimg.com/profile_images/1605063568147288065/FnP2UFyq_normal.jpg")</f>
        <v>https://pbs.twimg.com/profile_images/1605063568147288065/FnP2UFyq_normal.jpg</v>
      </c>
      <c r="W279" s="76">
        <v>44958.721898148149</v>
      </c>
      <c r="X279" s="80">
        <v>44958</v>
      </c>
      <c r="Y279" s="78" t="s">
        <v>2677</v>
      </c>
      <c r="Z279" s="77" t="str">
        <f>HYPERLINK("https://twitter.com/themattsedlak/status/1620834246196695048")</f>
        <v>https://twitter.com/themattsedlak/status/1620834246196695048</v>
      </c>
      <c r="AC279" s="78" t="s">
        <v>3695</v>
      </c>
      <c r="AE279" t="b">
        <v>0</v>
      </c>
      <c r="AF279">
        <v>0</v>
      </c>
      <c r="AG279" s="78" t="s">
        <v>4640</v>
      </c>
      <c r="AH279" t="b">
        <v>0</v>
      </c>
      <c r="AI279" t="s">
        <v>4829</v>
      </c>
      <c r="AK279" s="78" t="s">
        <v>4640</v>
      </c>
      <c r="AL279" t="b">
        <v>0</v>
      </c>
      <c r="AM279">
        <v>0</v>
      </c>
      <c r="AN279" s="78" t="s">
        <v>4640</v>
      </c>
      <c r="AO279" s="78" t="s">
        <v>4858</v>
      </c>
      <c r="AP279" t="b">
        <v>0</v>
      </c>
      <c r="AQ279" s="78" t="s">
        <v>3695</v>
      </c>
      <c r="AR279" t="s">
        <v>179</v>
      </c>
      <c r="AS279">
        <v>0</v>
      </c>
      <c r="AT279">
        <v>0</v>
      </c>
    </row>
    <row r="280" spans="1:54" x14ac:dyDescent="0.45">
      <c r="A280" s="62" t="s">
        <v>878</v>
      </c>
      <c r="B280" s="62" t="s">
        <v>242</v>
      </c>
      <c r="C280" s="63"/>
      <c r="D280" s="64"/>
      <c r="E280" s="65"/>
      <c r="F280" s="66"/>
      <c r="G280" s="63"/>
      <c r="H280" s="67"/>
      <c r="I280" s="68"/>
      <c r="J280" s="68"/>
      <c r="K280" s="32"/>
      <c r="L280" s="75"/>
      <c r="M280" s="75"/>
      <c r="N280" s="70"/>
      <c r="O280" t="s">
        <v>1568</v>
      </c>
      <c r="P280" s="76">
        <v>44959.062523148146</v>
      </c>
      <c r="Q280" t="s">
        <v>2046</v>
      </c>
      <c r="R280" s="77" t="str">
        <f>HYPERLINK("https://www.instagram.com/whoawaitwalmart/")</f>
        <v>https://www.instagram.com/whoawaitwalmart/</v>
      </c>
      <c r="S280" t="s">
        <v>2271</v>
      </c>
      <c r="T280" s="78" t="s">
        <v>2388</v>
      </c>
      <c r="U280" s="77" t="str">
        <f>HYPERLINK("https://pbs.twimg.com/media/Fn7MbJAWAAEsi_S.jpg")</f>
        <v>https://pbs.twimg.com/media/Fn7MbJAWAAEsi_S.jpg</v>
      </c>
      <c r="V280" s="77" t="str">
        <f>HYPERLINK("https://pbs.twimg.com/media/Fn7MbJAWAAEsi_S.jpg")</f>
        <v>https://pbs.twimg.com/media/Fn7MbJAWAAEsi_S.jpg</v>
      </c>
      <c r="W280" s="76">
        <v>44959.062523148146</v>
      </c>
      <c r="X280" s="80">
        <v>44959</v>
      </c>
      <c r="Y280" s="78" t="s">
        <v>3139</v>
      </c>
      <c r="Z280" s="77" t="str">
        <f>HYPERLINK("https://twitter.com/whoawaitwalmart/status/1620957683959349249")</f>
        <v>https://twitter.com/whoawaitwalmart/status/1620957683959349249</v>
      </c>
      <c r="AC280" s="78" t="s">
        <v>4204</v>
      </c>
      <c r="AE280" t="b">
        <v>0</v>
      </c>
      <c r="AF280">
        <v>2</v>
      </c>
      <c r="AG280" s="78" t="s">
        <v>4640</v>
      </c>
      <c r="AH280" t="b">
        <v>0</v>
      </c>
      <c r="AI280" t="s">
        <v>4829</v>
      </c>
      <c r="AK280" s="78" t="s">
        <v>4640</v>
      </c>
      <c r="AL280" t="b">
        <v>0</v>
      </c>
      <c r="AM280">
        <v>0</v>
      </c>
      <c r="AN280" s="78" t="s">
        <v>4640</v>
      </c>
      <c r="AO280" s="78" t="s">
        <v>4870</v>
      </c>
      <c r="AP280" t="b">
        <v>0</v>
      </c>
      <c r="AQ280" s="78" t="s">
        <v>4204</v>
      </c>
      <c r="AR280" t="s">
        <v>179</v>
      </c>
      <c r="AS280">
        <v>0</v>
      </c>
      <c r="AT280">
        <v>0</v>
      </c>
    </row>
    <row r="281" spans="1:54" x14ac:dyDescent="0.45">
      <c r="A281" s="62" t="s">
        <v>342</v>
      </c>
      <c r="B281" s="62" t="s">
        <v>242</v>
      </c>
      <c r="C281" s="63"/>
      <c r="D281" s="64"/>
      <c r="E281" s="65"/>
      <c r="F281" s="66"/>
      <c r="G281" s="63"/>
      <c r="H281" s="67"/>
      <c r="I281" s="68"/>
      <c r="J281" s="68"/>
      <c r="K281" s="32"/>
      <c r="L281" s="75"/>
      <c r="M281" s="75"/>
      <c r="N281" s="70"/>
      <c r="O281" t="s">
        <v>1568</v>
      </c>
      <c r="P281" s="76">
        <v>44958.657326388886</v>
      </c>
      <c r="Q281" t="s">
        <v>1687</v>
      </c>
      <c r="R281" s="77" t="str">
        <f>HYPERLINK("https://www.instagram.com/p/CoIBS79OJyc/?igshid=YTgzYjQ4ZTY=")</f>
        <v>https://www.instagram.com/p/CoIBS79OJyc/?igshid=YTgzYjQ4ZTY=</v>
      </c>
      <c r="S281" t="s">
        <v>2271</v>
      </c>
      <c r="T281" s="78" t="s">
        <v>2330</v>
      </c>
      <c r="V281" s="77" t="str">
        <f>HYPERLINK("https://pbs.twimg.com/profile_images/1492920281203191821/SHZ5QYM5_normal.jpg")</f>
        <v>https://pbs.twimg.com/profile_images/1492920281203191821/SHZ5QYM5_normal.jpg</v>
      </c>
      <c r="W281" s="76">
        <v>44958.657326388886</v>
      </c>
      <c r="X281" s="80">
        <v>44958</v>
      </c>
      <c r="Y281" s="78" t="s">
        <v>2563</v>
      </c>
      <c r="Z281" s="77" t="str">
        <f>HYPERLINK("https://twitter.com/nftwanda_43/status/1620810846157918211")</f>
        <v>https://twitter.com/nftwanda_43/status/1620810846157918211</v>
      </c>
      <c r="AA281">
        <v>41.823599999999999</v>
      </c>
      <c r="AB281">
        <v>-71.4221</v>
      </c>
      <c r="AC281" s="78" t="s">
        <v>3580</v>
      </c>
      <c r="AE281" t="b">
        <v>0</v>
      </c>
      <c r="AF281">
        <v>0</v>
      </c>
      <c r="AG281" s="78" t="s">
        <v>4640</v>
      </c>
      <c r="AH281" t="b">
        <v>0</v>
      </c>
      <c r="AI281" t="s">
        <v>4829</v>
      </c>
      <c r="AK281" s="78" t="s">
        <v>4640</v>
      </c>
      <c r="AL281" t="b">
        <v>0</v>
      </c>
      <c r="AM281">
        <v>0</v>
      </c>
      <c r="AN281" s="78" t="s">
        <v>4640</v>
      </c>
      <c r="AO281" s="78" t="s">
        <v>4858</v>
      </c>
      <c r="AP281" t="b">
        <v>0</v>
      </c>
      <c r="AQ281" s="78" t="s">
        <v>3580</v>
      </c>
      <c r="AR281" t="s">
        <v>179</v>
      </c>
      <c r="AS281">
        <v>0</v>
      </c>
      <c r="AT281">
        <v>0</v>
      </c>
      <c r="AU281" t="s">
        <v>4879</v>
      </c>
      <c r="AV281" t="s">
        <v>4899</v>
      </c>
      <c r="AW281" t="s">
        <v>4901</v>
      </c>
      <c r="AX281" t="s">
        <v>4908</v>
      </c>
      <c r="AY281" t="s">
        <v>4933</v>
      </c>
      <c r="AZ281" t="s">
        <v>4958</v>
      </c>
      <c r="BA281" t="s">
        <v>4975</v>
      </c>
      <c r="BB281" s="77" t="str">
        <f>HYPERLINK("https://api.twitter.com/1.1/geo/id/7b93be1d864cedbb.json")</f>
        <v>https://api.twitter.com/1.1/geo/id/7b93be1d864cedbb.json</v>
      </c>
    </row>
    <row r="282" spans="1:54" x14ac:dyDescent="0.45">
      <c r="A282" s="62" t="s">
        <v>829</v>
      </c>
      <c r="B282" s="62" t="s">
        <v>242</v>
      </c>
      <c r="C282" s="63"/>
      <c r="D282" s="64"/>
      <c r="E282" s="65"/>
      <c r="F282" s="66"/>
      <c r="G282" s="63"/>
      <c r="H282" s="67"/>
      <c r="I282" s="68"/>
      <c r="J282" s="68"/>
      <c r="K282" s="32"/>
      <c r="L282" s="75"/>
      <c r="M282" s="75"/>
      <c r="N282" s="70"/>
      <c r="O282" t="s">
        <v>1568</v>
      </c>
      <c r="P282" s="76">
        <v>44959.004641203705</v>
      </c>
      <c r="Q282" t="s">
        <v>2011</v>
      </c>
      <c r="R282" s="77" t="str">
        <f>HYPERLINK("https://www.instagram.com/p/CoI6h4QuerF/?igshid=YTgzYjQ4ZTY=")</f>
        <v>https://www.instagram.com/p/CoI6h4QuerF/?igshid=YTgzYjQ4ZTY=</v>
      </c>
      <c r="S282" t="s">
        <v>2271</v>
      </c>
      <c r="T282" s="78" t="s">
        <v>2382</v>
      </c>
      <c r="V282" s="77" t="str">
        <f>HYPERLINK("https://pbs.twimg.com/profile_images/1612257155708604416/mOhB0G3I_normal.jpg")</f>
        <v>https://pbs.twimg.com/profile_images/1612257155708604416/mOhB0G3I_normal.jpg</v>
      </c>
      <c r="W282" s="76">
        <v>44959.004641203705</v>
      </c>
      <c r="X282" s="80">
        <v>44959</v>
      </c>
      <c r="Y282" s="78" t="s">
        <v>3077</v>
      </c>
      <c r="Z282" s="77" t="str">
        <f>HYPERLINK("https://twitter.com/thilleshiem__/status/1620936707183972353")</f>
        <v>https://twitter.com/thilleshiem__/status/1620936707183972353</v>
      </c>
      <c r="AC282" s="78" t="s">
        <v>4142</v>
      </c>
      <c r="AE282" t="b">
        <v>0</v>
      </c>
      <c r="AF282">
        <v>0</v>
      </c>
      <c r="AG282" s="78" t="s">
        <v>4640</v>
      </c>
      <c r="AH282" t="b">
        <v>0</v>
      </c>
      <c r="AI282" t="s">
        <v>4829</v>
      </c>
      <c r="AK282" s="78" t="s">
        <v>4640</v>
      </c>
      <c r="AL282" t="b">
        <v>0</v>
      </c>
      <c r="AM282">
        <v>0</v>
      </c>
      <c r="AN282" s="78" t="s">
        <v>4640</v>
      </c>
      <c r="AO282" s="78" t="s">
        <v>4858</v>
      </c>
      <c r="AP282" t="b">
        <v>0</v>
      </c>
      <c r="AQ282" s="78" t="s">
        <v>4142</v>
      </c>
      <c r="AR282" t="s">
        <v>179</v>
      </c>
      <c r="AS282">
        <v>0</v>
      </c>
      <c r="AT282">
        <v>0</v>
      </c>
    </row>
    <row r="283" spans="1:54" x14ac:dyDescent="0.45">
      <c r="A283" s="62" t="s">
        <v>1050</v>
      </c>
      <c r="B283" s="62" t="s">
        <v>242</v>
      </c>
      <c r="C283" s="63"/>
      <c r="D283" s="64"/>
      <c r="E283" s="65"/>
      <c r="F283" s="66"/>
      <c r="G283" s="63"/>
      <c r="H283" s="67"/>
      <c r="I283" s="68"/>
      <c r="J283" s="68"/>
      <c r="K283" s="32"/>
      <c r="L283" s="75"/>
      <c r="M283" s="75"/>
      <c r="N283" s="70"/>
      <c r="O283" t="s">
        <v>1568</v>
      </c>
      <c r="P283" s="76">
        <v>44958.865937499999</v>
      </c>
      <c r="Q283" t="s">
        <v>2203</v>
      </c>
      <c r="R283" s="77" t="str">
        <f>HYPERLINK("https://www.instagram.com/p/CoIip5cvysu/?igshid=NjcyZGVjMzk=")</f>
        <v>https://www.instagram.com/p/CoIip5cvysu/?igshid=NjcyZGVjMzk=</v>
      </c>
      <c r="S283" t="s">
        <v>2271</v>
      </c>
      <c r="U283" s="77" t="str">
        <f>HYPERLINK("https://pbs.twimg.com/media/Fn6LoNYXoAYquW8.jpg")</f>
        <v>https://pbs.twimg.com/media/Fn6LoNYXoAYquW8.jpg</v>
      </c>
      <c r="V283" s="77" t="str">
        <f>HYPERLINK("https://pbs.twimg.com/media/Fn6LoNYXoAYquW8.jpg")</f>
        <v>https://pbs.twimg.com/media/Fn6LoNYXoAYquW8.jpg</v>
      </c>
      <c r="W283" s="76">
        <v>44958.865937499999</v>
      </c>
      <c r="X283" s="80">
        <v>44958</v>
      </c>
      <c r="Y283" s="78" t="s">
        <v>3361</v>
      </c>
      <c r="Z283" s="77" t="str">
        <f>HYPERLINK("https://twitter.com/rowdy8nation/status/1620886443462905856")</f>
        <v>https://twitter.com/rowdy8nation/status/1620886443462905856</v>
      </c>
      <c r="AC283" s="78" t="s">
        <v>4426</v>
      </c>
      <c r="AE283" t="b">
        <v>0</v>
      </c>
      <c r="AF283">
        <v>1</v>
      </c>
      <c r="AG283" s="78" t="s">
        <v>4640</v>
      </c>
      <c r="AH283" t="b">
        <v>0</v>
      </c>
      <c r="AI283" t="s">
        <v>4829</v>
      </c>
      <c r="AK283" s="78" t="s">
        <v>4640</v>
      </c>
      <c r="AL283" t="b">
        <v>0</v>
      </c>
      <c r="AM283">
        <v>0</v>
      </c>
      <c r="AN283" s="78" t="s">
        <v>4640</v>
      </c>
      <c r="AO283" s="78" t="s">
        <v>4850</v>
      </c>
      <c r="AP283" t="b">
        <v>0</v>
      </c>
      <c r="AQ283" s="78" t="s">
        <v>4426</v>
      </c>
      <c r="AR283" t="s">
        <v>179</v>
      </c>
      <c r="AS283">
        <v>0</v>
      </c>
      <c r="AT283">
        <v>0</v>
      </c>
    </row>
    <row r="284" spans="1:54" x14ac:dyDescent="0.45">
      <c r="A284" s="62" t="s">
        <v>321</v>
      </c>
      <c r="B284" s="62" t="s">
        <v>242</v>
      </c>
      <c r="C284" s="63"/>
      <c r="D284" s="64"/>
      <c r="E284" s="65"/>
      <c r="F284" s="66"/>
      <c r="G284" s="63"/>
      <c r="H284" s="67"/>
      <c r="I284" s="68"/>
      <c r="J284" s="68"/>
      <c r="K284" s="32"/>
      <c r="L284" s="75"/>
      <c r="M284" s="75"/>
      <c r="N284" s="70"/>
      <c r="O284" t="s">
        <v>1568</v>
      </c>
      <c r="P284" s="76">
        <v>44958.614687499998</v>
      </c>
      <c r="Q284" t="s">
        <v>1665</v>
      </c>
      <c r="R284" s="77" t="str">
        <f>HYPERLINK("https://www.instagram.com/p/CoH6RTgLV3S/?igshid=YTgzYjQ4ZTY=")</f>
        <v>https://www.instagram.com/p/CoH6RTgLV3S/?igshid=YTgzYjQ4ZTY=</v>
      </c>
      <c r="S284" t="s">
        <v>2271</v>
      </c>
      <c r="V284" s="77" t="str">
        <f>HYPERLINK("https://pbs.twimg.com/profile_images/1400976339000184839/OEmjNJTi_normal.jpg")</f>
        <v>https://pbs.twimg.com/profile_images/1400976339000184839/OEmjNJTi_normal.jpg</v>
      </c>
      <c r="W284" s="76">
        <v>44958.614687499998</v>
      </c>
      <c r="X284" s="80">
        <v>44958</v>
      </c>
      <c r="Y284" s="78" t="s">
        <v>2535</v>
      </c>
      <c r="Z284" s="77" t="str">
        <f>HYPERLINK("https://twitter.com/krysleeskincare/status/1620795394870415361")</f>
        <v>https://twitter.com/krysleeskincare/status/1620795394870415361</v>
      </c>
      <c r="AC284" s="78" t="s">
        <v>3551</v>
      </c>
      <c r="AE284" t="b">
        <v>0</v>
      </c>
      <c r="AF284">
        <v>0</v>
      </c>
      <c r="AG284" s="78" t="s">
        <v>4640</v>
      </c>
      <c r="AH284" t="b">
        <v>0</v>
      </c>
      <c r="AI284" t="s">
        <v>4829</v>
      </c>
      <c r="AK284" s="78" t="s">
        <v>4640</v>
      </c>
      <c r="AL284" t="b">
        <v>0</v>
      </c>
      <c r="AM284">
        <v>0</v>
      </c>
      <c r="AN284" s="78" t="s">
        <v>4640</v>
      </c>
      <c r="AO284" s="78" t="s">
        <v>4858</v>
      </c>
      <c r="AP284" t="b">
        <v>0</v>
      </c>
      <c r="AQ284" s="78" t="s">
        <v>3551</v>
      </c>
      <c r="AR284" t="s">
        <v>179</v>
      </c>
      <c r="AS284">
        <v>0</v>
      </c>
      <c r="AT284">
        <v>0</v>
      </c>
    </row>
    <row r="285" spans="1:54" x14ac:dyDescent="0.45">
      <c r="A285" s="62" t="s">
        <v>979</v>
      </c>
      <c r="B285" s="62" t="s">
        <v>242</v>
      </c>
      <c r="C285" s="63"/>
      <c r="D285" s="64"/>
      <c r="E285" s="65"/>
      <c r="F285" s="66"/>
      <c r="G285" s="63"/>
      <c r="H285" s="67"/>
      <c r="I285" s="68"/>
      <c r="J285" s="68"/>
      <c r="K285" s="32"/>
      <c r="L285" s="75"/>
      <c r="M285" s="75"/>
      <c r="N285" s="70"/>
      <c r="O285" t="s">
        <v>1568</v>
      </c>
      <c r="P285" s="76">
        <v>44959.22755787037</v>
      </c>
      <c r="Q285" t="s">
        <v>2142</v>
      </c>
      <c r="R285" s="77" t="str">
        <f>HYPERLINK("https://www.lamansiondelasideas.com/en/present/walmartend-theft-with-banana-trick-self-checkout-system/amp/")</f>
        <v>https://www.lamansiondelasideas.com/en/present/walmartend-theft-with-banana-trick-self-checkout-system/amp/</v>
      </c>
      <c r="S285" t="s">
        <v>2298</v>
      </c>
      <c r="V285" s="77" t="str">
        <f>HYPERLINK("https://pbs.twimg.com/profile_images/1324211928097386496/BzqXykHt_normal.jpg")</f>
        <v>https://pbs.twimg.com/profile_images/1324211928097386496/BzqXykHt_normal.jpg</v>
      </c>
      <c r="W285" s="76">
        <v>44959.22755787037</v>
      </c>
      <c r="X285" s="80">
        <v>44959</v>
      </c>
      <c r="Y285" s="78" t="s">
        <v>3263</v>
      </c>
      <c r="Z285" s="77" t="str">
        <f>HYPERLINK("https://twitter.com/r_hernandez11/status/1621017490213179392")</f>
        <v>https://twitter.com/r_hernandez11/status/1621017490213179392</v>
      </c>
      <c r="AC285" s="78" t="s">
        <v>4328</v>
      </c>
      <c r="AE285" t="b">
        <v>0</v>
      </c>
      <c r="AF285">
        <v>0</v>
      </c>
      <c r="AG285" s="78" t="s">
        <v>4640</v>
      </c>
      <c r="AH285" t="b">
        <v>0</v>
      </c>
      <c r="AI285" t="s">
        <v>4829</v>
      </c>
      <c r="AK285" s="78" t="s">
        <v>4640</v>
      </c>
      <c r="AL285" t="b">
        <v>0</v>
      </c>
      <c r="AM285">
        <v>0</v>
      </c>
      <c r="AN285" s="78" t="s">
        <v>4640</v>
      </c>
      <c r="AO285" s="78" t="s">
        <v>4850</v>
      </c>
      <c r="AP285" t="b">
        <v>0</v>
      </c>
      <c r="AQ285" s="78" t="s">
        <v>4328</v>
      </c>
      <c r="AR285" t="s">
        <v>179</v>
      </c>
      <c r="AS285">
        <v>0</v>
      </c>
      <c r="AT285">
        <v>0</v>
      </c>
    </row>
    <row r="286" spans="1:54" x14ac:dyDescent="0.45">
      <c r="A286" s="62" t="s">
        <v>916</v>
      </c>
      <c r="B286" s="62" t="s">
        <v>1439</v>
      </c>
      <c r="C286" s="63"/>
      <c r="D286" s="64"/>
      <c r="E286" s="65"/>
      <c r="F286" s="66"/>
      <c r="G286" s="63"/>
      <c r="H286" s="67"/>
      <c r="I286" s="68"/>
      <c r="J286" s="68"/>
      <c r="K286" s="32"/>
      <c r="L286" s="75"/>
      <c r="M286" s="75"/>
      <c r="N286" s="70"/>
      <c r="O286" t="s">
        <v>1568</v>
      </c>
      <c r="P286" s="76">
        <v>44959.11241898148</v>
      </c>
      <c r="Q286" t="s">
        <v>2076</v>
      </c>
      <c r="R286" s="77" t="str">
        <f>HYPERLINK("https://medium.com/modern-business/the-self-checkout-solution-6bd79c7a7851")</f>
        <v>https://medium.com/modern-business/the-self-checkout-solution-6bd79c7a7851</v>
      </c>
      <c r="S286" t="s">
        <v>2295</v>
      </c>
      <c r="T286" s="78" t="s">
        <v>2396</v>
      </c>
      <c r="V286" s="77" t="str">
        <f>HYPERLINK("https://pbs.twimg.com/profile_images/1526723012896096257/vPfv_ew2_normal.jpg")</f>
        <v>https://pbs.twimg.com/profile_images/1526723012896096257/vPfv_ew2_normal.jpg</v>
      </c>
      <c r="W286" s="76">
        <v>44959.11241898148</v>
      </c>
      <c r="X286" s="80">
        <v>44959</v>
      </c>
      <c r="Y286" s="78" t="s">
        <v>3181</v>
      </c>
      <c r="Z286" s="77" t="str">
        <f>HYPERLINK("https://twitter.com/goodadvicepub/status/1620975764391997442")</f>
        <v>https://twitter.com/goodadvicepub/status/1620975764391997442</v>
      </c>
      <c r="AC286" s="78" t="s">
        <v>4246</v>
      </c>
      <c r="AE286" t="b">
        <v>0</v>
      </c>
      <c r="AF286">
        <v>0</v>
      </c>
      <c r="AG286" s="78" t="s">
        <v>4640</v>
      </c>
      <c r="AH286" t="b">
        <v>0</v>
      </c>
      <c r="AI286" t="s">
        <v>4829</v>
      </c>
      <c r="AK286" s="78" t="s">
        <v>4640</v>
      </c>
      <c r="AL286" t="b">
        <v>0</v>
      </c>
      <c r="AM286">
        <v>0</v>
      </c>
      <c r="AN286" s="78" t="s">
        <v>4640</v>
      </c>
      <c r="AO286" s="78" t="s">
        <v>4851</v>
      </c>
      <c r="AP286" t="b">
        <v>0</v>
      </c>
      <c r="AQ286" s="78" t="s">
        <v>4246</v>
      </c>
      <c r="AR286" t="s">
        <v>179</v>
      </c>
      <c r="AS286">
        <v>0</v>
      </c>
      <c r="AT286">
        <v>0</v>
      </c>
    </row>
    <row r="287" spans="1:54" x14ac:dyDescent="0.45">
      <c r="A287" s="62" t="s">
        <v>916</v>
      </c>
      <c r="B287" s="62" t="s">
        <v>1440</v>
      </c>
      <c r="C287" s="63"/>
      <c r="D287" s="64"/>
      <c r="E287" s="65"/>
      <c r="F287" s="66"/>
      <c r="G287" s="63"/>
      <c r="H287" s="67"/>
      <c r="I287" s="68"/>
      <c r="J287" s="68"/>
      <c r="K287" s="32"/>
      <c r="L287" s="75"/>
      <c r="M287" s="75"/>
      <c r="N287" s="70"/>
      <c r="O287" t="s">
        <v>1568</v>
      </c>
      <c r="P287" s="76">
        <v>44959.11241898148</v>
      </c>
      <c r="Q287" t="s">
        <v>2076</v>
      </c>
      <c r="R287" s="77" t="str">
        <f>HYPERLINK("https://medium.com/modern-business/the-self-checkout-solution-6bd79c7a7851")</f>
        <v>https://medium.com/modern-business/the-self-checkout-solution-6bd79c7a7851</v>
      </c>
      <c r="S287" t="s">
        <v>2295</v>
      </c>
      <c r="T287" s="78" t="s">
        <v>2396</v>
      </c>
      <c r="V287" s="77" t="str">
        <f>HYPERLINK("https://pbs.twimg.com/profile_images/1526723012896096257/vPfv_ew2_normal.jpg")</f>
        <v>https://pbs.twimg.com/profile_images/1526723012896096257/vPfv_ew2_normal.jpg</v>
      </c>
      <c r="W287" s="76">
        <v>44959.11241898148</v>
      </c>
      <c r="X287" s="80">
        <v>44959</v>
      </c>
      <c r="Y287" s="78" t="s">
        <v>3181</v>
      </c>
      <c r="Z287" s="77" t="str">
        <f>HYPERLINK("https://twitter.com/goodadvicepub/status/1620975764391997442")</f>
        <v>https://twitter.com/goodadvicepub/status/1620975764391997442</v>
      </c>
      <c r="AC287" s="78" t="s">
        <v>4246</v>
      </c>
      <c r="AE287" t="b">
        <v>0</v>
      </c>
      <c r="AF287">
        <v>0</v>
      </c>
      <c r="AG287" s="78" t="s">
        <v>4640</v>
      </c>
      <c r="AH287" t="b">
        <v>0</v>
      </c>
      <c r="AI287" t="s">
        <v>4829</v>
      </c>
      <c r="AK287" s="78" t="s">
        <v>4640</v>
      </c>
      <c r="AL287" t="b">
        <v>0</v>
      </c>
      <c r="AM287">
        <v>0</v>
      </c>
      <c r="AN287" s="78" t="s">
        <v>4640</v>
      </c>
      <c r="AO287" s="78" t="s">
        <v>4851</v>
      </c>
      <c r="AP287" t="b">
        <v>0</v>
      </c>
      <c r="AQ287" s="78" t="s">
        <v>4246</v>
      </c>
      <c r="AR287" t="s">
        <v>179</v>
      </c>
      <c r="AS287">
        <v>0</v>
      </c>
      <c r="AT287">
        <v>0</v>
      </c>
    </row>
    <row r="288" spans="1:54" x14ac:dyDescent="0.45">
      <c r="A288" s="62" t="s">
        <v>916</v>
      </c>
      <c r="B288" s="62" t="s">
        <v>1418</v>
      </c>
      <c r="C288" s="63"/>
      <c r="D288" s="64"/>
      <c r="E288" s="65"/>
      <c r="F288" s="66"/>
      <c r="G288" s="63"/>
      <c r="H288" s="67"/>
      <c r="I288" s="68"/>
      <c r="J288" s="68"/>
      <c r="K288" s="32"/>
      <c r="L288" s="75"/>
      <c r="M288" s="75"/>
      <c r="N288" s="70"/>
      <c r="O288" t="s">
        <v>1568</v>
      </c>
      <c r="P288" s="76">
        <v>44959.11241898148</v>
      </c>
      <c r="Q288" t="s">
        <v>2076</v>
      </c>
      <c r="R288" s="77" t="str">
        <f>HYPERLINK("https://medium.com/modern-business/the-self-checkout-solution-6bd79c7a7851")</f>
        <v>https://medium.com/modern-business/the-self-checkout-solution-6bd79c7a7851</v>
      </c>
      <c r="S288" t="s">
        <v>2295</v>
      </c>
      <c r="T288" s="78" t="s">
        <v>2396</v>
      </c>
      <c r="V288" s="77" t="str">
        <f>HYPERLINK("https://pbs.twimg.com/profile_images/1526723012896096257/vPfv_ew2_normal.jpg")</f>
        <v>https://pbs.twimg.com/profile_images/1526723012896096257/vPfv_ew2_normal.jpg</v>
      </c>
      <c r="W288" s="76">
        <v>44959.11241898148</v>
      </c>
      <c r="X288" s="80">
        <v>44959</v>
      </c>
      <c r="Y288" s="78" t="s">
        <v>3181</v>
      </c>
      <c r="Z288" s="77" t="str">
        <f>HYPERLINK("https://twitter.com/goodadvicepub/status/1620975764391997442")</f>
        <v>https://twitter.com/goodadvicepub/status/1620975764391997442</v>
      </c>
      <c r="AC288" s="78" t="s">
        <v>4246</v>
      </c>
      <c r="AE288" t="b">
        <v>0</v>
      </c>
      <c r="AF288">
        <v>0</v>
      </c>
      <c r="AG288" s="78" t="s">
        <v>4640</v>
      </c>
      <c r="AH288" t="b">
        <v>0</v>
      </c>
      <c r="AI288" t="s">
        <v>4829</v>
      </c>
      <c r="AK288" s="78" t="s">
        <v>4640</v>
      </c>
      <c r="AL288" t="b">
        <v>0</v>
      </c>
      <c r="AM288">
        <v>0</v>
      </c>
      <c r="AN288" s="78" t="s">
        <v>4640</v>
      </c>
      <c r="AO288" s="78" t="s">
        <v>4851</v>
      </c>
      <c r="AP288" t="b">
        <v>0</v>
      </c>
      <c r="AQ288" s="78" t="s">
        <v>4246</v>
      </c>
      <c r="AR288" t="s">
        <v>179</v>
      </c>
      <c r="AS288">
        <v>0</v>
      </c>
      <c r="AT288">
        <v>0</v>
      </c>
    </row>
    <row r="289" spans="1:46" x14ac:dyDescent="0.45">
      <c r="A289" s="62" t="s">
        <v>916</v>
      </c>
      <c r="B289" s="62" t="s">
        <v>1181</v>
      </c>
      <c r="C289" s="63"/>
      <c r="D289" s="64"/>
      <c r="E289" s="65"/>
      <c r="F289" s="66"/>
      <c r="G289" s="63"/>
      <c r="H289" s="67"/>
      <c r="I289" s="68"/>
      <c r="J289" s="68"/>
      <c r="K289" s="32"/>
      <c r="L289" s="75"/>
      <c r="M289" s="75"/>
      <c r="N289" s="70"/>
      <c r="O289" t="s">
        <v>1568</v>
      </c>
      <c r="P289" s="76">
        <v>44959.11241898148</v>
      </c>
      <c r="Q289" t="s">
        <v>2076</v>
      </c>
      <c r="R289" s="77" t="str">
        <f>HYPERLINK("https://medium.com/modern-business/the-self-checkout-solution-6bd79c7a7851")</f>
        <v>https://medium.com/modern-business/the-self-checkout-solution-6bd79c7a7851</v>
      </c>
      <c r="S289" t="s">
        <v>2295</v>
      </c>
      <c r="T289" s="78" t="s">
        <v>2396</v>
      </c>
      <c r="V289" s="77" t="str">
        <f>HYPERLINK("https://pbs.twimg.com/profile_images/1526723012896096257/vPfv_ew2_normal.jpg")</f>
        <v>https://pbs.twimg.com/profile_images/1526723012896096257/vPfv_ew2_normal.jpg</v>
      </c>
      <c r="W289" s="76">
        <v>44959.11241898148</v>
      </c>
      <c r="X289" s="80">
        <v>44959</v>
      </c>
      <c r="Y289" s="78" t="s">
        <v>3181</v>
      </c>
      <c r="Z289" s="77" t="str">
        <f>HYPERLINK("https://twitter.com/goodadvicepub/status/1620975764391997442")</f>
        <v>https://twitter.com/goodadvicepub/status/1620975764391997442</v>
      </c>
      <c r="AC289" s="78" t="s">
        <v>4246</v>
      </c>
      <c r="AE289" t="b">
        <v>0</v>
      </c>
      <c r="AF289">
        <v>0</v>
      </c>
      <c r="AG289" s="78" t="s">
        <v>4640</v>
      </c>
      <c r="AH289" t="b">
        <v>0</v>
      </c>
      <c r="AI289" t="s">
        <v>4829</v>
      </c>
      <c r="AK289" s="78" t="s">
        <v>4640</v>
      </c>
      <c r="AL289" t="b">
        <v>0</v>
      </c>
      <c r="AM289">
        <v>0</v>
      </c>
      <c r="AN289" s="78" t="s">
        <v>4640</v>
      </c>
      <c r="AO289" s="78" t="s">
        <v>4851</v>
      </c>
      <c r="AP289" t="b">
        <v>0</v>
      </c>
      <c r="AQ289" s="78" t="s">
        <v>4246</v>
      </c>
      <c r="AR289" t="s">
        <v>179</v>
      </c>
      <c r="AS289">
        <v>0</v>
      </c>
      <c r="AT289">
        <v>0</v>
      </c>
    </row>
    <row r="290" spans="1:46" x14ac:dyDescent="0.45">
      <c r="A290" s="62" t="s">
        <v>916</v>
      </c>
      <c r="B290" s="62" t="s">
        <v>1194</v>
      </c>
      <c r="C290" s="63"/>
      <c r="D290" s="64"/>
      <c r="E290" s="65"/>
      <c r="F290" s="66"/>
      <c r="G290" s="63"/>
      <c r="H290" s="67"/>
      <c r="I290" s="68"/>
      <c r="J290" s="68"/>
      <c r="K290" s="32"/>
      <c r="L290" s="75"/>
      <c r="M290" s="75"/>
      <c r="N290" s="70"/>
      <c r="O290" t="s">
        <v>1568</v>
      </c>
      <c r="P290" s="76">
        <v>44959.11241898148</v>
      </c>
      <c r="Q290" t="s">
        <v>2076</v>
      </c>
      <c r="R290" s="77" t="str">
        <f>HYPERLINK("https://medium.com/modern-business/the-self-checkout-solution-6bd79c7a7851")</f>
        <v>https://medium.com/modern-business/the-self-checkout-solution-6bd79c7a7851</v>
      </c>
      <c r="S290" t="s">
        <v>2295</v>
      </c>
      <c r="T290" s="78" t="s">
        <v>2396</v>
      </c>
      <c r="V290" s="77" t="str">
        <f>HYPERLINK("https://pbs.twimg.com/profile_images/1526723012896096257/vPfv_ew2_normal.jpg")</f>
        <v>https://pbs.twimg.com/profile_images/1526723012896096257/vPfv_ew2_normal.jpg</v>
      </c>
      <c r="W290" s="76">
        <v>44959.11241898148</v>
      </c>
      <c r="X290" s="80">
        <v>44959</v>
      </c>
      <c r="Y290" s="78" t="s">
        <v>3181</v>
      </c>
      <c r="Z290" s="77" t="str">
        <f>HYPERLINK("https://twitter.com/goodadvicepub/status/1620975764391997442")</f>
        <v>https://twitter.com/goodadvicepub/status/1620975764391997442</v>
      </c>
      <c r="AC290" s="78" t="s">
        <v>4246</v>
      </c>
      <c r="AE290" t="b">
        <v>0</v>
      </c>
      <c r="AF290">
        <v>0</v>
      </c>
      <c r="AG290" s="78" t="s">
        <v>4640</v>
      </c>
      <c r="AH290" t="b">
        <v>0</v>
      </c>
      <c r="AI290" t="s">
        <v>4829</v>
      </c>
      <c r="AK290" s="78" t="s">
        <v>4640</v>
      </c>
      <c r="AL290" t="b">
        <v>0</v>
      </c>
      <c r="AM290">
        <v>0</v>
      </c>
      <c r="AN290" s="78" t="s">
        <v>4640</v>
      </c>
      <c r="AO290" s="78" t="s">
        <v>4851</v>
      </c>
      <c r="AP290" t="b">
        <v>0</v>
      </c>
      <c r="AQ290" s="78" t="s">
        <v>4246</v>
      </c>
      <c r="AR290" t="s">
        <v>179</v>
      </c>
      <c r="AS290">
        <v>0</v>
      </c>
      <c r="AT290">
        <v>0</v>
      </c>
    </row>
    <row r="291" spans="1:46" x14ac:dyDescent="0.45">
      <c r="A291" s="62" t="s">
        <v>916</v>
      </c>
      <c r="B291" s="62" t="s">
        <v>242</v>
      </c>
      <c r="C291" s="63"/>
      <c r="D291" s="64"/>
      <c r="E291" s="65"/>
      <c r="F291" s="66"/>
      <c r="G291" s="63"/>
      <c r="H291" s="67"/>
      <c r="I291" s="68"/>
      <c r="J291" s="68"/>
      <c r="K291" s="32"/>
      <c r="L291" s="75"/>
      <c r="M291" s="75"/>
      <c r="N291" s="70"/>
      <c r="O291" t="s">
        <v>1568</v>
      </c>
      <c r="P291" s="76">
        <v>44959.11241898148</v>
      </c>
      <c r="Q291" t="s">
        <v>2076</v>
      </c>
      <c r="R291" s="77" t="str">
        <f>HYPERLINK("https://medium.com/modern-business/the-self-checkout-solution-6bd79c7a7851")</f>
        <v>https://medium.com/modern-business/the-self-checkout-solution-6bd79c7a7851</v>
      </c>
      <c r="S291" t="s">
        <v>2295</v>
      </c>
      <c r="T291" s="78" t="s">
        <v>2396</v>
      </c>
      <c r="V291" s="77" t="str">
        <f>HYPERLINK("https://pbs.twimg.com/profile_images/1526723012896096257/vPfv_ew2_normal.jpg")</f>
        <v>https://pbs.twimg.com/profile_images/1526723012896096257/vPfv_ew2_normal.jpg</v>
      </c>
      <c r="W291" s="76">
        <v>44959.11241898148</v>
      </c>
      <c r="X291" s="80">
        <v>44959</v>
      </c>
      <c r="Y291" s="78" t="s">
        <v>3181</v>
      </c>
      <c r="Z291" s="77" t="str">
        <f>HYPERLINK("https://twitter.com/goodadvicepub/status/1620975764391997442")</f>
        <v>https://twitter.com/goodadvicepub/status/1620975764391997442</v>
      </c>
      <c r="AC291" s="78" t="s">
        <v>4246</v>
      </c>
      <c r="AE291" t="b">
        <v>0</v>
      </c>
      <c r="AF291">
        <v>0</v>
      </c>
      <c r="AG291" s="78" t="s">
        <v>4640</v>
      </c>
      <c r="AH291" t="b">
        <v>0</v>
      </c>
      <c r="AI291" t="s">
        <v>4829</v>
      </c>
      <c r="AK291" s="78" t="s">
        <v>4640</v>
      </c>
      <c r="AL291" t="b">
        <v>0</v>
      </c>
      <c r="AM291">
        <v>0</v>
      </c>
      <c r="AN291" s="78" t="s">
        <v>4640</v>
      </c>
      <c r="AO291" s="78" t="s">
        <v>4851</v>
      </c>
      <c r="AP291" t="b">
        <v>0</v>
      </c>
      <c r="AQ291" s="78" t="s">
        <v>4246</v>
      </c>
      <c r="AR291" t="s">
        <v>179</v>
      </c>
      <c r="AS291">
        <v>0</v>
      </c>
      <c r="AT291">
        <v>0</v>
      </c>
    </row>
    <row r="292" spans="1:46" x14ac:dyDescent="0.45">
      <c r="A292" s="62" t="s">
        <v>816</v>
      </c>
      <c r="B292" s="62" t="s">
        <v>242</v>
      </c>
      <c r="C292" s="63"/>
      <c r="D292" s="64"/>
      <c r="E292" s="65"/>
      <c r="F292" s="66"/>
      <c r="G292" s="63"/>
      <c r="H292" s="67"/>
      <c r="I292" s="68"/>
      <c r="J292" s="68"/>
      <c r="K292" s="32"/>
      <c r="L292" s="75"/>
      <c r="M292" s="75"/>
      <c r="N292" s="70"/>
      <c r="O292" t="s">
        <v>1568</v>
      </c>
      <c r="P292" s="76">
        <v>44958.997754629629</v>
      </c>
      <c r="Q292" t="s">
        <v>1998</v>
      </c>
      <c r="R292" s="77" t="str">
        <f>HYPERLINK("https://customers.microsoft.com/en-us/story/1557385809666881648-walmart-retailer-power-bi")</f>
        <v>https://customers.microsoft.com/en-us/story/1557385809666881648-walmart-retailer-power-bi</v>
      </c>
      <c r="S292" t="s">
        <v>2292</v>
      </c>
      <c r="T292" s="78" t="s">
        <v>2380</v>
      </c>
      <c r="V292" s="77" t="str">
        <f>HYPERLINK("https://pbs.twimg.com/profile_images/1041906519275646976/SdfonB_P_normal.jpg")</f>
        <v>https://pbs.twimg.com/profile_images/1041906519275646976/SdfonB_P_normal.jpg</v>
      </c>
      <c r="W292" s="76">
        <v>44958.997754629629</v>
      </c>
      <c r="X292" s="80">
        <v>44958</v>
      </c>
      <c r="Y292" s="78" t="s">
        <v>3058</v>
      </c>
      <c r="Z292" s="77" t="str">
        <f>HYPERLINK("https://twitter.com/sqldusty/status/1620934211828858884")</f>
        <v>https://twitter.com/sqldusty/status/1620934211828858884</v>
      </c>
      <c r="AC292" s="78" t="s">
        <v>4123</v>
      </c>
      <c r="AE292" t="b">
        <v>0</v>
      </c>
      <c r="AF292">
        <v>3</v>
      </c>
      <c r="AG292" s="78" t="s">
        <v>4640</v>
      </c>
      <c r="AH292" t="b">
        <v>0</v>
      </c>
      <c r="AI292" t="s">
        <v>4829</v>
      </c>
      <c r="AK292" s="78" t="s">
        <v>4640</v>
      </c>
      <c r="AL292" t="b">
        <v>0</v>
      </c>
      <c r="AM292">
        <v>0</v>
      </c>
      <c r="AN292" s="78" t="s">
        <v>4640</v>
      </c>
      <c r="AO292" s="78" t="s">
        <v>4849</v>
      </c>
      <c r="AP292" t="b">
        <v>0</v>
      </c>
      <c r="AQ292" s="78" t="s">
        <v>4123</v>
      </c>
      <c r="AR292" t="s">
        <v>179</v>
      </c>
      <c r="AS292">
        <v>0</v>
      </c>
      <c r="AT292">
        <v>0</v>
      </c>
    </row>
    <row r="293" spans="1:46" x14ac:dyDescent="0.45">
      <c r="A293" s="62" t="s">
        <v>897</v>
      </c>
      <c r="B293" s="62" t="s">
        <v>1425</v>
      </c>
      <c r="C293" s="63"/>
      <c r="D293" s="64"/>
      <c r="E293" s="65"/>
      <c r="F293" s="66"/>
      <c r="G293" s="63"/>
      <c r="H293" s="67"/>
      <c r="I293" s="68"/>
      <c r="J293" s="68"/>
      <c r="K293" s="32"/>
      <c r="L293" s="75"/>
      <c r="M293" s="75"/>
      <c r="N293" s="70"/>
      <c r="O293" t="s">
        <v>1568</v>
      </c>
      <c r="P293" s="76">
        <v>44365.623437499999</v>
      </c>
      <c r="Q293" t="s">
        <v>2060</v>
      </c>
      <c r="R293" s="77" t="str">
        <f>HYPERLINK("https://attach.mikmak.tv/2c9867c1/00151a05-1165-f3f6-e62f-e6dc8d43754d?channelType=social&amp;trafficType=organic&amp;attachCampaignName=ro-fathers-day&amp;handle=amonra-stbrown&amp;platformType=twitter&amp;adPlacementType=description")</f>
        <v>https://attach.mikmak.tv/2c9867c1/00151a05-1165-f3f6-e62f-e6dc8d43754d?channelType=social&amp;trafficType=organic&amp;attachCampaignName=ro-fathers-day&amp;handle=amonra-stbrown&amp;platformType=twitter&amp;adPlacementType=description</v>
      </c>
      <c r="S293" t="s">
        <v>2294</v>
      </c>
      <c r="T293" s="78" t="s">
        <v>2391</v>
      </c>
      <c r="U293" s="77" t="str">
        <f>HYPERLINK("https://pbs.twimg.com/media/E4LE7KmWQAMQAgW.jpg")</f>
        <v>https://pbs.twimg.com/media/E4LE7KmWQAMQAgW.jpg</v>
      </c>
      <c r="V293" s="77" t="str">
        <f>HYPERLINK("https://pbs.twimg.com/media/E4LE7KmWQAMQAgW.jpg")</f>
        <v>https://pbs.twimg.com/media/E4LE7KmWQAMQAgW.jpg</v>
      </c>
      <c r="W293" s="76">
        <v>44365.623437499999</v>
      </c>
      <c r="X293" s="80">
        <v>44365</v>
      </c>
      <c r="Y293" s="78" t="s">
        <v>3159</v>
      </c>
      <c r="Z293" s="77" t="str">
        <f>HYPERLINK("https://twitter.com/amonra_stbrown/status/1405902560368672769")</f>
        <v>https://twitter.com/amonra_stbrown/status/1405902560368672769</v>
      </c>
      <c r="AC293" s="78" t="s">
        <v>4224</v>
      </c>
      <c r="AE293" t="b">
        <v>0</v>
      </c>
      <c r="AF293">
        <v>86</v>
      </c>
      <c r="AG293" s="78" t="s">
        <v>4640</v>
      </c>
      <c r="AH293" t="b">
        <v>0</v>
      </c>
      <c r="AI293" t="s">
        <v>4829</v>
      </c>
      <c r="AK293" s="78" t="s">
        <v>4640</v>
      </c>
      <c r="AL293" t="b">
        <v>0</v>
      </c>
      <c r="AM293">
        <v>9</v>
      </c>
      <c r="AN293" s="78" t="s">
        <v>4640</v>
      </c>
      <c r="AO293" s="78" t="s">
        <v>4849</v>
      </c>
      <c r="AP293" t="b">
        <v>0</v>
      </c>
      <c r="AQ293" s="78" t="s">
        <v>4224</v>
      </c>
      <c r="AR293" t="s">
        <v>1569</v>
      </c>
      <c r="AS293">
        <v>0</v>
      </c>
      <c r="AT293">
        <v>0</v>
      </c>
    </row>
    <row r="294" spans="1:46" x14ac:dyDescent="0.45">
      <c r="A294" s="62" t="s">
        <v>897</v>
      </c>
      <c r="B294" s="62" t="s">
        <v>242</v>
      </c>
      <c r="C294" s="63"/>
      <c r="D294" s="64"/>
      <c r="E294" s="65"/>
      <c r="F294" s="66"/>
      <c r="G294" s="63"/>
      <c r="H294" s="67"/>
      <c r="I294" s="68"/>
      <c r="J294" s="68"/>
      <c r="K294" s="32"/>
      <c r="L294" s="75"/>
      <c r="M294" s="75"/>
      <c r="N294" s="70"/>
      <c r="O294" t="s">
        <v>1568</v>
      </c>
      <c r="P294" s="76">
        <v>44365.623437499999</v>
      </c>
      <c r="Q294" t="s">
        <v>2060</v>
      </c>
      <c r="R294" s="77" t="str">
        <f>HYPERLINK("https://attach.mikmak.tv/2c9867c1/00151a05-1165-f3f6-e62f-e6dc8d43754d?channelType=social&amp;trafficType=organic&amp;attachCampaignName=ro-fathers-day&amp;handle=amonra-stbrown&amp;platformType=twitter&amp;adPlacementType=description")</f>
        <v>https://attach.mikmak.tv/2c9867c1/00151a05-1165-f3f6-e62f-e6dc8d43754d?channelType=social&amp;trafficType=organic&amp;attachCampaignName=ro-fathers-day&amp;handle=amonra-stbrown&amp;platformType=twitter&amp;adPlacementType=description</v>
      </c>
      <c r="S294" t="s">
        <v>2294</v>
      </c>
      <c r="T294" s="78" t="s">
        <v>2391</v>
      </c>
      <c r="U294" s="77" t="str">
        <f>HYPERLINK("https://pbs.twimg.com/media/E4LE7KmWQAMQAgW.jpg")</f>
        <v>https://pbs.twimg.com/media/E4LE7KmWQAMQAgW.jpg</v>
      </c>
      <c r="V294" s="77" t="str">
        <f>HYPERLINK("https://pbs.twimg.com/media/E4LE7KmWQAMQAgW.jpg")</f>
        <v>https://pbs.twimg.com/media/E4LE7KmWQAMQAgW.jpg</v>
      </c>
      <c r="W294" s="76">
        <v>44365.623437499999</v>
      </c>
      <c r="X294" s="80">
        <v>44365</v>
      </c>
      <c r="Y294" s="78" t="s">
        <v>3159</v>
      </c>
      <c r="Z294" s="77" t="str">
        <f>HYPERLINK("https://twitter.com/amonra_stbrown/status/1405902560368672769")</f>
        <v>https://twitter.com/amonra_stbrown/status/1405902560368672769</v>
      </c>
      <c r="AC294" s="78" t="s">
        <v>4224</v>
      </c>
      <c r="AE294" t="b">
        <v>0</v>
      </c>
      <c r="AF294">
        <v>86</v>
      </c>
      <c r="AG294" s="78" t="s">
        <v>4640</v>
      </c>
      <c r="AH294" t="b">
        <v>0</v>
      </c>
      <c r="AI294" t="s">
        <v>4829</v>
      </c>
      <c r="AK294" s="78" t="s">
        <v>4640</v>
      </c>
      <c r="AL294" t="b">
        <v>0</v>
      </c>
      <c r="AM294">
        <v>9</v>
      </c>
      <c r="AN294" s="78" t="s">
        <v>4640</v>
      </c>
      <c r="AO294" s="78" t="s">
        <v>4849</v>
      </c>
      <c r="AP294" t="b">
        <v>0</v>
      </c>
      <c r="AQ294" s="78" t="s">
        <v>4224</v>
      </c>
      <c r="AR294" t="s">
        <v>1569</v>
      </c>
      <c r="AS294">
        <v>0</v>
      </c>
      <c r="AT294">
        <v>0</v>
      </c>
    </row>
    <row r="295" spans="1:46" x14ac:dyDescent="0.45">
      <c r="A295" s="62" t="s">
        <v>898</v>
      </c>
      <c r="B295" s="62" t="s">
        <v>1425</v>
      </c>
      <c r="C295" s="63"/>
      <c r="D295" s="64"/>
      <c r="E295" s="65"/>
      <c r="F295" s="66"/>
      <c r="G295" s="63"/>
      <c r="H295" s="67"/>
      <c r="I295" s="68"/>
      <c r="J295" s="68"/>
      <c r="K295" s="32"/>
      <c r="L295" s="75"/>
      <c r="M295" s="75"/>
      <c r="N295" s="70"/>
      <c r="O295" t="s">
        <v>1570</v>
      </c>
      <c r="P295" s="76">
        <v>44959.088692129626</v>
      </c>
      <c r="Q295" t="s">
        <v>2060</v>
      </c>
      <c r="R295" s="77" t="str">
        <f>HYPERLINK("https://attach.mikmak.tv/2c9867c1/00151a05-1165-f3f6-e62f-e6dc8d43754d?channelType=social&amp;trafficType=organic&amp;attachCampaignName=ro-fathers-day&amp;handle=amonra-stbrown&amp;platformType=twitter&amp;adPlacementType=description")</f>
        <v>https://attach.mikmak.tv/2c9867c1/00151a05-1165-f3f6-e62f-e6dc8d43754d?channelType=social&amp;trafficType=organic&amp;attachCampaignName=ro-fathers-day&amp;handle=amonra-stbrown&amp;platformType=twitter&amp;adPlacementType=description</v>
      </c>
      <c r="S295" t="s">
        <v>2294</v>
      </c>
      <c r="T295" s="78" t="s">
        <v>2391</v>
      </c>
      <c r="U295" s="77" t="str">
        <f>HYPERLINK("https://pbs.twimg.com/media/E4LE7KmWQAMQAgW.jpg")</f>
        <v>https://pbs.twimg.com/media/E4LE7KmWQAMQAgW.jpg</v>
      </c>
      <c r="V295" s="77" t="str">
        <f>HYPERLINK("https://pbs.twimg.com/media/E4LE7KmWQAMQAgW.jpg")</f>
        <v>https://pbs.twimg.com/media/E4LE7KmWQAMQAgW.jpg</v>
      </c>
      <c r="W295" s="76">
        <v>44959.088692129626</v>
      </c>
      <c r="X295" s="80">
        <v>44959</v>
      </c>
      <c r="Y295" s="78" t="s">
        <v>3160</v>
      </c>
      <c r="Z295" s="77" t="str">
        <f>HYPERLINK("https://twitter.com/uscallday1/status/1620967169235517440")</f>
        <v>https://twitter.com/uscallday1/status/1620967169235517440</v>
      </c>
      <c r="AC295" s="78" t="s">
        <v>4225</v>
      </c>
      <c r="AE295" t="b">
        <v>0</v>
      </c>
      <c r="AF295">
        <v>0</v>
      </c>
      <c r="AG295" s="78" t="s">
        <v>4640</v>
      </c>
      <c r="AH295" t="b">
        <v>0</v>
      </c>
      <c r="AI295" t="s">
        <v>4829</v>
      </c>
      <c r="AK295" s="78" t="s">
        <v>4640</v>
      </c>
      <c r="AL295" t="b">
        <v>0</v>
      </c>
      <c r="AM295">
        <v>9</v>
      </c>
      <c r="AN295" s="78" t="s">
        <v>4224</v>
      </c>
      <c r="AO295" s="78" t="s">
        <v>4849</v>
      </c>
      <c r="AP295" t="b">
        <v>0</v>
      </c>
      <c r="AQ295" s="78" t="s">
        <v>4224</v>
      </c>
      <c r="AR295" t="s">
        <v>179</v>
      </c>
      <c r="AS295">
        <v>0</v>
      </c>
      <c r="AT295">
        <v>0</v>
      </c>
    </row>
    <row r="296" spans="1:46" x14ac:dyDescent="0.45">
      <c r="A296" s="62" t="s">
        <v>898</v>
      </c>
      <c r="B296" s="62" t="s">
        <v>897</v>
      </c>
      <c r="C296" s="63"/>
      <c r="D296" s="64"/>
      <c r="E296" s="65"/>
      <c r="F296" s="66"/>
      <c r="G296" s="63"/>
      <c r="H296" s="67"/>
      <c r="I296" s="68"/>
      <c r="J296" s="68"/>
      <c r="K296" s="32"/>
      <c r="L296" s="75"/>
      <c r="M296" s="75"/>
      <c r="N296" s="70"/>
      <c r="O296" t="s">
        <v>1569</v>
      </c>
      <c r="P296" s="76">
        <v>44959.088692129626</v>
      </c>
      <c r="Q296" t="s">
        <v>2060</v>
      </c>
      <c r="R296" s="77" t="str">
        <f>HYPERLINK("https://attach.mikmak.tv/2c9867c1/00151a05-1165-f3f6-e62f-e6dc8d43754d?channelType=social&amp;trafficType=organic&amp;attachCampaignName=ro-fathers-day&amp;handle=amonra-stbrown&amp;platformType=twitter&amp;adPlacementType=description")</f>
        <v>https://attach.mikmak.tv/2c9867c1/00151a05-1165-f3f6-e62f-e6dc8d43754d?channelType=social&amp;trafficType=organic&amp;attachCampaignName=ro-fathers-day&amp;handle=amonra-stbrown&amp;platformType=twitter&amp;adPlacementType=description</v>
      </c>
      <c r="S296" t="s">
        <v>2294</v>
      </c>
      <c r="T296" s="78" t="s">
        <v>2391</v>
      </c>
      <c r="U296" s="77" t="str">
        <f>HYPERLINK("https://pbs.twimg.com/media/E4LE7KmWQAMQAgW.jpg")</f>
        <v>https://pbs.twimg.com/media/E4LE7KmWQAMQAgW.jpg</v>
      </c>
      <c r="V296" s="77" t="str">
        <f>HYPERLINK("https://pbs.twimg.com/media/E4LE7KmWQAMQAgW.jpg")</f>
        <v>https://pbs.twimg.com/media/E4LE7KmWQAMQAgW.jpg</v>
      </c>
      <c r="W296" s="76">
        <v>44959.088692129626</v>
      </c>
      <c r="X296" s="80">
        <v>44959</v>
      </c>
      <c r="Y296" s="78" t="s">
        <v>3160</v>
      </c>
      <c r="Z296" s="77" t="str">
        <f>HYPERLINK("https://twitter.com/uscallday1/status/1620967169235517440")</f>
        <v>https://twitter.com/uscallday1/status/1620967169235517440</v>
      </c>
      <c r="AC296" s="78" t="s">
        <v>4225</v>
      </c>
      <c r="AE296" t="b">
        <v>0</v>
      </c>
      <c r="AF296">
        <v>0</v>
      </c>
      <c r="AG296" s="78" t="s">
        <v>4640</v>
      </c>
      <c r="AH296" t="b">
        <v>0</v>
      </c>
      <c r="AI296" t="s">
        <v>4829</v>
      </c>
      <c r="AK296" s="78" t="s">
        <v>4640</v>
      </c>
      <c r="AL296" t="b">
        <v>0</v>
      </c>
      <c r="AM296">
        <v>9</v>
      </c>
      <c r="AN296" s="78" t="s">
        <v>4224</v>
      </c>
      <c r="AO296" s="78" t="s">
        <v>4849</v>
      </c>
      <c r="AP296" t="b">
        <v>0</v>
      </c>
      <c r="AQ296" s="78" t="s">
        <v>4224</v>
      </c>
      <c r="AR296" t="s">
        <v>179</v>
      </c>
      <c r="AS296">
        <v>0</v>
      </c>
      <c r="AT296">
        <v>0</v>
      </c>
    </row>
    <row r="297" spans="1:46" x14ac:dyDescent="0.45">
      <c r="A297" s="62" t="s">
        <v>898</v>
      </c>
      <c r="B297" s="62" t="s">
        <v>242</v>
      </c>
      <c r="C297" s="63"/>
      <c r="D297" s="64"/>
      <c r="E297" s="65"/>
      <c r="F297" s="66"/>
      <c r="G297" s="63"/>
      <c r="H297" s="67"/>
      <c r="I297" s="68"/>
      <c r="J297" s="68"/>
      <c r="K297" s="32"/>
      <c r="L297" s="75"/>
      <c r="M297" s="75"/>
      <c r="N297" s="70"/>
      <c r="O297" t="s">
        <v>1570</v>
      </c>
      <c r="P297" s="76">
        <v>44959.088692129626</v>
      </c>
      <c r="Q297" t="s">
        <v>2060</v>
      </c>
      <c r="R297" s="77" t="str">
        <f>HYPERLINK("https://attach.mikmak.tv/2c9867c1/00151a05-1165-f3f6-e62f-e6dc8d43754d?channelType=social&amp;trafficType=organic&amp;attachCampaignName=ro-fathers-day&amp;handle=amonra-stbrown&amp;platformType=twitter&amp;adPlacementType=description")</f>
        <v>https://attach.mikmak.tv/2c9867c1/00151a05-1165-f3f6-e62f-e6dc8d43754d?channelType=social&amp;trafficType=organic&amp;attachCampaignName=ro-fathers-day&amp;handle=amonra-stbrown&amp;platformType=twitter&amp;adPlacementType=description</v>
      </c>
      <c r="S297" t="s">
        <v>2294</v>
      </c>
      <c r="T297" s="78" t="s">
        <v>2391</v>
      </c>
      <c r="U297" s="77" t="str">
        <f>HYPERLINK("https://pbs.twimg.com/media/E4LE7KmWQAMQAgW.jpg")</f>
        <v>https://pbs.twimg.com/media/E4LE7KmWQAMQAgW.jpg</v>
      </c>
      <c r="V297" s="77" t="str">
        <f>HYPERLINK("https://pbs.twimg.com/media/E4LE7KmWQAMQAgW.jpg")</f>
        <v>https://pbs.twimg.com/media/E4LE7KmWQAMQAgW.jpg</v>
      </c>
      <c r="W297" s="76">
        <v>44959.088692129626</v>
      </c>
      <c r="X297" s="80">
        <v>44959</v>
      </c>
      <c r="Y297" s="78" t="s">
        <v>3160</v>
      </c>
      <c r="Z297" s="77" t="str">
        <f>HYPERLINK("https://twitter.com/uscallday1/status/1620967169235517440")</f>
        <v>https://twitter.com/uscallday1/status/1620967169235517440</v>
      </c>
      <c r="AC297" s="78" t="s">
        <v>4225</v>
      </c>
      <c r="AE297" t="b">
        <v>0</v>
      </c>
      <c r="AF297">
        <v>0</v>
      </c>
      <c r="AG297" s="78" t="s">
        <v>4640</v>
      </c>
      <c r="AH297" t="b">
        <v>0</v>
      </c>
      <c r="AI297" t="s">
        <v>4829</v>
      </c>
      <c r="AK297" s="78" t="s">
        <v>4640</v>
      </c>
      <c r="AL297" t="b">
        <v>0</v>
      </c>
      <c r="AM297">
        <v>9</v>
      </c>
      <c r="AN297" s="78" t="s">
        <v>4224</v>
      </c>
      <c r="AO297" s="78" t="s">
        <v>4849</v>
      </c>
      <c r="AP297" t="b">
        <v>0</v>
      </c>
      <c r="AQ297" s="78" t="s">
        <v>4224</v>
      </c>
      <c r="AR297" t="s">
        <v>179</v>
      </c>
      <c r="AS297">
        <v>0</v>
      </c>
      <c r="AT297">
        <v>0</v>
      </c>
    </row>
    <row r="298" spans="1:46" x14ac:dyDescent="0.45">
      <c r="A298" s="62" t="s">
        <v>1057</v>
      </c>
      <c r="B298" s="62" t="s">
        <v>1532</v>
      </c>
      <c r="C298" s="63"/>
      <c r="D298" s="64"/>
      <c r="E298" s="65"/>
      <c r="F298" s="66"/>
      <c r="G298" s="63"/>
      <c r="H298" s="67"/>
      <c r="I298" s="68"/>
      <c r="J298" s="68"/>
      <c r="K298" s="32"/>
      <c r="L298" s="75"/>
      <c r="M298" s="75"/>
      <c r="N298" s="70"/>
      <c r="O298" t="s">
        <v>1568</v>
      </c>
      <c r="P298" s="76">
        <v>44887.541307870371</v>
      </c>
      <c r="Q298" t="s">
        <v>2207</v>
      </c>
      <c r="R298" s="77" t="str">
        <f>HYPERLINK("https://www.moultriefeeders.com/")</f>
        <v>https://www.moultriefeeders.com/</v>
      </c>
      <c r="S298" t="s">
        <v>2303</v>
      </c>
      <c r="U298" s="77" t="str">
        <f>HYPERLINK("https://pbs.twimg.com/media/FiK3wdoXgAEQ1xg.jpg")</f>
        <v>https://pbs.twimg.com/media/FiK3wdoXgAEQ1xg.jpg</v>
      </c>
      <c r="V298" s="77" t="str">
        <f>HYPERLINK("https://pbs.twimg.com/media/FiK3wdoXgAEQ1xg.jpg")</f>
        <v>https://pbs.twimg.com/media/FiK3wdoXgAEQ1xg.jpg</v>
      </c>
      <c r="W298" s="76">
        <v>44887.541307870371</v>
      </c>
      <c r="X298" s="80">
        <v>44887</v>
      </c>
      <c r="Y298" s="78" t="s">
        <v>3370</v>
      </c>
      <c r="Z298" s="77" t="str">
        <f>HYPERLINK("https://twitter.com/rickandbubba/status/1595039264924110855")</f>
        <v>https://twitter.com/rickandbubba/status/1595039264924110855</v>
      </c>
      <c r="AC298" s="78" t="s">
        <v>4435</v>
      </c>
      <c r="AE298" t="b">
        <v>0</v>
      </c>
      <c r="AF298">
        <v>10</v>
      </c>
      <c r="AG298" s="78" t="s">
        <v>4640</v>
      </c>
      <c r="AH298" t="b">
        <v>0</v>
      </c>
      <c r="AI298" t="s">
        <v>4829</v>
      </c>
      <c r="AK298" s="78" t="s">
        <v>4640</v>
      </c>
      <c r="AL298" t="b">
        <v>0</v>
      </c>
      <c r="AM298">
        <v>4</v>
      </c>
      <c r="AN298" s="78" t="s">
        <v>4640</v>
      </c>
      <c r="AO298" s="78" t="s">
        <v>4849</v>
      </c>
      <c r="AP298" t="b">
        <v>0</v>
      </c>
      <c r="AQ298" s="78" t="s">
        <v>4435</v>
      </c>
      <c r="AR298" t="s">
        <v>1569</v>
      </c>
      <c r="AS298">
        <v>0</v>
      </c>
      <c r="AT298">
        <v>0</v>
      </c>
    </row>
    <row r="299" spans="1:46" x14ac:dyDescent="0.45">
      <c r="A299" s="62" t="s">
        <v>1057</v>
      </c>
      <c r="B299" s="62" t="s">
        <v>1533</v>
      </c>
      <c r="C299" s="63"/>
      <c r="D299" s="64"/>
      <c r="E299" s="65"/>
      <c r="F299" s="66"/>
      <c r="G299" s="63"/>
      <c r="H299" s="67"/>
      <c r="I299" s="68"/>
      <c r="J299" s="68"/>
      <c r="K299" s="32"/>
      <c r="L299" s="75"/>
      <c r="M299" s="75"/>
      <c r="N299" s="70"/>
      <c r="O299" t="s">
        <v>1568</v>
      </c>
      <c r="P299" s="76">
        <v>44887.541307870371</v>
      </c>
      <c r="Q299" t="s">
        <v>2207</v>
      </c>
      <c r="R299" s="77" t="str">
        <f>HYPERLINK("https://www.moultriefeeders.com/")</f>
        <v>https://www.moultriefeeders.com/</v>
      </c>
      <c r="S299" t="s">
        <v>2303</v>
      </c>
      <c r="U299" s="77" t="str">
        <f>HYPERLINK("https://pbs.twimg.com/media/FiK3wdoXgAEQ1xg.jpg")</f>
        <v>https://pbs.twimg.com/media/FiK3wdoXgAEQ1xg.jpg</v>
      </c>
      <c r="V299" s="77" t="str">
        <f>HYPERLINK("https://pbs.twimg.com/media/FiK3wdoXgAEQ1xg.jpg")</f>
        <v>https://pbs.twimg.com/media/FiK3wdoXgAEQ1xg.jpg</v>
      </c>
      <c r="W299" s="76">
        <v>44887.541307870371</v>
      </c>
      <c r="X299" s="80">
        <v>44887</v>
      </c>
      <c r="Y299" s="78" t="s">
        <v>3370</v>
      </c>
      <c r="Z299" s="77" t="str">
        <f>HYPERLINK("https://twitter.com/rickandbubba/status/1595039264924110855")</f>
        <v>https://twitter.com/rickandbubba/status/1595039264924110855</v>
      </c>
      <c r="AC299" s="78" t="s">
        <v>4435</v>
      </c>
      <c r="AE299" t="b">
        <v>0</v>
      </c>
      <c r="AF299">
        <v>10</v>
      </c>
      <c r="AG299" s="78" t="s">
        <v>4640</v>
      </c>
      <c r="AH299" t="b">
        <v>0</v>
      </c>
      <c r="AI299" t="s">
        <v>4829</v>
      </c>
      <c r="AK299" s="78" t="s">
        <v>4640</v>
      </c>
      <c r="AL299" t="b">
        <v>0</v>
      </c>
      <c r="AM299">
        <v>4</v>
      </c>
      <c r="AN299" s="78" t="s">
        <v>4640</v>
      </c>
      <c r="AO299" s="78" t="s">
        <v>4849</v>
      </c>
      <c r="AP299" t="b">
        <v>0</v>
      </c>
      <c r="AQ299" s="78" t="s">
        <v>4435</v>
      </c>
      <c r="AR299" t="s">
        <v>1569</v>
      </c>
      <c r="AS299">
        <v>0</v>
      </c>
      <c r="AT299">
        <v>0</v>
      </c>
    </row>
    <row r="300" spans="1:46" x14ac:dyDescent="0.45">
      <c r="A300" s="62" t="s">
        <v>1057</v>
      </c>
      <c r="B300" s="62" t="s">
        <v>1534</v>
      </c>
      <c r="C300" s="63"/>
      <c r="D300" s="64"/>
      <c r="E300" s="65"/>
      <c r="F300" s="66"/>
      <c r="G300" s="63"/>
      <c r="H300" s="67"/>
      <c r="I300" s="68"/>
      <c r="J300" s="68"/>
      <c r="K300" s="32"/>
      <c r="L300" s="75"/>
      <c r="M300" s="75"/>
      <c r="N300" s="70"/>
      <c r="O300" t="s">
        <v>1568</v>
      </c>
      <c r="P300" s="76">
        <v>44887.541307870371</v>
      </c>
      <c r="Q300" t="s">
        <v>2207</v>
      </c>
      <c r="R300" s="77" t="str">
        <f>HYPERLINK("https://www.moultriefeeders.com/")</f>
        <v>https://www.moultriefeeders.com/</v>
      </c>
      <c r="S300" t="s">
        <v>2303</v>
      </c>
      <c r="U300" s="77" t="str">
        <f>HYPERLINK("https://pbs.twimg.com/media/FiK3wdoXgAEQ1xg.jpg")</f>
        <v>https://pbs.twimg.com/media/FiK3wdoXgAEQ1xg.jpg</v>
      </c>
      <c r="V300" s="77" t="str">
        <f>HYPERLINK("https://pbs.twimg.com/media/FiK3wdoXgAEQ1xg.jpg")</f>
        <v>https://pbs.twimg.com/media/FiK3wdoXgAEQ1xg.jpg</v>
      </c>
      <c r="W300" s="76">
        <v>44887.541307870371</v>
      </c>
      <c r="X300" s="80">
        <v>44887</v>
      </c>
      <c r="Y300" s="78" t="s">
        <v>3370</v>
      </c>
      <c r="Z300" s="77" t="str">
        <f>HYPERLINK("https://twitter.com/rickandbubba/status/1595039264924110855")</f>
        <v>https://twitter.com/rickandbubba/status/1595039264924110855</v>
      </c>
      <c r="AC300" s="78" t="s">
        <v>4435</v>
      </c>
      <c r="AE300" t="b">
        <v>0</v>
      </c>
      <c r="AF300">
        <v>10</v>
      </c>
      <c r="AG300" s="78" t="s">
        <v>4640</v>
      </c>
      <c r="AH300" t="b">
        <v>0</v>
      </c>
      <c r="AI300" t="s">
        <v>4829</v>
      </c>
      <c r="AK300" s="78" t="s">
        <v>4640</v>
      </c>
      <c r="AL300" t="b">
        <v>0</v>
      </c>
      <c r="AM300">
        <v>4</v>
      </c>
      <c r="AN300" s="78" t="s">
        <v>4640</v>
      </c>
      <c r="AO300" s="78" t="s">
        <v>4849</v>
      </c>
      <c r="AP300" t="b">
        <v>0</v>
      </c>
      <c r="AQ300" s="78" t="s">
        <v>4435</v>
      </c>
      <c r="AR300" t="s">
        <v>1569</v>
      </c>
      <c r="AS300">
        <v>0</v>
      </c>
      <c r="AT300">
        <v>0</v>
      </c>
    </row>
    <row r="301" spans="1:46" x14ac:dyDescent="0.45">
      <c r="A301" s="62" t="s">
        <v>1057</v>
      </c>
      <c r="B301" s="62" t="s">
        <v>1535</v>
      </c>
      <c r="C301" s="63"/>
      <c r="D301" s="64"/>
      <c r="E301" s="65"/>
      <c r="F301" s="66"/>
      <c r="G301" s="63"/>
      <c r="H301" s="67"/>
      <c r="I301" s="68"/>
      <c r="J301" s="68"/>
      <c r="K301" s="32"/>
      <c r="L301" s="75"/>
      <c r="M301" s="75"/>
      <c r="N301" s="70"/>
      <c r="O301" t="s">
        <v>1568</v>
      </c>
      <c r="P301" s="76">
        <v>44887.541307870371</v>
      </c>
      <c r="Q301" t="s">
        <v>2207</v>
      </c>
      <c r="R301" s="77" t="str">
        <f>HYPERLINK("https://www.moultriefeeders.com/")</f>
        <v>https://www.moultriefeeders.com/</v>
      </c>
      <c r="S301" t="s">
        <v>2303</v>
      </c>
      <c r="U301" s="77" t="str">
        <f>HYPERLINK("https://pbs.twimg.com/media/FiK3wdoXgAEQ1xg.jpg")</f>
        <v>https://pbs.twimg.com/media/FiK3wdoXgAEQ1xg.jpg</v>
      </c>
      <c r="V301" s="77" t="str">
        <f>HYPERLINK("https://pbs.twimg.com/media/FiK3wdoXgAEQ1xg.jpg")</f>
        <v>https://pbs.twimg.com/media/FiK3wdoXgAEQ1xg.jpg</v>
      </c>
      <c r="W301" s="76">
        <v>44887.541307870371</v>
      </c>
      <c r="X301" s="80">
        <v>44887</v>
      </c>
      <c r="Y301" s="78" t="s">
        <v>3370</v>
      </c>
      <c r="Z301" s="77" t="str">
        <f>HYPERLINK("https://twitter.com/rickandbubba/status/1595039264924110855")</f>
        <v>https://twitter.com/rickandbubba/status/1595039264924110855</v>
      </c>
      <c r="AC301" s="78" t="s">
        <v>4435</v>
      </c>
      <c r="AE301" t="b">
        <v>0</v>
      </c>
      <c r="AF301">
        <v>10</v>
      </c>
      <c r="AG301" s="78" t="s">
        <v>4640</v>
      </c>
      <c r="AH301" t="b">
        <v>0</v>
      </c>
      <c r="AI301" t="s">
        <v>4829</v>
      </c>
      <c r="AK301" s="78" t="s">
        <v>4640</v>
      </c>
      <c r="AL301" t="b">
        <v>0</v>
      </c>
      <c r="AM301">
        <v>4</v>
      </c>
      <c r="AN301" s="78" t="s">
        <v>4640</v>
      </c>
      <c r="AO301" s="78" t="s">
        <v>4849</v>
      </c>
      <c r="AP301" t="b">
        <v>0</v>
      </c>
      <c r="AQ301" s="78" t="s">
        <v>4435</v>
      </c>
      <c r="AR301" t="s">
        <v>1569</v>
      </c>
      <c r="AS301">
        <v>0</v>
      </c>
      <c r="AT301">
        <v>0</v>
      </c>
    </row>
    <row r="302" spans="1:46" x14ac:dyDescent="0.45">
      <c r="A302" s="62" t="s">
        <v>1057</v>
      </c>
      <c r="B302" s="62" t="s">
        <v>1536</v>
      </c>
      <c r="C302" s="63"/>
      <c r="D302" s="64"/>
      <c r="E302" s="65"/>
      <c r="F302" s="66"/>
      <c r="G302" s="63"/>
      <c r="H302" s="67"/>
      <c r="I302" s="68"/>
      <c r="J302" s="68"/>
      <c r="K302" s="32"/>
      <c r="L302" s="75"/>
      <c r="M302" s="75"/>
      <c r="N302" s="70"/>
      <c r="O302" t="s">
        <v>1568</v>
      </c>
      <c r="P302" s="76">
        <v>44887.541307870371</v>
      </c>
      <c r="Q302" t="s">
        <v>2207</v>
      </c>
      <c r="R302" s="77" t="str">
        <f>HYPERLINK("https://www.moultriefeeders.com/")</f>
        <v>https://www.moultriefeeders.com/</v>
      </c>
      <c r="S302" t="s">
        <v>2303</v>
      </c>
      <c r="U302" s="77" t="str">
        <f>HYPERLINK("https://pbs.twimg.com/media/FiK3wdoXgAEQ1xg.jpg")</f>
        <v>https://pbs.twimg.com/media/FiK3wdoXgAEQ1xg.jpg</v>
      </c>
      <c r="V302" s="77" t="str">
        <f>HYPERLINK("https://pbs.twimg.com/media/FiK3wdoXgAEQ1xg.jpg")</f>
        <v>https://pbs.twimg.com/media/FiK3wdoXgAEQ1xg.jpg</v>
      </c>
      <c r="W302" s="76">
        <v>44887.541307870371</v>
      </c>
      <c r="X302" s="80">
        <v>44887</v>
      </c>
      <c r="Y302" s="78" t="s">
        <v>3370</v>
      </c>
      <c r="Z302" s="77" t="str">
        <f>HYPERLINK("https://twitter.com/rickandbubba/status/1595039264924110855")</f>
        <v>https://twitter.com/rickandbubba/status/1595039264924110855</v>
      </c>
      <c r="AC302" s="78" t="s">
        <v>4435</v>
      </c>
      <c r="AE302" t="b">
        <v>0</v>
      </c>
      <c r="AF302">
        <v>10</v>
      </c>
      <c r="AG302" s="78" t="s">
        <v>4640</v>
      </c>
      <c r="AH302" t="b">
        <v>0</v>
      </c>
      <c r="AI302" t="s">
        <v>4829</v>
      </c>
      <c r="AK302" s="78" t="s">
        <v>4640</v>
      </c>
      <c r="AL302" t="b">
        <v>0</v>
      </c>
      <c r="AM302">
        <v>4</v>
      </c>
      <c r="AN302" s="78" t="s">
        <v>4640</v>
      </c>
      <c r="AO302" s="78" t="s">
        <v>4849</v>
      </c>
      <c r="AP302" t="b">
        <v>0</v>
      </c>
      <c r="AQ302" s="78" t="s">
        <v>4435</v>
      </c>
      <c r="AR302" t="s">
        <v>1569</v>
      </c>
      <c r="AS302">
        <v>0</v>
      </c>
      <c r="AT302">
        <v>0</v>
      </c>
    </row>
    <row r="303" spans="1:46" x14ac:dyDescent="0.45">
      <c r="A303" s="62" t="s">
        <v>1057</v>
      </c>
      <c r="B303" s="62" t="s">
        <v>242</v>
      </c>
      <c r="C303" s="63"/>
      <c r="D303" s="64"/>
      <c r="E303" s="65"/>
      <c r="F303" s="66"/>
      <c r="G303" s="63"/>
      <c r="H303" s="67"/>
      <c r="I303" s="68"/>
      <c r="J303" s="68"/>
      <c r="K303" s="32"/>
      <c r="L303" s="75"/>
      <c r="M303" s="75"/>
      <c r="N303" s="70"/>
      <c r="O303" t="s">
        <v>1568</v>
      </c>
      <c r="P303" s="76">
        <v>44887.541307870371</v>
      </c>
      <c r="Q303" t="s">
        <v>2207</v>
      </c>
      <c r="R303" s="77" t="str">
        <f>HYPERLINK("https://www.moultriefeeders.com/")</f>
        <v>https://www.moultriefeeders.com/</v>
      </c>
      <c r="S303" t="s">
        <v>2303</v>
      </c>
      <c r="U303" s="77" t="str">
        <f>HYPERLINK("https://pbs.twimg.com/media/FiK3wdoXgAEQ1xg.jpg")</f>
        <v>https://pbs.twimg.com/media/FiK3wdoXgAEQ1xg.jpg</v>
      </c>
      <c r="V303" s="77" t="str">
        <f>HYPERLINK("https://pbs.twimg.com/media/FiK3wdoXgAEQ1xg.jpg")</f>
        <v>https://pbs.twimg.com/media/FiK3wdoXgAEQ1xg.jpg</v>
      </c>
      <c r="W303" s="76">
        <v>44887.541307870371</v>
      </c>
      <c r="X303" s="80">
        <v>44887</v>
      </c>
      <c r="Y303" s="78" t="s">
        <v>3370</v>
      </c>
      <c r="Z303" s="77" t="str">
        <f>HYPERLINK("https://twitter.com/rickandbubba/status/1595039264924110855")</f>
        <v>https://twitter.com/rickandbubba/status/1595039264924110855</v>
      </c>
      <c r="AC303" s="78" t="s">
        <v>4435</v>
      </c>
      <c r="AE303" t="b">
        <v>0</v>
      </c>
      <c r="AF303">
        <v>10</v>
      </c>
      <c r="AG303" s="78" t="s">
        <v>4640</v>
      </c>
      <c r="AH303" t="b">
        <v>0</v>
      </c>
      <c r="AI303" t="s">
        <v>4829</v>
      </c>
      <c r="AK303" s="78" t="s">
        <v>4640</v>
      </c>
      <c r="AL303" t="b">
        <v>0</v>
      </c>
      <c r="AM303">
        <v>4</v>
      </c>
      <c r="AN303" s="78" t="s">
        <v>4640</v>
      </c>
      <c r="AO303" s="78" t="s">
        <v>4849</v>
      </c>
      <c r="AP303" t="b">
        <v>0</v>
      </c>
      <c r="AQ303" s="78" t="s">
        <v>4435</v>
      </c>
      <c r="AR303" t="s">
        <v>1569</v>
      </c>
      <c r="AS303">
        <v>0</v>
      </c>
      <c r="AT303">
        <v>0</v>
      </c>
    </row>
    <row r="304" spans="1:46" x14ac:dyDescent="0.45">
      <c r="A304" s="62" t="s">
        <v>1058</v>
      </c>
      <c r="B304" s="62" t="s">
        <v>1532</v>
      </c>
      <c r="C304" s="63"/>
      <c r="D304" s="64"/>
      <c r="E304" s="65"/>
      <c r="F304" s="66"/>
      <c r="G304" s="63"/>
      <c r="H304" s="67"/>
      <c r="I304" s="68"/>
      <c r="J304" s="68"/>
      <c r="K304" s="32"/>
      <c r="L304" s="75"/>
      <c r="M304" s="75"/>
      <c r="N304" s="70"/>
      <c r="O304" t="s">
        <v>1570</v>
      </c>
      <c r="P304" s="76">
        <v>44959.505937499998</v>
      </c>
      <c r="Q304" t="s">
        <v>2207</v>
      </c>
      <c r="R304" s="77" t="str">
        <f>HYPERLINK("https://www.moultriefeeders.com/")</f>
        <v>https://www.moultriefeeders.com/</v>
      </c>
      <c r="S304" t="s">
        <v>2303</v>
      </c>
      <c r="U304" s="77" t="str">
        <f>HYPERLINK("https://pbs.twimg.com/media/FiK3wdoXgAEQ1xg.jpg")</f>
        <v>https://pbs.twimg.com/media/FiK3wdoXgAEQ1xg.jpg</v>
      </c>
      <c r="V304" s="77" t="str">
        <f>HYPERLINK("https://pbs.twimg.com/media/FiK3wdoXgAEQ1xg.jpg")</f>
        <v>https://pbs.twimg.com/media/FiK3wdoXgAEQ1xg.jpg</v>
      </c>
      <c r="W304" s="76">
        <v>44959.505937499998</v>
      </c>
      <c r="X304" s="80">
        <v>44959</v>
      </c>
      <c r="Y304" s="78" t="s">
        <v>3371</v>
      </c>
      <c r="Z304" s="77" t="str">
        <f>HYPERLINK("https://twitter.com/totlinda2/status/1621118372330209281")</f>
        <v>https://twitter.com/totlinda2/status/1621118372330209281</v>
      </c>
      <c r="AC304" s="78" t="s">
        <v>4436</v>
      </c>
      <c r="AE304" t="b">
        <v>0</v>
      </c>
      <c r="AF304">
        <v>0</v>
      </c>
      <c r="AG304" s="78" t="s">
        <v>4640</v>
      </c>
      <c r="AH304" t="b">
        <v>0</v>
      </c>
      <c r="AI304" t="s">
        <v>4829</v>
      </c>
      <c r="AK304" s="78" t="s">
        <v>4640</v>
      </c>
      <c r="AL304" t="b">
        <v>0</v>
      </c>
      <c r="AM304">
        <v>4</v>
      </c>
      <c r="AN304" s="78" t="s">
        <v>4435</v>
      </c>
      <c r="AO304" s="78" t="s">
        <v>4851</v>
      </c>
      <c r="AP304" t="b">
        <v>0</v>
      </c>
      <c r="AQ304" s="78" t="s">
        <v>4435</v>
      </c>
      <c r="AR304" t="s">
        <v>179</v>
      </c>
      <c r="AS304">
        <v>0</v>
      </c>
      <c r="AT304">
        <v>0</v>
      </c>
    </row>
    <row r="305" spans="1:46" x14ac:dyDescent="0.45">
      <c r="A305" s="62" t="s">
        <v>1058</v>
      </c>
      <c r="B305" s="62" t="s">
        <v>1533</v>
      </c>
      <c r="C305" s="63"/>
      <c r="D305" s="64"/>
      <c r="E305" s="65"/>
      <c r="F305" s="66"/>
      <c r="G305" s="63"/>
      <c r="H305" s="67"/>
      <c r="I305" s="68"/>
      <c r="J305" s="68"/>
      <c r="K305" s="32"/>
      <c r="L305" s="75"/>
      <c r="M305" s="75"/>
      <c r="N305" s="70"/>
      <c r="O305" t="s">
        <v>1570</v>
      </c>
      <c r="P305" s="76">
        <v>44959.505937499998</v>
      </c>
      <c r="Q305" t="s">
        <v>2207</v>
      </c>
      <c r="R305" s="77" t="str">
        <f>HYPERLINK("https://www.moultriefeeders.com/")</f>
        <v>https://www.moultriefeeders.com/</v>
      </c>
      <c r="S305" t="s">
        <v>2303</v>
      </c>
      <c r="U305" s="77" t="str">
        <f>HYPERLINK("https://pbs.twimg.com/media/FiK3wdoXgAEQ1xg.jpg")</f>
        <v>https://pbs.twimg.com/media/FiK3wdoXgAEQ1xg.jpg</v>
      </c>
      <c r="V305" s="77" t="str">
        <f>HYPERLINK("https://pbs.twimg.com/media/FiK3wdoXgAEQ1xg.jpg")</f>
        <v>https://pbs.twimg.com/media/FiK3wdoXgAEQ1xg.jpg</v>
      </c>
      <c r="W305" s="76">
        <v>44959.505937499998</v>
      </c>
      <c r="X305" s="80">
        <v>44959</v>
      </c>
      <c r="Y305" s="78" t="s">
        <v>3371</v>
      </c>
      <c r="Z305" s="77" t="str">
        <f>HYPERLINK("https://twitter.com/totlinda2/status/1621118372330209281")</f>
        <v>https://twitter.com/totlinda2/status/1621118372330209281</v>
      </c>
      <c r="AC305" s="78" t="s">
        <v>4436</v>
      </c>
      <c r="AE305" t="b">
        <v>0</v>
      </c>
      <c r="AF305">
        <v>0</v>
      </c>
      <c r="AG305" s="78" t="s">
        <v>4640</v>
      </c>
      <c r="AH305" t="b">
        <v>0</v>
      </c>
      <c r="AI305" t="s">
        <v>4829</v>
      </c>
      <c r="AK305" s="78" t="s">
        <v>4640</v>
      </c>
      <c r="AL305" t="b">
        <v>0</v>
      </c>
      <c r="AM305">
        <v>4</v>
      </c>
      <c r="AN305" s="78" t="s">
        <v>4435</v>
      </c>
      <c r="AO305" s="78" t="s">
        <v>4851</v>
      </c>
      <c r="AP305" t="b">
        <v>0</v>
      </c>
      <c r="AQ305" s="78" t="s">
        <v>4435</v>
      </c>
      <c r="AR305" t="s">
        <v>179</v>
      </c>
      <c r="AS305">
        <v>0</v>
      </c>
      <c r="AT305">
        <v>0</v>
      </c>
    </row>
    <row r="306" spans="1:46" x14ac:dyDescent="0.45">
      <c r="A306" s="62" t="s">
        <v>1058</v>
      </c>
      <c r="B306" s="62" t="s">
        <v>1534</v>
      </c>
      <c r="C306" s="63"/>
      <c r="D306" s="64"/>
      <c r="E306" s="65"/>
      <c r="F306" s="66"/>
      <c r="G306" s="63"/>
      <c r="H306" s="67"/>
      <c r="I306" s="68"/>
      <c r="J306" s="68"/>
      <c r="K306" s="32"/>
      <c r="L306" s="75"/>
      <c r="M306" s="75"/>
      <c r="N306" s="70"/>
      <c r="O306" t="s">
        <v>1570</v>
      </c>
      <c r="P306" s="76">
        <v>44959.505937499998</v>
      </c>
      <c r="Q306" t="s">
        <v>2207</v>
      </c>
      <c r="R306" s="77" t="str">
        <f>HYPERLINK("https://www.moultriefeeders.com/")</f>
        <v>https://www.moultriefeeders.com/</v>
      </c>
      <c r="S306" t="s">
        <v>2303</v>
      </c>
      <c r="U306" s="77" t="str">
        <f>HYPERLINK("https://pbs.twimg.com/media/FiK3wdoXgAEQ1xg.jpg")</f>
        <v>https://pbs.twimg.com/media/FiK3wdoXgAEQ1xg.jpg</v>
      </c>
      <c r="V306" s="77" t="str">
        <f>HYPERLINK("https://pbs.twimg.com/media/FiK3wdoXgAEQ1xg.jpg")</f>
        <v>https://pbs.twimg.com/media/FiK3wdoXgAEQ1xg.jpg</v>
      </c>
      <c r="W306" s="76">
        <v>44959.505937499998</v>
      </c>
      <c r="X306" s="80">
        <v>44959</v>
      </c>
      <c r="Y306" s="78" t="s">
        <v>3371</v>
      </c>
      <c r="Z306" s="77" t="str">
        <f>HYPERLINK("https://twitter.com/totlinda2/status/1621118372330209281")</f>
        <v>https://twitter.com/totlinda2/status/1621118372330209281</v>
      </c>
      <c r="AC306" s="78" t="s">
        <v>4436</v>
      </c>
      <c r="AE306" t="b">
        <v>0</v>
      </c>
      <c r="AF306">
        <v>0</v>
      </c>
      <c r="AG306" s="78" t="s">
        <v>4640</v>
      </c>
      <c r="AH306" t="b">
        <v>0</v>
      </c>
      <c r="AI306" t="s">
        <v>4829</v>
      </c>
      <c r="AK306" s="78" t="s">
        <v>4640</v>
      </c>
      <c r="AL306" t="b">
        <v>0</v>
      </c>
      <c r="AM306">
        <v>4</v>
      </c>
      <c r="AN306" s="78" t="s">
        <v>4435</v>
      </c>
      <c r="AO306" s="78" t="s">
        <v>4851</v>
      </c>
      <c r="AP306" t="b">
        <v>0</v>
      </c>
      <c r="AQ306" s="78" t="s">
        <v>4435</v>
      </c>
      <c r="AR306" t="s">
        <v>179</v>
      </c>
      <c r="AS306">
        <v>0</v>
      </c>
      <c r="AT306">
        <v>0</v>
      </c>
    </row>
    <row r="307" spans="1:46" x14ac:dyDescent="0.45">
      <c r="A307" s="62" t="s">
        <v>1058</v>
      </c>
      <c r="B307" s="62" t="s">
        <v>1535</v>
      </c>
      <c r="C307" s="63"/>
      <c r="D307" s="64"/>
      <c r="E307" s="65"/>
      <c r="F307" s="66"/>
      <c r="G307" s="63"/>
      <c r="H307" s="67"/>
      <c r="I307" s="68"/>
      <c r="J307" s="68"/>
      <c r="K307" s="32"/>
      <c r="L307" s="75"/>
      <c r="M307" s="75"/>
      <c r="N307" s="70"/>
      <c r="O307" t="s">
        <v>1570</v>
      </c>
      <c r="P307" s="76">
        <v>44959.505937499998</v>
      </c>
      <c r="Q307" t="s">
        <v>2207</v>
      </c>
      <c r="R307" s="77" t="str">
        <f>HYPERLINK("https://www.moultriefeeders.com/")</f>
        <v>https://www.moultriefeeders.com/</v>
      </c>
      <c r="S307" t="s">
        <v>2303</v>
      </c>
      <c r="U307" s="77" t="str">
        <f>HYPERLINK("https://pbs.twimg.com/media/FiK3wdoXgAEQ1xg.jpg")</f>
        <v>https://pbs.twimg.com/media/FiK3wdoXgAEQ1xg.jpg</v>
      </c>
      <c r="V307" s="77" t="str">
        <f>HYPERLINK("https://pbs.twimg.com/media/FiK3wdoXgAEQ1xg.jpg")</f>
        <v>https://pbs.twimg.com/media/FiK3wdoXgAEQ1xg.jpg</v>
      </c>
      <c r="W307" s="76">
        <v>44959.505937499998</v>
      </c>
      <c r="X307" s="80">
        <v>44959</v>
      </c>
      <c r="Y307" s="78" t="s">
        <v>3371</v>
      </c>
      <c r="Z307" s="77" t="str">
        <f>HYPERLINK("https://twitter.com/totlinda2/status/1621118372330209281")</f>
        <v>https://twitter.com/totlinda2/status/1621118372330209281</v>
      </c>
      <c r="AC307" s="78" t="s">
        <v>4436</v>
      </c>
      <c r="AE307" t="b">
        <v>0</v>
      </c>
      <c r="AF307">
        <v>0</v>
      </c>
      <c r="AG307" s="78" t="s">
        <v>4640</v>
      </c>
      <c r="AH307" t="b">
        <v>0</v>
      </c>
      <c r="AI307" t="s">
        <v>4829</v>
      </c>
      <c r="AK307" s="78" t="s">
        <v>4640</v>
      </c>
      <c r="AL307" t="b">
        <v>0</v>
      </c>
      <c r="AM307">
        <v>4</v>
      </c>
      <c r="AN307" s="78" t="s">
        <v>4435</v>
      </c>
      <c r="AO307" s="78" t="s">
        <v>4851</v>
      </c>
      <c r="AP307" t="b">
        <v>0</v>
      </c>
      <c r="AQ307" s="78" t="s">
        <v>4435</v>
      </c>
      <c r="AR307" t="s">
        <v>179</v>
      </c>
      <c r="AS307">
        <v>0</v>
      </c>
      <c r="AT307">
        <v>0</v>
      </c>
    </row>
    <row r="308" spans="1:46" x14ac:dyDescent="0.45">
      <c r="A308" s="62" t="s">
        <v>1058</v>
      </c>
      <c r="B308" s="62" t="s">
        <v>1536</v>
      </c>
      <c r="C308" s="63"/>
      <c r="D308" s="64"/>
      <c r="E308" s="65"/>
      <c r="F308" s="66"/>
      <c r="G308" s="63"/>
      <c r="H308" s="67"/>
      <c r="I308" s="68"/>
      <c r="J308" s="68"/>
      <c r="K308" s="32"/>
      <c r="L308" s="75"/>
      <c r="M308" s="75"/>
      <c r="N308" s="70"/>
      <c r="O308" t="s">
        <v>1570</v>
      </c>
      <c r="P308" s="76">
        <v>44959.505937499998</v>
      </c>
      <c r="Q308" t="s">
        <v>2207</v>
      </c>
      <c r="R308" s="77" t="str">
        <f>HYPERLINK("https://www.moultriefeeders.com/")</f>
        <v>https://www.moultriefeeders.com/</v>
      </c>
      <c r="S308" t="s">
        <v>2303</v>
      </c>
      <c r="U308" s="77" t="str">
        <f>HYPERLINK("https://pbs.twimg.com/media/FiK3wdoXgAEQ1xg.jpg")</f>
        <v>https://pbs.twimg.com/media/FiK3wdoXgAEQ1xg.jpg</v>
      </c>
      <c r="V308" s="77" t="str">
        <f>HYPERLINK("https://pbs.twimg.com/media/FiK3wdoXgAEQ1xg.jpg")</f>
        <v>https://pbs.twimg.com/media/FiK3wdoXgAEQ1xg.jpg</v>
      </c>
      <c r="W308" s="76">
        <v>44959.505937499998</v>
      </c>
      <c r="X308" s="80">
        <v>44959</v>
      </c>
      <c r="Y308" s="78" t="s">
        <v>3371</v>
      </c>
      <c r="Z308" s="77" t="str">
        <f>HYPERLINK("https://twitter.com/totlinda2/status/1621118372330209281")</f>
        <v>https://twitter.com/totlinda2/status/1621118372330209281</v>
      </c>
      <c r="AC308" s="78" t="s">
        <v>4436</v>
      </c>
      <c r="AE308" t="b">
        <v>0</v>
      </c>
      <c r="AF308">
        <v>0</v>
      </c>
      <c r="AG308" s="78" t="s">
        <v>4640</v>
      </c>
      <c r="AH308" t="b">
        <v>0</v>
      </c>
      <c r="AI308" t="s">
        <v>4829</v>
      </c>
      <c r="AK308" s="78" t="s">
        <v>4640</v>
      </c>
      <c r="AL308" t="b">
        <v>0</v>
      </c>
      <c r="AM308">
        <v>4</v>
      </c>
      <c r="AN308" s="78" t="s">
        <v>4435</v>
      </c>
      <c r="AO308" s="78" t="s">
        <v>4851</v>
      </c>
      <c r="AP308" t="b">
        <v>0</v>
      </c>
      <c r="AQ308" s="78" t="s">
        <v>4435</v>
      </c>
      <c r="AR308" t="s">
        <v>179</v>
      </c>
      <c r="AS308">
        <v>0</v>
      </c>
      <c r="AT308">
        <v>0</v>
      </c>
    </row>
    <row r="309" spans="1:46" x14ac:dyDescent="0.45">
      <c r="A309" s="62" t="s">
        <v>1058</v>
      </c>
      <c r="B309" s="62" t="s">
        <v>1057</v>
      </c>
      <c r="C309" s="63"/>
      <c r="D309" s="64"/>
      <c r="E309" s="65"/>
      <c r="F309" s="66"/>
      <c r="G309" s="63"/>
      <c r="H309" s="67"/>
      <c r="I309" s="68"/>
      <c r="J309" s="68"/>
      <c r="K309" s="32"/>
      <c r="L309" s="75"/>
      <c r="M309" s="75"/>
      <c r="N309" s="70"/>
      <c r="O309" t="s">
        <v>1569</v>
      </c>
      <c r="P309" s="76">
        <v>44959.505937499998</v>
      </c>
      <c r="Q309" t="s">
        <v>2207</v>
      </c>
      <c r="R309" s="77" t="str">
        <f>HYPERLINK("https://www.moultriefeeders.com/")</f>
        <v>https://www.moultriefeeders.com/</v>
      </c>
      <c r="S309" t="s">
        <v>2303</v>
      </c>
      <c r="U309" s="77" t="str">
        <f>HYPERLINK("https://pbs.twimg.com/media/FiK3wdoXgAEQ1xg.jpg")</f>
        <v>https://pbs.twimg.com/media/FiK3wdoXgAEQ1xg.jpg</v>
      </c>
      <c r="V309" s="77" t="str">
        <f>HYPERLINK("https://pbs.twimg.com/media/FiK3wdoXgAEQ1xg.jpg")</f>
        <v>https://pbs.twimg.com/media/FiK3wdoXgAEQ1xg.jpg</v>
      </c>
      <c r="W309" s="76">
        <v>44959.505937499998</v>
      </c>
      <c r="X309" s="80">
        <v>44959</v>
      </c>
      <c r="Y309" s="78" t="s">
        <v>3371</v>
      </c>
      <c r="Z309" s="77" t="str">
        <f>HYPERLINK("https://twitter.com/totlinda2/status/1621118372330209281")</f>
        <v>https://twitter.com/totlinda2/status/1621118372330209281</v>
      </c>
      <c r="AC309" s="78" t="s">
        <v>4436</v>
      </c>
      <c r="AE309" t="b">
        <v>0</v>
      </c>
      <c r="AF309">
        <v>0</v>
      </c>
      <c r="AG309" s="78" t="s">
        <v>4640</v>
      </c>
      <c r="AH309" t="b">
        <v>0</v>
      </c>
      <c r="AI309" t="s">
        <v>4829</v>
      </c>
      <c r="AK309" s="78" t="s">
        <v>4640</v>
      </c>
      <c r="AL309" t="b">
        <v>0</v>
      </c>
      <c r="AM309">
        <v>4</v>
      </c>
      <c r="AN309" s="78" t="s">
        <v>4435</v>
      </c>
      <c r="AO309" s="78" t="s">
        <v>4851</v>
      </c>
      <c r="AP309" t="b">
        <v>0</v>
      </c>
      <c r="AQ309" s="78" t="s">
        <v>4435</v>
      </c>
      <c r="AR309" t="s">
        <v>179</v>
      </c>
      <c r="AS309">
        <v>0</v>
      </c>
      <c r="AT309">
        <v>0</v>
      </c>
    </row>
    <row r="310" spans="1:46" x14ac:dyDescent="0.45">
      <c r="A310" s="62" t="s">
        <v>1058</v>
      </c>
      <c r="B310" s="62" t="s">
        <v>242</v>
      </c>
      <c r="C310" s="63"/>
      <c r="D310" s="64"/>
      <c r="E310" s="65"/>
      <c r="F310" s="66"/>
      <c r="G310" s="63"/>
      <c r="H310" s="67"/>
      <c r="I310" s="68"/>
      <c r="J310" s="68"/>
      <c r="K310" s="32"/>
      <c r="L310" s="75"/>
      <c r="M310" s="75"/>
      <c r="N310" s="70"/>
      <c r="O310" t="s">
        <v>1570</v>
      </c>
      <c r="P310" s="76">
        <v>44959.505937499998</v>
      </c>
      <c r="Q310" t="s">
        <v>2207</v>
      </c>
      <c r="R310" s="77" t="str">
        <f>HYPERLINK("https://www.moultriefeeders.com/")</f>
        <v>https://www.moultriefeeders.com/</v>
      </c>
      <c r="S310" t="s">
        <v>2303</v>
      </c>
      <c r="U310" s="77" t="str">
        <f>HYPERLINK("https://pbs.twimg.com/media/FiK3wdoXgAEQ1xg.jpg")</f>
        <v>https://pbs.twimg.com/media/FiK3wdoXgAEQ1xg.jpg</v>
      </c>
      <c r="V310" s="77" t="str">
        <f>HYPERLINK("https://pbs.twimg.com/media/FiK3wdoXgAEQ1xg.jpg")</f>
        <v>https://pbs.twimg.com/media/FiK3wdoXgAEQ1xg.jpg</v>
      </c>
      <c r="W310" s="76">
        <v>44959.505937499998</v>
      </c>
      <c r="X310" s="80">
        <v>44959</v>
      </c>
      <c r="Y310" s="78" t="s">
        <v>3371</v>
      </c>
      <c r="Z310" s="77" t="str">
        <f>HYPERLINK("https://twitter.com/totlinda2/status/1621118372330209281")</f>
        <v>https://twitter.com/totlinda2/status/1621118372330209281</v>
      </c>
      <c r="AC310" s="78" t="s">
        <v>4436</v>
      </c>
      <c r="AE310" t="b">
        <v>0</v>
      </c>
      <c r="AF310">
        <v>0</v>
      </c>
      <c r="AG310" s="78" t="s">
        <v>4640</v>
      </c>
      <c r="AH310" t="b">
        <v>0</v>
      </c>
      <c r="AI310" t="s">
        <v>4829</v>
      </c>
      <c r="AK310" s="78" t="s">
        <v>4640</v>
      </c>
      <c r="AL310" t="b">
        <v>0</v>
      </c>
      <c r="AM310">
        <v>4</v>
      </c>
      <c r="AN310" s="78" t="s">
        <v>4435</v>
      </c>
      <c r="AO310" s="78" t="s">
        <v>4851</v>
      </c>
      <c r="AP310" t="b">
        <v>0</v>
      </c>
      <c r="AQ310" s="78" t="s">
        <v>4435</v>
      </c>
      <c r="AR310" t="s">
        <v>179</v>
      </c>
      <c r="AS310">
        <v>0</v>
      </c>
      <c r="AT310">
        <v>0</v>
      </c>
    </row>
    <row r="311" spans="1:46" x14ac:dyDescent="0.45">
      <c r="A311" s="62" t="s">
        <v>273</v>
      </c>
      <c r="B311" s="62" t="s">
        <v>1161</v>
      </c>
      <c r="C311" s="63"/>
      <c r="D311" s="64"/>
      <c r="E311" s="65"/>
      <c r="F311" s="66"/>
      <c r="G311" s="63"/>
      <c r="H311" s="67"/>
      <c r="I311" s="68"/>
      <c r="J311" s="68"/>
      <c r="K311" s="32"/>
      <c r="L311" s="75"/>
      <c r="M311" s="75"/>
      <c r="N311" s="70"/>
      <c r="O311" t="s">
        <v>1568</v>
      </c>
      <c r="P311" s="76">
        <v>44958.086597222224</v>
      </c>
      <c r="Q311" t="s">
        <v>1617</v>
      </c>
      <c r="R311" s="77" t="str">
        <f>HYPERLINK("https://mujin-corp.com/press-releases/robotic-order-fulfillment-display-manifest-vegas-mujin-geekplus/")</f>
        <v>https://mujin-corp.com/press-releases/robotic-order-fulfillment-display-manifest-vegas-mujin-geekplus/</v>
      </c>
      <c r="S311" t="s">
        <v>2264</v>
      </c>
      <c r="T311" s="78" t="s">
        <v>2315</v>
      </c>
      <c r="U311" s="77" t="str">
        <f>HYPERLINK("https://pbs.twimg.com/media/Fn2KjMtaQAEypUW.jpg")</f>
        <v>https://pbs.twimg.com/media/Fn2KjMtaQAEypUW.jpg</v>
      </c>
      <c r="V311" s="77" t="str">
        <f>HYPERLINK("https://pbs.twimg.com/media/Fn2KjMtaQAEypUW.jpg")</f>
        <v>https://pbs.twimg.com/media/Fn2KjMtaQAEypUW.jpg</v>
      </c>
      <c r="W311" s="76">
        <v>44958.086597222224</v>
      </c>
      <c r="X311" s="80">
        <v>44958</v>
      </c>
      <c r="Y311" s="78" t="s">
        <v>2479</v>
      </c>
      <c r="Z311" s="77" t="str">
        <f>HYPERLINK("https://twitter.com/mujin_global/status/1620604020695113729")</f>
        <v>https://twitter.com/mujin_global/status/1620604020695113729</v>
      </c>
      <c r="AC311" s="78" t="s">
        <v>3494</v>
      </c>
      <c r="AE311" t="b">
        <v>0</v>
      </c>
      <c r="AF311">
        <v>4</v>
      </c>
      <c r="AG311" s="78" t="s">
        <v>4640</v>
      </c>
      <c r="AH311" t="b">
        <v>0</v>
      </c>
      <c r="AI311" t="s">
        <v>4829</v>
      </c>
      <c r="AK311" s="78" t="s">
        <v>4640</v>
      </c>
      <c r="AL311" t="b">
        <v>0</v>
      </c>
      <c r="AM311">
        <v>2</v>
      </c>
      <c r="AN311" s="78" t="s">
        <v>4640</v>
      </c>
      <c r="AO311" s="78" t="s">
        <v>4851</v>
      </c>
      <c r="AP311" t="b">
        <v>0</v>
      </c>
      <c r="AQ311" s="78" t="s">
        <v>3494</v>
      </c>
      <c r="AR311" t="s">
        <v>1569</v>
      </c>
      <c r="AS311">
        <v>0</v>
      </c>
      <c r="AT311">
        <v>0</v>
      </c>
    </row>
    <row r="312" spans="1:46" x14ac:dyDescent="0.45">
      <c r="A312" s="62" t="s">
        <v>273</v>
      </c>
      <c r="B312" s="62" t="s">
        <v>1162</v>
      </c>
      <c r="C312" s="63"/>
      <c r="D312" s="64"/>
      <c r="E312" s="65"/>
      <c r="F312" s="66"/>
      <c r="G312" s="63"/>
      <c r="H312" s="67"/>
      <c r="I312" s="68"/>
      <c r="J312" s="68"/>
      <c r="K312" s="32"/>
      <c r="L312" s="75"/>
      <c r="M312" s="75"/>
      <c r="N312" s="70"/>
      <c r="O312" t="s">
        <v>1568</v>
      </c>
      <c r="P312" s="76">
        <v>44958.086597222224</v>
      </c>
      <c r="Q312" t="s">
        <v>1617</v>
      </c>
      <c r="R312" s="77" t="str">
        <f>HYPERLINK("https://mujin-corp.com/press-releases/robotic-order-fulfillment-display-manifest-vegas-mujin-geekplus/")</f>
        <v>https://mujin-corp.com/press-releases/robotic-order-fulfillment-display-manifest-vegas-mujin-geekplus/</v>
      </c>
      <c r="S312" t="s">
        <v>2264</v>
      </c>
      <c r="T312" s="78" t="s">
        <v>2315</v>
      </c>
      <c r="U312" s="77" t="str">
        <f>HYPERLINK("https://pbs.twimg.com/media/Fn2KjMtaQAEypUW.jpg")</f>
        <v>https://pbs.twimg.com/media/Fn2KjMtaQAEypUW.jpg</v>
      </c>
      <c r="V312" s="77" t="str">
        <f>HYPERLINK("https://pbs.twimg.com/media/Fn2KjMtaQAEypUW.jpg")</f>
        <v>https://pbs.twimg.com/media/Fn2KjMtaQAEypUW.jpg</v>
      </c>
      <c r="W312" s="76">
        <v>44958.086597222224</v>
      </c>
      <c r="X312" s="80">
        <v>44958</v>
      </c>
      <c r="Y312" s="78" t="s">
        <v>2479</v>
      </c>
      <c r="Z312" s="77" t="str">
        <f>HYPERLINK("https://twitter.com/mujin_global/status/1620604020695113729")</f>
        <v>https://twitter.com/mujin_global/status/1620604020695113729</v>
      </c>
      <c r="AC312" s="78" t="s">
        <v>3494</v>
      </c>
      <c r="AE312" t="b">
        <v>0</v>
      </c>
      <c r="AF312">
        <v>4</v>
      </c>
      <c r="AG312" s="78" t="s">
        <v>4640</v>
      </c>
      <c r="AH312" t="b">
        <v>0</v>
      </c>
      <c r="AI312" t="s">
        <v>4829</v>
      </c>
      <c r="AK312" s="78" t="s">
        <v>4640</v>
      </c>
      <c r="AL312" t="b">
        <v>0</v>
      </c>
      <c r="AM312">
        <v>2</v>
      </c>
      <c r="AN312" s="78" t="s">
        <v>4640</v>
      </c>
      <c r="AO312" s="78" t="s">
        <v>4851</v>
      </c>
      <c r="AP312" t="b">
        <v>0</v>
      </c>
      <c r="AQ312" s="78" t="s">
        <v>3494</v>
      </c>
      <c r="AR312" t="s">
        <v>1569</v>
      </c>
      <c r="AS312">
        <v>0</v>
      </c>
      <c r="AT312">
        <v>0</v>
      </c>
    </row>
    <row r="313" spans="1:46" x14ac:dyDescent="0.45">
      <c r="A313" s="62" t="s">
        <v>273</v>
      </c>
      <c r="B313" s="62" t="s">
        <v>242</v>
      </c>
      <c r="C313" s="63"/>
      <c r="D313" s="64"/>
      <c r="E313" s="65"/>
      <c r="F313" s="66"/>
      <c r="G313" s="63"/>
      <c r="H313" s="67"/>
      <c r="I313" s="68"/>
      <c r="J313" s="68"/>
      <c r="K313" s="32"/>
      <c r="L313" s="75"/>
      <c r="M313" s="75"/>
      <c r="N313" s="70"/>
      <c r="O313" t="s">
        <v>1568</v>
      </c>
      <c r="P313" s="76">
        <v>44958.086597222224</v>
      </c>
      <c r="Q313" t="s">
        <v>1617</v>
      </c>
      <c r="R313" s="77" t="str">
        <f>HYPERLINK("https://mujin-corp.com/press-releases/robotic-order-fulfillment-display-manifest-vegas-mujin-geekplus/")</f>
        <v>https://mujin-corp.com/press-releases/robotic-order-fulfillment-display-manifest-vegas-mujin-geekplus/</v>
      </c>
      <c r="S313" t="s">
        <v>2264</v>
      </c>
      <c r="T313" s="78" t="s">
        <v>2315</v>
      </c>
      <c r="U313" s="77" t="str">
        <f>HYPERLINK("https://pbs.twimg.com/media/Fn2KjMtaQAEypUW.jpg")</f>
        <v>https://pbs.twimg.com/media/Fn2KjMtaQAEypUW.jpg</v>
      </c>
      <c r="V313" s="77" t="str">
        <f>HYPERLINK("https://pbs.twimg.com/media/Fn2KjMtaQAEypUW.jpg")</f>
        <v>https://pbs.twimg.com/media/Fn2KjMtaQAEypUW.jpg</v>
      </c>
      <c r="W313" s="76">
        <v>44958.086597222224</v>
      </c>
      <c r="X313" s="80">
        <v>44958</v>
      </c>
      <c r="Y313" s="78" t="s">
        <v>2479</v>
      </c>
      <c r="Z313" s="77" t="str">
        <f>HYPERLINK("https://twitter.com/mujin_global/status/1620604020695113729")</f>
        <v>https://twitter.com/mujin_global/status/1620604020695113729</v>
      </c>
      <c r="AC313" s="78" t="s">
        <v>3494</v>
      </c>
      <c r="AE313" t="b">
        <v>0</v>
      </c>
      <c r="AF313">
        <v>4</v>
      </c>
      <c r="AG313" s="78" t="s">
        <v>4640</v>
      </c>
      <c r="AH313" t="b">
        <v>0</v>
      </c>
      <c r="AI313" t="s">
        <v>4829</v>
      </c>
      <c r="AK313" s="78" t="s">
        <v>4640</v>
      </c>
      <c r="AL313" t="b">
        <v>0</v>
      </c>
      <c r="AM313">
        <v>2</v>
      </c>
      <c r="AN313" s="78" t="s">
        <v>4640</v>
      </c>
      <c r="AO313" s="78" t="s">
        <v>4851</v>
      </c>
      <c r="AP313" t="b">
        <v>0</v>
      </c>
      <c r="AQ313" s="78" t="s">
        <v>3494</v>
      </c>
      <c r="AR313" t="s">
        <v>1569</v>
      </c>
      <c r="AS313">
        <v>0</v>
      </c>
      <c r="AT313">
        <v>0</v>
      </c>
    </row>
    <row r="314" spans="1:46" x14ac:dyDescent="0.45">
      <c r="A314" s="62" t="s">
        <v>274</v>
      </c>
      <c r="B314" s="62" t="s">
        <v>1161</v>
      </c>
      <c r="C314" s="63"/>
      <c r="D314" s="64"/>
      <c r="E314" s="65"/>
      <c r="F314" s="66"/>
      <c r="G314" s="63"/>
      <c r="H314" s="67"/>
      <c r="I314" s="68"/>
      <c r="J314" s="68"/>
      <c r="K314" s="32"/>
      <c r="L314" s="75"/>
      <c r="M314" s="75"/>
      <c r="N314" s="70"/>
      <c r="O314" t="s">
        <v>1570</v>
      </c>
      <c r="P314" s="76">
        <v>44958.516215277778</v>
      </c>
      <c r="Q314" t="s">
        <v>1617</v>
      </c>
      <c r="R314" s="77" t="str">
        <f>HYPERLINK("https://mujin-corp.com/press-releases/robotic-order-fulfillment-display-manifest-vegas-mujin-geekplus/")</f>
        <v>https://mujin-corp.com/press-releases/robotic-order-fulfillment-display-manifest-vegas-mujin-geekplus/</v>
      </c>
      <c r="S314" t="s">
        <v>2264</v>
      </c>
      <c r="T314" s="78" t="s">
        <v>2315</v>
      </c>
      <c r="U314" s="77" t="str">
        <f>HYPERLINK("https://pbs.twimg.com/media/Fn2KjMtaQAEypUW.jpg")</f>
        <v>https://pbs.twimg.com/media/Fn2KjMtaQAEypUW.jpg</v>
      </c>
      <c r="V314" s="77" t="str">
        <f>HYPERLINK("https://pbs.twimg.com/media/Fn2KjMtaQAEypUW.jpg")</f>
        <v>https://pbs.twimg.com/media/Fn2KjMtaQAEypUW.jpg</v>
      </c>
      <c r="W314" s="76">
        <v>44958.516215277778</v>
      </c>
      <c r="X314" s="80">
        <v>44958</v>
      </c>
      <c r="Y314" s="78" t="s">
        <v>2480</v>
      </c>
      <c r="Z314" s="77" t="str">
        <f>HYPERLINK("https://twitter.com/dbov68/status/1620759709883174912")</f>
        <v>https://twitter.com/dbov68/status/1620759709883174912</v>
      </c>
      <c r="AC314" s="78" t="s">
        <v>3495</v>
      </c>
      <c r="AE314" t="b">
        <v>0</v>
      </c>
      <c r="AF314">
        <v>0</v>
      </c>
      <c r="AG314" s="78" t="s">
        <v>4640</v>
      </c>
      <c r="AH314" t="b">
        <v>0</v>
      </c>
      <c r="AI314" t="s">
        <v>4829</v>
      </c>
      <c r="AK314" s="78" t="s">
        <v>4640</v>
      </c>
      <c r="AL314" t="b">
        <v>0</v>
      </c>
      <c r="AM314">
        <v>2</v>
      </c>
      <c r="AN314" s="78" t="s">
        <v>3494</v>
      </c>
      <c r="AO314" s="78" t="s">
        <v>4850</v>
      </c>
      <c r="AP314" t="b">
        <v>0</v>
      </c>
      <c r="AQ314" s="78" t="s">
        <v>3494</v>
      </c>
      <c r="AR314" t="s">
        <v>179</v>
      </c>
      <c r="AS314">
        <v>0</v>
      </c>
      <c r="AT314">
        <v>0</v>
      </c>
    </row>
    <row r="315" spans="1:46" x14ac:dyDescent="0.45">
      <c r="A315" s="62" t="s">
        <v>274</v>
      </c>
      <c r="B315" s="62" t="s">
        <v>1162</v>
      </c>
      <c r="C315" s="63"/>
      <c r="D315" s="64"/>
      <c r="E315" s="65"/>
      <c r="F315" s="66"/>
      <c r="G315" s="63"/>
      <c r="H315" s="67"/>
      <c r="I315" s="68"/>
      <c r="J315" s="68"/>
      <c r="K315" s="32"/>
      <c r="L315" s="75"/>
      <c r="M315" s="75"/>
      <c r="N315" s="70"/>
      <c r="O315" t="s">
        <v>1570</v>
      </c>
      <c r="P315" s="76">
        <v>44958.516215277778</v>
      </c>
      <c r="Q315" t="s">
        <v>1617</v>
      </c>
      <c r="R315" s="77" t="str">
        <f>HYPERLINK("https://mujin-corp.com/press-releases/robotic-order-fulfillment-display-manifest-vegas-mujin-geekplus/")</f>
        <v>https://mujin-corp.com/press-releases/robotic-order-fulfillment-display-manifest-vegas-mujin-geekplus/</v>
      </c>
      <c r="S315" t="s">
        <v>2264</v>
      </c>
      <c r="T315" s="78" t="s">
        <v>2315</v>
      </c>
      <c r="U315" s="77" t="str">
        <f>HYPERLINK("https://pbs.twimg.com/media/Fn2KjMtaQAEypUW.jpg")</f>
        <v>https://pbs.twimg.com/media/Fn2KjMtaQAEypUW.jpg</v>
      </c>
      <c r="V315" s="77" t="str">
        <f>HYPERLINK("https://pbs.twimg.com/media/Fn2KjMtaQAEypUW.jpg")</f>
        <v>https://pbs.twimg.com/media/Fn2KjMtaQAEypUW.jpg</v>
      </c>
      <c r="W315" s="76">
        <v>44958.516215277778</v>
      </c>
      <c r="X315" s="80">
        <v>44958</v>
      </c>
      <c r="Y315" s="78" t="s">
        <v>2480</v>
      </c>
      <c r="Z315" s="77" t="str">
        <f>HYPERLINK("https://twitter.com/dbov68/status/1620759709883174912")</f>
        <v>https://twitter.com/dbov68/status/1620759709883174912</v>
      </c>
      <c r="AC315" s="78" t="s">
        <v>3495</v>
      </c>
      <c r="AE315" t="b">
        <v>0</v>
      </c>
      <c r="AF315">
        <v>0</v>
      </c>
      <c r="AG315" s="78" t="s">
        <v>4640</v>
      </c>
      <c r="AH315" t="b">
        <v>0</v>
      </c>
      <c r="AI315" t="s">
        <v>4829</v>
      </c>
      <c r="AK315" s="78" t="s">
        <v>4640</v>
      </c>
      <c r="AL315" t="b">
        <v>0</v>
      </c>
      <c r="AM315">
        <v>2</v>
      </c>
      <c r="AN315" s="78" t="s">
        <v>3494</v>
      </c>
      <c r="AO315" s="78" t="s">
        <v>4850</v>
      </c>
      <c r="AP315" t="b">
        <v>0</v>
      </c>
      <c r="AQ315" s="78" t="s">
        <v>3494</v>
      </c>
      <c r="AR315" t="s">
        <v>179</v>
      </c>
      <c r="AS315">
        <v>0</v>
      </c>
      <c r="AT315">
        <v>0</v>
      </c>
    </row>
    <row r="316" spans="1:46" x14ac:dyDescent="0.45">
      <c r="A316" s="62" t="s">
        <v>274</v>
      </c>
      <c r="B316" s="62" t="s">
        <v>273</v>
      </c>
      <c r="C316" s="63"/>
      <c r="D316" s="64"/>
      <c r="E316" s="65"/>
      <c r="F316" s="66"/>
      <c r="G316" s="63"/>
      <c r="H316" s="67"/>
      <c r="I316" s="68"/>
      <c r="J316" s="68"/>
      <c r="K316" s="32"/>
      <c r="L316" s="75"/>
      <c r="M316" s="75"/>
      <c r="N316" s="70"/>
      <c r="O316" t="s">
        <v>1569</v>
      </c>
      <c r="P316" s="76">
        <v>44958.516215277778</v>
      </c>
      <c r="Q316" t="s">
        <v>1617</v>
      </c>
      <c r="R316" s="77" t="str">
        <f>HYPERLINK("https://mujin-corp.com/press-releases/robotic-order-fulfillment-display-manifest-vegas-mujin-geekplus/")</f>
        <v>https://mujin-corp.com/press-releases/robotic-order-fulfillment-display-manifest-vegas-mujin-geekplus/</v>
      </c>
      <c r="S316" t="s">
        <v>2264</v>
      </c>
      <c r="T316" s="78" t="s">
        <v>2315</v>
      </c>
      <c r="U316" s="77" t="str">
        <f>HYPERLINK("https://pbs.twimg.com/media/Fn2KjMtaQAEypUW.jpg")</f>
        <v>https://pbs.twimg.com/media/Fn2KjMtaQAEypUW.jpg</v>
      </c>
      <c r="V316" s="77" t="str">
        <f>HYPERLINK("https://pbs.twimg.com/media/Fn2KjMtaQAEypUW.jpg")</f>
        <v>https://pbs.twimg.com/media/Fn2KjMtaQAEypUW.jpg</v>
      </c>
      <c r="W316" s="76">
        <v>44958.516215277778</v>
      </c>
      <c r="X316" s="80">
        <v>44958</v>
      </c>
      <c r="Y316" s="78" t="s">
        <v>2480</v>
      </c>
      <c r="Z316" s="77" t="str">
        <f>HYPERLINK("https://twitter.com/dbov68/status/1620759709883174912")</f>
        <v>https://twitter.com/dbov68/status/1620759709883174912</v>
      </c>
      <c r="AC316" s="78" t="s">
        <v>3495</v>
      </c>
      <c r="AE316" t="b">
        <v>0</v>
      </c>
      <c r="AF316">
        <v>0</v>
      </c>
      <c r="AG316" s="78" t="s">
        <v>4640</v>
      </c>
      <c r="AH316" t="b">
        <v>0</v>
      </c>
      <c r="AI316" t="s">
        <v>4829</v>
      </c>
      <c r="AK316" s="78" t="s">
        <v>4640</v>
      </c>
      <c r="AL316" t="b">
        <v>0</v>
      </c>
      <c r="AM316">
        <v>2</v>
      </c>
      <c r="AN316" s="78" t="s">
        <v>3494</v>
      </c>
      <c r="AO316" s="78" t="s">
        <v>4850</v>
      </c>
      <c r="AP316" t="b">
        <v>0</v>
      </c>
      <c r="AQ316" s="78" t="s">
        <v>3494</v>
      </c>
      <c r="AR316" t="s">
        <v>179</v>
      </c>
      <c r="AS316">
        <v>0</v>
      </c>
      <c r="AT316">
        <v>0</v>
      </c>
    </row>
    <row r="317" spans="1:46" x14ac:dyDescent="0.45">
      <c r="A317" s="62" t="s">
        <v>274</v>
      </c>
      <c r="B317" s="62" t="s">
        <v>242</v>
      </c>
      <c r="C317" s="63"/>
      <c r="D317" s="64"/>
      <c r="E317" s="65"/>
      <c r="F317" s="66"/>
      <c r="G317" s="63"/>
      <c r="H317" s="67"/>
      <c r="I317" s="68"/>
      <c r="J317" s="68"/>
      <c r="K317" s="32"/>
      <c r="L317" s="75"/>
      <c r="M317" s="75"/>
      <c r="N317" s="70"/>
      <c r="O317" t="s">
        <v>1570</v>
      </c>
      <c r="P317" s="76">
        <v>44958.516215277778</v>
      </c>
      <c r="Q317" t="s">
        <v>1617</v>
      </c>
      <c r="R317" s="77" t="str">
        <f>HYPERLINK("https://mujin-corp.com/press-releases/robotic-order-fulfillment-display-manifest-vegas-mujin-geekplus/")</f>
        <v>https://mujin-corp.com/press-releases/robotic-order-fulfillment-display-manifest-vegas-mujin-geekplus/</v>
      </c>
      <c r="S317" t="s">
        <v>2264</v>
      </c>
      <c r="T317" s="78" t="s">
        <v>2315</v>
      </c>
      <c r="U317" s="77" t="str">
        <f>HYPERLINK("https://pbs.twimg.com/media/Fn2KjMtaQAEypUW.jpg")</f>
        <v>https://pbs.twimg.com/media/Fn2KjMtaQAEypUW.jpg</v>
      </c>
      <c r="V317" s="77" t="str">
        <f>HYPERLINK("https://pbs.twimg.com/media/Fn2KjMtaQAEypUW.jpg")</f>
        <v>https://pbs.twimg.com/media/Fn2KjMtaQAEypUW.jpg</v>
      </c>
      <c r="W317" s="76">
        <v>44958.516215277778</v>
      </c>
      <c r="X317" s="80">
        <v>44958</v>
      </c>
      <c r="Y317" s="78" t="s">
        <v>2480</v>
      </c>
      <c r="Z317" s="77" t="str">
        <f>HYPERLINK("https://twitter.com/dbov68/status/1620759709883174912")</f>
        <v>https://twitter.com/dbov68/status/1620759709883174912</v>
      </c>
      <c r="AC317" s="78" t="s">
        <v>3495</v>
      </c>
      <c r="AE317" t="b">
        <v>0</v>
      </c>
      <c r="AF317">
        <v>0</v>
      </c>
      <c r="AG317" s="78" t="s">
        <v>4640</v>
      </c>
      <c r="AH317" t="b">
        <v>0</v>
      </c>
      <c r="AI317" t="s">
        <v>4829</v>
      </c>
      <c r="AK317" s="78" t="s">
        <v>4640</v>
      </c>
      <c r="AL317" t="b">
        <v>0</v>
      </c>
      <c r="AM317">
        <v>2</v>
      </c>
      <c r="AN317" s="78" t="s">
        <v>3494</v>
      </c>
      <c r="AO317" s="78" t="s">
        <v>4850</v>
      </c>
      <c r="AP317" t="b">
        <v>0</v>
      </c>
      <c r="AQ317" s="78" t="s">
        <v>3494</v>
      </c>
      <c r="AR317" t="s">
        <v>179</v>
      </c>
      <c r="AS317">
        <v>0</v>
      </c>
      <c r="AT317">
        <v>0</v>
      </c>
    </row>
    <row r="318" spans="1:46" x14ac:dyDescent="0.45">
      <c r="A318" s="62" t="s">
        <v>549</v>
      </c>
      <c r="B318" s="62" t="s">
        <v>1111</v>
      </c>
      <c r="C318" s="63"/>
      <c r="D318" s="64"/>
      <c r="E318" s="65"/>
      <c r="F318" s="66"/>
      <c r="G318" s="63"/>
      <c r="H318" s="67"/>
      <c r="I318" s="68"/>
      <c r="J318" s="68"/>
      <c r="K318" s="32"/>
      <c r="L318" s="75"/>
      <c r="M318" s="75"/>
      <c r="N318" s="70"/>
      <c r="O318" t="s">
        <v>1568</v>
      </c>
      <c r="P318" s="76">
        <v>44958.798425925925</v>
      </c>
      <c r="Q318" t="s">
        <v>1813</v>
      </c>
      <c r="R318" s="77" t="str">
        <f>HYPERLINK("https://www.nbcnews.com/health/health-news/cdc-eyedrops-linked-serious-bacterial-infections-rcna68175")</f>
        <v>https://www.nbcnews.com/health/health-news/cdc-eyedrops-linked-serious-bacterial-infections-rcna68175</v>
      </c>
      <c r="S318" t="s">
        <v>2284</v>
      </c>
      <c r="T318" s="78" t="s">
        <v>2350</v>
      </c>
      <c r="V318" s="77" t="str">
        <f>HYPERLINK("https://pbs.twimg.com/profile_images/1616855909711454209/CAcRLu86_normal.jpg")</f>
        <v>https://pbs.twimg.com/profile_images/1616855909711454209/CAcRLu86_normal.jpg</v>
      </c>
      <c r="W318" s="76">
        <v>44958.798425925925</v>
      </c>
      <c r="X318" s="80">
        <v>44958</v>
      </c>
      <c r="Y318" s="78" t="s">
        <v>2791</v>
      </c>
      <c r="Z318" s="77" t="str">
        <f>HYPERLINK("https://twitter.com/gypsydesert/status/1620861978888572948")</f>
        <v>https://twitter.com/gypsydesert/status/1620861978888572948</v>
      </c>
      <c r="AC318" s="78" t="s">
        <v>3810</v>
      </c>
      <c r="AE318" t="b">
        <v>0</v>
      </c>
      <c r="AF318">
        <v>0</v>
      </c>
      <c r="AG318" s="78" t="s">
        <v>4640</v>
      </c>
      <c r="AH318" t="b">
        <v>0</v>
      </c>
      <c r="AI318" t="s">
        <v>4829</v>
      </c>
      <c r="AK318" s="78" t="s">
        <v>4640</v>
      </c>
      <c r="AL318" t="b">
        <v>0</v>
      </c>
      <c r="AM318">
        <v>0</v>
      </c>
      <c r="AN318" s="78" t="s">
        <v>4640</v>
      </c>
      <c r="AO318" s="78" t="s">
        <v>4852</v>
      </c>
      <c r="AP318" t="b">
        <v>0</v>
      </c>
      <c r="AQ318" s="78" t="s">
        <v>3810</v>
      </c>
      <c r="AR318" t="s">
        <v>179</v>
      </c>
      <c r="AS318">
        <v>0</v>
      </c>
      <c r="AT318">
        <v>0</v>
      </c>
    </row>
    <row r="319" spans="1:46" x14ac:dyDescent="0.45">
      <c r="A319" s="62" t="s">
        <v>549</v>
      </c>
      <c r="B319" s="62" t="s">
        <v>242</v>
      </c>
      <c r="C319" s="63"/>
      <c r="D319" s="64"/>
      <c r="E319" s="65"/>
      <c r="F319" s="66"/>
      <c r="G319" s="63"/>
      <c r="H319" s="67"/>
      <c r="I319" s="68"/>
      <c r="J319" s="68"/>
      <c r="K319" s="32"/>
      <c r="L319" s="75"/>
      <c r="M319" s="75"/>
      <c r="N319" s="70"/>
      <c r="O319" t="s">
        <v>1568</v>
      </c>
      <c r="P319" s="76">
        <v>44958.798425925925</v>
      </c>
      <c r="Q319" t="s">
        <v>1813</v>
      </c>
      <c r="R319" s="77" t="str">
        <f>HYPERLINK("https://www.nbcnews.com/health/health-news/cdc-eyedrops-linked-serious-bacterial-infections-rcna68175")</f>
        <v>https://www.nbcnews.com/health/health-news/cdc-eyedrops-linked-serious-bacterial-infections-rcna68175</v>
      </c>
      <c r="S319" t="s">
        <v>2284</v>
      </c>
      <c r="T319" s="78" t="s">
        <v>2350</v>
      </c>
      <c r="V319" s="77" t="str">
        <f>HYPERLINK("https://pbs.twimg.com/profile_images/1616855909711454209/CAcRLu86_normal.jpg")</f>
        <v>https://pbs.twimg.com/profile_images/1616855909711454209/CAcRLu86_normal.jpg</v>
      </c>
      <c r="W319" s="76">
        <v>44958.798425925925</v>
      </c>
      <c r="X319" s="80">
        <v>44958</v>
      </c>
      <c r="Y319" s="78" t="s">
        <v>2791</v>
      </c>
      <c r="Z319" s="77" t="str">
        <f>HYPERLINK("https://twitter.com/gypsydesert/status/1620861978888572948")</f>
        <v>https://twitter.com/gypsydesert/status/1620861978888572948</v>
      </c>
      <c r="AC319" s="78" t="s">
        <v>3810</v>
      </c>
      <c r="AE319" t="b">
        <v>0</v>
      </c>
      <c r="AF319">
        <v>0</v>
      </c>
      <c r="AG319" s="78" t="s">
        <v>4640</v>
      </c>
      <c r="AH319" t="b">
        <v>0</v>
      </c>
      <c r="AI319" t="s">
        <v>4829</v>
      </c>
      <c r="AK319" s="78" t="s">
        <v>4640</v>
      </c>
      <c r="AL319" t="b">
        <v>0</v>
      </c>
      <c r="AM319">
        <v>0</v>
      </c>
      <c r="AN319" s="78" t="s">
        <v>4640</v>
      </c>
      <c r="AO319" s="78" t="s">
        <v>4852</v>
      </c>
      <c r="AP319" t="b">
        <v>0</v>
      </c>
      <c r="AQ319" s="78" t="s">
        <v>3810</v>
      </c>
      <c r="AR319" t="s">
        <v>179</v>
      </c>
      <c r="AS319">
        <v>0</v>
      </c>
      <c r="AT319">
        <v>0</v>
      </c>
    </row>
    <row r="320" spans="1:46" x14ac:dyDescent="0.45">
      <c r="A320" s="62" t="s">
        <v>874</v>
      </c>
      <c r="B320" s="62" t="s">
        <v>242</v>
      </c>
      <c r="C320" s="63"/>
      <c r="D320" s="64"/>
      <c r="E320" s="65"/>
      <c r="F320" s="66"/>
      <c r="G320" s="63"/>
      <c r="H320" s="67"/>
      <c r="I320" s="68"/>
      <c r="J320" s="68"/>
      <c r="K320" s="32"/>
      <c r="L320" s="75"/>
      <c r="M320" s="75"/>
      <c r="N320" s="70"/>
      <c r="O320" t="s">
        <v>1568</v>
      </c>
      <c r="P320" s="76">
        <v>44957.803541666668</v>
      </c>
      <c r="Q320" t="s">
        <v>2044</v>
      </c>
      <c r="R320" s="77" t="str">
        <f>HYPERLINK("https://supplychain360.nrf.com/session/reimagined-supply-chain-connected-transparent-and-sustainable-walmarts-supply-chain-and?utm_medium=organic_social&amp;utm_source=nrf_internal&amp;utm_campaign=ev_supplychain360&amp;utm_content=topics")</f>
        <v>https://supplychain360.nrf.com/session/reimagined-supply-chain-connected-transparent-and-sustainable-walmarts-supply-chain-and?utm_medium=organic_social&amp;utm_source=nrf_internal&amp;utm_campaign=ev_supplychain360&amp;utm_content=topics</v>
      </c>
      <c r="S320" t="s">
        <v>2293</v>
      </c>
      <c r="T320" s="78" t="s">
        <v>2387</v>
      </c>
      <c r="U320" s="77" t="str">
        <f>HYPERLINK("https://pbs.twimg.com/media/Fn0tdWnXwAEKgxx.jpg")</f>
        <v>https://pbs.twimg.com/media/Fn0tdWnXwAEKgxx.jpg</v>
      </c>
      <c r="V320" s="77" t="str">
        <f>HYPERLINK("https://pbs.twimg.com/media/Fn0tdWnXwAEKgxx.jpg")</f>
        <v>https://pbs.twimg.com/media/Fn0tdWnXwAEKgxx.jpg</v>
      </c>
      <c r="W320" s="76">
        <v>44957.803541666668</v>
      </c>
      <c r="X320" s="80">
        <v>44957</v>
      </c>
      <c r="Y320" s="78" t="s">
        <v>3135</v>
      </c>
      <c r="Z320" s="77" t="str">
        <f>HYPERLINK("https://twitter.com/nrfnews/status/1620501443961659430")</f>
        <v>https://twitter.com/nrfnews/status/1620501443961659430</v>
      </c>
      <c r="AC320" s="78" t="s">
        <v>4200</v>
      </c>
      <c r="AE320" t="b">
        <v>0</v>
      </c>
      <c r="AF320">
        <v>1</v>
      </c>
      <c r="AG320" s="78" t="s">
        <v>4640</v>
      </c>
      <c r="AH320" t="b">
        <v>0</v>
      </c>
      <c r="AI320" t="s">
        <v>4829</v>
      </c>
      <c r="AK320" s="78" t="s">
        <v>4640</v>
      </c>
      <c r="AL320" t="b">
        <v>0</v>
      </c>
      <c r="AM320">
        <v>1</v>
      </c>
      <c r="AN320" s="78" t="s">
        <v>4640</v>
      </c>
      <c r="AO320" s="78" t="s">
        <v>4865</v>
      </c>
      <c r="AP320" t="b">
        <v>0</v>
      </c>
      <c r="AQ320" s="78" t="s">
        <v>4200</v>
      </c>
      <c r="AR320" t="s">
        <v>1569</v>
      </c>
      <c r="AS320">
        <v>0</v>
      </c>
      <c r="AT320">
        <v>0</v>
      </c>
    </row>
    <row r="321" spans="1:46" x14ac:dyDescent="0.45">
      <c r="A321" s="62" t="s">
        <v>875</v>
      </c>
      <c r="B321" s="62" t="s">
        <v>874</v>
      </c>
      <c r="C321" s="63"/>
      <c r="D321" s="64"/>
      <c r="E321" s="65"/>
      <c r="F321" s="66"/>
      <c r="G321" s="63"/>
      <c r="H321" s="67"/>
      <c r="I321" s="68"/>
      <c r="J321" s="68"/>
      <c r="K321" s="32"/>
      <c r="L321" s="75"/>
      <c r="M321" s="75"/>
      <c r="N321" s="70"/>
      <c r="O321" t="s">
        <v>1569</v>
      </c>
      <c r="P321" s="76">
        <v>44959.06177083333</v>
      </c>
      <c r="Q321" t="s">
        <v>2044</v>
      </c>
      <c r="R321" s="77" t="str">
        <f>HYPERLINK("https://supplychain360.nrf.com/session/reimagined-supply-chain-connected-transparent-and-sustainable-walmarts-supply-chain-and?utm_medium=organic_social&amp;utm_source=nrf_internal&amp;utm_campaign=ev_supplychain360&amp;utm_content=topics")</f>
        <v>https://supplychain360.nrf.com/session/reimagined-supply-chain-connected-transparent-and-sustainable-walmarts-supply-chain-and?utm_medium=organic_social&amp;utm_source=nrf_internal&amp;utm_campaign=ev_supplychain360&amp;utm_content=topics</v>
      </c>
      <c r="S321" t="s">
        <v>2293</v>
      </c>
      <c r="T321" s="78" t="s">
        <v>2387</v>
      </c>
      <c r="U321" s="77" t="str">
        <f>HYPERLINK("https://pbs.twimg.com/media/Fn0tdWnXwAEKgxx.jpg")</f>
        <v>https://pbs.twimg.com/media/Fn0tdWnXwAEKgxx.jpg</v>
      </c>
      <c r="V321" s="77" t="str">
        <f>HYPERLINK("https://pbs.twimg.com/media/Fn0tdWnXwAEKgxx.jpg")</f>
        <v>https://pbs.twimg.com/media/Fn0tdWnXwAEKgxx.jpg</v>
      </c>
      <c r="W321" s="76">
        <v>44959.06177083333</v>
      </c>
      <c r="X321" s="80">
        <v>44959</v>
      </c>
      <c r="Y321" s="78" t="s">
        <v>3136</v>
      </c>
      <c r="Z321" s="77" t="str">
        <f>HYPERLINK("https://twitter.com/scotcase/status/1620957412336504832")</f>
        <v>https://twitter.com/scotcase/status/1620957412336504832</v>
      </c>
      <c r="AC321" s="78" t="s">
        <v>4201</v>
      </c>
      <c r="AE321" t="b">
        <v>0</v>
      </c>
      <c r="AF321">
        <v>0</v>
      </c>
      <c r="AG321" s="78" t="s">
        <v>4640</v>
      </c>
      <c r="AH321" t="b">
        <v>0</v>
      </c>
      <c r="AI321" t="s">
        <v>4829</v>
      </c>
      <c r="AK321" s="78" t="s">
        <v>4640</v>
      </c>
      <c r="AL321" t="b">
        <v>0</v>
      </c>
      <c r="AM321">
        <v>1</v>
      </c>
      <c r="AN321" s="78" t="s">
        <v>4200</v>
      </c>
      <c r="AO321" s="78" t="s">
        <v>4849</v>
      </c>
      <c r="AP321" t="b">
        <v>0</v>
      </c>
      <c r="AQ321" s="78" t="s">
        <v>4200</v>
      </c>
      <c r="AR321" t="s">
        <v>179</v>
      </c>
      <c r="AS321">
        <v>0</v>
      </c>
      <c r="AT321">
        <v>0</v>
      </c>
    </row>
    <row r="322" spans="1:46" x14ac:dyDescent="0.45">
      <c r="A322" s="62" t="s">
        <v>875</v>
      </c>
      <c r="B322" s="62" t="s">
        <v>242</v>
      </c>
      <c r="C322" s="63"/>
      <c r="D322" s="64"/>
      <c r="E322" s="65"/>
      <c r="F322" s="66"/>
      <c r="G322" s="63"/>
      <c r="H322" s="67"/>
      <c r="I322" s="68"/>
      <c r="J322" s="68"/>
      <c r="K322" s="32"/>
      <c r="L322" s="75"/>
      <c r="M322" s="75"/>
      <c r="N322" s="70"/>
      <c r="O322" t="s">
        <v>1570</v>
      </c>
      <c r="P322" s="76">
        <v>44959.06177083333</v>
      </c>
      <c r="Q322" t="s">
        <v>2044</v>
      </c>
      <c r="R322" s="77" t="str">
        <f>HYPERLINK("https://supplychain360.nrf.com/session/reimagined-supply-chain-connected-transparent-and-sustainable-walmarts-supply-chain-and?utm_medium=organic_social&amp;utm_source=nrf_internal&amp;utm_campaign=ev_supplychain360&amp;utm_content=topics")</f>
        <v>https://supplychain360.nrf.com/session/reimagined-supply-chain-connected-transparent-and-sustainable-walmarts-supply-chain-and?utm_medium=organic_social&amp;utm_source=nrf_internal&amp;utm_campaign=ev_supplychain360&amp;utm_content=topics</v>
      </c>
      <c r="S322" t="s">
        <v>2293</v>
      </c>
      <c r="T322" s="78" t="s">
        <v>2387</v>
      </c>
      <c r="U322" s="77" t="str">
        <f>HYPERLINK("https://pbs.twimg.com/media/Fn0tdWnXwAEKgxx.jpg")</f>
        <v>https://pbs.twimg.com/media/Fn0tdWnXwAEKgxx.jpg</v>
      </c>
      <c r="V322" s="77" t="str">
        <f>HYPERLINK("https://pbs.twimg.com/media/Fn0tdWnXwAEKgxx.jpg")</f>
        <v>https://pbs.twimg.com/media/Fn0tdWnXwAEKgxx.jpg</v>
      </c>
      <c r="W322" s="76">
        <v>44959.06177083333</v>
      </c>
      <c r="X322" s="80">
        <v>44959</v>
      </c>
      <c r="Y322" s="78" t="s">
        <v>3136</v>
      </c>
      <c r="Z322" s="77" t="str">
        <f>HYPERLINK("https://twitter.com/scotcase/status/1620957412336504832")</f>
        <v>https://twitter.com/scotcase/status/1620957412336504832</v>
      </c>
      <c r="AC322" s="78" t="s">
        <v>4201</v>
      </c>
      <c r="AE322" t="b">
        <v>0</v>
      </c>
      <c r="AF322">
        <v>0</v>
      </c>
      <c r="AG322" s="78" t="s">
        <v>4640</v>
      </c>
      <c r="AH322" t="b">
        <v>0</v>
      </c>
      <c r="AI322" t="s">
        <v>4829</v>
      </c>
      <c r="AK322" s="78" t="s">
        <v>4640</v>
      </c>
      <c r="AL322" t="b">
        <v>0</v>
      </c>
      <c r="AM322">
        <v>1</v>
      </c>
      <c r="AN322" s="78" t="s">
        <v>4200</v>
      </c>
      <c r="AO322" s="78" t="s">
        <v>4849</v>
      </c>
      <c r="AP322" t="b">
        <v>0</v>
      </c>
      <c r="AQ322" s="78" t="s">
        <v>4200</v>
      </c>
      <c r="AR322" t="s">
        <v>179</v>
      </c>
      <c r="AS322">
        <v>0</v>
      </c>
      <c r="AT322">
        <v>0</v>
      </c>
    </row>
    <row r="323" spans="1:46" x14ac:dyDescent="0.45">
      <c r="A323" s="62" t="s">
        <v>356</v>
      </c>
      <c r="B323" s="62" t="s">
        <v>1234</v>
      </c>
      <c r="C323" s="63"/>
      <c r="D323" s="64"/>
      <c r="E323" s="65"/>
      <c r="F323" s="66"/>
      <c r="G323" s="63"/>
      <c r="H323" s="67"/>
      <c r="I323" s="68"/>
      <c r="J323" s="68"/>
      <c r="K323" s="32"/>
      <c r="L323" s="75"/>
      <c r="M323" s="75"/>
      <c r="N323" s="70"/>
      <c r="O323" t="s">
        <v>1568</v>
      </c>
      <c r="P323" s="76">
        <v>44958.62667824074</v>
      </c>
      <c r="Q323" t="s">
        <v>1698</v>
      </c>
      <c r="R323"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23" t="s">
        <v>2274</v>
      </c>
      <c r="T323" s="78" t="s">
        <v>2333</v>
      </c>
      <c r="V323" s="77" t="str">
        <f>HYPERLINK("https://pbs.twimg.com/profile_images/1484909977710084098/kKKThHzD_normal.jpg")</f>
        <v>https://pbs.twimg.com/profile_images/1484909977710084098/kKKThHzD_normal.jpg</v>
      </c>
      <c r="W323" s="76">
        <v>44958.62667824074</v>
      </c>
      <c r="X323" s="80">
        <v>44958</v>
      </c>
      <c r="Y323" s="78" t="s">
        <v>2577</v>
      </c>
      <c r="Z323" s="77" t="str">
        <f>HYPERLINK("https://twitter.com/rtih_retailtech/status/1620799740735787008")</f>
        <v>https://twitter.com/rtih_retailtech/status/1620799740735787008</v>
      </c>
      <c r="AC323" s="78" t="s">
        <v>3594</v>
      </c>
      <c r="AE323" t="b">
        <v>0</v>
      </c>
      <c r="AF323">
        <v>2</v>
      </c>
      <c r="AG323" s="78" t="s">
        <v>4640</v>
      </c>
      <c r="AH323" t="b">
        <v>0</v>
      </c>
      <c r="AI323" t="s">
        <v>4829</v>
      </c>
      <c r="AK323" s="78" t="s">
        <v>4640</v>
      </c>
      <c r="AL323" t="b">
        <v>0</v>
      </c>
      <c r="AM323">
        <v>2</v>
      </c>
      <c r="AN323" s="78" t="s">
        <v>4640</v>
      </c>
      <c r="AO323" s="78" t="s">
        <v>4851</v>
      </c>
      <c r="AP323" t="b">
        <v>0</v>
      </c>
      <c r="AQ323" s="78" t="s">
        <v>3594</v>
      </c>
      <c r="AR323" t="s">
        <v>179</v>
      </c>
      <c r="AS323">
        <v>0</v>
      </c>
      <c r="AT323">
        <v>0</v>
      </c>
    </row>
    <row r="324" spans="1:46" x14ac:dyDescent="0.45">
      <c r="A324" s="62" t="s">
        <v>356</v>
      </c>
      <c r="B324" s="62" t="s">
        <v>1235</v>
      </c>
      <c r="C324" s="63"/>
      <c r="D324" s="64"/>
      <c r="E324" s="65"/>
      <c r="F324" s="66"/>
      <c r="G324" s="63"/>
      <c r="H324" s="67"/>
      <c r="I324" s="68"/>
      <c r="J324" s="68"/>
      <c r="K324" s="32"/>
      <c r="L324" s="75"/>
      <c r="M324" s="75"/>
      <c r="N324" s="70"/>
      <c r="O324" t="s">
        <v>1568</v>
      </c>
      <c r="P324" s="76">
        <v>44958.62667824074</v>
      </c>
      <c r="Q324" t="s">
        <v>1698</v>
      </c>
      <c r="R324"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24" t="s">
        <v>2274</v>
      </c>
      <c r="T324" s="78" t="s">
        <v>2333</v>
      </c>
      <c r="V324" s="77" t="str">
        <f>HYPERLINK("https://pbs.twimg.com/profile_images/1484909977710084098/kKKThHzD_normal.jpg")</f>
        <v>https://pbs.twimg.com/profile_images/1484909977710084098/kKKThHzD_normal.jpg</v>
      </c>
      <c r="W324" s="76">
        <v>44958.62667824074</v>
      </c>
      <c r="X324" s="80">
        <v>44958</v>
      </c>
      <c r="Y324" s="78" t="s">
        <v>2577</v>
      </c>
      <c r="Z324" s="77" t="str">
        <f>HYPERLINK("https://twitter.com/rtih_retailtech/status/1620799740735787008")</f>
        <v>https://twitter.com/rtih_retailtech/status/1620799740735787008</v>
      </c>
      <c r="AC324" s="78" t="s">
        <v>3594</v>
      </c>
      <c r="AE324" t="b">
        <v>0</v>
      </c>
      <c r="AF324">
        <v>2</v>
      </c>
      <c r="AG324" s="78" t="s">
        <v>4640</v>
      </c>
      <c r="AH324" t="b">
        <v>0</v>
      </c>
      <c r="AI324" t="s">
        <v>4829</v>
      </c>
      <c r="AK324" s="78" t="s">
        <v>4640</v>
      </c>
      <c r="AL324" t="b">
        <v>0</v>
      </c>
      <c r="AM324">
        <v>2</v>
      </c>
      <c r="AN324" s="78" t="s">
        <v>4640</v>
      </c>
      <c r="AO324" s="78" t="s">
        <v>4851</v>
      </c>
      <c r="AP324" t="b">
        <v>0</v>
      </c>
      <c r="AQ324" s="78" t="s">
        <v>3594</v>
      </c>
      <c r="AR324" t="s">
        <v>179</v>
      </c>
      <c r="AS324">
        <v>0</v>
      </c>
      <c r="AT324">
        <v>0</v>
      </c>
    </row>
    <row r="325" spans="1:46" x14ac:dyDescent="0.45">
      <c r="A325" s="62" t="s">
        <v>356</v>
      </c>
      <c r="B325" s="62" t="s">
        <v>1236</v>
      </c>
      <c r="C325" s="63"/>
      <c r="D325" s="64"/>
      <c r="E325" s="65"/>
      <c r="F325" s="66"/>
      <c r="G325" s="63"/>
      <c r="H325" s="67"/>
      <c r="I325" s="68"/>
      <c r="J325" s="68"/>
      <c r="K325" s="32"/>
      <c r="L325" s="75"/>
      <c r="M325" s="75"/>
      <c r="N325" s="70"/>
      <c r="O325" t="s">
        <v>1568</v>
      </c>
      <c r="P325" s="76">
        <v>44958.62667824074</v>
      </c>
      <c r="Q325" t="s">
        <v>1698</v>
      </c>
      <c r="R325"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25" t="s">
        <v>2274</v>
      </c>
      <c r="T325" s="78" t="s">
        <v>2333</v>
      </c>
      <c r="V325" s="77" t="str">
        <f>HYPERLINK("https://pbs.twimg.com/profile_images/1484909977710084098/kKKThHzD_normal.jpg")</f>
        <v>https://pbs.twimg.com/profile_images/1484909977710084098/kKKThHzD_normal.jpg</v>
      </c>
      <c r="W325" s="76">
        <v>44958.62667824074</v>
      </c>
      <c r="X325" s="80">
        <v>44958</v>
      </c>
      <c r="Y325" s="78" t="s">
        <v>2577</v>
      </c>
      <c r="Z325" s="77" t="str">
        <f>HYPERLINK("https://twitter.com/rtih_retailtech/status/1620799740735787008")</f>
        <v>https://twitter.com/rtih_retailtech/status/1620799740735787008</v>
      </c>
      <c r="AC325" s="78" t="s">
        <v>3594</v>
      </c>
      <c r="AE325" t="b">
        <v>0</v>
      </c>
      <c r="AF325">
        <v>2</v>
      </c>
      <c r="AG325" s="78" t="s">
        <v>4640</v>
      </c>
      <c r="AH325" t="b">
        <v>0</v>
      </c>
      <c r="AI325" t="s">
        <v>4829</v>
      </c>
      <c r="AK325" s="78" t="s">
        <v>4640</v>
      </c>
      <c r="AL325" t="b">
        <v>0</v>
      </c>
      <c r="AM325">
        <v>2</v>
      </c>
      <c r="AN325" s="78" t="s">
        <v>4640</v>
      </c>
      <c r="AO325" s="78" t="s">
        <v>4851</v>
      </c>
      <c r="AP325" t="b">
        <v>0</v>
      </c>
      <c r="AQ325" s="78" t="s">
        <v>3594</v>
      </c>
      <c r="AR325" t="s">
        <v>179</v>
      </c>
      <c r="AS325">
        <v>0</v>
      </c>
      <c r="AT325">
        <v>0</v>
      </c>
    </row>
    <row r="326" spans="1:46" x14ac:dyDescent="0.45">
      <c r="A326" s="62" t="s">
        <v>356</v>
      </c>
      <c r="B326" s="62" t="s">
        <v>1237</v>
      </c>
      <c r="C326" s="63"/>
      <c r="D326" s="64"/>
      <c r="E326" s="65"/>
      <c r="F326" s="66"/>
      <c r="G326" s="63"/>
      <c r="H326" s="67"/>
      <c r="I326" s="68"/>
      <c r="J326" s="68"/>
      <c r="K326" s="32"/>
      <c r="L326" s="75"/>
      <c r="M326" s="75"/>
      <c r="N326" s="70"/>
      <c r="O326" t="s">
        <v>1568</v>
      </c>
      <c r="P326" s="76">
        <v>44958.62667824074</v>
      </c>
      <c r="Q326" t="s">
        <v>1698</v>
      </c>
      <c r="R326"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26" t="s">
        <v>2274</v>
      </c>
      <c r="T326" s="78" t="s">
        <v>2333</v>
      </c>
      <c r="V326" s="77" t="str">
        <f>HYPERLINK("https://pbs.twimg.com/profile_images/1484909977710084098/kKKThHzD_normal.jpg")</f>
        <v>https://pbs.twimg.com/profile_images/1484909977710084098/kKKThHzD_normal.jpg</v>
      </c>
      <c r="W326" s="76">
        <v>44958.62667824074</v>
      </c>
      <c r="X326" s="80">
        <v>44958</v>
      </c>
      <c r="Y326" s="78" t="s">
        <v>2577</v>
      </c>
      <c r="Z326" s="77" t="str">
        <f>HYPERLINK("https://twitter.com/rtih_retailtech/status/1620799740735787008")</f>
        <v>https://twitter.com/rtih_retailtech/status/1620799740735787008</v>
      </c>
      <c r="AC326" s="78" t="s">
        <v>3594</v>
      </c>
      <c r="AE326" t="b">
        <v>0</v>
      </c>
      <c r="AF326">
        <v>2</v>
      </c>
      <c r="AG326" s="78" t="s">
        <v>4640</v>
      </c>
      <c r="AH326" t="b">
        <v>0</v>
      </c>
      <c r="AI326" t="s">
        <v>4829</v>
      </c>
      <c r="AK326" s="78" t="s">
        <v>4640</v>
      </c>
      <c r="AL326" t="b">
        <v>0</v>
      </c>
      <c r="AM326">
        <v>2</v>
      </c>
      <c r="AN326" s="78" t="s">
        <v>4640</v>
      </c>
      <c r="AO326" s="78" t="s">
        <v>4851</v>
      </c>
      <c r="AP326" t="b">
        <v>0</v>
      </c>
      <c r="AQ326" s="78" t="s">
        <v>3594</v>
      </c>
      <c r="AR326" t="s">
        <v>179</v>
      </c>
      <c r="AS326">
        <v>0</v>
      </c>
      <c r="AT326">
        <v>0</v>
      </c>
    </row>
    <row r="327" spans="1:46" x14ac:dyDescent="0.45">
      <c r="A327" s="62" t="s">
        <v>356</v>
      </c>
      <c r="B327" s="62" t="s">
        <v>1238</v>
      </c>
      <c r="C327" s="63"/>
      <c r="D327" s="64"/>
      <c r="E327" s="65"/>
      <c r="F327" s="66"/>
      <c r="G327" s="63"/>
      <c r="H327" s="67"/>
      <c r="I327" s="68"/>
      <c r="J327" s="68"/>
      <c r="K327" s="32"/>
      <c r="L327" s="75"/>
      <c r="M327" s="75"/>
      <c r="N327" s="70"/>
      <c r="O327" t="s">
        <v>1568</v>
      </c>
      <c r="P327" s="76">
        <v>44958.62667824074</v>
      </c>
      <c r="Q327" t="s">
        <v>1698</v>
      </c>
      <c r="R327"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27" t="s">
        <v>2274</v>
      </c>
      <c r="T327" s="78" t="s">
        <v>2333</v>
      </c>
      <c r="V327" s="77" t="str">
        <f>HYPERLINK("https://pbs.twimg.com/profile_images/1484909977710084098/kKKThHzD_normal.jpg")</f>
        <v>https://pbs.twimg.com/profile_images/1484909977710084098/kKKThHzD_normal.jpg</v>
      </c>
      <c r="W327" s="76">
        <v>44958.62667824074</v>
      </c>
      <c r="X327" s="80">
        <v>44958</v>
      </c>
      <c r="Y327" s="78" t="s">
        <v>2577</v>
      </c>
      <c r="Z327" s="77" t="str">
        <f>HYPERLINK("https://twitter.com/rtih_retailtech/status/1620799740735787008")</f>
        <v>https://twitter.com/rtih_retailtech/status/1620799740735787008</v>
      </c>
      <c r="AC327" s="78" t="s">
        <v>3594</v>
      </c>
      <c r="AE327" t="b">
        <v>0</v>
      </c>
      <c r="AF327">
        <v>2</v>
      </c>
      <c r="AG327" s="78" t="s">
        <v>4640</v>
      </c>
      <c r="AH327" t="b">
        <v>0</v>
      </c>
      <c r="AI327" t="s">
        <v>4829</v>
      </c>
      <c r="AK327" s="78" t="s">
        <v>4640</v>
      </c>
      <c r="AL327" t="b">
        <v>0</v>
      </c>
      <c r="AM327">
        <v>2</v>
      </c>
      <c r="AN327" s="78" t="s">
        <v>4640</v>
      </c>
      <c r="AO327" s="78" t="s">
        <v>4851</v>
      </c>
      <c r="AP327" t="b">
        <v>0</v>
      </c>
      <c r="AQ327" s="78" t="s">
        <v>3594</v>
      </c>
      <c r="AR327" t="s">
        <v>179</v>
      </c>
      <c r="AS327">
        <v>0</v>
      </c>
      <c r="AT327">
        <v>0</v>
      </c>
    </row>
    <row r="328" spans="1:46" x14ac:dyDescent="0.45">
      <c r="A328" s="62" t="s">
        <v>356</v>
      </c>
      <c r="B328" s="62" t="s">
        <v>1239</v>
      </c>
      <c r="C328" s="63"/>
      <c r="D328" s="64"/>
      <c r="E328" s="65"/>
      <c r="F328" s="66"/>
      <c r="G328" s="63"/>
      <c r="H328" s="67"/>
      <c r="I328" s="68"/>
      <c r="J328" s="68"/>
      <c r="K328" s="32"/>
      <c r="L328" s="75"/>
      <c r="M328" s="75"/>
      <c r="N328" s="70"/>
      <c r="O328" t="s">
        <v>1568</v>
      </c>
      <c r="P328" s="76">
        <v>44958.62667824074</v>
      </c>
      <c r="Q328" t="s">
        <v>1698</v>
      </c>
      <c r="R328"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28" t="s">
        <v>2274</v>
      </c>
      <c r="T328" s="78" t="s">
        <v>2333</v>
      </c>
      <c r="V328" s="77" t="str">
        <f>HYPERLINK("https://pbs.twimg.com/profile_images/1484909977710084098/kKKThHzD_normal.jpg")</f>
        <v>https://pbs.twimg.com/profile_images/1484909977710084098/kKKThHzD_normal.jpg</v>
      </c>
      <c r="W328" s="76">
        <v>44958.62667824074</v>
      </c>
      <c r="X328" s="80">
        <v>44958</v>
      </c>
      <c r="Y328" s="78" t="s">
        <v>2577</v>
      </c>
      <c r="Z328" s="77" t="str">
        <f>HYPERLINK("https://twitter.com/rtih_retailtech/status/1620799740735787008")</f>
        <v>https://twitter.com/rtih_retailtech/status/1620799740735787008</v>
      </c>
      <c r="AC328" s="78" t="s">
        <v>3594</v>
      </c>
      <c r="AE328" t="b">
        <v>0</v>
      </c>
      <c r="AF328">
        <v>2</v>
      </c>
      <c r="AG328" s="78" t="s">
        <v>4640</v>
      </c>
      <c r="AH328" t="b">
        <v>0</v>
      </c>
      <c r="AI328" t="s">
        <v>4829</v>
      </c>
      <c r="AK328" s="78" t="s">
        <v>4640</v>
      </c>
      <c r="AL328" t="b">
        <v>0</v>
      </c>
      <c r="AM328">
        <v>2</v>
      </c>
      <c r="AN328" s="78" t="s">
        <v>4640</v>
      </c>
      <c r="AO328" s="78" t="s">
        <v>4851</v>
      </c>
      <c r="AP328" t="b">
        <v>0</v>
      </c>
      <c r="AQ328" s="78" t="s">
        <v>3594</v>
      </c>
      <c r="AR328" t="s">
        <v>179</v>
      </c>
      <c r="AS328">
        <v>0</v>
      </c>
      <c r="AT328">
        <v>0</v>
      </c>
    </row>
    <row r="329" spans="1:46" x14ac:dyDescent="0.45">
      <c r="A329" s="62" t="s">
        <v>356</v>
      </c>
      <c r="B329" s="62" t="s">
        <v>1240</v>
      </c>
      <c r="C329" s="63"/>
      <c r="D329" s="64"/>
      <c r="E329" s="65"/>
      <c r="F329" s="66"/>
      <c r="G329" s="63"/>
      <c r="H329" s="67"/>
      <c r="I329" s="68"/>
      <c r="J329" s="68"/>
      <c r="K329" s="32"/>
      <c r="L329" s="75"/>
      <c r="M329" s="75"/>
      <c r="N329" s="70"/>
      <c r="O329" t="s">
        <v>1568</v>
      </c>
      <c r="P329" s="76">
        <v>44958.62667824074</v>
      </c>
      <c r="Q329" t="s">
        <v>1698</v>
      </c>
      <c r="R329"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29" t="s">
        <v>2274</v>
      </c>
      <c r="T329" s="78" t="s">
        <v>2333</v>
      </c>
      <c r="V329" s="77" t="str">
        <f>HYPERLINK("https://pbs.twimg.com/profile_images/1484909977710084098/kKKThHzD_normal.jpg")</f>
        <v>https://pbs.twimg.com/profile_images/1484909977710084098/kKKThHzD_normal.jpg</v>
      </c>
      <c r="W329" s="76">
        <v>44958.62667824074</v>
      </c>
      <c r="X329" s="80">
        <v>44958</v>
      </c>
      <c r="Y329" s="78" t="s">
        <v>2577</v>
      </c>
      <c r="Z329" s="77" t="str">
        <f>HYPERLINK("https://twitter.com/rtih_retailtech/status/1620799740735787008")</f>
        <v>https://twitter.com/rtih_retailtech/status/1620799740735787008</v>
      </c>
      <c r="AC329" s="78" t="s">
        <v>3594</v>
      </c>
      <c r="AE329" t="b">
        <v>0</v>
      </c>
      <c r="AF329">
        <v>2</v>
      </c>
      <c r="AG329" s="78" t="s">
        <v>4640</v>
      </c>
      <c r="AH329" t="b">
        <v>0</v>
      </c>
      <c r="AI329" t="s">
        <v>4829</v>
      </c>
      <c r="AK329" s="78" t="s">
        <v>4640</v>
      </c>
      <c r="AL329" t="b">
        <v>0</v>
      </c>
      <c r="AM329">
        <v>2</v>
      </c>
      <c r="AN329" s="78" t="s">
        <v>4640</v>
      </c>
      <c r="AO329" s="78" t="s">
        <v>4851</v>
      </c>
      <c r="AP329" t="b">
        <v>0</v>
      </c>
      <c r="AQ329" s="78" t="s">
        <v>3594</v>
      </c>
      <c r="AR329" t="s">
        <v>179</v>
      </c>
      <c r="AS329">
        <v>0</v>
      </c>
      <c r="AT329">
        <v>0</v>
      </c>
    </row>
    <row r="330" spans="1:46" x14ac:dyDescent="0.45">
      <c r="A330" s="62" t="s">
        <v>356</v>
      </c>
      <c r="B330" s="62" t="s">
        <v>357</v>
      </c>
      <c r="C330" s="63"/>
      <c r="D330" s="64"/>
      <c r="E330" s="65"/>
      <c r="F330" s="66"/>
      <c r="G330" s="63"/>
      <c r="H330" s="67"/>
      <c r="I330" s="68"/>
      <c r="J330" s="68"/>
      <c r="K330" s="32"/>
      <c r="L330" s="75"/>
      <c r="M330" s="75"/>
      <c r="N330" s="70"/>
      <c r="O330" t="s">
        <v>1568</v>
      </c>
      <c r="P330" s="76">
        <v>44958.62667824074</v>
      </c>
      <c r="Q330" t="s">
        <v>1698</v>
      </c>
      <c r="R330"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0" t="s">
        <v>2274</v>
      </c>
      <c r="T330" s="78" t="s">
        <v>2333</v>
      </c>
      <c r="V330" s="77" t="str">
        <f>HYPERLINK("https://pbs.twimg.com/profile_images/1484909977710084098/kKKThHzD_normal.jpg")</f>
        <v>https://pbs.twimg.com/profile_images/1484909977710084098/kKKThHzD_normal.jpg</v>
      </c>
      <c r="W330" s="76">
        <v>44958.62667824074</v>
      </c>
      <c r="X330" s="80">
        <v>44958</v>
      </c>
      <c r="Y330" s="78" t="s">
        <v>2577</v>
      </c>
      <c r="Z330" s="77" t="str">
        <f>HYPERLINK("https://twitter.com/rtih_retailtech/status/1620799740735787008")</f>
        <v>https://twitter.com/rtih_retailtech/status/1620799740735787008</v>
      </c>
      <c r="AC330" s="78" t="s">
        <v>3594</v>
      </c>
      <c r="AE330" t="b">
        <v>0</v>
      </c>
      <c r="AF330">
        <v>2</v>
      </c>
      <c r="AG330" s="78" t="s">
        <v>4640</v>
      </c>
      <c r="AH330" t="b">
        <v>0</v>
      </c>
      <c r="AI330" t="s">
        <v>4829</v>
      </c>
      <c r="AK330" s="78" t="s">
        <v>4640</v>
      </c>
      <c r="AL330" t="b">
        <v>0</v>
      </c>
      <c r="AM330">
        <v>2</v>
      </c>
      <c r="AN330" s="78" t="s">
        <v>4640</v>
      </c>
      <c r="AO330" s="78" t="s">
        <v>4851</v>
      </c>
      <c r="AP330" t="b">
        <v>0</v>
      </c>
      <c r="AQ330" s="78" t="s">
        <v>3594</v>
      </c>
      <c r="AR330" t="s">
        <v>179</v>
      </c>
      <c r="AS330">
        <v>0</v>
      </c>
      <c r="AT330">
        <v>0</v>
      </c>
    </row>
    <row r="331" spans="1:46" x14ac:dyDescent="0.45">
      <c r="A331" s="62" t="s">
        <v>356</v>
      </c>
      <c r="B331" s="62" t="s">
        <v>1243</v>
      </c>
      <c r="C331" s="63"/>
      <c r="D331" s="64"/>
      <c r="E331" s="65"/>
      <c r="F331" s="66"/>
      <c r="G331" s="63"/>
      <c r="H331" s="67"/>
      <c r="I331" s="68"/>
      <c r="J331" s="68"/>
      <c r="K331" s="32"/>
      <c r="L331" s="75"/>
      <c r="M331" s="75"/>
      <c r="N331" s="70"/>
      <c r="O331" t="s">
        <v>1568</v>
      </c>
      <c r="P331" s="76">
        <v>44958.62667824074</v>
      </c>
      <c r="Q331" t="s">
        <v>1698</v>
      </c>
      <c r="R331"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1" t="s">
        <v>2274</v>
      </c>
      <c r="T331" s="78" t="s">
        <v>2333</v>
      </c>
      <c r="V331" s="77" t="str">
        <f>HYPERLINK("https://pbs.twimg.com/profile_images/1484909977710084098/kKKThHzD_normal.jpg")</f>
        <v>https://pbs.twimg.com/profile_images/1484909977710084098/kKKThHzD_normal.jpg</v>
      </c>
      <c r="W331" s="76">
        <v>44958.62667824074</v>
      </c>
      <c r="X331" s="80">
        <v>44958</v>
      </c>
      <c r="Y331" s="78" t="s">
        <v>2577</v>
      </c>
      <c r="Z331" s="77" t="str">
        <f>HYPERLINK("https://twitter.com/rtih_retailtech/status/1620799740735787008")</f>
        <v>https://twitter.com/rtih_retailtech/status/1620799740735787008</v>
      </c>
      <c r="AC331" s="78" t="s">
        <v>3594</v>
      </c>
      <c r="AE331" t="b">
        <v>0</v>
      </c>
      <c r="AF331">
        <v>2</v>
      </c>
      <c r="AG331" s="78" t="s">
        <v>4640</v>
      </c>
      <c r="AH331" t="b">
        <v>0</v>
      </c>
      <c r="AI331" t="s">
        <v>4829</v>
      </c>
      <c r="AK331" s="78" t="s">
        <v>4640</v>
      </c>
      <c r="AL331" t="b">
        <v>0</v>
      </c>
      <c r="AM331">
        <v>2</v>
      </c>
      <c r="AN331" s="78" t="s">
        <v>4640</v>
      </c>
      <c r="AO331" s="78" t="s">
        <v>4851</v>
      </c>
      <c r="AP331" t="b">
        <v>0</v>
      </c>
      <c r="AQ331" s="78" t="s">
        <v>3594</v>
      </c>
      <c r="AR331" t="s">
        <v>179</v>
      </c>
      <c r="AS331">
        <v>0</v>
      </c>
      <c r="AT331">
        <v>0</v>
      </c>
    </row>
    <row r="332" spans="1:46" x14ac:dyDescent="0.45">
      <c r="A332" s="62" t="s">
        <v>356</v>
      </c>
      <c r="B332" s="62" t="s">
        <v>1244</v>
      </c>
      <c r="C332" s="63"/>
      <c r="D332" s="64"/>
      <c r="E332" s="65"/>
      <c r="F332" s="66"/>
      <c r="G332" s="63"/>
      <c r="H332" s="67"/>
      <c r="I332" s="68"/>
      <c r="J332" s="68"/>
      <c r="K332" s="32"/>
      <c r="L332" s="75"/>
      <c r="M332" s="75"/>
      <c r="N332" s="70"/>
      <c r="O332" t="s">
        <v>1568</v>
      </c>
      <c r="P332" s="76">
        <v>44958.62667824074</v>
      </c>
      <c r="Q332" t="s">
        <v>1698</v>
      </c>
      <c r="R332"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2" t="s">
        <v>2274</v>
      </c>
      <c r="T332" s="78" t="s">
        <v>2333</v>
      </c>
      <c r="V332" s="77" t="str">
        <f>HYPERLINK("https://pbs.twimg.com/profile_images/1484909977710084098/kKKThHzD_normal.jpg")</f>
        <v>https://pbs.twimg.com/profile_images/1484909977710084098/kKKThHzD_normal.jpg</v>
      </c>
      <c r="W332" s="76">
        <v>44958.62667824074</v>
      </c>
      <c r="X332" s="80">
        <v>44958</v>
      </c>
      <c r="Y332" s="78" t="s">
        <v>2577</v>
      </c>
      <c r="Z332" s="77" t="str">
        <f>HYPERLINK("https://twitter.com/rtih_retailtech/status/1620799740735787008")</f>
        <v>https://twitter.com/rtih_retailtech/status/1620799740735787008</v>
      </c>
      <c r="AC332" s="78" t="s">
        <v>3594</v>
      </c>
      <c r="AE332" t="b">
        <v>0</v>
      </c>
      <c r="AF332">
        <v>2</v>
      </c>
      <c r="AG332" s="78" t="s">
        <v>4640</v>
      </c>
      <c r="AH332" t="b">
        <v>0</v>
      </c>
      <c r="AI332" t="s">
        <v>4829</v>
      </c>
      <c r="AK332" s="78" t="s">
        <v>4640</v>
      </c>
      <c r="AL332" t="b">
        <v>0</v>
      </c>
      <c r="AM332">
        <v>2</v>
      </c>
      <c r="AN332" s="78" t="s">
        <v>4640</v>
      </c>
      <c r="AO332" s="78" t="s">
        <v>4851</v>
      </c>
      <c r="AP332" t="b">
        <v>0</v>
      </c>
      <c r="AQ332" s="78" t="s">
        <v>3594</v>
      </c>
      <c r="AR332" t="s">
        <v>179</v>
      </c>
      <c r="AS332">
        <v>0</v>
      </c>
      <c r="AT332">
        <v>0</v>
      </c>
    </row>
    <row r="333" spans="1:46" x14ac:dyDescent="0.45">
      <c r="A333" s="62" t="s">
        <v>356</v>
      </c>
      <c r="B333" s="62" t="s">
        <v>1245</v>
      </c>
      <c r="C333" s="63"/>
      <c r="D333" s="64"/>
      <c r="E333" s="65"/>
      <c r="F333" s="66"/>
      <c r="G333" s="63"/>
      <c r="H333" s="67"/>
      <c r="I333" s="68"/>
      <c r="J333" s="68"/>
      <c r="K333" s="32"/>
      <c r="L333" s="75"/>
      <c r="M333" s="75"/>
      <c r="N333" s="70"/>
      <c r="O333" t="s">
        <v>1568</v>
      </c>
      <c r="P333" s="76">
        <v>44958.62667824074</v>
      </c>
      <c r="Q333" t="s">
        <v>1698</v>
      </c>
      <c r="R333"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3" t="s">
        <v>2274</v>
      </c>
      <c r="T333" s="78" t="s">
        <v>2333</v>
      </c>
      <c r="V333" s="77" t="str">
        <f>HYPERLINK("https://pbs.twimg.com/profile_images/1484909977710084098/kKKThHzD_normal.jpg")</f>
        <v>https://pbs.twimg.com/profile_images/1484909977710084098/kKKThHzD_normal.jpg</v>
      </c>
      <c r="W333" s="76">
        <v>44958.62667824074</v>
      </c>
      <c r="X333" s="80">
        <v>44958</v>
      </c>
      <c r="Y333" s="78" t="s">
        <v>2577</v>
      </c>
      <c r="Z333" s="77" t="str">
        <f>HYPERLINK("https://twitter.com/rtih_retailtech/status/1620799740735787008")</f>
        <v>https://twitter.com/rtih_retailtech/status/1620799740735787008</v>
      </c>
      <c r="AC333" s="78" t="s">
        <v>3594</v>
      </c>
      <c r="AE333" t="b">
        <v>0</v>
      </c>
      <c r="AF333">
        <v>2</v>
      </c>
      <c r="AG333" s="78" t="s">
        <v>4640</v>
      </c>
      <c r="AH333" t="b">
        <v>0</v>
      </c>
      <c r="AI333" t="s">
        <v>4829</v>
      </c>
      <c r="AK333" s="78" t="s">
        <v>4640</v>
      </c>
      <c r="AL333" t="b">
        <v>0</v>
      </c>
      <c r="AM333">
        <v>2</v>
      </c>
      <c r="AN333" s="78" t="s">
        <v>4640</v>
      </c>
      <c r="AO333" s="78" t="s">
        <v>4851</v>
      </c>
      <c r="AP333" t="b">
        <v>0</v>
      </c>
      <c r="AQ333" s="78" t="s">
        <v>3594</v>
      </c>
      <c r="AR333" t="s">
        <v>179</v>
      </c>
      <c r="AS333">
        <v>0</v>
      </c>
      <c r="AT333">
        <v>0</v>
      </c>
    </row>
    <row r="334" spans="1:46" x14ac:dyDescent="0.45">
      <c r="A334" s="62" t="s">
        <v>356</v>
      </c>
      <c r="B334" s="62" t="s">
        <v>1246</v>
      </c>
      <c r="C334" s="63"/>
      <c r="D334" s="64"/>
      <c r="E334" s="65"/>
      <c r="F334" s="66"/>
      <c r="G334" s="63"/>
      <c r="H334" s="67"/>
      <c r="I334" s="68"/>
      <c r="J334" s="68"/>
      <c r="K334" s="32"/>
      <c r="L334" s="75"/>
      <c r="M334" s="75"/>
      <c r="N334" s="70"/>
      <c r="O334" t="s">
        <v>1568</v>
      </c>
      <c r="P334" s="76">
        <v>44958.62667824074</v>
      </c>
      <c r="Q334" t="s">
        <v>1698</v>
      </c>
      <c r="R334"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4" t="s">
        <v>2274</v>
      </c>
      <c r="T334" s="78" t="s">
        <v>2333</v>
      </c>
      <c r="V334" s="77" t="str">
        <f>HYPERLINK("https://pbs.twimg.com/profile_images/1484909977710084098/kKKThHzD_normal.jpg")</f>
        <v>https://pbs.twimg.com/profile_images/1484909977710084098/kKKThHzD_normal.jpg</v>
      </c>
      <c r="W334" s="76">
        <v>44958.62667824074</v>
      </c>
      <c r="X334" s="80">
        <v>44958</v>
      </c>
      <c r="Y334" s="78" t="s">
        <v>2577</v>
      </c>
      <c r="Z334" s="77" t="str">
        <f>HYPERLINK("https://twitter.com/rtih_retailtech/status/1620799740735787008")</f>
        <v>https://twitter.com/rtih_retailtech/status/1620799740735787008</v>
      </c>
      <c r="AC334" s="78" t="s">
        <v>3594</v>
      </c>
      <c r="AE334" t="b">
        <v>0</v>
      </c>
      <c r="AF334">
        <v>2</v>
      </c>
      <c r="AG334" s="78" t="s">
        <v>4640</v>
      </c>
      <c r="AH334" t="b">
        <v>0</v>
      </c>
      <c r="AI334" t="s">
        <v>4829</v>
      </c>
      <c r="AK334" s="78" t="s">
        <v>4640</v>
      </c>
      <c r="AL334" t="b">
        <v>0</v>
      </c>
      <c r="AM334">
        <v>2</v>
      </c>
      <c r="AN334" s="78" t="s">
        <v>4640</v>
      </c>
      <c r="AO334" s="78" t="s">
        <v>4851</v>
      </c>
      <c r="AP334" t="b">
        <v>0</v>
      </c>
      <c r="AQ334" s="78" t="s">
        <v>3594</v>
      </c>
      <c r="AR334" t="s">
        <v>179</v>
      </c>
      <c r="AS334">
        <v>0</v>
      </c>
      <c r="AT334">
        <v>0</v>
      </c>
    </row>
    <row r="335" spans="1:46" x14ac:dyDescent="0.45">
      <c r="A335" s="62" t="s">
        <v>356</v>
      </c>
      <c r="B335" s="62" t="s">
        <v>1241</v>
      </c>
      <c r="C335" s="63"/>
      <c r="D335" s="64"/>
      <c r="E335" s="65"/>
      <c r="F335" s="66"/>
      <c r="G335" s="63"/>
      <c r="H335" s="67"/>
      <c r="I335" s="68"/>
      <c r="J335" s="68"/>
      <c r="K335" s="32"/>
      <c r="L335" s="75"/>
      <c r="M335" s="75"/>
      <c r="N335" s="70"/>
      <c r="O335" t="s">
        <v>1568</v>
      </c>
      <c r="P335" s="76">
        <v>44958.62667824074</v>
      </c>
      <c r="Q335" t="s">
        <v>1698</v>
      </c>
      <c r="R335"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5" t="s">
        <v>2274</v>
      </c>
      <c r="T335" s="78" t="s">
        <v>2333</v>
      </c>
      <c r="V335" s="77" t="str">
        <f>HYPERLINK("https://pbs.twimg.com/profile_images/1484909977710084098/kKKThHzD_normal.jpg")</f>
        <v>https://pbs.twimg.com/profile_images/1484909977710084098/kKKThHzD_normal.jpg</v>
      </c>
      <c r="W335" s="76">
        <v>44958.62667824074</v>
      </c>
      <c r="X335" s="80">
        <v>44958</v>
      </c>
      <c r="Y335" s="78" t="s">
        <v>2577</v>
      </c>
      <c r="Z335" s="77" t="str">
        <f>HYPERLINK("https://twitter.com/rtih_retailtech/status/1620799740735787008")</f>
        <v>https://twitter.com/rtih_retailtech/status/1620799740735787008</v>
      </c>
      <c r="AC335" s="78" t="s">
        <v>3594</v>
      </c>
      <c r="AE335" t="b">
        <v>0</v>
      </c>
      <c r="AF335">
        <v>2</v>
      </c>
      <c r="AG335" s="78" t="s">
        <v>4640</v>
      </c>
      <c r="AH335" t="b">
        <v>0</v>
      </c>
      <c r="AI335" t="s">
        <v>4829</v>
      </c>
      <c r="AK335" s="78" t="s">
        <v>4640</v>
      </c>
      <c r="AL335" t="b">
        <v>0</v>
      </c>
      <c r="AM335">
        <v>2</v>
      </c>
      <c r="AN335" s="78" t="s">
        <v>4640</v>
      </c>
      <c r="AO335" s="78" t="s">
        <v>4851</v>
      </c>
      <c r="AP335" t="b">
        <v>0</v>
      </c>
      <c r="AQ335" s="78" t="s">
        <v>3594</v>
      </c>
      <c r="AR335" t="s">
        <v>179</v>
      </c>
      <c r="AS335">
        <v>0</v>
      </c>
      <c r="AT335">
        <v>0</v>
      </c>
    </row>
    <row r="336" spans="1:46" x14ac:dyDescent="0.45">
      <c r="A336" s="62" t="s">
        <v>356</v>
      </c>
      <c r="B336" s="62" t="s">
        <v>242</v>
      </c>
      <c r="C336" s="63"/>
      <c r="D336" s="64"/>
      <c r="E336" s="65"/>
      <c r="F336" s="66"/>
      <c r="G336" s="63"/>
      <c r="H336" s="67"/>
      <c r="I336" s="68"/>
      <c r="J336" s="68"/>
      <c r="K336" s="32"/>
      <c r="L336" s="75"/>
      <c r="M336" s="75"/>
      <c r="N336" s="70"/>
      <c r="O336" t="s">
        <v>1568</v>
      </c>
      <c r="P336" s="76">
        <v>44958.62667824074</v>
      </c>
      <c r="Q336" t="s">
        <v>1698</v>
      </c>
      <c r="R336"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6" t="s">
        <v>2274</v>
      </c>
      <c r="T336" s="78" t="s">
        <v>2333</v>
      </c>
      <c r="V336" s="77" t="str">
        <f>HYPERLINK("https://pbs.twimg.com/profile_images/1484909977710084098/kKKThHzD_normal.jpg")</f>
        <v>https://pbs.twimg.com/profile_images/1484909977710084098/kKKThHzD_normal.jpg</v>
      </c>
      <c r="W336" s="76">
        <v>44958.62667824074</v>
      </c>
      <c r="X336" s="80">
        <v>44958</v>
      </c>
      <c r="Y336" s="78" t="s">
        <v>2577</v>
      </c>
      <c r="Z336" s="77" t="str">
        <f>HYPERLINK("https://twitter.com/rtih_retailtech/status/1620799740735787008")</f>
        <v>https://twitter.com/rtih_retailtech/status/1620799740735787008</v>
      </c>
      <c r="AC336" s="78" t="s">
        <v>3594</v>
      </c>
      <c r="AE336" t="b">
        <v>0</v>
      </c>
      <c r="AF336">
        <v>2</v>
      </c>
      <c r="AG336" s="78" t="s">
        <v>4640</v>
      </c>
      <c r="AH336" t="b">
        <v>0</v>
      </c>
      <c r="AI336" t="s">
        <v>4829</v>
      </c>
      <c r="AK336" s="78" t="s">
        <v>4640</v>
      </c>
      <c r="AL336" t="b">
        <v>0</v>
      </c>
      <c r="AM336">
        <v>2</v>
      </c>
      <c r="AN336" s="78" t="s">
        <v>4640</v>
      </c>
      <c r="AO336" s="78" t="s">
        <v>4851</v>
      </c>
      <c r="AP336" t="b">
        <v>0</v>
      </c>
      <c r="AQ336" s="78" t="s">
        <v>3594</v>
      </c>
      <c r="AR336" t="s">
        <v>179</v>
      </c>
      <c r="AS336">
        <v>0</v>
      </c>
      <c r="AT336">
        <v>0</v>
      </c>
    </row>
    <row r="337" spans="1:46" x14ac:dyDescent="0.45">
      <c r="A337" s="62" t="s">
        <v>356</v>
      </c>
      <c r="B337" s="62" t="s">
        <v>1242</v>
      </c>
      <c r="C337" s="63"/>
      <c r="D337" s="64"/>
      <c r="E337" s="65"/>
      <c r="F337" s="66"/>
      <c r="G337" s="63"/>
      <c r="H337" s="67"/>
      <c r="I337" s="68"/>
      <c r="J337" s="68"/>
      <c r="K337" s="32"/>
      <c r="L337" s="75"/>
      <c r="M337" s="75"/>
      <c r="N337" s="70"/>
      <c r="O337" t="s">
        <v>1568</v>
      </c>
      <c r="P337" s="76">
        <v>44958.62667824074</v>
      </c>
      <c r="Q337" t="s">
        <v>1698</v>
      </c>
      <c r="R337"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7" t="s">
        <v>2274</v>
      </c>
      <c r="T337" s="78" t="s">
        <v>2333</v>
      </c>
      <c r="V337" s="77" t="str">
        <f>HYPERLINK("https://pbs.twimg.com/profile_images/1484909977710084098/kKKThHzD_normal.jpg")</f>
        <v>https://pbs.twimg.com/profile_images/1484909977710084098/kKKThHzD_normal.jpg</v>
      </c>
      <c r="W337" s="76">
        <v>44958.62667824074</v>
      </c>
      <c r="X337" s="80">
        <v>44958</v>
      </c>
      <c r="Y337" s="78" t="s">
        <v>2577</v>
      </c>
      <c r="Z337" s="77" t="str">
        <f>HYPERLINK("https://twitter.com/rtih_retailtech/status/1620799740735787008")</f>
        <v>https://twitter.com/rtih_retailtech/status/1620799740735787008</v>
      </c>
      <c r="AC337" s="78" t="s">
        <v>3594</v>
      </c>
      <c r="AE337" t="b">
        <v>0</v>
      </c>
      <c r="AF337">
        <v>2</v>
      </c>
      <c r="AG337" s="78" t="s">
        <v>4640</v>
      </c>
      <c r="AH337" t="b">
        <v>0</v>
      </c>
      <c r="AI337" t="s">
        <v>4829</v>
      </c>
      <c r="AK337" s="78" t="s">
        <v>4640</v>
      </c>
      <c r="AL337" t="b">
        <v>0</v>
      </c>
      <c r="AM337">
        <v>2</v>
      </c>
      <c r="AN337" s="78" t="s">
        <v>4640</v>
      </c>
      <c r="AO337" s="78" t="s">
        <v>4851</v>
      </c>
      <c r="AP337" t="b">
        <v>0</v>
      </c>
      <c r="AQ337" s="78" t="s">
        <v>3594</v>
      </c>
      <c r="AR337" t="s">
        <v>179</v>
      </c>
      <c r="AS337">
        <v>0</v>
      </c>
      <c r="AT337">
        <v>0</v>
      </c>
    </row>
    <row r="338" spans="1:46" x14ac:dyDescent="0.45">
      <c r="A338" s="62" t="s">
        <v>357</v>
      </c>
      <c r="B338" s="62" t="s">
        <v>1234</v>
      </c>
      <c r="C338" s="63"/>
      <c r="D338" s="64"/>
      <c r="E338" s="65"/>
      <c r="F338" s="66"/>
      <c r="G338" s="63"/>
      <c r="H338" s="67"/>
      <c r="I338" s="68"/>
      <c r="J338" s="68"/>
      <c r="K338" s="32"/>
      <c r="L338" s="75"/>
      <c r="M338" s="75"/>
      <c r="N338" s="70"/>
      <c r="O338" t="s">
        <v>1570</v>
      </c>
      <c r="P338" s="76">
        <v>44958.643877314818</v>
      </c>
      <c r="Q338" t="s">
        <v>1698</v>
      </c>
      <c r="R338"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8" t="s">
        <v>2274</v>
      </c>
      <c r="T338" s="78" t="s">
        <v>2333</v>
      </c>
      <c r="V338" s="77" t="str">
        <f>HYPERLINK("https://pbs.twimg.com/profile_images/1071510054333861889/zrJ32HSV_normal.jpg")</f>
        <v>https://pbs.twimg.com/profile_images/1071510054333861889/zrJ32HSV_normal.jpg</v>
      </c>
      <c r="W338" s="76">
        <v>44958.643877314818</v>
      </c>
      <c r="X338" s="80">
        <v>44958</v>
      </c>
      <c r="Y338" s="78" t="s">
        <v>2578</v>
      </c>
      <c r="Z338" s="77" t="str">
        <f>HYPERLINK("https://twitter.com/5h15h/status/1620805973853237248")</f>
        <v>https://twitter.com/5h15h/status/1620805973853237248</v>
      </c>
      <c r="AC338" s="78" t="s">
        <v>3595</v>
      </c>
      <c r="AE338" t="b">
        <v>0</v>
      </c>
      <c r="AF338">
        <v>0</v>
      </c>
      <c r="AG338" s="78" t="s">
        <v>4640</v>
      </c>
      <c r="AH338" t="b">
        <v>0</v>
      </c>
      <c r="AI338" t="s">
        <v>4829</v>
      </c>
      <c r="AK338" s="78" t="s">
        <v>4640</v>
      </c>
      <c r="AL338" t="b">
        <v>0</v>
      </c>
      <c r="AM338">
        <v>2</v>
      </c>
      <c r="AN338" s="78" t="s">
        <v>3594</v>
      </c>
      <c r="AO338" s="78" t="s">
        <v>4851</v>
      </c>
      <c r="AP338" t="b">
        <v>0</v>
      </c>
      <c r="AQ338" s="78" t="s">
        <v>3594</v>
      </c>
      <c r="AR338" t="s">
        <v>179</v>
      </c>
      <c r="AS338">
        <v>0</v>
      </c>
      <c r="AT338">
        <v>0</v>
      </c>
    </row>
    <row r="339" spans="1:46" x14ac:dyDescent="0.45">
      <c r="A339" s="62" t="s">
        <v>358</v>
      </c>
      <c r="B339" s="62" t="s">
        <v>1234</v>
      </c>
      <c r="C339" s="63"/>
      <c r="D339" s="64"/>
      <c r="E339" s="65"/>
      <c r="F339" s="66"/>
      <c r="G339" s="63"/>
      <c r="H339" s="67"/>
      <c r="I339" s="68"/>
      <c r="J339" s="68"/>
      <c r="K339" s="32"/>
      <c r="L339" s="75"/>
      <c r="M339" s="75"/>
      <c r="N339" s="70"/>
      <c r="O339" t="s">
        <v>1570</v>
      </c>
      <c r="P339" s="76">
        <v>44958.673171296294</v>
      </c>
      <c r="Q339" t="s">
        <v>1698</v>
      </c>
      <c r="R339"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39" t="s">
        <v>2274</v>
      </c>
      <c r="T339" s="78" t="s">
        <v>2333</v>
      </c>
      <c r="V339" s="77" t="str">
        <f>HYPERLINK("https://pbs.twimg.com/profile_images/1027236642854264837/wuUPiPIa_normal.jpg")</f>
        <v>https://pbs.twimg.com/profile_images/1027236642854264837/wuUPiPIa_normal.jpg</v>
      </c>
      <c r="W339" s="76">
        <v>44958.673171296294</v>
      </c>
      <c r="X339" s="80">
        <v>44958</v>
      </c>
      <c r="Y339" s="78" t="s">
        <v>2579</v>
      </c>
      <c r="Z339" s="77" t="str">
        <f>HYPERLINK("https://twitter.com/scottthomps74/status/1620816586071506944")</f>
        <v>https://twitter.com/scottthomps74/status/1620816586071506944</v>
      </c>
      <c r="AC339" s="78" t="s">
        <v>3596</v>
      </c>
      <c r="AE339" t="b">
        <v>0</v>
      </c>
      <c r="AF339">
        <v>0</v>
      </c>
      <c r="AG339" s="78" t="s">
        <v>4640</v>
      </c>
      <c r="AH339" t="b">
        <v>0</v>
      </c>
      <c r="AI339" t="s">
        <v>4829</v>
      </c>
      <c r="AK339" s="78" t="s">
        <v>4640</v>
      </c>
      <c r="AL339" t="b">
        <v>0</v>
      </c>
      <c r="AM339">
        <v>2</v>
      </c>
      <c r="AN339" s="78" t="s">
        <v>3594</v>
      </c>
      <c r="AO339" s="78" t="s">
        <v>4849</v>
      </c>
      <c r="AP339" t="b">
        <v>0</v>
      </c>
      <c r="AQ339" s="78" t="s">
        <v>3594</v>
      </c>
      <c r="AR339" t="s">
        <v>179</v>
      </c>
      <c r="AS339">
        <v>0</v>
      </c>
      <c r="AT339">
        <v>0</v>
      </c>
    </row>
    <row r="340" spans="1:46" x14ac:dyDescent="0.45">
      <c r="A340" s="62" t="s">
        <v>357</v>
      </c>
      <c r="B340" s="62" t="s">
        <v>1235</v>
      </c>
      <c r="C340" s="63"/>
      <c r="D340" s="64"/>
      <c r="E340" s="65"/>
      <c r="F340" s="66"/>
      <c r="G340" s="63"/>
      <c r="H340" s="67"/>
      <c r="I340" s="68"/>
      <c r="J340" s="68"/>
      <c r="K340" s="32"/>
      <c r="L340" s="75"/>
      <c r="M340" s="75"/>
      <c r="N340" s="70"/>
      <c r="O340" t="s">
        <v>1570</v>
      </c>
      <c r="P340" s="76">
        <v>44958.643877314818</v>
      </c>
      <c r="Q340" t="s">
        <v>1698</v>
      </c>
      <c r="R340"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0" t="s">
        <v>2274</v>
      </c>
      <c r="T340" s="78" t="s">
        <v>2333</v>
      </c>
      <c r="V340" s="77" t="str">
        <f>HYPERLINK("https://pbs.twimg.com/profile_images/1071510054333861889/zrJ32HSV_normal.jpg")</f>
        <v>https://pbs.twimg.com/profile_images/1071510054333861889/zrJ32HSV_normal.jpg</v>
      </c>
      <c r="W340" s="76">
        <v>44958.643877314818</v>
      </c>
      <c r="X340" s="80">
        <v>44958</v>
      </c>
      <c r="Y340" s="78" t="s">
        <v>2578</v>
      </c>
      <c r="Z340" s="77" t="str">
        <f>HYPERLINK("https://twitter.com/5h15h/status/1620805973853237248")</f>
        <v>https://twitter.com/5h15h/status/1620805973853237248</v>
      </c>
      <c r="AC340" s="78" t="s">
        <v>3595</v>
      </c>
      <c r="AE340" t="b">
        <v>0</v>
      </c>
      <c r="AF340">
        <v>0</v>
      </c>
      <c r="AG340" s="78" t="s">
        <v>4640</v>
      </c>
      <c r="AH340" t="b">
        <v>0</v>
      </c>
      <c r="AI340" t="s">
        <v>4829</v>
      </c>
      <c r="AK340" s="78" t="s">
        <v>4640</v>
      </c>
      <c r="AL340" t="b">
        <v>0</v>
      </c>
      <c r="AM340">
        <v>2</v>
      </c>
      <c r="AN340" s="78" t="s">
        <v>3594</v>
      </c>
      <c r="AO340" s="78" t="s">
        <v>4851</v>
      </c>
      <c r="AP340" t="b">
        <v>0</v>
      </c>
      <c r="AQ340" s="78" t="s">
        <v>3594</v>
      </c>
      <c r="AR340" t="s">
        <v>179</v>
      </c>
      <c r="AS340">
        <v>0</v>
      </c>
      <c r="AT340">
        <v>0</v>
      </c>
    </row>
    <row r="341" spans="1:46" x14ac:dyDescent="0.45">
      <c r="A341" s="62" t="s">
        <v>358</v>
      </c>
      <c r="B341" s="62" t="s">
        <v>1235</v>
      </c>
      <c r="C341" s="63"/>
      <c r="D341" s="64"/>
      <c r="E341" s="65"/>
      <c r="F341" s="66"/>
      <c r="G341" s="63"/>
      <c r="H341" s="67"/>
      <c r="I341" s="68"/>
      <c r="J341" s="68"/>
      <c r="K341" s="32"/>
      <c r="L341" s="75"/>
      <c r="M341" s="75"/>
      <c r="N341" s="70"/>
      <c r="O341" t="s">
        <v>1570</v>
      </c>
      <c r="P341" s="76">
        <v>44958.673171296294</v>
      </c>
      <c r="Q341" t="s">
        <v>1698</v>
      </c>
      <c r="R341"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1" t="s">
        <v>2274</v>
      </c>
      <c r="T341" s="78" t="s">
        <v>2333</v>
      </c>
      <c r="V341" s="77" t="str">
        <f>HYPERLINK("https://pbs.twimg.com/profile_images/1027236642854264837/wuUPiPIa_normal.jpg")</f>
        <v>https://pbs.twimg.com/profile_images/1027236642854264837/wuUPiPIa_normal.jpg</v>
      </c>
      <c r="W341" s="76">
        <v>44958.673171296294</v>
      </c>
      <c r="X341" s="80">
        <v>44958</v>
      </c>
      <c r="Y341" s="78" t="s">
        <v>2579</v>
      </c>
      <c r="Z341" s="77" t="str">
        <f>HYPERLINK("https://twitter.com/scottthomps74/status/1620816586071506944")</f>
        <v>https://twitter.com/scottthomps74/status/1620816586071506944</v>
      </c>
      <c r="AC341" s="78" t="s">
        <v>3596</v>
      </c>
      <c r="AE341" t="b">
        <v>0</v>
      </c>
      <c r="AF341">
        <v>0</v>
      </c>
      <c r="AG341" s="78" t="s">
        <v>4640</v>
      </c>
      <c r="AH341" t="b">
        <v>0</v>
      </c>
      <c r="AI341" t="s">
        <v>4829</v>
      </c>
      <c r="AK341" s="78" t="s">
        <v>4640</v>
      </c>
      <c r="AL341" t="b">
        <v>0</v>
      </c>
      <c r="AM341">
        <v>2</v>
      </c>
      <c r="AN341" s="78" t="s">
        <v>3594</v>
      </c>
      <c r="AO341" s="78" t="s">
        <v>4849</v>
      </c>
      <c r="AP341" t="b">
        <v>0</v>
      </c>
      <c r="AQ341" s="78" t="s">
        <v>3594</v>
      </c>
      <c r="AR341" t="s">
        <v>179</v>
      </c>
      <c r="AS341">
        <v>0</v>
      </c>
      <c r="AT341">
        <v>0</v>
      </c>
    </row>
    <row r="342" spans="1:46" x14ac:dyDescent="0.45">
      <c r="A342" s="62" t="s">
        <v>357</v>
      </c>
      <c r="B342" s="62" t="s">
        <v>1236</v>
      </c>
      <c r="C342" s="63"/>
      <c r="D342" s="64"/>
      <c r="E342" s="65"/>
      <c r="F342" s="66"/>
      <c r="G342" s="63"/>
      <c r="H342" s="67"/>
      <c r="I342" s="68"/>
      <c r="J342" s="68"/>
      <c r="K342" s="32"/>
      <c r="L342" s="75"/>
      <c r="M342" s="75"/>
      <c r="N342" s="70"/>
      <c r="O342" t="s">
        <v>1570</v>
      </c>
      <c r="P342" s="76">
        <v>44958.643877314818</v>
      </c>
      <c r="Q342" t="s">
        <v>1698</v>
      </c>
      <c r="R342"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2" t="s">
        <v>2274</v>
      </c>
      <c r="T342" s="78" t="s">
        <v>2333</v>
      </c>
      <c r="V342" s="77" t="str">
        <f>HYPERLINK("https://pbs.twimg.com/profile_images/1071510054333861889/zrJ32HSV_normal.jpg")</f>
        <v>https://pbs.twimg.com/profile_images/1071510054333861889/zrJ32HSV_normal.jpg</v>
      </c>
      <c r="W342" s="76">
        <v>44958.643877314818</v>
      </c>
      <c r="X342" s="80">
        <v>44958</v>
      </c>
      <c r="Y342" s="78" t="s">
        <v>2578</v>
      </c>
      <c r="Z342" s="77" t="str">
        <f>HYPERLINK("https://twitter.com/5h15h/status/1620805973853237248")</f>
        <v>https://twitter.com/5h15h/status/1620805973853237248</v>
      </c>
      <c r="AC342" s="78" t="s">
        <v>3595</v>
      </c>
      <c r="AE342" t="b">
        <v>0</v>
      </c>
      <c r="AF342">
        <v>0</v>
      </c>
      <c r="AG342" s="78" t="s">
        <v>4640</v>
      </c>
      <c r="AH342" t="b">
        <v>0</v>
      </c>
      <c r="AI342" t="s">
        <v>4829</v>
      </c>
      <c r="AK342" s="78" t="s">
        <v>4640</v>
      </c>
      <c r="AL342" t="b">
        <v>0</v>
      </c>
      <c r="AM342">
        <v>2</v>
      </c>
      <c r="AN342" s="78" t="s">
        <v>3594</v>
      </c>
      <c r="AO342" s="78" t="s">
        <v>4851</v>
      </c>
      <c r="AP342" t="b">
        <v>0</v>
      </c>
      <c r="AQ342" s="78" t="s">
        <v>3594</v>
      </c>
      <c r="AR342" t="s">
        <v>179</v>
      </c>
      <c r="AS342">
        <v>0</v>
      </c>
      <c r="AT342">
        <v>0</v>
      </c>
    </row>
    <row r="343" spans="1:46" x14ac:dyDescent="0.45">
      <c r="A343" s="62" t="s">
        <v>358</v>
      </c>
      <c r="B343" s="62" t="s">
        <v>1236</v>
      </c>
      <c r="C343" s="63"/>
      <c r="D343" s="64"/>
      <c r="E343" s="65"/>
      <c r="F343" s="66"/>
      <c r="G343" s="63"/>
      <c r="H343" s="67"/>
      <c r="I343" s="68"/>
      <c r="J343" s="68"/>
      <c r="K343" s="32"/>
      <c r="L343" s="75"/>
      <c r="M343" s="75"/>
      <c r="N343" s="70"/>
      <c r="O343" t="s">
        <v>1570</v>
      </c>
      <c r="P343" s="76">
        <v>44958.673171296294</v>
      </c>
      <c r="Q343" t="s">
        <v>1698</v>
      </c>
      <c r="R343"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3" t="s">
        <v>2274</v>
      </c>
      <c r="T343" s="78" t="s">
        <v>2333</v>
      </c>
      <c r="V343" s="77" t="str">
        <f>HYPERLINK("https://pbs.twimg.com/profile_images/1027236642854264837/wuUPiPIa_normal.jpg")</f>
        <v>https://pbs.twimg.com/profile_images/1027236642854264837/wuUPiPIa_normal.jpg</v>
      </c>
      <c r="W343" s="76">
        <v>44958.673171296294</v>
      </c>
      <c r="X343" s="80">
        <v>44958</v>
      </c>
      <c r="Y343" s="78" t="s">
        <v>2579</v>
      </c>
      <c r="Z343" s="77" t="str">
        <f>HYPERLINK("https://twitter.com/scottthomps74/status/1620816586071506944")</f>
        <v>https://twitter.com/scottthomps74/status/1620816586071506944</v>
      </c>
      <c r="AC343" s="78" t="s">
        <v>3596</v>
      </c>
      <c r="AE343" t="b">
        <v>0</v>
      </c>
      <c r="AF343">
        <v>0</v>
      </c>
      <c r="AG343" s="78" t="s">
        <v>4640</v>
      </c>
      <c r="AH343" t="b">
        <v>0</v>
      </c>
      <c r="AI343" t="s">
        <v>4829</v>
      </c>
      <c r="AK343" s="78" t="s">
        <v>4640</v>
      </c>
      <c r="AL343" t="b">
        <v>0</v>
      </c>
      <c r="AM343">
        <v>2</v>
      </c>
      <c r="AN343" s="78" t="s">
        <v>3594</v>
      </c>
      <c r="AO343" s="78" t="s">
        <v>4849</v>
      </c>
      <c r="AP343" t="b">
        <v>0</v>
      </c>
      <c r="AQ343" s="78" t="s">
        <v>3594</v>
      </c>
      <c r="AR343" t="s">
        <v>179</v>
      </c>
      <c r="AS343">
        <v>0</v>
      </c>
      <c r="AT343">
        <v>0</v>
      </c>
    </row>
    <row r="344" spans="1:46" x14ac:dyDescent="0.45">
      <c r="A344" s="62" t="s">
        <v>357</v>
      </c>
      <c r="B344" s="62" t="s">
        <v>1237</v>
      </c>
      <c r="C344" s="63"/>
      <c r="D344" s="64"/>
      <c r="E344" s="65"/>
      <c r="F344" s="66"/>
      <c r="G344" s="63"/>
      <c r="H344" s="67"/>
      <c r="I344" s="68"/>
      <c r="J344" s="68"/>
      <c r="K344" s="32"/>
      <c r="L344" s="75"/>
      <c r="M344" s="75"/>
      <c r="N344" s="70"/>
      <c r="O344" t="s">
        <v>1570</v>
      </c>
      <c r="P344" s="76">
        <v>44958.643877314818</v>
      </c>
      <c r="Q344" t="s">
        <v>1698</v>
      </c>
      <c r="R344"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4" t="s">
        <v>2274</v>
      </c>
      <c r="T344" s="78" t="s">
        <v>2333</v>
      </c>
      <c r="V344" s="77" t="str">
        <f>HYPERLINK("https://pbs.twimg.com/profile_images/1071510054333861889/zrJ32HSV_normal.jpg")</f>
        <v>https://pbs.twimg.com/profile_images/1071510054333861889/zrJ32HSV_normal.jpg</v>
      </c>
      <c r="W344" s="76">
        <v>44958.643877314818</v>
      </c>
      <c r="X344" s="80">
        <v>44958</v>
      </c>
      <c r="Y344" s="78" t="s">
        <v>2578</v>
      </c>
      <c r="Z344" s="77" t="str">
        <f>HYPERLINK("https://twitter.com/5h15h/status/1620805973853237248")</f>
        <v>https://twitter.com/5h15h/status/1620805973853237248</v>
      </c>
      <c r="AC344" s="78" t="s">
        <v>3595</v>
      </c>
      <c r="AE344" t="b">
        <v>0</v>
      </c>
      <c r="AF344">
        <v>0</v>
      </c>
      <c r="AG344" s="78" t="s">
        <v>4640</v>
      </c>
      <c r="AH344" t="b">
        <v>0</v>
      </c>
      <c r="AI344" t="s">
        <v>4829</v>
      </c>
      <c r="AK344" s="78" t="s">
        <v>4640</v>
      </c>
      <c r="AL344" t="b">
        <v>0</v>
      </c>
      <c r="AM344">
        <v>2</v>
      </c>
      <c r="AN344" s="78" t="s">
        <v>3594</v>
      </c>
      <c r="AO344" s="78" t="s">
        <v>4851</v>
      </c>
      <c r="AP344" t="b">
        <v>0</v>
      </c>
      <c r="AQ344" s="78" t="s">
        <v>3594</v>
      </c>
      <c r="AR344" t="s">
        <v>179</v>
      </c>
      <c r="AS344">
        <v>0</v>
      </c>
      <c r="AT344">
        <v>0</v>
      </c>
    </row>
    <row r="345" spans="1:46" x14ac:dyDescent="0.45">
      <c r="A345" s="62" t="s">
        <v>358</v>
      </c>
      <c r="B345" s="62" t="s">
        <v>1237</v>
      </c>
      <c r="C345" s="63"/>
      <c r="D345" s="64"/>
      <c r="E345" s="65"/>
      <c r="F345" s="66"/>
      <c r="G345" s="63"/>
      <c r="H345" s="67"/>
      <c r="I345" s="68"/>
      <c r="J345" s="68"/>
      <c r="K345" s="32"/>
      <c r="L345" s="75"/>
      <c r="M345" s="75"/>
      <c r="N345" s="70"/>
      <c r="O345" t="s">
        <v>1570</v>
      </c>
      <c r="P345" s="76">
        <v>44958.673171296294</v>
      </c>
      <c r="Q345" t="s">
        <v>1698</v>
      </c>
      <c r="R345"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5" t="s">
        <v>2274</v>
      </c>
      <c r="T345" s="78" t="s">
        <v>2333</v>
      </c>
      <c r="V345" s="77" t="str">
        <f>HYPERLINK("https://pbs.twimg.com/profile_images/1027236642854264837/wuUPiPIa_normal.jpg")</f>
        <v>https://pbs.twimg.com/profile_images/1027236642854264837/wuUPiPIa_normal.jpg</v>
      </c>
      <c r="W345" s="76">
        <v>44958.673171296294</v>
      </c>
      <c r="X345" s="80">
        <v>44958</v>
      </c>
      <c r="Y345" s="78" t="s">
        <v>2579</v>
      </c>
      <c r="Z345" s="77" t="str">
        <f>HYPERLINK("https://twitter.com/scottthomps74/status/1620816586071506944")</f>
        <v>https://twitter.com/scottthomps74/status/1620816586071506944</v>
      </c>
      <c r="AC345" s="78" t="s">
        <v>3596</v>
      </c>
      <c r="AE345" t="b">
        <v>0</v>
      </c>
      <c r="AF345">
        <v>0</v>
      </c>
      <c r="AG345" s="78" t="s">
        <v>4640</v>
      </c>
      <c r="AH345" t="b">
        <v>0</v>
      </c>
      <c r="AI345" t="s">
        <v>4829</v>
      </c>
      <c r="AK345" s="78" t="s">
        <v>4640</v>
      </c>
      <c r="AL345" t="b">
        <v>0</v>
      </c>
      <c r="AM345">
        <v>2</v>
      </c>
      <c r="AN345" s="78" t="s">
        <v>3594</v>
      </c>
      <c r="AO345" s="78" t="s">
        <v>4849</v>
      </c>
      <c r="AP345" t="b">
        <v>0</v>
      </c>
      <c r="AQ345" s="78" t="s">
        <v>3594</v>
      </c>
      <c r="AR345" t="s">
        <v>179</v>
      </c>
      <c r="AS345">
        <v>0</v>
      </c>
      <c r="AT345">
        <v>0</v>
      </c>
    </row>
    <row r="346" spans="1:46" x14ac:dyDescent="0.45">
      <c r="A346" s="62" t="s">
        <v>357</v>
      </c>
      <c r="B346" s="62" t="s">
        <v>1238</v>
      </c>
      <c r="C346" s="63"/>
      <c r="D346" s="64"/>
      <c r="E346" s="65"/>
      <c r="F346" s="66"/>
      <c r="G346" s="63"/>
      <c r="H346" s="67"/>
      <c r="I346" s="68"/>
      <c r="J346" s="68"/>
      <c r="K346" s="32"/>
      <c r="L346" s="75"/>
      <c r="M346" s="75"/>
      <c r="N346" s="70"/>
      <c r="O346" t="s">
        <v>1570</v>
      </c>
      <c r="P346" s="76">
        <v>44958.643877314818</v>
      </c>
      <c r="Q346" t="s">
        <v>1698</v>
      </c>
      <c r="R346"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6" t="s">
        <v>2274</v>
      </c>
      <c r="T346" s="78" t="s">
        <v>2333</v>
      </c>
      <c r="V346" s="77" t="str">
        <f>HYPERLINK("https://pbs.twimg.com/profile_images/1071510054333861889/zrJ32HSV_normal.jpg")</f>
        <v>https://pbs.twimg.com/profile_images/1071510054333861889/zrJ32HSV_normal.jpg</v>
      </c>
      <c r="W346" s="76">
        <v>44958.643877314818</v>
      </c>
      <c r="X346" s="80">
        <v>44958</v>
      </c>
      <c r="Y346" s="78" t="s">
        <v>2578</v>
      </c>
      <c r="Z346" s="77" t="str">
        <f>HYPERLINK("https://twitter.com/5h15h/status/1620805973853237248")</f>
        <v>https://twitter.com/5h15h/status/1620805973853237248</v>
      </c>
      <c r="AC346" s="78" t="s">
        <v>3595</v>
      </c>
      <c r="AE346" t="b">
        <v>0</v>
      </c>
      <c r="AF346">
        <v>0</v>
      </c>
      <c r="AG346" s="78" t="s">
        <v>4640</v>
      </c>
      <c r="AH346" t="b">
        <v>0</v>
      </c>
      <c r="AI346" t="s">
        <v>4829</v>
      </c>
      <c r="AK346" s="78" t="s">
        <v>4640</v>
      </c>
      <c r="AL346" t="b">
        <v>0</v>
      </c>
      <c r="AM346">
        <v>2</v>
      </c>
      <c r="AN346" s="78" t="s">
        <v>3594</v>
      </c>
      <c r="AO346" s="78" t="s">
        <v>4851</v>
      </c>
      <c r="AP346" t="b">
        <v>0</v>
      </c>
      <c r="AQ346" s="78" t="s">
        <v>3594</v>
      </c>
      <c r="AR346" t="s">
        <v>179</v>
      </c>
      <c r="AS346">
        <v>0</v>
      </c>
      <c r="AT346">
        <v>0</v>
      </c>
    </row>
    <row r="347" spans="1:46" x14ac:dyDescent="0.45">
      <c r="A347" s="62" t="s">
        <v>358</v>
      </c>
      <c r="B347" s="62" t="s">
        <v>1238</v>
      </c>
      <c r="C347" s="63"/>
      <c r="D347" s="64"/>
      <c r="E347" s="65"/>
      <c r="F347" s="66"/>
      <c r="G347" s="63"/>
      <c r="H347" s="67"/>
      <c r="I347" s="68"/>
      <c r="J347" s="68"/>
      <c r="K347" s="32"/>
      <c r="L347" s="75"/>
      <c r="M347" s="75"/>
      <c r="N347" s="70"/>
      <c r="O347" t="s">
        <v>1570</v>
      </c>
      <c r="P347" s="76">
        <v>44958.673171296294</v>
      </c>
      <c r="Q347" t="s">
        <v>1698</v>
      </c>
      <c r="R347"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7" t="s">
        <v>2274</v>
      </c>
      <c r="T347" s="78" t="s">
        <v>2333</v>
      </c>
      <c r="V347" s="77" t="str">
        <f>HYPERLINK("https://pbs.twimg.com/profile_images/1027236642854264837/wuUPiPIa_normal.jpg")</f>
        <v>https://pbs.twimg.com/profile_images/1027236642854264837/wuUPiPIa_normal.jpg</v>
      </c>
      <c r="W347" s="76">
        <v>44958.673171296294</v>
      </c>
      <c r="X347" s="80">
        <v>44958</v>
      </c>
      <c r="Y347" s="78" t="s">
        <v>2579</v>
      </c>
      <c r="Z347" s="77" t="str">
        <f>HYPERLINK("https://twitter.com/scottthomps74/status/1620816586071506944")</f>
        <v>https://twitter.com/scottthomps74/status/1620816586071506944</v>
      </c>
      <c r="AC347" s="78" t="s">
        <v>3596</v>
      </c>
      <c r="AE347" t="b">
        <v>0</v>
      </c>
      <c r="AF347">
        <v>0</v>
      </c>
      <c r="AG347" s="78" t="s">
        <v>4640</v>
      </c>
      <c r="AH347" t="b">
        <v>0</v>
      </c>
      <c r="AI347" t="s">
        <v>4829</v>
      </c>
      <c r="AK347" s="78" t="s">
        <v>4640</v>
      </c>
      <c r="AL347" t="b">
        <v>0</v>
      </c>
      <c r="AM347">
        <v>2</v>
      </c>
      <c r="AN347" s="78" t="s">
        <v>3594</v>
      </c>
      <c r="AO347" s="78" t="s">
        <v>4849</v>
      </c>
      <c r="AP347" t="b">
        <v>0</v>
      </c>
      <c r="AQ347" s="78" t="s">
        <v>3594</v>
      </c>
      <c r="AR347" t="s">
        <v>179</v>
      </c>
      <c r="AS347">
        <v>0</v>
      </c>
      <c r="AT347">
        <v>0</v>
      </c>
    </row>
    <row r="348" spans="1:46" x14ac:dyDescent="0.45">
      <c r="A348" s="62" t="s">
        <v>357</v>
      </c>
      <c r="B348" s="62" t="s">
        <v>1239</v>
      </c>
      <c r="C348" s="63"/>
      <c r="D348" s="64"/>
      <c r="E348" s="65"/>
      <c r="F348" s="66"/>
      <c r="G348" s="63"/>
      <c r="H348" s="67"/>
      <c r="I348" s="68"/>
      <c r="J348" s="68"/>
      <c r="K348" s="32"/>
      <c r="L348" s="75"/>
      <c r="M348" s="75"/>
      <c r="N348" s="70"/>
      <c r="O348" t="s">
        <v>1570</v>
      </c>
      <c r="P348" s="76">
        <v>44958.643877314818</v>
      </c>
      <c r="Q348" t="s">
        <v>1698</v>
      </c>
      <c r="R348"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8" t="s">
        <v>2274</v>
      </c>
      <c r="T348" s="78" t="s">
        <v>2333</v>
      </c>
      <c r="V348" s="77" t="str">
        <f>HYPERLINK("https://pbs.twimg.com/profile_images/1071510054333861889/zrJ32HSV_normal.jpg")</f>
        <v>https://pbs.twimg.com/profile_images/1071510054333861889/zrJ32HSV_normal.jpg</v>
      </c>
      <c r="W348" s="76">
        <v>44958.643877314818</v>
      </c>
      <c r="X348" s="80">
        <v>44958</v>
      </c>
      <c r="Y348" s="78" t="s">
        <v>2578</v>
      </c>
      <c r="Z348" s="77" t="str">
        <f>HYPERLINK("https://twitter.com/5h15h/status/1620805973853237248")</f>
        <v>https://twitter.com/5h15h/status/1620805973853237248</v>
      </c>
      <c r="AC348" s="78" t="s">
        <v>3595</v>
      </c>
      <c r="AE348" t="b">
        <v>0</v>
      </c>
      <c r="AF348">
        <v>0</v>
      </c>
      <c r="AG348" s="78" t="s">
        <v>4640</v>
      </c>
      <c r="AH348" t="b">
        <v>0</v>
      </c>
      <c r="AI348" t="s">
        <v>4829</v>
      </c>
      <c r="AK348" s="78" t="s">
        <v>4640</v>
      </c>
      <c r="AL348" t="b">
        <v>0</v>
      </c>
      <c r="AM348">
        <v>2</v>
      </c>
      <c r="AN348" s="78" t="s">
        <v>3594</v>
      </c>
      <c r="AO348" s="78" t="s">
        <v>4851</v>
      </c>
      <c r="AP348" t="b">
        <v>0</v>
      </c>
      <c r="AQ348" s="78" t="s">
        <v>3594</v>
      </c>
      <c r="AR348" t="s">
        <v>179</v>
      </c>
      <c r="AS348">
        <v>0</v>
      </c>
      <c r="AT348">
        <v>0</v>
      </c>
    </row>
    <row r="349" spans="1:46" x14ac:dyDescent="0.45">
      <c r="A349" s="62" t="s">
        <v>358</v>
      </c>
      <c r="B349" s="62" t="s">
        <v>1239</v>
      </c>
      <c r="C349" s="63"/>
      <c r="D349" s="64"/>
      <c r="E349" s="65"/>
      <c r="F349" s="66"/>
      <c r="G349" s="63"/>
      <c r="H349" s="67"/>
      <c r="I349" s="68"/>
      <c r="J349" s="68"/>
      <c r="K349" s="32"/>
      <c r="L349" s="75"/>
      <c r="M349" s="75"/>
      <c r="N349" s="70"/>
      <c r="O349" t="s">
        <v>1570</v>
      </c>
      <c r="P349" s="76">
        <v>44958.673171296294</v>
      </c>
      <c r="Q349" t="s">
        <v>1698</v>
      </c>
      <c r="R349"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49" t="s">
        <v>2274</v>
      </c>
      <c r="T349" s="78" t="s">
        <v>2333</v>
      </c>
      <c r="V349" s="77" t="str">
        <f>HYPERLINK("https://pbs.twimg.com/profile_images/1027236642854264837/wuUPiPIa_normal.jpg")</f>
        <v>https://pbs.twimg.com/profile_images/1027236642854264837/wuUPiPIa_normal.jpg</v>
      </c>
      <c r="W349" s="76">
        <v>44958.673171296294</v>
      </c>
      <c r="X349" s="80">
        <v>44958</v>
      </c>
      <c r="Y349" s="78" t="s">
        <v>2579</v>
      </c>
      <c r="Z349" s="77" t="str">
        <f>HYPERLINK("https://twitter.com/scottthomps74/status/1620816586071506944")</f>
        <v>https://twitter.com/scottthomps74/status/1620816586071506944</v>
      </c>
      <c r="AC349" s="78" t="s">
        <v>3596</v>
      </c>
      <c r="AE349" t="b">
        <v>0</v>
      </c>
      <c r="AF349">
        <v>0</v>
      </c>
      <c r="AG349" s="78" t="s">
        <v>4640</v>
      </c>
      <c r="AH349" t="b">
        <v>0</v>
      </c>
      <c r="AI349" t="s">
        <v>4829</v>
      </c>
      <c r="AK349" s="78" t="s">
        <v>4640</v>
      </c>
      <c r="AL349" t="b">
        <v>0</v>
      </c>
      <c r="AM349">
        <v>2</v>
      </c>
      <c r="AN349" s="78" t="s">
        <v>3594</v>
      </c>
      <c r="AO349" s="78" t="s">
        <v>4849</v>
      </c>
      <c r="AP349" t="b">
        <v>0</v>
      </c>
      <c r="AQ349" s="78" t="s">
        <v>3594</v>
      </c>
      <c r="AR349" t="s">
        <v>179</v>
      </c>
      <c r="AS349">
        <v>0</v>
      </c>
      <c r="AT349">
        <v>0</v>
      </c>
    </row>
    <row r="350" spans="1:46" x14ac:dyDescent="0.45">
      <c r="A350" s="62" t="s">
        <v>357</v>
      </c>
      <c r="B350" s="62" t="s">
        <v>1240</v>
      </c>
      <c r="C350" s="63"/>
      <c r="D350" s="64"/>
      <c r="E350" s="65"/>
      <c r="F350" s="66"/>
      <c r="G350" s="63"/>
      <c r="H350" s="67"/>
      <c r="I350" s="68"/>
      <c r="J350" s="68"/>
      <c r="K350" s="32"/>
      <c r="L350" s="75"/>
      <c r="M350" s="75"/>
      <c r="N350" s="70"/>
      <c r="O350" t="s">
        <v>1570</v>
      </c>
      <c r="P350" s="76">
        <v>44958.643877314818</v>
      </c>
      <c r="Q350" t="s">
        <v>1698</v>
      </c>
      <c r="R350"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0" t="s">
        <v>2274</v>
      </c>
      <c r="T350" s="78" t="s">
        <v>2333</v>
      </c>
      <c r="V350" s="77" t="str">
        <f>HYPERLINK("https://pbs.twimg.com/profile_images/1071510054333861889/zrJ32HSV_normal.jpg")</f>
        <v>https://pbs.twimg.com/profile_images/1071510054333861889/zrJ32HSV_normal.jpg</v>
      </c>
      <c r="W350" s="76">
        <v>44958.643877314818</v>
      </c>
      <c r="X350" s="80">
        <v>44958</v>
      </c>
      <c r="Y350" s="78" t="s">
        <v>2578</v>
      </c>
      <c r="Z350" s="77" t="str">
        <f>HYPERLINK("https://twitter.com/5h15h/status/1620805973853237248")</f>
        <v>https://twitter.com/5h15h/status/1620805973853237248</v>
      </c>
      <c r="AC350" s="78" t="s">
        <v>3595</v>
      </c>
      <c r="AE350" t="b">
        <v>0</v>
      </c>
      <c r="AF350">
        <v>0</v>
      </c>
      <c r="AG350" s="78" t="s">
        <v>4640</v>
      </c>
      <c r="AH350" t="b">
        <v>0</v>
      </c>
      <c r="AI350" t="s">
        <v>4829</v>
      </c>
      <c r="AK350" s="78" t="s">
        <v>4640</v>
      </c>
      <c r="AL350" t="b">
        <v>0</v>
      </c>
      <c r="AM350">
        <v>2</v>
      </c>
      <c r="AN350" s="78" t="s">
        <v>3594</v>
      </c>
      <c r="AO350" s="78" t="s">
        <v>4851</v>
      </c>
      <c r="AP350" t="b">
        <v>0</v>
      </c>
      <c r="AQ350" s="78" t="s">
        <v>3594</v>
      </c>
      <c r="AR350" t="s">
        <v>179</v>
      </c>
      <c r="AS350">
        <v>0</v>
      </c>
      <c r="AT350">
        <v>0</v>
      </c>
    </row>
    <row r="351" spans="1:46" x14ac:dyDescent="0.45">
      <c r="A351" s="62" t="s">
        <v>358</v>
      </c>
      <c r="B351" s="62" t="s">
        <v>1240</v>
      </c>
      <c r="C351" s="63"/>
      <c r="D351" s="64"/>
      <c r="E351" s="65"/>
      <c r="F351" s="66"/>
      <c r="G351" s="63"/>
      <c r="H351" s="67"/>
      <c r="I351" s="68"/>
      <c r="J351" s="68"/>
      <c r="K351" s="32"/>
      <c r="L351" s="75"/>
      <c r="M351" s="75"/>
      <c r="N351" s="70"/>
      <c r="O351" t="s">
        <v>1570</v>
      </c>
      <c r="P351" s="76">
        <v>44958.673171296294</v>
      </c>
      <c r="Q351" t="s">
        <v>1698</v>
      </c>
      <c r="R351"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1" t="s">
        <v>2274</v>
      </c>
      <c r="T351" s="78" t="s">
        <v>2333</v>
      </c>
      <c r="V351" s="77" t="str">
        <f>HYPERLINK("https://pbs.twimg.com/profile_images/1027236642854264837/wuUPiPIa_normal.jpg")</f>
        <v>https://pbs.twimg.com/profile_images/1027236642854264837/wuUPiPIa_normal.jpg</v>
      </c>
      <c r="W351" s="76">
        <v>44958.673171296294</v>
      </c>
      <c r="X351" s="80">
        <v>44958</v>
      </c>
      <c r="Y351" s="78" t="s">
        <v>2579</v>
      </c>
      <c r="Z351" s="77" t="str">
        <f>HYPERLINK("https://twitter.com/scottthomps74/status/1620816586071506944")</f>
        <v>https://twitter.com/scottthomps74/status/1620816586071506944</v>
      </c>
      <c r="AC351" s="78" t="s">
        <v>3596</v>
      </c>
      <c r="AE351" t="b">
        <v>0</v>
      </c>
      <c r="AF351">
        <v>0</v>
      </c>
      <c r="AG351" s="78" t="s">
        <v>4640</v>
      </c>
      <c r="AH351" t="b">
        <v>0</v>
      </c>
      <c r="AI351" t="s">
        <v>4829</v>
      </c>
      <c r="AK351" s="78" t="s">
        <v>4640</v>
      </c>
      <c r="AL351" t="b">
        <v>0</v>
      </c>
      <c r="AM351">
        <v>2</v>
      </c>
      <c r="AN351" s="78" t="s">
        <v>3594</v>
      </c>
      <c r="AO351" s="78" t="s">
        <v>4849</v>
      </c>
      <c r="AP351" t="b">
        <v>0</v>
      </c>
      <c r="AQ351" s="78" t="s">
        <v>3594</v>
      </c>
      <c r="AR351" t="s">
        <v>179</v>
      </c>
      <c r="AS351">
        <v>0</v>
      </c>
      <c r="AT351">
        <v>0</v>
      </c>
    </row>
    <row r="352" spans="1:46" x14ac:dyDescent="0.45">
      <c r="A352" s="62" t="s">
        <v>357</v>
      </c>
      <c r="B352" s="62" t="s">
        <v>1241</v>
      </c>
      <c r="C352" s="63"/>
      <c r="D352" s="64"/>
      <c r="E352" s="65"/>
      <c r="F352" s="66"/>
      <c r="G352" s="63"/>
      <c r="H352" s="67"/>
      <c r="I352" s="68"/>
      <c r="J352" s="68"/>
      <c r="K352" s="32"/>
      <c r="L352" s="75"/>
      <c r="M352" s="75"/>
      <c r="N352" s="70"/>
      <c r="O352" t="s">
        <v>1570</v>
      </c>
      <c r="P352" s="76">
        <v>44958.643877314818</v>
      </c>
      <c r="Q352" t="s">
        <v>1698</v>
      </c>
      <c r="R352"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2" t="s">
        <v>2274</v>
      </c>
      <c r="T352" s="78" t="s">
        <v>2333</v>
      </c>
      <c r="V352" s="77" t="str">
        <f>HYPERLINK("https://pbs.twimg.com/profile_images/1071510054333861889/zrJ32HSV_normal.jpg")</f>
        <v>https://pbs.twimg.com/profile_images/1071510054333861889/zrJ32HSV_normal.jpg</v>
      </c>
      <c r="W352" s="76">
        <v>44958.643877314818</v>
      </c>
      <c r="X352" s="80">
        <v>44958</v>
      </c>
      <c r="Y352" s="78" t="s">
        <v>2578</v>
      </c>
      <c r="Z352" s="77" t="str">
        <f>HYPERLINK("https://twitter.com/5h15h/status/1620805973853237248")</f>
        <v>https://twitter.com/5h15h/status/1620805973853237248</v>
      </c>
      <c r="AC352" s="78" t="s">
        <v>3595</v>
      </c>
      <c r="AE352" t="b">
        <v>0</v>
      </c>
      <c r="AF352">
        <v>0</v>
      </c>
      <c r="AG352" s="78" t="s">
        <v>4640</v>
      </c>
      <c r="AH352" t="b">
        <v>0</v>
      </c>
      <c r="AI352" t="s">
        <v>4829</v>
      </c>
      <c r="AK352" s="78" t="s">
        <v>4640</v>
      </c>
      <c r="AL352" t="b">
        <v>0</v>
      </c>
      <c r="AM352">
        <v>2</v>
      </c>
      <c r="AN352" s="78" t="s">
        <v>3594</v>
      </c>
      <c r="AO352" s="78" t="s">
        <v>4851</v>
      </c>
      <c r="AP352" t="b">
        <v>0</v>
      </c>
      <c r="AQ352" s="78" t="s">
        <v>3594</v>
      </c>
      <c r="AR352" t="s">
        <v>179</v>
      </c>
      <c r="AS352">
        <v>0</v>
      </c>
      <c r="AT352">
        <v>0</v>
      </c>
    </row>
    <row r="353" spans="1:46" x14ac:dyDescent="0.45">
      <c r="A353" s="62" t="s">
        <v>357</v>
      </c>
      <c r="B353" s="62" t="s">
        <v>242</v>
      </c>
      <c r="C353" s="63"/>
      <c r="D353" s="64"/>
      <c r="E353" s="65"/>
      <c r="F353" s="66"/>
      <c r="G353" s="63"/>
      <c r="H353" s="67"/>
      <c r="I353" s="68"/>
      <c r="J353" s="68"/>
      <c r="K353" s="32"/>
      <c r="L353" s="75"/>
      <c r="M353" s="75"/>
      <c r="N353" s="70"/>
      <c r="O353" t="s">
        <v>1570</v>
      </c>
      <c r="P353" s="76">
        <v>44958.643877314818</v>
      </c>
      <c r="Q353" t="s">
        <v>1698</v>
      </c>
      <c r="R353"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3" t="s">
        <v>2274</v>
      </c>
      <c r="T353" s="78" t="s">
        <v>2333</v>
      </c>
      <c r="V353" s="77" t="str">
        <f>HYPERLINK("https://pbs.twimg.com/profile_images/1071510054333861889/zrJ32HSV_normal.jpg")</f>
        <v>https://pbs.twimg.com/profile_images/1071510054333861889/zrJ32HSV_normal.jpg</v>
      </c>
      <c r="W353" s="76">
        <v>44958.643877314818</v>
      </c>
      <c r="X353" s="80">
        <v>44958</v>
      </c>
      <c r="Y353" s="78" t="s">
        <v>2578</v>
      </c>
      <c r="Z353" s="77" t="str">
        <f>HYPERLINK("https://twitter.com/5h15h/status/1620805973853237248")</f>
        <v>https://twitter.com/5h15h/status/1620805973853237248</v>
      </c>
      <c r="AC353" s="78" t="s">
        <v>3595</v>
      </c>
      <c r="AE353" t="b">
        <v>0</v>
      </c>
      <c r="AF353">
        <v>0</v>
      </c>
      <c r="AG353" s="78" t="s">
        <v>4640</v>
      </c>
      <c r="AH353" t="b">
        <v>0</v>
      </c>
      <c r="AI353" t="s">
        <v>4829</v>
      </c>
      <c r="AK353" s="78" t="s">
        <v>4640</v>
      </c>
      <c r="AL353" t="b">
        <v>0</v>
      </c>
      <c r="AM353">
        <v>2</v>
      </c>
      <c r="AN353" s="78" t="s">
        <v>3594</v>
      </c>
      <c r="AO353" s="78" t="s">
        <v>4851</v>
      </c>
      <c r="AP353" t="b">
        <v>0</v>
      </c>
      <c r="AQ353" s="78" t="s">
        <v>3594</v>
      </c>
      <c r="AR353" t="s">
        <v>179</v>
      </c>
      <c r="AS353">
        <v>0</v>
      </c>
      <c r="AT353">
        <v>0</v>
      </c>
    </row>
    <row r="354" spans="1:46" x14ac:dyDescent="0.45">
      <c r="A354" s="62" t="s">
        <v>357</v>
      </c>
      <c r="B354" s="62" t="s">
        <v>1242</v>
      </c>
      <c r="C354" s="63"/>
      <c r="D354" s="64"/>
      <c r="E354" s="65"/>
      <c r="F354" s="66"/>
      <c r="G354" s="63"/>
      <c r="H354" s="67"/>
      <c r="I354" s="68"/>
      <c r="J354" s="68"/>
      <c r="K354" s="32"/>
      <c r="L354" s="75"/>
      <c r="M354" s="75"/>
      <c r="N354" s="70"/>
      <c r="O354" t="s">
        <v>1570</v>
      </c>
      <c r="P354" s="76">
        <v>44958.643877314818</v>
      </c>
      <c r="Q354" t="s">
        <v>1698</v>
      </c>
      <c r="R354"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4" t="s">
        <v>2274</v>
      </c>
      <c r="T354" s="78" t="s">
        <v>2333</v>
      </c>
      <c r="V354" s="77" t="str">
        <f>HYPERLINK("https://pbs.twimg.com/profile_images/1071510054333861889/zrJ32HSV_normal.jpg")</f>
        <v>https://pbs.twimg.com/profile_images/1071510054333861889/zrJ32HSV_normal.jpg</v>
      </c>
      <c r="W354" s="76">
        <v>44958.643877314818</v>
      </c>
      <c r="X354" s="80">
        <v>44958</v>
      </c>
      <c r="Y354" s="78" t="s">
        <v>2578</v>
      </c>
      <c r="Z354" s="77" t="str">
        <f>HYPERLINK("https://twitter.com/5h15h/status/1620805973853237248")</f>
        <v>https://twitter.com/5h15h/status/1620805973853237248</v>
      </c>
      <c r="AC354" s="78" t="s">
        <v>3595</v>
      </c>
      <c r="AE354" t="b">
        <v>0</v>
      </c>
      <c r="AF354">
        <v>0</v>
      </c>
      <c r="AG354" s="78" t="s">
        <v>4640</v>
      </c>
      <c r="AH354" t="b">
        <v>0</v>
      </c>
      <c r="AI354" t="s">
        <v>4829</v>
      </c>
      <c r="AK354" s="78" t="s">
        <v>4640</v>
      </c>
      <c r="AL354" t="b">
        <v>0</v>
      </c>
      <c r="AM354">
        <v>2</v>
      </c>
      <c r="AN354" s="78" t="s">
        <v>3594</v>
      </c>
      <c r="AO354" s="78" t="s">
        <v>4851</v>
      </c>
      <c r="AP354" t="b">
        <v>0</v>
      </c>
      <c r="AQ354" s="78" t="s">
        <v>3594</v>
      </c>
      <c r="AR354" t="s">
        <v>179</v>
      </c>
      <c r="AS354">
        <v>0</v>
      </c>
      <c r="AT354">
        <v>0</v>
      </c>
    </row>
    <row r="355" spans="1:46" x14ac:dyDescent="0.45">
      <c r="A355" s="62" t="s">
        <v>357</v>
      </c>
      <c r="B355" s="62" t="s">
        <v>1243</v>
      </c>
      <c r="C355" s="63"/>
      <c r="D355" s="64"/>
      <c r="E355" s="65"/>
      <c r="F355" s="66"/>
      <c r="G355" s="63"/>
      <c r="H355" s="67"/>
      <c r="I355" s="68"/>
      <c r="J355" s="68"/>
      <c r="K355" s="32"/>
      <c r="L355" s="75"/>
      <c r="M355" s="75"/>
      <c r="N355" s="70"/>
      <c r="O355" t="s">
        <v>1570</v>
      </c>
      <c r="P355" s="76">
        <v>44958.643877314818</v>
      </c>
      <c r="Q355" t="s">
        <v>1698</v>
      </c>
      <c r="R355"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5" t="s">
        <v>2274</v>
      </c>
      <c r="T355" s="78" t="s">
        <v>2333</v>
      </c>
      <c r="V355" s="77" t="str">
        <f>HYPERLINK("https://pbs.twimg.com/profile_images/1071510054333861889/zrJ32HSV_normal.jpg")</f>
        <v>https://pbs.twimg.com/profile_images/1071510054333861889/zrJ32HSV_normal.jpg</v>
      </c>
      <c r="W355" s="76">
        <v>44958.643877314818</v>
      </c>
      <c r="X355" s="80">
        <v>44958</v>
      </c>
      <c r="Y355" s="78" t="s">
        <v>2578</v>
      </c>
      <c r="Z355" s="77" t="str">
        <f>HYPERLINK("https://twitter.com/5h15h/status/1620805973853237248")</f>
        <v>https://twitter.com/5h15h/status/1620805973853237248</v>
      </c>
      <c r="AC355" s="78" t="s">
        <v>3595</v>
      </c>
      <c r="AE355" t="b">
        <v>0</v>
      </c>
      <c r="AF355">
        <v>0</v>
      </c>
      <c r="AG355" s="78" t="s">
        <v>4640</v>
      </c>
      <c r="AH355" t="b">
        <v>0</v>
      </c>
      <c r="AI355" t="s">
        <v>4829</v>
      </c>
      <c r="AK355" s="78" t="s">
        <v>4640</v>
      </c>
      <c r="AL355" t="b">
        <v>0</v>
      </c>
      <c r="AM355">
        <v>2</v>
      </c>
      <c r="AN355" s="78" t="s">
        <v>3594</v>
      </c>
      <c r="AO355" s="78" t="s">
        <v>4851</v>
      </c>
      <c r="AP355" t="b">
        <v>0</v>
      </c>
      <c r="AQ355" s="78" t="s">
        <v>3594</v>
      </c>
      <c r="AR355" t="s">
        <v>179</v>
      </c>
      <c r="AS355">
        <v>0</v>
      </c>
      <c r="AT355">
        <v>0</v>
      </c>
    </row>
    <row r="356" spans="1:46" x14ac:dyDescent="0.45">
      <c r="A356" s="62" t="s">
        <v>357</v>
      </c>
      <c r="B356" s="62" t="s">
        <v>1244</v>
      </c>
      <c r="C356" s="63"/>
      <c r="D356" s="64"/>
      <c r="E356" s="65"/>
      <c r="F356" s="66"/>
      <c r="G356" s="63"/>
      <c r="H356" s="67"/>
      <c r="I356" s="68"/>
      <c r="J356" s="68"/>
      <c r="K356" s="32"/>
      <c r="L356" s="75"/>
      <c r="M356" s="75"/>
      <c r="N356" s="70"/>
      <c r="O356" t="s">
        <v>1570</v>
      </c>
      <c r="P356" s="76">
        <v>44958.643877314818</v>
      </c>
      <c r="Q356" t="s">
        <v>1698</v>
      </c>
      <c r="R356"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6" t="s">
        <v>2274</v>
      </c>
      <c r="T356" s="78" t="s">
        <v>2333</v>
      </c>
      <c r="V356" s="77" t="str">
        <f>HYPERLINK("https://pbs.twimg.com/profile_images/1071510054333861889/zrJ32HSV_normal.jpg")</f>
        <v>https://pbs.twimg.com/profile_images/1071510054333861889/zrJ32HSV_normal.jpg</v>
      </c>
      <c r="W356" s="76">
        <v>44958.643877314818</v>
      </c>
      <c r="X356" s="80">
        <v>44958</v>
      </c>
      <c r="Y356" s="78" t="s">
        <v>2578</v>
      </c>
      <c r="Z356" s="77" t="str">
        <f>HYPERLINK("https://twitter.com/5h15h/status/1620805973853237248")</f>
        <v>https://twitter.com/5h15h/status/1620805973853237248</v>
      </c>
      <c r="AC356" s="78" t="s">
        <v>3595</v>
      </c>
      <c r="AE356" t="b">
        <v>0</v>
      </c>
      <c r="AF356">
        <v>0</v>
      </c>
      <c r="AG356" s="78" t="s">
        <v>4640</v>
      </c>
      <c r="AH356" t="b">
        <v>0</v>
      </c>
      <c r="AI356" t="s">
        <v>4829</v>
      </c>
      <c r="AK356" s="78" t="s">
        <v>4640</v>
      </c>
      <c r="AL356" t="b">
        <v>0</v>
      </c>
      <c r="AM356">
        <v>2</v>
      </c>
      <c r="AN356" s="78" t="s">
        <v>3594</v>
      </c>
      <c r="AO356" s="78" t="s">
        <v>4851</v>
      </c>
      <c r="AP356" t="b">
        <v>0</v>
      </c>
      <c r="AQ356" s="78" t="s">
        <v>3594</v>
      </c>
      <c r="AR356" t="s">
        <v>179</v>
      </c>
      <c r="AS356">
        <v>0</v>
      </c>
      <c r="AT356">
        <v>0</v>
      </c>
    </row>
    <row r="357" spans="1:46" x14ac:dyDescent="0.45">
      <c r="A357" s="62" t="s">
        <v>357</v>
      </c>
      <c r="B357" s="62" t="s">
        <v>1245</v>
      </c>
      <c r="C357" s="63"/>
      <c r="D357" s="64"/>
      <c r="E357" s="65"/>
      <c r="F357" s="66"/>
      <c r="G357" s="63"/>
      <c r="H357" s="67"/>
      <c r="I357" s="68"/>
      <c r="J357" s="68"/>
      <c r="K357" s="32"/>
      <c r="L357" s="75"/>
      <c r="M357" s="75"/>
      <c r="N357" s="70"/>
      <c r="O357" t="s">
        <v>1570</v>
      </c>
      <c r="P357" s="76">
        <v>44958.643877314818</v>
      </c>
      <c r="Q357" t="s">
        <v>1698</v>
      </c>
      <c r="R357"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7" t="s">
        <v>2274</v>
      </c>
      <c r="T357" s="78" t="s">
        <v>2333</v>
      </c>
      <c r="V357" s="77" t="str">
        <f>HYPERLINK("https://pbs.twimg.com/profile_images/1071510054333861889/zrJ32HSV_normal.jpg")</f>
        <v>https://pbs.twimg.com/profile_images/1071510054333861889/zrJ32HSV_normal.jpg</v>
      </c>
      <c r="W357" s="76">
        <v>44958.643877314818</v>
      </c>
      <c r="X357" s="80">
        <v>44958</v>
      </c>
      <c r="Y357" s="78" t="s">
        <v>2578</v>
      </c>
      <c r="Z357" s="77" t="str">
        <f>HYPERLINK("https://twitter.com/5h15h/status/1620805973853237248")</f>
        <v>https://twitter.com/5h15h/status/1620805973853237248</v>
      </c>
      <c r="AC357" s="78" t="s">
        <v>3595</v>
      </c>
      <c r="AE357" t="b">
        <v>0</v>
      </c>
      <c r="AF357">
        <v>0</v>
      </c>
      <c r="AG357" s="78" t="s">
        <v>4640</v>
      </c>
      <c r="AH357" t="b">
        <v>0</v>
      </c>
      <c r="AI357" t="s">
        <v>4829</v>
      </c>
      <c r="AK357" s="78" t="s">
        <v>4640</v>
      </c>
      <c r="AL357" t="b">
        <v>0</v>
      </c>
      <c r="AM357">
        <v>2</v>
      </c>
      <c r="AN357" s="78" t="s">
        <v>3594</v>
      </c>
      <c r="AO357" s="78" t="s">
        <v>4851</v>
      </c>
      <c r="AP357" t="b">
        <v>0</v>
      </c>
      <c r="AQ357" s="78" t="s">
        <v>3594</v>
      </c>
      <c r="AR357" t="s">
        <v>179</v>
      </c>
      <c r="AS357">
        <v>0</v>
      </c>
      <c r="AT357">
        <v>0</v>
      </c>
    </row>
    <row r="358" spans="1:46" x14ac:dyDescent="0.45">
      <c r="A358" s="62" t="s">
        <v>357</v>
      </c>
      <c r="B358" s="62" t="s">
        <v>1246</v>
      </c>
      <c r="C358" s="63"/>
      <c r="D358" s="64"/>
      <c r="E358" s="65"/>
      <c r="F358" s="66"/>
      <c r="G358" s="63"/>
      <c r="H358" s="67"/>
      <c r="I358" s="68"/>
      <c r="J358" s="68"/>
      <c r="K358" s="32"/>
      <c r="L358" s="75"/>
      <c r="M358" s="75"/>
      <c r="N358" s="70"/>
      <c r="O358" t="s">
        <v>1570</v>
      </c>
      <c r="P358" s="76">
        <v>44958.643877314818</v>
      </c>
      <c r="Q358" t="s">
        <v>1698</v>
      </c>
      <c r="R358"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8" t="s">
        <v>2274</v>
      </c>
      <c r="T358" s="78" t="s">
        <v>2333</v>
      </c>
      <c r="V358" s="77" t="str">
        <f>HYPERLINK("https://pbs.twimg.com/profile_images/1071510054333861889/zrJ32HSV_normal.jpg")</f>
        <v>https://pbs.twimg.com/profile_images/1071510054333861889/zrJ32HSV_normal.jpg</v>
      </c>
      <c r="W358" s="76">
        <v>44958.643877314818</v>
      </c>
      <c r="X358" s="80">
        <v>44958</v>
      </c>
      <c r="Y358" s="78" t="s">
        <v>2578</v>
      </c>
      <c r="Z358" s="77" t="str">
        <f>HYPERLINK("https://twitter.com/5h15h/status/1620805973853237248")</f>
        <v>https://twitter.com/5h15h/status/1620805973853237248</v>
      </c>
      <c r="AC358" s="78" t="s">
        <v>3595</v>
      </c>
      <c r="AE358" t="b">
        <v>0</v>
      </c>
      <c r="AF358">
        <v>0</v>
      </c>
      <c r="AG358" s="78" t="s">
        <v>4640</v>
      </c>
      <c r="AH358" t="b">
        <v>0</v>
      </c>
      <c r="AI358" t="s">
        <v>4829</v>
      </c>
      <c r="AK358" s="78" t="s">
        <v>4640</v>
      </c>
      <c r="AL358" t="b">
        <v>0</v>
      </c>
      <c r="AM358">
        <v>2</v>
      </c>
      <c r="AN358" s="78" t="s">
        <v>3594</v>
      </c>
      <c r="AO358" s="78" t="s">
        <v>4851</v>
      </c>
      <c r="AP358" t="b">
        <v>0</v>
      </c>
      <c r="AQ358" s="78" t="s">
        <v>3594</v>
      </c>
      <c r="AR358" t="s">
        <v>179</v>
      </c>
      <c r="AS358">
        <v>0</v>
      </c>
      <c r="AT358">
        <v>0</v>
      </c>
    </row>
    <row r="359" spans="1:46" x14ac:dyDescent="0.45">
      <c r="A359" s="62" t="s">
        <v>357</v>
      </c>
      <c r="B359" s="62" t="s">
        <v>356</v>
      </c>
      <c r="C359" s="63"/>
      <c r="D359" s="64"/>
      <c r="E359" s="65"/>
      <c r="F359" s="66"/>
      <c r="G359" s="63"/>
      <c r="H359" s="67"/>
      <c r="I359" s="68"/>
      <c r="J359" s="68"/>
      <c r="K359" s="32"/>
      <c r="L359" s="75"/>
      <c r="M359" s="75"/>
      <c r="N359" s="70"/>
      <c r="O359" t="s">
        <v>1569</v>
      </c>
      <c r="P359" s="76">
        <v>44958.643877314818</v>
      </c>
      <c r="Q359" t="s">
        <v>1698</v>
      </c>
      <c r="R359"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59" t="s">
        <v>2274</v>
      </c>
      <c r="T359" s="78" t="s">
        <v>2333</v>
      </c>
      <c r="V359" s="77" t="str">
        <f>HYPERLINK("https://pbs.twimg.com/profile_images/1071510054333861889/zrJ32HSV_normal.jpg")</f>
        <v>https://pbs.twimg.com/profile_images/1071510054333861889/zrJ32HSV_normal.jpg</v>
      </c>
      <c r="W359" s="76">
        <v>44958.643877314818</v>
      </c>
      <c r="X359" s="80">
        <v>44958</v>
      </c>
      <c r="Y359" s="78" t="s">
        <v>2578</v>
      </c>
      <c r="Z359" s="77" t="str">
        <f>HYPERLINK("https://twitter.com/5h15h/status/1620805973853237248")</f>
        <v>https://twitter.com/5h15h/status/1620805973853237248</v>
      </c>
      <c r="AC359" s="78" t="s">
        <v>3595</v>
      </c>
      <c r="AE359" t="b">
        <v>0</v>
      </c>
      <c r="AF359">
        <v>0</v>
      </c>
      <c r="AG359" s="78" t="s">
        <v>4640</v>
      </c>
      <c r="AH359" t="b">
        <v>0</v>
      </c>
      <c r="AI359" t="s">
        <v>4829</v>
      </c>
      <c r="AK359" s="78" t="s">
        <v>4640</v>
      </c>
      <c r="AL359" t="b">
        <v>0</v>
      </c>
      <c r="AM359">
        <v>2</v>
      </c>
      <c r="AN359" s="78" t="s">
        <v>3594</v>
      </c>
      <c r="AO359" s="78" t="s">
        <v>4851</v>
      </c>
      <c r="AP359" t="b">
        <v>0</v>
      </c>
      <c r="AQ359" s="78" t="s">
        <v>3594</v>
      </c>
      <c r="AR359" t="s">
        <v>179</v>
      </c>
      <c r="AS359">
        <v>0</v>
      </c>
      <c r="AT359">
        <v>0</v>
      </c>
    </row>
    <row r="360" spans="1:46" x14ac:dyDescent="0.45">
      <c r="A360" s="62" t="s">
        <v>358</v>
      </c>
      <c r="B360" s="62" t="s">
        <v>357</v>
      </c>
      <c r="C360" s="63"/>
      <c r="D360" s="64"/>
      <c r="E360" s="65"/>
      <c r="F360" s="66"/>
      <c r="G360" s="63"/>
      <c r="H360" s="67"/>
      <c r="I360" s="68"/>
      <c r="J360" s="68"/>
      <c r="K360" s="32"/>
      <c r="L360" s="75"/>
      <c r="M360" s="75"/>
      <c r="N360" s="70"/>
      <c r="O360" t="s">
        <v>1570</v>
      </c>
      <c r="P360" s="76">
        <v>44958.673171296294</v>
      </c>
      <c r="Q360" t="s">
        <v>1698</v>
      </c>
      <c r="R360"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0" t="s">
        <v>2274</v>
      </c>
      <c r="T360" s="78" t="s">
        <v>2333</v>
      </c>
      <c r="V360" s="77" t="str">
        <f>HYPERLINK("https://pbs.twimg.com/profile_images/1027236642854264837/wuUPiPIa_normal.jpg")</f>
        <v>https://pbs.twimg.com/profile_images/1027236642854264837/wuUPiPIa_normal.jpg</v>
      </c>
      <c r="W360" s="76">
        <v>44958.673171296294</v>
      </c>
      <c r="X360" s="80">
        <v>44958</v>
      </c>
      <c r="Y360" s="78" t="s">
        <v>2579</v>
      </c>
      <c r="Z360" s="77" t="str">
        <f>HYPERLINK("https://twitter.com/scottthomps74/status/1620816586071506944")</f>
        <v>https://twitter.com/scottthomps74/status/1620816586071506944</v>
      </c>
      <c r="AC360" s="78" t="s">
        <v>3596</v>
      </c>
      <c r="AE360" t="b">
        <v>0</v>
      </c>
      <c r="AF360">
        <v>0</v>
      </c>
      <c r="AG360" s="78" t="s">
        <v>4640</v>
      </c>
      <c r="AH360" t="b">
        <v>0</v>
      </c>
      <c r="AI360" t="s">
        <v>4829</v>
      </c>
      <c r="AK360" s="78" t="s">
        <v>4640</v>
      </c>
      <c r="AL360" t="b">
        <v>0</v>
      </c>
      <c r="AM360">
        <v>2</v>
      </c>
      <c r="AN360" s="78" t="s">
        <v>3594</v>
      </c>
      <c r="AO360" s="78" t="s">
        <v>4849</v>
      </c>
      <c r="AP360" t="b">
        <v>0</v>
      </c>
      <c r="AQ360" s="78" t="s">
        <v>3594</v>
      </c>
      <c r="AR360" t="s">
        <v>179</v>
      </c>
      <c r="AS360">
        <v>0</v>
      </c>
      <c r="AT360">
        <v>0</v>
      </c>
    </row>
    <row r="361" spans="1:46" x14ac:dyDescent="0.45">
      <c r="A361" s="62" t="s">
        <v>358</v>
      </c>
      <c r="B361" s="62" t="s">
        <v>1243</v>
      </c>
      <c r="C361" s="63"/>
      <c r="D361" s="64"/>
      <c r="E361" s="65"/>
      <c r="F361" s="66"/>
      <c r="G361" s="63"/>
      <c r="H361" s="67"/>
      <c r="I361" s="68"/>
      <c r="J361" s="68"/>
      <c r="K361" s="32"/>
      <c r="L361" s="75"/>
      <c r="M361" s="75"/>
      <c r="N361" s="70"/>
      <c r="O361" t="s">
        <v>1570</v>
      </c>
      <c r="P361" s="76">
        <v>44958.673171296294</v>
      </c>
      <c r="Q361" t="s">
        <v>1698</v>
      </c>
      <c r="R361"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1" t="s">
        <v>2274</v>
      </c>
      <c r="T361" s="78" t="s">
        <v>2333</v>
      </c>
      <c r="V361" s="77" t="str">
        <f>HYPERLINK("https://pbs.twimg.com/profile_images/1027236642854264837/wuUPiPIa_normal.jpg")</f>
        <v>https://pbs.twimg.com/profile_images/1027236642854264837/wuUPiPIa_normal.jpg</v>
      </c>
      <c r="W361" s="76">
        <v>44958.673171296294</v>
      </c>
      <c r="X361" s="80">
        <v>44958</v>
      </c>
      <c r="Y361" s="78" t="s">
        <v>2579</v>
      </c>
      <c r="Z361" s="77" t="str">
        <f>HYPERLINK("https://twitter.com/scottthomps74/status/1620816586071506944")</f>
        <v>https://twitter.com/scottthomps74/status/1620816586071506944</v>
      </c>
      <c r="AC361" s="78" t="s">
        <v>3596</v>
      </c>
      <c r="AE361" t="b">
        <v>0</v>
      </c>
      <c r="AF361">
        <v>0</v>
      </c>
      <c r="AG361" s="78" t="s">
        <v>4640</v>
      </c>
      <c r="AH361" t="b">
        <v>0</v>
      </c>
      <c r="AI361" t="s">
        <v>4829</v>
      </c>
      <c r="AK361" s="78" t="s">
        <v>4640</v>
      </c>
      <c r="AL361" t="b">
        <v>0</v>
      </c>
      <c r="AM361">
        <v>2</v>
      </c>
      <c r="AN361" s="78" t="s">
        <v>3594</v>
      </c>
      <c r="AO361" s="78" t="s">
        <v>4849</v>
      </c>
      <c r="AP361" t="b">
        <v>0</v>
      </c>
      <c r="AQ361" s="78" t="s">
        <v>3594</v>
      </c>
      <c r="AR361" t="s">
        <v>179</v>
      </c>
      <c r="AS361">
        <v>0</v>
      </c>
      <c r="AT361">
        <v>0</v>
      </c>
    </row>
    <row r="362" spans="1:46" x14ac:dyDescent="0.45">
      <c r="A362" s="62" t="s">
        <v>358</v>
      </c>
      <c r="B362" s="62" t="s">
        <v>1244</v>
      </c>
      <c r="C362" s="63"/>
      <c r="D362" s="64"/>
      <c r="E362" s="65"/>
      <c r="F362" s="66"/>
      <c r="G362" s="63"/>
      <c r="H362" s="67"/>
      <c r="I362" s="68"/>
      <c r="J362" s="68"/>
      <c r="K362" s="32"/>
      <c r="L362" s="75"/>
      <c r="M362" s="75"/>
      <c r="N362" s="70"/>
      <c r="O362" t="s">
        <v>1570</v>
      </c>
      <c r="P362" s="76">
        <v>44958.673171296294</v>
      </c>
      <c r="Q362" t="s">
        <v>1698</v>
      </c>
      <c r="R362"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2" t="s">
        <v>2274</v>
      </c>
      <c r="T362" s="78" t="s">
        <v>2333</v>
      </c>
      <c r="V362" s="77" t="str">
        <f>HYPERLINK("https://pbs.twimg.com/profile_images/1027236642854264837/wuUPiPIa_normal.jpg")</f>
        <v>https://pbs.twimg.com/profile_images/1027236642854264837/wuUPiPIa_normal.jpg</v>
      </c>
      <c r="W362" s="76">
        <v>44958.673171296294</v>
      </c>
      <c r="X362" s="80">
        <v>44958</v>
      </c>
      <c r="Y362" s="78" t="s">
        <v>2579</v>
      </c>
      <c r="Z362" s="77" t="str">
        <f>HYPERLINK("https://twitter.com/scottthomps74/status/1620816586071506944")</f>
        <v>https://twitter.com/scottthomps74/status/1620816586071506944</v>
      </c>
      <c r="AC362" s="78" t="s">
        <v>3596</v>
      </c>
      <c r="AE362" t="b">
        <v>0</v>
      </c>
      <c r="AF362">
        <v>0</v>
      </c>
      <c r="AG362" s="78" t="s">
        <v>4640</v>
      </c>
      <c r="AH362" t="b">
        <v>0</v>
      </c>
      <c r="AI362" t="s">
        <v>4829</v>
      </c>
      <c r="AK362" s="78" t="s">
        <v>4640</v>
      </c>
      <c r="AL362" t="b">
        <v>0</v>
      </c>
      <c r="AM362">
        <v>2</v>
      </c>
      <c r="AN362" s="78" t="s">
        <v>3594</v>
      </c>
      <c r="AO362" s="78" t="s">
        <v>4849</v>
      </c>
      <c r="AP362" t="b">
        <v>0</v>
      </c>
      <c r="AQ362" s="78" t="s">
        <v>3594</v>
      </c>
      <c r="AR362" t="s">
        <v>179</v>
      </c>
      <c r="AS362">
        <v>0</v>
      </c>
      <c r="AT362">
        <v>0</v>
      </c>
    </row>
    <row r="363" spans="1:46" x14ac:dyDescent="0.45">
      <c r="A363" s="62" t="s">
        <v>358</v>
      </c>
      <c r="B363" s="62" t="s">
        <v>1245</v>
      </c>
      <c r="C363" s="63"/>
      <c r="D363" s="64"/>
      <c r="E363" s="65"/>
      <c r="F363" s="66"/>
      <c r="G363" s="63"/>
      <c r="H363" s="67"/>
      <c r="I363" s="68"/>
      <c r="J363" s="68"/>
      <c r="K363" s="32"/>
      <c r="L363" s="75"/>
      <c r="M363" s="75"/>
      <c r="N363" s="70"/>
      <c r="O363" t="s">
        <v>1570</v>
      </c>
      <c r="P363" s="76">
        <v>44958.673171296294</v>
      </c>
      <c r="Q363" t="s">
        <v>1698</v>
      </c>
      <c r="R363"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3" t="s">
        <v>2274</v>
      </c>
      <c r="T363" s="78" t="s">
        <v>2333</v>
      </c>
      <c r="V363" s="77" t="str">
        <f>HYPERLINK("https://pbs.twimg.com/profile_images/1027236642854264837/wuUPiPIa_normal.jpg")</f>
        <v>https://pbs.twimg.com/profile_images/1027236642854264837/wuUPiPIa_normal.jpg</v>
      </c>
      <c r="W363" s="76">
        <v>44958.673171296294</v>
      </c>
      <c r="X363" s="80">
        <v>44958</v>
      </c>
      <c r="Y363" s="78" t="s">
        <v>2579</v>
      </c>
      <c r="Z363" s="77" t="str">
        <f>HYPERLINK("https://twitter.com/scottthomps74/status/1620816586071506944")</f>
        <v>https://twitter.com/scottthomps74/status/1620816586071506944</v>
      </c>
      <c r="AC363" s="78" t="s">
        <v>3596</v>
      </c>
      <c r="AE363" t="b">
        <v>0</v>
      </c>
      <c r="AF363">
        <v>0</v>
      </c>
      <c r="AG363" s="78" t="s">
        <v>4640</v>
      </c>
      <c r="AH363" t="b">
        <v>0</v>
      </c>
      <c r="AI363" t="s">
        <v>4829</v>
      </c>
      <c r="AK363" s="78" t="s">
        <v>4640</v>
      </c>
      <c r="AL363" t="b">
        <v>0</v>
      </c>
      <c r="AM363">
        <v>2</v>
      </c>
      <c r="AN363" s="78" t="s">
        <v>3594</v>
      </c>
      <c r="AO363" s="78" t="s">
        <v>4849</v>
      </c>
      <c r="AP363" t="b">
        <v>0</v>
      </c>
      <c r="AQ363" s="78" t="s">
        <v>3594</v>
      </c>
      <c r="AR363" t="s">
        <v>179</v>
      </c>
      <c r="AS363">
        <v>0</v>
      </c>
      <c r="AT363">
        <v>0</v>
      </c>
    </row>
    <row r="364" spans="1:46" x14ac:dyDescent="0.45">
      <c r="A364" s="62" t="s">
        <v>358</v>
      </c>
      <c r="B364" s="62" t="s">
        <v>1246</v>
      </c>
      <c r="C364" s="63"/>
      <c r="D364" s="64"/>
      <c r="E364" s="65"/>
      <c r="F364" s="66"/>
      <c r="G364" s="63"/>
      <c r="H364" s="67"/>
      <c r="I364" s="68"/>
      <c r="J364" s="68"/>
      <c r="K364" s="32"/>
      <c r="L364" s="75"/>
      <c r="M364" s="75"/>
      <c r="N364" s="70"/>
      <c r="O364" t="s">
        <v>1570</v>
      </c>
      <c r="P364" s="76">
        <v>44958.673171296294</v>
      </c>
      <c r="Q364" t="s">
        <v>1698</v>
      </c>
      <c r="R364"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4" t="s">
        <v>2274</v>
      </c>
      <c r="T364" s="78" t="s">
        <v>2333</v>
      </c>
      <c r="V364" s="77" t="str">
        <f>HYPERLINK("https://pbs.twimg.com/profile_images/1027236642854264837/wuUPiPIa_normal.jpg")</f>
        <v>https://pbs.twimg.com/profile_images/1027236642854264837/wuUPiPIa_normal.jpg</v>
      </c>
      <c r="W364" s="76">
        <v>44958.673171296294</v>
      </c>
      <c r="X364" s="80">
        <v>44958</v>
      </c>
      <c r="Y364" s="78" t="s">
        <v>2579</v>
      </c>
      <c r="Z364" s="77" t="str">
        <f>HYPERLINK("https://twitter.com/scottthomps74/status/1620816586071506944")</f>
        <v>https://twitter.com/scottthomps74/status/1620816586071506944</v>
      </c>
      <c r="AC364" s="78" t="s">
        <v>3596</v>
      </c>
      <c r="AE364" t="b">
        <v>0</v>
      </c>
      <c r="AF364">
        <v>0</v>
      </c>
      <c r="AG364" s="78" t="s">
        <v>4640</v>
      </c>
      <c r="AH364" t="b">
        <v>0</v>
      </c>
      <c r="AI364" t="s">
        <v>4829</v>
      </c>
      <c r="AK364" s="78" t="s">
        <v>4640</v>
      </c>
      <c r="AL364" t="b">
        <v>0</v>
      </c>
      <c r="AM364">
        <v>2</v>
      </c>
      <c r="AN364" s="78" t="s">
        <v>3594</v>
      </c>
      <c r="AO364" s="78" t="s">
        <v>4849</v>
      </c>
      <c r="AP364" t="b">
        <v>0</v>
      </c>
      <c r="AQ364" s="78" t="s">
        <v>3594</v>
      </c>
      <c r="AR364" t="s">
        <v>179</v>
      </c>
      <c r="AS364">
        <v>0</v>
      </c>
      <c r="AT364">
        <v>0</v>
      </c>
    </row>
    <row r="365" spans="1:46" x14ac:dyDescent="0.45">
      <c r="A365" s="62" t="s">
        <v>358</v>
      </c>
      <c r="B365" s="62" t="s">
        <v>356</v>
      </c>
      <c r="C365" s="63"/>
      <c r="D365" s="64"/>
      <c r="E365" s="65"/>
      <c r="F365" s="66"/>
      <c r="G365" s="63"/>
      <c r="H365" s="67"/>
      <c r="I365" s="68"/>
      <c r="J365" s="68"/>
      <c r="K365" s="32"/>
      <c r="L365" s="75"/>
      <c r="M365" s="75"/>
      <c r="N365" s="70"/>
      <c r="O365" t="s">
        <v>1569</v>
      </c>
      <c r="P365" s="76">
        <v>44958.673171296294</v>
      </c>
      <c r="Q365" t="s">
        <v>1698</v>
      </c>
      <c r="R365"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5" t="s">
        <v>2274</v>
      </c>
      <c r="T365" s="78" t="s">
        <v>2333</v>
      </c>
      <c r="V365" s="77" t="str">
        <f>HYPERLINK("https://pbs.twimg.com/profile_images/1027236642854264837/wuUPiPIa_normal.jpg")</f>
        <v>https://pbs.twimg.com/profile_images/1027236642854264837/wuUPiPIa_normal.jpg</v>
      </c>
      <c r="W365" s="76">
        <v>44958.673171296294</v>
      </c>
      <c r="X365" s="80">
        <v>44958</v>
      </c>
      <c r="Y365" s="78" t="s">
        <v>2579</v>
      </c>
      <c r="Z365" s="77" t="str">
        <f>HYPERLINK("https://twitter.com/scottthomps74/status/1620816586071506944")</f>
        <v>https://twitter.com/scottthomps74/status/1620816586071506944</v>
      </c>
      <c r="AC365" s="78" t="s">
        <v>3596</v>
      </c>
      <c r="AE365" t="b">
        <v>0</v>
      </c>
      <c r="AF365">
        <v>0</v>
      </c>
      <c r="AG365" s="78" t="s">
        <v>4640</v>
      </c>
      <c r="AH365" t="b">
        <v>0</v>
      </c>
      <c r="AI365" t="s">
        <v>4829</v>
      </c>
      <c r="AK365" s="78" t="s">
        <v>4640</v>
      </c>
      <c r="AL365" t="b">
        <v>0</v>
      </c>
      <c r="AM365">
        <v>2</v>
      </c>
      <c r="AN365" s="78" t="s">
        <v>3594</v>
      </c>
      <c r="AO365" s="78" t="s">
        <v>4849</v>
      </c>
      <c r="AP365" t="b">
        <v>0</v>
      </c>
      <c r="AQ365" s="78" t="s">
        <v>3594</v>
      </c>
      <c r="AR365" t="s">
        <v>179</v>
      </c>
      <c r="AS365">
        <v>0</v>
      </c>
      <c r="AT365">
        <v>0</v>
      </c>
    </row>
    <row r="366" spans="1:46" x14ac:dyDescent="0.45">
      <c r="A366" s="62" t="s">
        <v>358</v>
      </c>
      <c r="B366" s="62" t="s">
        <v>1241</v>
      </c>
      <c r="C366" s="63"/>
      <c r="D366" s="64"/>
      <c r="E366" s="65"/>
      <c r="F366" s="66"/>
      <c r="G366" s="63"/>
      <c r="H366" s="67"/>
      <c r="I366" s="68"/>
      <c r="J366" s="68"/>
      <c r="K366" s="32"/>
      <c r="L366" s="75"/>
      <c r="M366" s="75"/>
      <c r="N366" s="70"/>
      <c r="O366" t="s">
        <v>1570</v>
      </c>
      <c r="P366" s="76">
        <v>44958.673171296294</v>
      </c>
      <c r="Q366" t="s">
        <v>1698</v>
      </c>
      <c r="R366"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6" t="s">
        <v>2274</v>
      </c>
      <c r="T366" s="78" t="s">
        <v>2333</v>
      </c>
      <c r="V366" s="77" t="str">
        <f>HYPERLINK("https://pbs.twimg.com/profile_images/1027236642854264837/wuUPiPIa_normal.jpg")</f>
        <v>https://pbs.twimg.com/profile_images/1027236642854264837/wuUPiPIa_normal.jpg</v>
      </c>
      <c r="W366" s="76">
        <v>44958.673171296294</v>
      </c>
      <c r="X366" s="80">
        <v>44958</v>
      </c>
      <c r="Y366" s="78" t="s">
        <v>2579</v>
      </c>
      <c r="Z366" s="77" t="str">
        <f>HYPERLINK("https://twitter.com/scottthomps74/status/1620816586071506944")</f>
        <v>https://twitter.com/scottthomps74/status/1620816586071506944</v>
      </c>
      <c r="AC366" s="78" t="s">
        <v>3596</v>
      </c>
      <c r="AE366" t="b">
        <v>0</v>
      </c>
      <c r="AF366">
        <v>0</v>
      </c>
      <c r="AG366" s="78" t="s">
        <v>4640</v>
      </c>
      <c r="AH366" t="b">
        <v>0</v>
      </c>
      <c r="AI366" t="s">
        <v>4829</v>
      </c>
      <c r="AK366" s="78" t="s">
        <v>4640</v>
      </c>
      <c r="AL366" t="b">
        <v>0</v>
      </c>
      <c r="AM366">
        <v>2</v>
      </c>
      <c r="AN366" s="78" t="s">
        <v>3594</v>
      </c>
      <c r="AO366" s="78" t="s">
        <v>4849</v>
      </c>
      <c r="AP366" t="b">
        <v>0</v>
      </c>
      <c r="AQ366" s="78" t="s">
        <v>3594</v>
      </c>
      <c r="AR366" t="s">
        <v>179</v>
      </c>
      <c r="AS366">
        <v>0</v>
      </c>
      <c r="AT366">
        <v>0</v>
      </c>
    </row>
    <row r="367" spans="1:46" x14ac:dyDescent="0.45">
      <c r="A367" s="62" t="s">
        <v>358</v>
      </c>
      <c r="B367" s="62" t="s">
        <v>242</v>
      </c>
      <c r="C367" s="63"/>
      <c r="D367" s="64"/>
      <c r="E367" s="65"/>
      <c r="F367" s="66"/>
      <c r="G367" s="63"/>
      <c r="H367" s="67"/>
      <c r="I367" s="68"/>
      <c r="J367" s="68"/>
      <c r="K367" s="32"/>
      <c r="L367" s="75"/>
      <c r="M367" s="75"/>
      <c r="N367" s="70"/>
      <c r="O367" t="s">
        <v>1570</v>
      </c>
      <c r="P367" s="76">
        <v>44958.673171296294</v>
      </c>
      <c r="Q367" t="s">
        <v>1698</v>
      </c>
      <c r="R367"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7" t="s">
        <v>2274</v>
      </c>
      <c r="T367" s="78" t="s">
        <v>2333</v>
      </c>
      <c r="V367" s="77" t="str">
        <f>HYPERLINK("https://pbs.twimg.com/profile_images/1027236642854264837/wuUPiPIa_normal.jpg")</f>
        <v>https://pbs.twimg.com/profile_images/1027236642854264837/wuUPiPIa_normal.jpg</v>
      </c>
      <c r="W367" s="76">
        <v>44958.673171296294</v>
      </c>
      <c r="X367" s="80">
        <v>44958</v>
      </c>
      <c r="Y367" s="78" t="s">
        <v>2579</v>
      </c>
      <c r="Z367" s="77" t="str">
        <f>HYPERLINK("https://twitter.com/scottthomps74/status/1620816586071506944")</f>
        <v>https://twitter.com/scottthomps74/status/1620816586071506944</v>
      </c>
      <c r="AC367" s="78" t="s">
        <v>3596</v>
      </c>
      <c r="AE367" t="b">
        <v>0</v>
      </c>
      <c r="AF367">
        <v>0</v>
      </c>
      <c r="AG367" s="78" t="s">
        <v>4640</v>
      </c>
      <c r="AH367" t="b">
        <v>0</v>
      </c>
      <c r="AI367" t="s">
        <v>4829</v>
      </c>
      <c r="AK367" s="78" t="s">
        <v>4640</v>
      </c>
      <c r="AL367" t="b">
        <v>0</v>
      </c>
      <c r="AM367">
        <v>2</v>
      </c>
      <c r="AN367" s="78" t="s">
        <v>3594</v>
      </c>
      <c r="AO367" s="78" t="s">
        <v>4849</v>
      </c>
      <c r="AP367" t="b">
        <v>0</v>
      </c>
      <c r="AQ367" s="78" t="s">
        <v>3594</v>
      </c>
      <c r="AR367" t="s">
        <v>179</v>
      </c>
      <c r="AS367">
        <v>0</v>
      </c>
      <c r="AT367">
        <v>0</v>
      </c>
    </row>
    <row r="368" spans="1:46" x14ac:dyDescent="0.45">
      <c r="A368" s="62" t="s">
        <v>358</v>
      </c>
      <c r="B368" s="62" t="s">
        <v>1242</v>
      </c>
      <c r="C368" s="63"/>
      <c r="D368" s="64"/>
      <c r="E368" s="65"/>
      <c r="F368" s="66"/>
      <c r="G368" s="63"/>
      <c r="H368" s="67"/>
      <c r="I368" s="68"/>
      <c r="J368" s="68"/>
      <c r="K368" s="32"/>
      <c r="L368" s="75"/>
      <c r="M368" s="75"/>
      <c r="N368" s="70"/>
      <c r="O368" t="s">
        <v>1570</v>
      </c>
      <c r="P368" s="76">
        <v>44958.673171296294</v>
      </c>
      <c r="Q368" t="s">
        <v>1698</v>
      </c>
      <c r="R368" s="77" t="str">
        <f>HYPERLINK("https://retailtechinnovationhub.com/home/2023/2/1/the-latest-from-trigo-obsess-and-volumental-rtih-presents-januarys-coolest-retail-technology-plays")</f>
        <v>https://retailtechinnovationhub.com/home/2023/2/1/the-latest-from-trigo-obsess-and-volumental-rtih-presents-januarys-coolest-retail-technology-plays</v>
      </c>
      <c r="S368" t="s">
        <v>2274</v>
      </c>
      <c r="T368" s="78" t="s">
        <v>2333</v>
      </c>
      <c r="V368" s="77" t="str">
        <f>HYPERLINK("https://pbs.twimg.com/profile_images/1027236642854264837/wuUPiPIa_normal.jpg")</f>
        <v>https://pbs.twimg.com/profile_images/1027236642854264837/wuUPiPIa_normal.jpg</v>
      </c>
      <c r="W368" s="76">
        <v>44958.673171296294</v>
      </c>
      <c r="X368" s="80">
        <v>44958</v>
      </c>
      <c r="Y368" s="78" t="s">
        <v>2579</v>
      </c>
      <c r="Z368" s="77" t="str">
        <f>HYPERLINK("https://twitter.com/scottthomps74/status/1620816586071506944")</f>
        <v>https://twitter.com/scottthomps74/status/1620816586071506944</v>
      </c>
      <c r="AC368" s="78" t="s">
        <v>3596</v>
      </c>
      <c r="AE368" t="b">
        <v>0</v>
      </c>
      <c r="AF368">
        <v>0</v>
      </c>
      <c r="AG368" s="78" t="s">
        <v>4640</v>
      </c>
      <c r="AH368" t="b">
        <v>0</v>
      </c>
      <c r="AI368" t="s">
        <v>4829</v>
      </c>
      <c r="AK368" s="78" t="s">
        <v>4640</v>
      </c>
      <c r="AL368" t="b">
        <v>0</v>
      </c>
      <c r="AM368">
        <v>2</v>
      </c>
      <c r="AN368" s="78" t="s">
        <v>3594</v>
      </c>
      <c r="AO368" s="78" t="s">
        <v>4849</v>
      </c>
      <c r="AP368" t="b">
        <v>0</v>
      </c>
      <c r="AQ368" s="78" t="s">
        <v>3594</v>
      </c>
      <c r="AR368" t="s">
        <v>179</v>
      </c>
      <c r="AS368">
        <v>0</v>
      </c>
      <c r="AT368">
        <v>0</v>
      </c>
    </row>
    <row r="369" spans="1:46" x14ac:dyDescent="0.45">
      <c r="A369" s="62" t="s">
        <v>652</v>
      </c>
      <c r="B369" s="62" t="s">
        <v>242</v>
      </c>
      <c r="C369" s="63"/>
      <c r="D369" s="64"/>
      <c r="E369" s="65"/>
      <c r="F369" s="66"/>
      <c r="G369" s="63"/>
      <c r="H369" s="67"/>
      <c r="I369" s="68"/>
      <c r="J369" s="68"/>
      <c r="K369" s="32"/>
      <c r="L369" s="75"/>
      <c r="M369" s="75"/>
      <c r="N369" s="70"/>
      <c r="O369" t="s">
        <v>1568</v>
      </c>
      <c r="P369" s="76">
        <v>44958.854502314818</v>
      </c>
      <c r="Q369" t="s">
        <v>1846</v>
      </c>
      <c r="R369" s="77" t="str">
        <f>HYPERLINK("https://www.reworked.co/employee-experience/get-reworked-podcast-scaling-voice-of-the-employee-to-12m-walmart-employees/?utm_campaign=cm&amp;utm_source=twitter&amp;utm_medium=sm&amp;utm_content=md02012023")</f>
        <v>https://www.reworked.co/employee-experience/get-reworked-podcast-scaling-voice-of-the-employee-to-12m-walmart-employees/?utm_campaign=cm&amp;utm_source=twitter&amp;utm_medium=sm&amp;utm_content=md02012023</v>
      </c>
      <c r="S369" t="s">
        <v>2287</v>
      </c>
      <c r="U369" s="77" t="str">
        <f>HYPERLINK("https://pbs.twimg.com/media/Fn6Hz4mXEAgd5gT.jpg")</f>
        <v>https://pbs.twimg.com/media/Fn6Hz4mXEAgd5gT.jpg</v>
      </c>
      <c r="V369" s="77" t="str">
        <f>HYPERLINK("https://pbs.twimg.com/media/Fn6Hz4mXEAgd5gT.jpg")</f>
        <v>https://pbs.twimg.com/media/Fn6Hz4mXEAgd5gT.jpg</v>
      </c>
      <c r="W369" s="76">
        <v>44958.854502314818</v>
      </c>
      <c r="X369" s="80">
        <v>44958</v>
      </c>
      <c r="Y369" s="78" t="s">
        <v>2852</v>
      </c>
      <c r="Z369" s="77" t="str">
        <f>HYPERLINK("https://twitter.com/getreworked/status/1620882299947728896")</f>
        <v>https://twitter.com/getreworked/status/1620882299947728896</v>
      </c>
      <c r="AC369" s="78" t="s">
        <v>3917</v>
      </c>
      <c r="AE369" t="b">
        <v>0</v>
      </c>
      <c r="AF369">
        <v>0</v>
      </c>
      <c r="AG369" s="78" t="s">
        <v>4640</v>
      </c>
      <c r="AH369" t="b">
        <v>0</v>
      </c>
      <c r="AI369" t="s">
        <v>4829</v>
      </c>
      <c r="AK369" s="78" t="s">
        <v>4640</v>
      </c>
      <c r="AL369" t="b">
        <v>0</v>
      </c>
      <c r="AM369">
        <v>0</v>
      </c>
      <c r="AN369" s="78" t="s">
        <v>4640</v>
      </c>
      <c r="AO369" s="78" t="s">
        <v>4851</v>
      </c>
      <c r="AP369" t="b">
        <v>0</v>
      </c>
      <c r="AQ369" s="78" t="s">
        <v>3917</v>
      </c>
      <c r="AR369" t="s">
        <v>179</v>
      </c>
      <c r="AS369">
        <v>0</v>
      </c>
      <c r="AT369">
        <v>0</v>
      </c>
    </row>
    <row r="370" spans="1:46" x14ac:dyDescent="0.45">
      <c r="A370" s="62" t="s">
        <v>1052</v>
      </c>
      <c r="B370" s="62" t="s">
        <v>1530</v>
      </c>
      <c r="C370" s="63"/>
      <c r="D370" s="64"/>
      <c r="E370" s="65"/>
      <c r="F370" s="66"/>
      <c r="G370" s="63"/>
      <c r="H370" s="67"/>
      <c r="I370" s="68"/>
      <c r="J370" s="68"/>
      <c r="K370" s="32"/>
      <c r="L370" s="75"/>
      <c r="M370" s="75"/>
      <c r="N370" s="70"/>
      <c r="O370" t="s">
        <v>1568</v>
      </c>
      <c r="P370" s="76">
        <v>44959.266493055555</v>
      </c>
      <c r="Q370" t="s">
        <v>2204</v>
      </c>
      <c r="R370" s="77" t="str">
        <f>HYPERLINK("https://www.saturday-am.com/graphic-novels")</f>
        <v>https://www.saturday-am.com/graphic-novels</v>
      </c>
      <c r="S370" t="s">
        <v>2302</v>
      </c>
      <c r="V370" s="77" t="str">
        <f>HYPERLINK("https://pbs.twimg.com/profile_images/890682765493981184/0D6M-XGk_normal.jpg")</f>
        <v>https://pbs.twimg.com/profile_images/890682765493981184/0D6M-XGk_normal.jpg</v>
      </c>
      <c r="W370" s="76">
        <v>44959.266493055555</v>
      </c>
      <c r="X370" s="80">
        <v>44959</v>
      </c>
      <c r="Y370" s="78" t="s">
        <v>3364</v>
      </c>
      <c r="Z370" s="77" t="str">
        <f>HYPERLINK("https://twitter.com/whytmanga/status/1621031600380346370")</f>
        <v>https://twitter.com/whytmanga/status/1621031600380346370</v>
      </c>
      <c r="AC370" s="78" t="s">
        <v>4429</v>
      </c>
      <c r="AD370" s="78" t="s">
        <v>4624</v>
      </c>
      <c r="AE370" t="b">
        <v>0</v>
      </c>
      <c r="AF370">
        <v>5</v>
      </c>
      <c r="AG370" s="78" t="s">
        <v>4811</v>
      </c>
      <c r="AH370" t="b">
        <v>0</v>
      </c>
      <c r="AI370" t="s">
        <v>4829</v>
      </c>
      <c r="AK370" s="78" t="s">
        <v>4640</v>
      </c>
      <c r="AL370" t="b">
        <v>0</v>
      </c>
      <c r="AM370">
        <v>2</v>
      </c>
      <c r="AN370" s="78" t="s">
        <v>4640</v>
      </c>
      <c r="AO370" s="78" t="s">
        <v>4851</v>
      </c>
      <c r="AP370" t="b">
        <v>0</v>
      </c>
      <c r="AQ370" s="78" t="s">
        <v>4624</v>
      </c>
      <c r="AR370" t="s">
        <v>179</v>
      </c>
      <c r="AS370">
        <v>0</v>
      </c>
      <c r="AT370">
        <v>0</v>
      </c>
    </row>
    <row r="371" spans="1:46" x14ac:dyDescent="0.45">
      <c r="A371" s="62" t="s">
        <v>1052</v>
      </c>
      <c r="B371" s="62" t="s">
        <v>1531</v>
      </c>
      <c r="C371" s="63"/>
      <c r="D371" s="64"/>
      <c r="E371" s="65"/>
      <c r="F371" s="66"/>
      <c r="G371" s="63"/>
      <c r="H371" s="67"/>
      <c r="I371" s="68"/>
      <c r="J371" s="68"/>
      <c r="K371" s="32"/>
      <c r="L371" s="75"/>
      <c r="M371" s="75"/>
      <c r="N371" s="70"/>
      <c r="O371" t="s">
        <v>1568</v>
      </c>
      <c r="P371" s="76">
        <v>44959.266493055555</v>
      </c>
      <c r="Q371" t="s">
        <v>2204</v>
      </c>
      <c r="R371" s="77" t="str">
        <f>HYPERLINK("https://www.saturday-am.com/graphic-novels")</f>
        <v>https://www.saturday-am.com/graphic-novels</v>
      </c>
      <c r="S371" t="s">
        <v>2302</v>
      </c>
      <c r="V371" s="77" t="str">
        <f>HYPERLINK("https://pbs.twimg.com/profile_images/890682765493981184/0D6M-XGk_normal.jpg")</f>
        <v>https://pbs.twimg.com/profile_images/890682765493981184/0D6M-XGk_normal.jpg</v>
      </c>
      <c r="W371" s="76">
        <v>44959.266493055555</v>
      </c>
      <c r="X371" s="80">
        <v>44959</v>
      </c>
      <c r="Y371" s="78" t="s">
        <v>3364</v>
      </c>
      <c r="Z371" s="77" t="str">
        <f>HYPERLINK("https://twitter.com/whytmanga/status/1621031600380346370")</f>
        <v>https://twitter.com/whytmanga/status/1621031600380346370</v>
      </c>
      <c r="AC371" s="78" t="s">
        <v>4429</v>
      </c>
      <c r="AD371" s="78" t="s">
        <v>4624</v>
      </c>
      <c r="AE371" t="b">
        <v>0</v>
      </c>
      <c r="AF371">
        <v>5</v>
      </c>
      <c r="AG371" s="78" t="s">
        <v>4811</v>
      </c>
      <c r="AH371" t="b">
        <v>0</v>
      </c>
      <c r="AI371" t="s">
        <v>4829</v>
      </c>
      <c r="AK371" s="78" t="s">
        <v>4640</v>
      </c>
      <c r="AL371" t="b">
        <v>0</v>
      </c>
      <c r="AM371">
        <v>2</v>
      </c>
      <c r="AN371" s="78" t="s">
        <v>4640</v>
      </c>
      <c r="AO371" s="78" t="s">
        <v>4851</v>
      </c>
      <c r="AP371" t="b">
        <v>0</v>
      </c>
      <c r="AQ371" s="78" t="s">
        <v>4624</v>
      </c>
      <c r="AR371" t="s">
        <v>179</v>
      </c>
      <c r="AS371">
        <v>0</v>
      </c>
      <c r="AT371">
        <v>0</v>
      </c>
    </row>
    <row r="372" spans="1:46" x14ac:dyDescent="0.45">
      <c r="A372" s="62" t="s">
        <v>1052</v>
      </c>
      <c r="B372" s="62" t="s">
        <v>1182</v>
      </c>
      <c r="C372" s="63"/>
      <c r="D372" s="64"/>
      <c r="E372" s="65"/>
      <c r="F372" s="66"/>
      <c r="G372" s="63"/>
      <c r="H372" s="67"/>
      <c r="I372" s="68"/>
      <c r="J372" s="68"/>
      <c r="K372" s="32"/>
      <c r="L372" s="75"/>
      <c r="M372" s="75"/>
      <c r="N372" s="70"/>
      <c r="O372" t="s">
        <v>1568</v>
      </c>
      <c r="P372" s="76">
        <v>44959.266493055555</v>
      </c>
      <c r="Q372" t="s">
        <v>2204</v>
      </c>
      <c r="R372" s="77" t="str">
        <f>HYPERLINK("https://www.saturday-am.com/graphic-novels")</f>
        <v>https://www.saturday-am.com/graphic-novels</v>
      </c>
      <c r="S372" t="s">
        <v>2302</v>
      </c>
      <c r="V372" s="77" t="str">
        <f>HYPERLINK("https://pbs.twimg.com/profile_images/890682765493981184/0D6M-XGk_normal.jpg")</f>
        <v>https://pbs.twimg.com/profile_images/890682765493981184/0D6M-XGk_normal.jpg</v>
      </c>
      <c r="W372" s="76">
        <v>44959.266493055555</v>
      </c>
      <c r="X372" s="80">
        <v>44959</v>
      </c>
      <c r="Y372" s="78" t="s">
        <v>3364</v>
      </c>
      <c r="Z372" s="77" t="str">
        <f>HYPERLINK("https://twitter.com/whytmanga/status/1621031600380346370")</f>
        <v>https://twitter.com/whytmanga/status/1621031600380346370</v>
      </c>
      <c r="AC372" s="78" t="s">
        <v>4429</v>
      </c>
      <c r="AD372" s="78" t="s">
        <v>4624</v>
      </c>
      <c r="AE372" t="b">
        <v>0</v>
      </c>
      <c r="AF372">
        <v>5</v>
      </c>
      <c r="AG372" s="78" t="s">
        <v>4811</v>
      </c>
      <c r="AH372" t="b">
        <v>0</v>
      </c>
      <c r="AI372" t="s">
        <v>4829</v>
      </c>
      <c r="AK372" s="78" t="s">
        <v>4640</v>
      </c>
      <c r="AL372" t="b">
        <v>0</v>
      </c>
      <c r="AM372">
        <v>2</v>
      </c>
      <c r="AN372" s="78" t="s">
        <v>4640</v>
      </c>
      <c r="AO372" s="78" t="s">
        <v>4851</v>
      </c>
      <c r="AP372" t="b">
        <v>0</v>
      </c>
      <c r="AQ372" s="78" t="s">
        <v>4624</v>
      </c>
      <c r="AR372" t="s">
        <v>179</v>
      </c>
      <c r="AS372">
        <v>0</v>
      </c>
      <c r="AT372">
        <v>0</v>
      </c>
    </row>
    <row r="373" spans="1:46" x14ac:dyDescent="0.45">
      <c r="A373" s="62" t="s">
        <v>1052</v>
      </c>
      <c r="B373" s="62" t="s">
        <v>242</v>
      </c>
      <c r="C373" s="63"/>
      <c r="D373" s="64"/>
      <c r="E373" s="65"/>
      <c r="F373" s="66"/>
      <c r="G373" s="63"/>
      <c r="H373" s="67"/>
      <c r="I373" s="68"/>
      <c r="J373" s="68"/>
      <c r="K373" s="32"/>
      <c r="L373" s="75"/>
      <c r="M373" s="75"/>
      <c r="N373" s="70"/>
      <c r="O373" t="s">
        <v>1568</v>
      </c>
      <c r="P373" s="76">
        <v>44959.266493055555</v>
      </c>
      <c r="Q373" t="s">
        <v>2204</v>
      </c>
      <c r="R373" s="77" t="str">
        <f>HYPERLINK("https://www.saturday-am.com/graphic-novels")</f>
        <v>https://www.saturday-am.com/graphic-novels</v>
      </c>
      <c r="S373" t="s">
        <v>2302</v>
      </c>
      <c r="V373" s="77" t="str">
        <f>HYPERLINK("https://pbs.twimg.com/profile_images/890682765493981184/0D6M-XGk_normal.jpg")</f>
        <v>https://pbs.twimg.com/profile_images/890682765493981184/0D6M-XGk_normal.jpg</v>
      </c>
      <c r="W373" s="76">
        <v>44959.266493055555</v>
      </c>
      <c r="X373" s="80">
        <v>44959</v>
      </c>
      <c r="Y373" s="78" t="s">
        <v>3364</v>
      </c>
      <c r="Z373" s="77" t="str">
        <f>HYPERLINK("https://twitter.com/whytmanga/status/1621031600380346370")</f>
        <v>https://twitter.com/whytmanga/status/1621031600380346370</v>
      </c>
      <c r="AC373" s="78" t="s">
        <v>4429</v>
      </c>
      <c r="AD373" s="78" t="s">
        <v>4624</v>
      </c>
      <c r="AE373" t="b">
        <v>0</v>
      </c>
      <c r="AF373">
        <v>5</v>
      </c>
      <c r="AG373" s="78" t="s">
        <v>4811</v>
      </c>
      <c r="AH373" t="b">
        <v>0</v>
      </c>
      <c r="AI373" t="s">
        <v>4829</v>
      </c>
      <c r="AK373" s="78" t="s">
        <v>4640</v>
      </c>
      <c r="AL373" t="b">
        <v>0</v>
      </c>
      <c r="AM373">
        <v>2</v>
      </c>
      <c r="AN373" s="78" t="s">
        <v>4640</v>
      </c>
      <c r="AO373" s="78" t="s">
        <v>4851</v>
      </c>
      <c r="AP373" t="b">
        <v>0</v>
      </c>
      <c r="AQ373" s="78" t="s">
        <v>4624</v>
      </c>
      <c r="AR373" t="s">
        <v>179</v>
      </c>
      <c r="AS373">
        <v>0</v>
      </c>
      <c r="AT373">
        <v>0</v>
      </c>
    </row>
    <row r="374" spans="1:46" x14ac:dyDescent="0.45">
      <c r="A374" s="62" t="s">
        <v>1052</v>
      </c>
      <c r="B374" s="62" t="s">
        <v>1530</v>
      </c>
      <c r="C374" s="63"/>
      <c r="D374" s="64"/>
      <c r="E374" s="65"/>
      <c r="F374" s="66"/>
      <c r="G374" s="63"/>
      <c r="H374" s="67"/>
      <c r="I374" s="68"/>
      <c r="J374" s="68"/>
      <c r="K374" s="32"/>
      <c r="L374" s="75"/>
      <c r="M374" s="75"/>
      <c r="N374" s="70"/>
      <c r="O374" t="s">
        <v>1570</v>
      </c>
      <c r="P374" s="76">
        <v>44959.426701388889</v>
      </c>
      <c r="Q374" t="s">
        <v>2204</v>
      </c>
      <c r="R374" s="77" t="str">
        <f>HYPERLINK("https://www.saturday-am.com/graphic-novels")</f>
        <v>https://www.saturday-am.com/graphic-novels</v>
      </c>
      <c r="S374" t="s">
        <v>2302</v>
      </c>
      <c r="V374" s="77" t="str">
        <f>HYPERLINK("https://pbs.twimg.com/profile_images/890682765493981184/0D6M-XGk_normal.jpg")</f>
        <v>https://pbs.twimg.com/profile_images/890682765493981184/0D6M-XGk_normal.jpg</v>
      </c>
      <c r="W374" s="76">
        <v>44959.426701388889</v>
      </c>
      <c r="X374" s="80">
        <v>44959</v>
      </c>
      <c r="Y374" s="78" t="s">
        <v>3365</v>
      </c>
      <c r="Z374" s="77" t="str">
        <f>HYPERLINK("https://twitter.com/whytmanga/status/1621089658812899328")</f>
        <v>https://twitter.com/whytmanga/status/1621089658812899328</v>
      </c>
      <c r="AC374" s="78" t="s">
        <v>4430</v>
      </c>
      <c r="AE374" t="b">
        <v>0</v>
      </c>
      <c r="AF374">
        <v>0</v>
      </c>
      <c r="AG374" s="78" t="s">
        <v>4640</v>
      </c>
      <c r="AH374" t="b">
        <v>0</v>
      </c>
      <c r="AI374" t="s">
        <v>4829</v>
      </c>
      <c r="AK374" s="78" t="s">
        <v>4640</v>
      </c>
      <c r="AL374" t="b">
        <v>0</v>
      </c>
      <c r="AM374">
        <v>2</v>
      </c>
      <c r="AN374" s="78" t="s">
        <v>4429</v>
      </c>
      <c r="AO374" s="78" t="s">
        <v>4849</v>
      </c>
      <c r="AP374" t="b">
        <v>0</v>
      </c>
      <c r="AQ374" s="78" t="s">
        <v>4429</v>
      </c>
      <c r="AR374" t="s">
        <v>179</v>
      </c>
      <c r="AS374">
        <v>0</v>
      </c>
      <c r="AT374">
        <v>0</v>
      </c>
    </row>
    <row r="375" spans="1:46" x14ac:dyDescent="0.45">
      <c r="A375" s="62" t="s">
        <v>1053</v>
      </c>
      <c r="B375" s="62" t="s">
        <v>1530</v>
      </c>
      <c r="C375" s="63"/>
      <c r="D375" s="64"/>
      <c r="E375" s="65"/>
      <c r="F375" s="66"/>
      <c r="G375" s="63"/>
      <c r="H375" s="67"/>
      <c r="I375" s="68"/>
      <c r="J375" s="68"/>
      <c r="K375" s="32"/>
      <c r="L375" s="75"/>
      <c r="M375" s="75"/>
      <c r="N375" s="70"/>
      <c r="O375" t="s">
        <v>1570</v>
      </c>
      <c r="P375" s="76">
        <v>44959.49322916667</v>
      </c>
      <c r="Q375" t="s">
        <v>2204</v>
      </c>
      <c r="R375" s="77" t="str">
        <f>HYPERLINK("https://www.saturday-am.com/graphic-novels")</f>
        <v>https://www.saturday-am.com/graphic-novels</v>
      </c>
      <c r="S375" t="s">
        <v>2302</v>
      </c>
      <c r="V375" s="77" t="str">
        <f>HYPERLINK("https://pbs.twimg.com/profile_images/1251425324367327233/fd_7nvdm_normal.jpg")</f>
        <v>https://pbs.twimg.com/profile_images/1251425324367327233/fd_7nvdm_normal.jpg</v>
      </c>
      <c r="W375" s="76">
        <v>44959.49322916667</v>
      </c>
      <c r="X375" s="80">
        <v>44959</v>
      </c>
      <c r="Y375" s="78" t="s">
        <v>3366</v>
      </c>
      <c r="Z375" s="77" t="str">
        <f>HYPERLINK("https://twitter.com/hinatauzumakipo/status/1621113765679734785")</f>
        <v>https://twitter.com/hinatauzumakipo/status/1621113765679734785</v>
      </c>
      <c r="AC375" s="78" t="s">
        <v>4431</v>
      </c>
      <c r="AE375" t="b">
        <v>0</v>
      </c>
      <c r="AF375">
        <v>0</v>
      </c>
      <c r="AG375" s="78" t="s">
        <v>4640</v>
      </c>
      <c r="AH375" t="b">
        <v>0</v>
      </c>
      <c r="AI375" t="s">
        <v>4829</v>
      </c>
      <c r="AK375" s="78" t="s">
        <v>4640</v>
      </c>
      <c r="AL375" t="b">
        <v>0</v>
      </c>
      <c r="AM375">
        <v>2</v>
      </c>
      <c r="AN375" s="78" t="s">
        <v>4429</v>
      </c>
      <c r="AO375" s="78" t="s">
        <v>4852</v>
      </c>
      <c r="AP375" t="b">
        <v>0</v>
      </c>
      <c r="AQ375" s="78" t="s">
        <v>4429</v>
      </c>
      <c r="AR375" t="s">
        <v>179</v>
      </c>
      <c r="AS375">
        <v>0</v>
      </c>
      <c r="AT375">
        <v>0</v>
      </c>
    </row>
    <row r="376" spans="1:46" x14ac:dyDescent="0.45">
      <c r="A376" s="62" t="s">
        <v>1052</v>
      </c>
      <c r="B376" s="62" t="s">
        <v>1531</v>
      </c>
      <c r="C376" s="63"/>
      <c r="D376" s="64"/>
      <c r="E376" s="65"/>
      <c r="F376" s="66"/>
      <c r="G376" s="63"/>
      <c r="H376" s="67"/>
      <c r="I376" s="68"/>
      <c r="J376" s="68"/>
      <c r="K376" s="32"/>
      <c r="L376" s="75"/>
      <c r="M376" s="75"/>
      <c r="N376" s="70"/>
      <c r="O376" t="s">
        <v>1570</v>
      </c>
      <c r="P376" s="76">
        <v>44959.426701388889</v>
      </c>
      <c r="Q376" t="s">
        <v>2204</v>
      </c>
      <c r="R376" s="77" t="str">
        <f>HYPERLINK("https://www.saturday-am.com/graphic-novels")</f>
        <v>https://www.saturday-am.com/graphic-novels</v>
      </c>
      <c r="S376" t="s">
        <v>2302</v>
      </c>
      <c r="V376" s="77" t="str">
        <f>HYPERLINK("https://pbs.twimg.com/profile_images/890682765493981184/0D6M-XGk_normal.jpg")</f>
        <v>https://pbs.twimg.com/profile_images/890682765493981184/0D6M-XGk_normal.jpg</v>
      </c>
      <c r="W376" s="76">
        <v>44959.426701388889</v>
      </c>
      <c r="X376" s="80">
        <v>44959</v>
      </c>
      <c r="Y376" s="78" t="s">
        <v>3365</v>
      </c>
      <c r="Z376" s="77" t="str">
        <f>HYPERLINK("https://twitter.com/whytmanga/status/1621089658812899328")</f>
        <v>https://twitter.com/whytmanga/status/1621089658812899328</v>
      </c>
      <c r="AC376" s="78" t="s">
        <v>4430</v>
      </c>
      <c r="AE376" t="b">
        <v>0</v>
      </c>
      <c r="AF376">
        <v>0</v>
      </c>
      <c r="AG376" s="78" t="s">
        <v>4640</v>
      </c>
      <c r="AH376" t="b">
        <v>0</v>
      </c>
      <c r="AI376" t="s">
        <v>4829</v>
      </c>
      <c r="AK376" s="78" t="s">
        <v>4640</v>
      </c>
      <c r="AL376" t="b">
        <v>0</v>
      </c>
      <c r="AM376">
        <v>2</v>
      </c>
      <c r="AN376" s="78" t="s">
        <v>4429</v>
      </c>
      <c r="AO376" s="78" t="s">
        <v>4849</v>
      </c>
      <c r="AP376" t="b">
        <v>0</v>
      </c>
      <c r="AQ376" s="78" t="s">
        <v>4429</v>
      </c>
      <c r="AR376" t="s">
        <v>179</v>
      </c>
      <c r="AS376">
        <v>0</v>
      </c>
      <c r="AT376">
        <v>0</v>
      </c>
    </row>
    <row r="377" spans="1:46" x14ac:dyDescent="0.45">
      <c r="A377" s="62" t="s">
        <v>1053</v>
      </c>
      <c r="B377" s="62" t="s">
        <v>1531</v>
      </c>
      <c r="C377" s="63"/>
      <c r="D377" s="64"/>
      <c r="E377" s="65"/>
      <c r="F377" s="66"/>
      <c r="G377" s="63"/>
      <c r="H377" s="67"/>
      <c r="I377" s="68"/>
      <c r="J377" s="68"/>
      <c r="K377" s="32"/>
      <c r="L377" s="75"/>
      <c r="M377" s="75"/>
      <c r="N377" s="70"/>
      <c r="O377" t="s">
        <v>1570</v>
      </c>
      <c r="P377" s="76">
        <v>44959.49322916667</v>
      </c>
      <c r="Q377" t="s">
        <v>2204</v>
      </c>
      <c r="R377" s="77" t="str">
        <f>HYPERLINK("https://www.saturday-am.com/graphic-novels")</f>
        <v>https://www.saturday-am.com/graphic-novels</v>
      </c>
      <c r="S377" t="s">
        <v>2302</v>
      </c>
      <c r="V377" s="77" t="str">
        <f>HYPERLINK("https://pbs.twimg.com/profile_images/1251425324367327233/fd_7nvdm_normal.jpg")</f>
        <v>https://pbs.twimg.com/profile_images/1251425324367327233/fd_7nvdm_normal.jpg</v>
      </c>
      <c r="W377" s="76">
        <v>44959.49322916667</v>
      </c>
      <c r="X377" s="80">
        <v>44959</v>
      </c>
      <c r="Y377" s="78" t="s">
        <v>3366</v>
      </c>
      <c r="Z377" s="77" t="str">
        <f>HYPERLINK("https://twitter.com/hinatauzumakipo/status/1621113765679734785")</f>
        <v>https://twitter.com/hinatauzumakipo/status/1621113765679734785</v>
      </c>
      <c r="AC377" s="78" t="s">
        <v>4431</v>
      </c>
      <c r="AE377" t="b">
        <v>0</v>
      </c>
      <c r="AF377">
        <v>0</v>
      </c>
      <c r="AG377" s="78" t="s">
        <v>4640</v>
      </c>
      <c r="AH377" t="b">
        <v>0</v>
      </c>
      <c r="AI377" t="s">
        <v>4829</v>
      </c>
      <c r="AK377" s="78" t="s">
        <v>4640</v>
      </c>
      <c r="AL377" t="b">
        <v>0</v>
      </c>
      <c r="AM377">
        <v>2</v>
      </c>
      <c r="AN377" s="78" t="s">
        <v>4429</v>
      </c>
      <c r="AO377" s="78" t="s">
        <v>4852</v>
      </c>
      <c r="AP377" t="b">
        <v>0</v>
      </c>
      <c r="AQ377" s="78" t="s">
        <v>4429</v>
      </c>
      <c r="AR377" t="s">
        <v>179</v>
      </c>
      <c r="AS377">
        <v>0</v>
      </c>
      <c r="AT377">
        <v>0</v>
      </c>
    </row>
    <row r="378" spans="1:46" x14ac:dyDescent="0.45">
      <c r="A378" s="62" t="s">
        <v>1052</v>
      </c>
      <c r="B378" s="62" t="s">
        <v>1182</v>
      </c>
      <c r="C378" s="63"/>
      <c r="D378" s="64"/>
      <c r="E378" s="65"/>
      <c r="F378" s="66"/>
      <c r="G378" s="63"/>
      <c r="H378" s="67"/>
      <c r="I378" s="68"/>
      <c r="J378" s="68"/>
      <c r="K378" s="32"/>
      <c r="L378" s="75"/>
      <c r="M378" s="75"/>
      <c r="N378" s="70"/>
      <c r="O378" t="s">
        <v>1570</v>
      </c>
      <c r="P378" s="76">
        <v>44959.426701388889</v>
      </c>
      <c r="Q378" t="s">
        <v>2204</v>
      </c>
      <c r="R378" s="77" t="str">
        <f>HYPERLINK("https://www.saturday-am.com/graphic-novels")</f>
        <v>https://www.saturday-am.com/graphic-novels</v>
      </c>
      <c r="S378" t="s">
        <v>2302</v>
      </c>
      <c r="V378" s="77" t="str">
        <f>HYPERLINK("https://pbs.twimg.com/profile_images/890682765493981184/0D6M-XGk_normal.jpg")</f>
        <v>https://pbs.twimg.com/profile_images/890682765493981184/0D6M-XGk_normal.jpg</v>
      </c>
      <c r="W378" s="76">
        <v>44959.426701388889</v>
      </c>
      <c r="X378" s="80">
        <v>44959</v>
      </c>
      <c r="Y378" s="78" t="s">
        <v>3365</v>
      </c>
      <c r="Z378" s="77" t="str">
        <f>HYPERLINK("https://twitter.com/whytmanga/status/1621089658812899328")</f>
        <v>https://twitter.com/whytmanga/status/1621089658812899328</v>
      </c>
      <c r="AC378" s="78" t="s">
        <v>4430</v>
      </c>
      <c r="AE378" t="b">
        <v>0</v>
      </c>
      <c r="AF378">
        <v>0</v>
      </c>
      <c r="AG378" s="78" t="s">
        <v>4640</v>
      </c>
      <c r="AH378" t="b">
        <v>0</v>
      </c>
      <c r="AI378" t="s">
        <v>4829</v>
      </c>
      <c r="AK378" s="78" t="s">
        <v>4640</v>
      </c>
      <c r="AL378" t="b">
        <v>0</v>
      </c>
      <c r="AM378">
        <v>2</v>
      </c>
      <c r="AN378" s="78" t="s">
        <v>4429</v>
      </c>
      <c r="AO378" s="78" t="s">
        <v>4849</v>
      </c>
      <c r="AP378" t="b">
        <v>0</v>
      </c>
      <c r="AQ378" s="78" t="s">
        <v>4429</v>
      </c>
      <c r="AR378" t="s">
        <v>179</v>
      </c>
      <c r="AS378">
        <v>0</v>
      </c>
      <c r="AT378">
        <v>0</v>
      </c>
    </row>
    <row r="379" spans="1:46" x14ac:dyDescent="0.45">
      <c r="A379" s="62" t="s">
        <v>1053</v>
      </c>
      <c r="B379" s="62" t="s">
        <v>1182</v>
      </c>
      <c r="C379" s="63"/>
      <c r="D379" s="64"/>
      <c r="E379" s="65"/>
      <c r="F379" s="66"/>
      <c r="G379" s="63"/>
      <c r="H379" s="67"/>
      <c r="I379" s="68"/>
      <c r="J379" s="68"/>
      <c r="K379" s="32"/>
      <c r="L379" s="75"/>
      <c r="M379" s="75"/>
      <c r="N379" s="70"/>
      <c r="O379" t="s">
        <v>1570</v>
      </c>
      <c r="P379" s="76">
        <v>44959.49322916667</v>
      </c>
      <c r="Q379" t="s">
        <v>2204</v>
      </c>
      <c r="R379" s="77" t="str">
        <f>HYPERLINK("https://www.saturday-am.com/graphic-novels")</f>
        <v>https://www.saturday-am.com/graphic-novels</v>
      </c>
      <c r="S379" t="s">
        <v>2302</v>
      </c>
      <c r="V379" s="77" t="str">
        <f>HYPERLINK("https://pbs.twimg.com/profile_images/1251425324367327233/fd_7nvdm_normal.jpg")</f>
        <v>https://pbs.twimg.com/profile_images/1251425324367327233/fd_7nvdm_normal.jpg</v>
      </c>
      <c r="W379" s="76">
        <v>44959.49322916667</v>
      </c>
      <c r="X379" s="80">
        <v>44959</v>
      </c>
      <c r="Y379" s="78" t="s">
        <v>3366</v>
      </c>
      <c r="Z379" s="77" t="str">
        <f>HYPERLINK("https://twitter.com/hinatauzumakipo/status/1621113765679734785")</f>
        <v>https://twitter.com/hinatauzumakipo/status/1621113765679734785</v>
      </c>
      <c r="AC379" s="78" t="s">
        <v>4431</v>
      </c>
      <c r="AE379" t="b">
        <v>0</v>
      </c>
      <c r="AF379">
        <v>0</v>
      </c>
      <c r="AG379" s="78" t="s">
        <v>4640</v>
      </c>
      <c r="AH379" t="b">
        <v>0</v>
      </c>
      <c r="AI379" t="s">
        <v>4829</v>
      </c>
      <c r="AK379" s="78" t="s">
        <v>4640</v>
      </c>
      <c r="AL379" t="b">
        <v>0</v>
      </c>
      <c r="AM379">
        <v>2</v>
      </c>
      <c r="AN379" s="78" t="s">
        <v>4429</v>
      </c>
      <c r="AO379" s="78" t="s">
        <v>4852</v>
      </c>
      <c r="AP379" t="b">
        <v>0</v>
      </c>
      <c r="AQ379" s="78" t="s">
        <v>4429</v>
      </c>
      <c r="AR379" t="s">
        <v>179</v>
      </c>
      <c r="AS379">
        <v>0</v>
      </c>
      <c r="AT379">
        <v>0</v>
      </c>
    </row>
    <row r="380" spans="1:46" x14ac:dyDescent="0.45">
      <c r="A380" s="62" t="s">
        <v>1052</v>
      </c>
      <c r="B380" s="62" t="s">
        <v>242</v>
      </c>
      <c r="C380" s="63"/>
      <c r="D380" s="64"/>
      <c r="E380" s="65"/>
      <c r="F380" s="66"/>
      <c r="G380" s="63"/>
      <c r="H380" s="67"/>
      <c r="I380" s="68"/>
      <c r="J380" s="68"/>
      <c r="K380" s="32"/>
      <c r="L380" s="75"/>
      <c r="M380" s="75"/>
      <c r="N380" s="70"/>
      <c r="O380" t="s">
        <v>1570</v>
      </c>
      <c r="P380" s="76">
        <v>44959.426701388889</v>
      </c>
      <c r="Q380" t="s">
        <v>2204</v>
      </c>
      <c r="R380" s="77" t="str">
        <f>HYPERLINK("https://www.saturday-am.com/graphic-novels")</f>
        <v>https://www.saturday-am.com/graphic-novels</v>
      </c>
      <c r="S380" t="s">
        <v>2302</v>
      </c>
      <c r="V380" s="77" t="str">
        <f>HYPERLINK("https://pbs.twimg.com/profile_images/890682765493981184/0D6M-XGk_normal.jpg")</f>
        <v>https://pbs.twimg.com/profile_images/890682765493981184/0D6M-XGk_normal.jpg</v>
      </c>
      <c r="W380" s="76">
        <v>44959.426701388889</v>
      </c>
      <c r="X380" s="80">
        <v>44959</v>
      </c>
      <c r="Y380" s="78" t="s">
        <v>3365</v>
      </c>
      <c r="Z380" s="77" t="str">
        <f>HYPERLINK("https://twitter.com/whytmanga/status/1621089658812899328")</f>
        <v>https://twitter.com/whytmanga/status/1621089658812899328</v>
      </c>
      <c r="AC380" s="78" t="s">
        <v>4430</v>
      </c>
      <c r="AE380" t="b">
        <v>0</v>
      </c>
      <c r="AF380">
        <v>0</v>
      </c>
      <c r="AG380" s="78" t="s">
        <v>4640</v>
      </c>
      <c r="AH380" t="b">
        <v>0</v>
      </c>
      <c r="AI380" t="s">
        <v>4829</v>
      </c>
      <c r="AK380" s="78" t="s">
        <v>4640</v>
      </c>
      <c r="AL380" t="b">
        <v>0</v>
      </c>
      <c r="AM380">
        <v>2</v>
      </c>
      <c r="AN380" s="78" t="s">
        <v>4429</v>
      </c>
      <c r="AO380" s="78" t="s">
        <v>4849</v>
      </c>
      <c r="AP380" t="b">
        <v>0</v>
      </c>
      <c r="AQ380" s="78" t="s">
        <v>4429</v>
      </c>
      <c r="AR380" t="s">
        <v>179</v>
      </c>
      <c r="AS380">
        <v>0</v>
      </c>
      <c r="AT380">
        <v>0</v>
      </c>
    </row>
    <row r="381" spans="1:46" x14ac:dyDescent="0.45">
      <c r="A381" s="62" t="s">
        <v>1052</v>
      </c>
      <c r="B381" s="62" t="s">
        <v>1052</v>
      </c>
      <c r="C381" s="63"/>
      <c r="D381" s="64"/>
      <c r="E381" s="65"/>
      <c r="F381" s="66"/>
      <c r="G381" s="63"/>
      <c r="H381" s="67"/>
      <c r="I381" s="68"/>
      <c r="J381" s="68"/>
      <c r="K381" s="32"/>
      <c r="L381" s="75"/>
      <c r="M381" s="75"/>
      <c r="N381" s="70"/>
      <c r="O381" t="s">
        <v>1569</v>
      </c>
      <c r="P381" s="76">
        <v>44959.426701388889</v>
      </c>
      <c r="Q381" t="s">
        <v>2204</v>
      </c>
      <c r="R381" s="77" t="str">
        <f>HYPERLINK("https://www.saturday-am.com/graphic-novels")</f>
        <v>https://www.saturday-am.com/graphic-novels</v>
      </c>
      <c r="S381" t="s">
        <v>2302</v>
      </c>
      <c r="V381" s="77" t="str">
        <f>HYPERLINK("https://pbs.twimg.com/profile_images/890682765493981184/0D6M-XGk_normal.jpg")</f>
        <v>https://pbs.twimg.com/profile_images/890682765493981184/0D6M-XGk_normal.jpg</v>
      </c>
      <c r="W381" s="76">
        <v>44959.426701388889</v>
      </c>
      <c r="X381" s="80">
        <v>44959</v>
      </c>
      <c r="Y381" s="78" t="s">
        <v>3365</v>
      </c>
      <c r="Z381" s="77" t="str">
        <f>HYPERLINK("https://twitter.com/whytmanga/status/1621089658812899328")</f>
        <v>https://twitter.com/whytmanga/status/1621089658812899328</v>
      </c>
      <c r="AC381" s="78" t="s">
        <v>4430</v>
      </c>
      <c r="AE381" t="b">
        <v>0</v>
      </c>
      <c r="AF381">
        <v>0</v>
      </c>
      <c r="AG381" s="78" t="s">
        <v>4640</v>
      </c>
      <c r="AH381" t="b">
        <v>0</v>
      </c>
      <c r="AI381" t="s">
        <v>4829</v>
      </c>
      <c r="AK381" s="78" t="s">
        <v>4640</v>
      </c>
      <c r="AL381" t="b">
        <v>0</v>
      </c>
      <c r="AM381">
        <v>2</v>
      </c>
      <c r="AN381" s="78" t="s">
        <v>4429</v>
      </c>
      <c r="AO381" s="78" t="s">
        <v>4849</v>
      </c>
      <c r="AP381" t="b">
        <v>0</v>
      </c>
      <c r="AQ381" s="78" t="s">
        <v>4429</v>
      </c>
      <c r="AR381" t="s">
        <v>179</v>
      </c>
      <c r="AS381">
        <v>0</v>
      </c>
      <c r="AT381">
        <v>0</v>
      </c>
    </row>
    <row r="382" spans="1:46" x14ac:dyDescent="0.45">
      <c r="A382" s="62" t="s">
        <v>1053</v>
      </c>
      <c r="B382" s="62" t="s">
        <v>1052</v>
      </c>
      <c r="C382" s="63"/>
      <c r="D382" s="64"/>
      <c r="E382" s="65"/>
      <c r="F382" s="66"/>
      <c r="G382" s="63"/>
      <c r="H382" s="67"/>
      <c r="I382" s="68"/>
      <c r="J382" s="68"/>
      <c r="K382" s="32"/>
      <c r="L382" s="75"/>
      <c r="M382" s="75"/>
      <c r="N382" s="70"/>
      <c r="O382" t="s">
        <v>1569</v>
      </c>
      <c r="P382" s="76">
        <v>44959.49322916667</v>
      </c>
      <c r="Q382" t="s">
        <v>2204</v>
      </c>
      <c r="R382" s="77" t="str">
        <f>HYPERLINK("https://www.saturday-am.com/graphic-novels")</f>
        <v>https://www.saturday-am.com/graphic-novels</v>
      </c>
      <c r="S382" t="s">
        <v>2302</v>
      </c>
      <c r="V382" s="77" t="str">
        <f>HYPERLINK("https://pbs.twimg.com/profile_images/1251425324367327233/fd_7nvdm_normal.jpg")</f>
        <v>https://pbs.twimg.com/profile_images/1251425324367327233/fd_7nvdm_normal.jpg</v>
      </c>
      <c r="W382" s="76">
        <v>44959.49322916667</v>
      </c>
      <c r="X382" s="80">
        <v>44959</v>
      </c>
      <c r="Y382" s="78" t="s">
        <v>3366</v>
      </c>
      <c r="Z382" s="77" t="str">
        <f>HYPERLINK("https://twitter.com/hinatauzumakipo/status/1621113765679734785")</f>
        <v>https://twitter.com/hinatauzumakipo/status/1621113765679734785</v>
      </c>
      <c r="AC382" s="78" t="s">
        <v>4431</v>
      </c>
      <c r="AE382" t="b">
        <v>0</v>
      </c>
      <c r="AF382">
        <v>0</v>
      </c>
      <c r="AG382" s="78" t="s">
        <v>4640</v>
      </c>
      <c r="AH382" t="b">
        <v>0</v>
      </c>
      <c r="AI382" t="s">
        <v>4829</v>
      </c>
      <c r="AK382" s="78" t="s">
        <v>4640</v>
      </c>
      <c r="AL382" t="b">
        <v>0</v>
      </c>
      <c r="AM382">
        <v>2</v>
      </c>
      <c r="AN382" s="78" t="s">
        <v>4429</v>
      </c>
      <c r="AO382" s="78" t="s">
        <v>4852</v>
      </c>
      <c r="AP382" t="b">
        <v>0</v>
      </c>
      <c r="AQ382" s="78" t="s">
        <v>4429</v>
      </c>
      <c r="AR382" t="s">
        <v>179</v>
      </c>
      <c r="AS382">
        <v>0</v>
      </c>
      <c r="AT382">
        <v>0</v>
      </c>
    </row>
    <row r="383" spans="1:46" x14ac:dyDescent="0.45">
      <c r="A383" s="62" t="s">
        <v>1053</v>
      </c>
      <c r="B383" s="62" t="s">
        <v>242</v>
      </c>
      <c r="C383" s="63"/>
      <c r="D383" s="64"/>
      <c r="E383" s="65"/>
      <c r="F383" s="66"/>
      <c r="G383" s="63"/>
      <c r="H383" s="67"/>
      <c r="I383" s="68"/>
      <c r="J383" s="68"/>
      <c r="K383" s="32"/>
      <c r="L383" s="75"/>
      <c r="M383" s="75"/>
      <c r="N383" s="70"/>
      <c r="O383" t="s">
        <v>1570</v>
      </c>
      <c r="P383" s="76">
        <v>44959.49322916667</v>
      </c>
      <c r="Q383" t="s">
        <v>2204</v>
      </c>
      <c r="R383" s="77" t="str">
        <f>HYPERLINK("https://www.saturday-am.com/graphic-novels")</f>
        <v>https://www.saturday-am.com/graphic-novels</v>
      </c>
      <c r="S383" t="s">
        <v>2302</v>
      </c>
      <c r="V383" s="77" t="str">
        <f>HYPERLINK("https://pbs.twimg.com/profile_images/1251425324367327233/fd_7nvdm_normal.jpg")</f>
        <v>https://pbs.twimg.com/profile_images/1251425324367327233/fd_7nvdm_normal.jpg</v>
      </c>
      <c r="W383" s="76">
        <v>44959.49322916667</v>
      </c>
      <c r="X383" s="80">
        <v>44959</v>
      </c>
      <c r="Y383" s="78" t="s">
        <v>3366</v>
      </c>
      <c r="Z383" s="77" t="str">
        <f>HYPERLINK("https://twitter.com/hinatauzumakipo/status/1621113765679734785")</f>
        <v>https://twitter.com/hinatauzumakipo/status/1621113765679734785</v>
      </c>
      <c r="AC383" s="78" t="s">
        <v>4431</v>
      </c>
      <c r="AE383" t="b">
        <v>0</v>
      </c>
      <c r="AF383">
        <v>0</v>
      </c>
      <c r="AG383" s="78" t="s">
        <v>4640</v>
      </c>
      <c r="AH383" t="b">
        <v>0</v>
      </c>
      <c r="AI383" t="s">
        <v>4829</v>
      </c>
      <c r="AK383" s="78" t="s">
        <v>4640</v>
      </c>
      <c r="AL383" t="b">
        <v>0</v>
      </c>
      <c r="AM383">
        <v>2</v>
      </c>
      <c r="AN383" s="78" t="s">
        <v>4429</v>
      </c>
      <c r="AO383" s="78" t="s">
        <v>4852</v>
      </c>
      <c r="AP383" t="b">
        <v>0</v>
      </c>
      <c r="AQ383" s="78" t="s">
        <v>4429</v>
      </c>
      <c r="AR383" t="s">
        <v>179</v>
      </c>
      <c r="AS383">
        <v>0</v>
      </c>
      <c r="AT383">
        <v>0</v>
      </c>
    </row>
    <row r="384" spans="1:46" x14ac:dyDescent="0.45">
      <c r="A384" s="62" t="s">
        <v>228</v>
      </c>
      <c r="B384" s="62" t="s">
        <v>242</v>
      </c>
      <c r="C384" s="63"/>
      <c r="D384" s="64"/>
      <c r="E384" s="65"/>
      <c r="F384" s="66"/>
      <c r="G384" s="63"/>
      <c r="H384" s="67"/>
      <c r="I384" s="68"/>
      <c r="J384" s="68"/>
      <c r="K384" s="32"/>
      <c r="L384" s="75"/>
      <c r="M384" s="75"/>
      <c r="N384" s="70"/>
      <c r="O384" t="s">
        <v>1568</v>
      </c>
      <c r="P384" s="76">
        <v>44958.311319444445</v>
      </c>
      <c r="Q384" t="s">
        <v>1582</v>
      </c>
      <c r="R384" s="77" t="str">
        <f>HYPERLINK("https://www.socialnature.com/organic-soy-free-dressing?review=2240885&amp;social=twitter&amp;user_referrer=306251&amp;user_referral_channel=twitter&amp;product=775")</f>
        <v>https://www.socialnature.com/organic-soy-free-dressing?review=2240885&amp;social=twitter&amp;user_referrer=306251&amp;user_referral_channel=twitter&amp;product=775</v>
      </c>
      <c r="S384" t="s">
        <v>2258</v>
      </c>
      <c r="T384" s="78" t="s">
        <v>2309</v>
      </c>
      <c r="V384" s="77" t="str">
        <f>HYPERLINK("https://pbs.twimg.com/profile_images/651979523945164800/0Tt8AVs0_normal.jpg")</f>
        <v>https://pbs.twimg.com/profile_images/651979523945164800/0Tt8AVs0_normal.jpg</v>
      </c>
      <c r="W384" s="76">
        <v>44958.311319444445</v>
      </c>
      <c r="X384" s="80">
        <v>44958</v>
      </c>
      <c r="Y384" s="78" t="s">
        <v>2431</v>
      </c>
      <c r="Z384" s="77" t="str">
        <f>HYPERLINK("https://twitter.com/heavenlychc9/status/1620685457289007105")</f>
        <v>https://twitter.com/heavenlychc9/status/1620685457289007105</v>
      </c>
      <c r="AC384" s="78" t="s">
        <v>3446</v>
      </c>
      <c r="AE384" t="b">
        <v>0</v>
      </c>
      <c r="AF384">
        <v>0</v>
      </c>
      <c r="AG384" s="78" t="s">
        <v>4640</v>
      </c>
      <c r="AH384" t="b">
        <v>0</v>
      </c>
      <c r="AI384" t="s">
        <v>4829</v>
      </c>
      <c r="AK384" s="78" t="s">
        <v>4640</v>
      </c>
      <c r="AL384" t="b">
        <v>0</v>
      </c>
      <c r="AM384">
        <v>0</v>
      </c>
      <c r="AN384" s="78" t="s">
        <v>4640</v>
      </c>
      <c r="AO384" s="78" t="s">
        <v>4853</v>
      </c>
      <c r="AP384" t="b">
        <v>0</v>
      </c>
      <c r="AQ384" s="78" t="s">
        <v>3446</v>
      </c>
      <c r="AR384" t="s">
        <v>179</v>
      </c>
      <c r="AS384">
        <v>0</v>
      </c>
      <c r="AT384">
        <v>0</v>
      </c>
    </row>
    <row r="385" spans="1:46" x14ac:dyDescent="0.45">
      <c r="A385" s="62" t="s">
        <v>228</v>
      </c>
      <c r="B385" s="62" t="s">
        <v>1119</v>
      </c>
      <c r="C385" s="63"/>
      <c r="D385" s="64"/>
      <c r="E385" s="65"/>
      <c r="F385" s="66"/>
      <c r="G385" s="63"/>
      <c r="H385" s="67"/>
      <c r="I385" s="68"/>
      <c r="J385" s="68"/>
      <c r="K385" s="32"/>
      <c r="L385" s="75"/>
      <c r="M385" s="75"/>
      <c r="N385" s="70"/>
      <c r="O385" t="s">
        <v>1568</v>
      </c>
      <c r="P385" s="76">
        <v>44958.311319444445</v>
      </c>
      <c r="Q385" t="s">
        <v>1582</v>
      </c>
      <c r="R385" s="77" t="str">
        <f>HYPERLINK("https://www.socialnature.com/organic-soy-free-dressing?review=2240885&amp;social=twitter&amp;user_referrer=306251&amp;user_referral_channel=twitter&amp;product=775")</f>
        <v>https://www.socialnature.com/organic-soy-free-dressing?review=2240885&amp;social=twitter&amp;user_referrer=306251&amp;user_referral_channel=twitter&amp;product=775</v>
      </c>
      <c r="S385" t="s">
        <v>2258</v>
      </c>
      <c r="T385" s="78" t="s">
        <v>2309</v>
      </c>
      <c r="V385" s="77" t="str">
        <f>HYPERLINK("https://pbs.twimg.com/profile_images/651979523945164800/0Tt8AVs0_normal.jpg")</f>
        <v>https://pbs.twimg.com/profile_images/651979523945164800/0Tt8AVs0_normal.jpg</v>
      </c>
      <c r="W385" s="76">
        <v>44958.311319444445</v>
      </c>
      <c r="X385" s="80">
        <v>44958</v>
      </c>
      <c r="Y385" s="78" t="s">
        <v>2431</v>
      </c>
      <c r="Z385" s="77" t="str">
        <f>HYPERLINK("https://twitter.com/heavenlychc9/status/1620685457289007105")</f>
        <v>https://twitter.com/heavenlychc9/status/1620685457289007105</v>
      </c>
      <c r="AC385" s="78" t="s">
        <v>3446</v>
      </c>
      <c r="AE385" t="b">
        <v>0</v>
      </c>
      <c r="AF385">
        <v>0</v>
      </c>
      <c r="AG385" s="78" t="s">
        <v>4640</v>
      </c>
      <c r="AH385" t="b">
        <v>0</v>
      </c>
      <c r="AI385" t="s">
        <v>4829</v>
      </c>
      <c r="AK385" s="78" t="s">
        <v>4640</v>
      </c>
      <c r="AL385" t="b">
        <v>0</v>
      </c>
      <c r="AM385">
        <v>0</v>
      </c>
      <c r="AN385" s="78" t="s">
        <v>4640</v>
      </c>
      <c r="AO385" s="78" t="s">
        <v>4853</v>
      </c>
      <c r="AP385" t="b">
        <v>0</v>
      </c>
      <c r="AQ385" s="78" t="s">
        <v>3446</v>
      </c>
      <c r="AR385" t="s">
        <v>179</v>
      </c>
      <c r="AS385">
        <v>0</v>
      </c>
      <c r="AT385">
        <v>0</v>
      </c>
    </row>
    <row r="386" spans="1:46" x14ac:dyDescent="0.45">
      <c r="A386" s="62" t="s">
        <v>228</v>
      </c>
      <c r="B386" s="62" t="s">
        <v>1120</v>
      </c>
      <c r="C386" s="63"/>
      <c r="D386" s="64"/>
      <c r="E386" s="65"/>
      <c r="F386" s="66"/>
      <c r="G386" s="63"/>
      <c r="H386" s="67"/>
      <c r="I386" s="68"/>
      <c r="J386" s="68"/>
      <c r="K386" s="32"/>
      <c r="L386" s="75"/>
      <c r="M386" s="75"/>
      <c r="N386" s="70"/>
      <c r="O386" t="s">
        <v>1568</v>
      </c>
      <c r="P386" s="76">
        <v>44958.311319444445</v>
      </c>
      <c r="Q386" t="s">
        <v>1582</v>
      </c>
      <c r="R386" s="77" t="str">
        <f>HYPERLINK("https://www.socialnature.com/organic-soy-free-dressing?review=2240885&amp;social=twitter&amp;user_referrer=306251&amp;user_referral_channel=twitter&amp;product=775")</f>
        <v>https://www.socialnature.com/organic-soy-free-dressing?review=2240885&amp;social=twitter&amp;user_referrer=306251&amp;user_referral_channel=twitter&amp;product=775</v>
      </c>
      <c r="S386" t="s">
        <v>2258</v>
      </c>
      <c r="T386" s="78" t="s">
        <v>2309</v>
      </c>
      <c r="V386" s="77" t="str">
        <f>HYPERLINK("https://pbs.twimg.com/profile_images/651979523945164800/0Tt8AVs0_normal.jpg")</f>
        <v>https://pbs.twimg.com/profile_images/651979523945164800/0Tt8AVs0_normal.jpg</v>
      </c>
      <c r="W386" s="76">
        <v>44958.311319444445</v>
      </c>
      <c r="X386" s="80">
        <v>44958</v>
      </c>
      <c r="Y386" s="78" t="s">
        <v>2431</v>
      </c>
      <c r="Z386" s="77" t="str">
        <f>HYPERLINK("https://twitter.com/heavenlychc9/status/1620685457289007105")</f>
        <v>https://twitter.com/heavenlychc9/status/1620685457289007105</v>
      </c>
      <c r="AC386" s="78" t="s">
        <v>3446</v>
      </c>
      <c r="AE386" t="b">
        <v>0</v>
      </c>
      <c r="AF386">
        <v>0</v>
      </c>
      <c r="AG386" s="78" t="s">
        <v>4640</v>
      </c>
      <c r="AH386" t="b">
        <v>0</v>
      </c>
      <c r="AI386" t="s">
        <v>4829</v>
      </c>
      <c r="AK386" s="78" t="s">
        <v>4640</v>
      </c>
      <c r="AL386" t="b">
        <v>0</v>
      </c>
      <c r="AM386">
        <v>0</v>
      </c>
      <c r="AN386" s="78" t="s">
        <v>4640</v>
      </c>
      <c r="AO386" s="78" t="s">
        <v>4853</v>
      </c>
      <c r="AP386" t="b">
        <v>0</v>
      </c>
      <c r="AQ386" s="78" t="s">
        <v>3446</v>
      </c>
      <c r="AR386" t="s">
        <v>179</v>
      </c>
      <c r="AS386">
        <v>0</v>
      </c>
      <c r="AT386">
        <v>0</v>
      </c>
    </row>
    <row r="387" spans="1:46" x14ac:dyDescent="0.45">
      <c r="A387" s="62" t="s">
        <v>929</v>
      </c>
      <c r="B387" s="62" t="s">
        <v>1119</v>
      </c>
      <c r="C387" s="63"/>
      <c r="D387" s="64"/>
      <c r="E387" s="65"/>
      <c r="F387" s="66"/>
      <c r="G387" s="63"/>
      <c r="H387" s="67"/>
      <c r="I387" s="68"/>
      <c r="J387" s="68"/>
      <c r="K387" s="32"/>
      <c r="L387" s="75"/>
      <c r="M387" s="75"/>
      <c r="N387" s="70"/>
      <c r="O387" t="s">
        <v>1568</v>
      </c>
      <c r="P387" s="76">
        <v>44959.131319444445</v>
      </c>
      <c r="Q387" t="s">
        <v>2090</v>
      </c>
      <c r="R387" s="77" t="str">
        <f>HYPERLINK("https://www.socialnature.com/organic-soy-free-dressing?review=2243130&amp;social=twitter&amp;user_referrer=574697&amp;user_referral_channel=twitter&amp;product=775")</f>
        <v>https://www.socialnature.com/organic-soy-free-dressing?review=2243130&amp;social=twitter&amp;user_referrer=574697&amp;user_referral_channel=twitter&amp;product=775</v>
      </c>
      <c r="S387" t="s">
        <v>2258</v>
      </c>
      <c r="T387" s="78" t="s">
        <v>2309</v>
      </c>
      <c r="V387" s="77" t="str">
        <f>HYPERLINK("https://pbs.twimg.com/profile_images/64514252/laura_cropped_brick_headshot_normal.jpg")</f>
        <v>https://pbs.twimg.com/profile_images/64514252/laura_cropped_brick_headshot_normal.jpg</v>
      </c>
      <c r="W387" s="76">
        <v>44959.131319444445</v>
      </c>
      <c r="X387" s="80">
        <v>44959</v>
      </c>
      <c r="Y387" s="78" t="s">
        <v>3197</v>
      </c>
      <c r="Z387" s="77" t="str">
        <f>HYPERLINK("https://twitter.com/lsfaeth/status/1620982616534175744")</f>
        <v>https://twitter.com/lsfaeth/status/1620982616534175744</v>
      </c>
      <c r="AC387" s="78" t="s">
        <v>4262</v>
      </c>
      <c r="AE387" t="b">
        <v>0</v>
      </c>
      <c r="AF387">
        <v>0</v>
      </c>
      <c r="AG387" s="78" t="s">
        <v>4640</v>
      </c>
      <c r="AH387" t="b">
        <v>0</v>
      </c>
      <c r="AI387" t="s">
        <v>4829</v>
      </c>
      <c r="AK387" s="78" t="s">
        <v>4640</v>
      </c>
      <c r="AL387" t="b">
        <v>0</v>
      </c>
      <c r="AM387">
        <v>0</v>
      </c>
      <c r="AN387" s="78" t="s">
        <v>4640</v>
      </c>
      <c r="AO387" s="78" t="s">
        <v>4853</v>
      </c>
      <c r="AP387" t="b">
        <v>0</v>
      </c>
      <c r="AQ387" s="78" t="s">
        <v>4262</v>
      </c>
      <c r="AR387" t="s">
        <v>179</v>
      </c>
      <c r="AS387">
        <v>0</v>
      </c>
      <c r="AT387">
        <v>0</v>
      </c>
    </row>
    <row r="388" spans="1:46" x14ac:dyDescent="0.45">
      <c r="A388" s="62" t="s">
        <v>929</v>
      </c>
      <c r="B388" s="62" t="s">
        <v>1120</v>
      </c>
      <c r="C388" s="63"/>
      <c r="D388" s="64"/>
      <c r="E388" s="65"/>
      <c r="F388" s="66"/>
      <c r="G388" s="63"/>
      <c r="H388" s="67"/>
      <c r="I388" s="68"/>
      <c r="J388" s="68"/>
      <c r="K388" s="32"/>
      <c r="L388" s="75"/>
      <c r="M388" s="75"/>
      <c r="N388" s="70"/>
      <c r="O388" t="s">
        <v>1568</v>
      </c>
      <c r="P388" s="76">
        <v>44959.131319444445</v>
      </c>
      <c r="Q388" t="s">
        <v>2090</v>
      </c>
      <c r="R388" s="77" t="str">
        <f>HYPERLINK("https://www.socialnature.com/organic-soy-free-dressing?review=2243130&amp;social=twitter&amp;user_referrer=574697&amp;user_referral_channel=twitter&amp;product=775")</f>
        <v>https://www.socialnature.com/organic-soy-free-dressing?review=2243130&amp;social=twitter&amp;user_referrer=574697&amp;user_referral_channel=twitter&amp;product=775</v>
      </c>
      <c r="S388" t="s">
        <v>2258</v>
      </c>
      <c r="T388" s="78" t="s">
        <v>2309</v>
      </c>
      <c r="V388" s="77" t="str">
        <f>HYPERLINK("https://pbs.twimg.com/profile_images/64514252/laura_cropped_brick_headshot_normal.jpg")</f>
        <v>https://pbs.twimg.com/profile_images/64514252/laura_cropped_brick_headshot_normal.jpg</v>
      </c>
      <c r="W388" s="76">
        <v>44959.131319444445</v>
      </c>
      <c r="X388" s="80">
        <v>44959</v>
      </c>
      <c r="Y388" s="78" t="s">
        <v>3197</v>
      </c>
      <c r="Z388" s="77" t="str">
        <f>HYPERLINK("https://twitter.com/lsfaeth/status/1620982616534175744")</f>
        <v>https://twitter.com/lsfaeth/status/1620982616534175744</v>
      </c>
      <c r="AC388" s="78" t="s">
        <v>4262</v>
      </c>
      <c r="AE388" t="b">
        <v>0</v>
      </c>
      <c r="AF388">
        <v>0</v>
      </c>
      <c r="AG388" s="78" t="s">
        <v>4640</v>
      </c>
      <c r="AH388" t="b">
        <v>0</v>
      </c>
      <c r="AI388" t="s">
        <v>4829</v>
      </c>
      <c r="AK388" s="78" t="s">
        <v>4640</v>
      </c>
      <c r="AL388" t="b">
        <v>0</v>
      </c>
      <c r="AM388">
        <v>0</v>
      </c>
      <c r="AN388" s="78" t="s">
        <v>4640</v>
      </c>
      <c r="AO388" s="78" t="s">
        <v>4853</v>
      </c>
      <c r="AP388" t="b">
        <v>0</v>
      </c>
      <c r="AQ388" s="78" t="s">
        <v>4262</v>
      </c>
      <c r="AR388" t="s">
        <v>179</v>
      </c>
      <c r="AS388">
        <v>0</v>
      </c>
      <c r="AT388">
        <v>0</v>
      </c>
    </row>
    <row r="389" spans="1:46" x14ac:dyDescent="0.45">
      <c r="A389" s="62" t="s">
        <v>929</v>
      </c>
      <c r="B389" s="62" t="s">
        <v>242</v>
      </c>
      <c r="C389" s="63"/>
      <c r="D389" s="64"/>
      <c r="E389" s="65"/>
      <c r="F389" s="66"/>
      <c r="G389" s="63"/>
      <c r="H389" s="67"/>
      <c r="I389" s="68"/>
      <c r="J389" s="68"/>
      <c r="K389" s="32"/>
      <c r="L389" s="75"/>
      <c r="M389" s="75"/>
      <c r="N389" s="70"/>
      <c r="O389" t="s">
        <v>1568</v>
      </c>
      <c r="P389" s="76">
        <v>44959.131319444445</v>
      </c>
      <c r="Q389" t="s">
        <v>2090</v>
      </c>
      <c r="R389" s="77" t="str">
        <f>HYPERLINK("https://www.socialnature.com/organic-soy-free-dressing?review=2243130&amp;social=twitter&amp;user_referrer=574697&amp;user_referral_channel=twitter&amp;product=775")</f>
        <v>https://www.socialnature.com/organic-soy-free-dressing?review=2243130&amp;social=twitter&amp;user_referrer=574697&amp;user_referral_channel=twitter&amp;product=775</v>
      </c>
      <c r="S389" t="s">
        <v>2258</v>
      </c>
      <c r="T389" s="78" t="s">
        <v>2309</v>
      </c>
      <c r="V389" s="77" t="str">
        <f>HYPERLINK("https://pbs.twimg.com/profile_images/64514252/laura_cropped_brick_headshot_normal.jpg")</f>
        <v>https://pbs.twimg.com/profile_images/64514252/laura_cropped_brick_headshot_normal.jpg</v>
      </c>
      <c r="W389" s="76">
        <v>44959.131319444445</v>
      </c>
      <c r="X389" s="80">
        <v>44959</v>
      </c>
      <c r="Y389" s="78" t="s">
        <v>3197</v>
      </c>
      <c r="Z389" s="77" t="str">
        <f>HYPERLINK("https://twitter.com/lsfaeth/status/1620982616534175744")</f>
        <v>https://twitter.com/lsfaeth/status/1620982616534175744</v>
      </c>
      <c r="AC389" s="78" t="s">
        <v>4262</v>
      </c>
      <c r="AE389" t="b">
        <v>0</v>
      </c>
      <c r="AF389">
        <v>0</v>
      </c>
      <c r="AG389" s="78" t="s">
        <v>4640</v>
      </c>
      <c r="AH389" t="b">
        <v>0</v>
      </c>
      <c r="AI389" t="s">
        <v>4829</v>
      </c>
      <c r="AK389" s="78" t="s">
        <v>4640</v>
      </c>
      <c r="AL389" t="b">
        <v>0</v>
      </c>
      <c r="AM389">
        <v>0</v>
      </c>
      <c r="AN389" s="78" t="s">
        <v>4640</v>
      </c>
      <c r="AO389" s="78" t="s">
        <v>4853</v>
      </c>
      <c r="AP389" t="b">
        <v>0</v>
      </c>
      <c r="AQ389" s="78" t="s">
        <v>4262</v>
      </c>
      <c r="AR389" t="s">
        <v>179</v>
      </c>
      <c r="AS389">
        <v>0</v>
      </c>
      <c r="AT389">
        <v>0</v>
      </c>
    </row>
    <row r="390" spans="1:46" x14ac:dyDescent="0.45">
      <c r="A390" s="62" t="s">
        <v>507</v>
      </c>
      <c r="B390" s="62" t="s">
        <v>1283</v>
      </c>
      <c r="C390" s="63"/>
      <c r="D390" s="64"/>
      <c r="E390" s="65"/>
      <c r="F390" s="66"/>
      <c r="G390" s="63"/>
      <c r="H390" s="67"/>
      <c r="I390" s="68"/>
      <c r="J390" s="68"/>
      <c r="K390" s="32"/>
      <c r="L390" s="75"/>
      <c r="M390" s="75"/>
      <c r="N390" s="70"/>
      <c r="O390" t="s">
        <v>1568</v>
      </c>
      <c r="P390" s="76">
        <v>44958.698900462965</v>
      </c>
      <c r="Q390" t="s">
        <v>1788</v>
      </c>
      <c r="R390" s="77" t="str">
        <f>HYPERLINK("https://www.stellartv.com/")</f>
        <v>https://www.stellartv.com/</v>
      </c>
      <c r="S390" t="s">
        <v>2281</v>
      </c>
      <c r="U390" s="77" t="str">
        <f>HYPERLINK("https://pbs.twimg.com/media/Fn5UgOdXkAgoH-D.jpg")</f>
        <v>https://pbs.twimg.com/media/Fn5UgOdXkAgoH-D.jpg</v>
      </c>
      <c r="V390" s="77" t="str">
        <f>HYPERLINK("https://pbs.twimg.com/media/Fn5UgOdXkAgoH-D.jpg")</f>
        <v>https://pbs.twimg.com/media/Fn5UgOdXkAgoH-D.jpg</v>
      </c>
      <c r="W390" s="76">
        <v>44958.698900462965</v>
      </c>
      <c r="X390" s="80">
        <v>44958</v>
      </c>
      <c r="Y390" s="78" t="s">
        <v>2747</v>
      </c>
      <c r="Z390" s="77" t="str">
        <f>HYPERLINK("https://twitter.com/thestellars/status/1620825912651517966")</f>
        <v>https://twitter.com/thestellars/status/1620825912651517966</v>
      </c>
      <c r="AC390" s="78" t="s">
        <v>3766</v>
      </c>
      <c r="AE390" t="b">
        <v>0</v>
      </c>
      <c r="AF390">
        <v>3</v>
      </c>
      <c r="AG390" s="78" t="s">
        <v>4640</v>
      </c>
      <c r="AH390" t="b">
        <v>0</v>
      </c>
      <c r="AI390" t="s">
        <v>4829</v>
      </c>
      <c r="AK390" s="78" t="s">
        <v>4640</v>
      </c>
      <c r="AL390" t="b">
        <v>0</v>
      </c>
      <c r="AM390">
        <v>1</v>
      </c>
      <c r="AN390" s="78" t="s">
        <v>4640</v>
      </c>
      <c r="AO390" s="78" t="s">
        <v>4865</v>
      </c>
      <c r="AP390" t="b">
        <v>0</v>
      </c>
      <c r="AQ390" s="78" t="s">
        <v>3766</v>
      </c>
      <c r="AR390" t="s">
        <v>179</v>
      </c>
      <c r="AS390">
        <v>0</v>
      </c>
      <c r="AT390">
        <v>0</v>
      </c>
    </row>
    <row r="391" spans="1:46" x14ac:dyDescent="0.45">
      <c r="A391" s="62" t="s">
        <v>507</v>
      </c>
      <c r="B391" s="62" t="s">
        <v>1284</v>
      </c>
      <c r="C391" s="63"/>
      <c r="D391" s="64"/>
      <c r="E391" s="65"/>
      <c r="F391" s="66"/>
      <c r="G391" s="63"/>
      <c r="H391" s="67"/>
      <c r="I391" s="68"/>
      <c r="J391" s="68"/>
      <c r="K391" s="32"/>
      <c r="L391" s="75"/>
      <c r="M391" s="75"/>
      <c r="N391" s="70"/>
      <c r="O391" t="s">
        <v>1568</v>
      </c>
      <c r="P391" s="76">
        <v>44958.698900462965</v>
      </c>
      <c r="Q391" t="s">
        <v>1788</v>
      </c>
      <c r="R391" s="77" t="str">
        <f>HYPERLINK("https://www.stellartv.com/")</f>
        <v>https://www.stellartv.com/</v>
      </c>
      <c r="S391" t="s">
        <v>2281</v>
      </c>
      <c r="U391" s="77" t="str">
        <f>HYPERLINK("https://pbs.twimg.com/media/Fn5UgOdXkAgoH-D.jpg")</f>
        <v>https://pbs.twimg.com/media/Fn5UgOdXkAgoH-D.jpg</v>
      </c>
      <c r="V391" s="77" t="str">
        <f>HYPERLINK("https://pbs.twimg.com/media/Fn5UgOdXkAgoH-D.jpg")</f>
        <v>https://pbs.twimg.com/media/Fn5UgOdXkAgoH-D.jpg</v>
      </c>
      <c r="W391" s="76">
        <v>44958.698900462965</v>
      </c>
      <c r="X391" s="80">
        <v>44958</v>
      </c>
      <c r="Y391" s="78" t="s">
        <v>2747</v>
      </c>
      <c r="Z391" s="77" t="str">
        <f>HYPERLINK("https://twitter.com/thestellars/status/1620825912651517966")</f>
        <v>https://twitter.com/thestellars/status/1620825912651517966</v>
      </c>
      <c r="AC391" s="78" t="s">
        <v>3766</v>
      </c>
      <c r="AE391" t="b">
        <v>0</v>
      </c>
      <c r="AF391">
        <v>3</v>
      </c>
      <c r="AG391" s="78" t="s">
        <v>4640</v>
      </c>
      <c r="AH391" t="b">
        <v>0</v>
      </c>
      <c r="AI391" t="s">
        <v>4829</v>
      </c>
      <c r="AK391" s="78" t="s">
        <v>4640</v>
      </c>
      <c r="AL391" t="b">
        <v>0</v>
      </c>
      <c r="AM391">
        <v>1</v>
      </c>
      <c r="AN391" s="78" t="s">
        <v>4640</v>
      </c>
      <c r="AO391" s="78" t="s">
        <v>4865</v>
      </c>
      <c r="AP391" t="b">
        <v>0</v>
      </c>
      <c r="AQ391" s="78" t="s">
        <v>3766</v>
      </c>
      <c r="AR391" t="s">
        <v>179</v>
      </c>
      <c r="AS391">
        <v>0</v>
      </c>
      <c r="AT391">
        <v>0</v>
      </c>
    </row>
    <row r="392" spans="1:46" x14ac:dyDescent="0.45">
      <c r="A392" s="62" t="s">
        <v>507</v>
      </c>
      <c r="B392" s="62" t="s">
        <v>1285</v>
      </c>
      <c r="C392" s="63"/>
      <c r="D392" s="64"/>
      <c r="E392" s="65"/>
      <c r="F392" s="66"/>
      <c r="G392" s="63"/>
      <c r="H392" s="67"/>
      <c r="I392" s="68"/>
      <c r="J392" s="68"/>
      <c r="K392" s="32"/>
      <c r="L392" s="75"/>
      <c r="M392" s="75"/>
      <c r="N392" s="70"/>
      <c r="O392" t="s">
        <v>1568</v>
      </c>
      <c r="P392" s="76">
        <v>44958.698900462965</v>
      </c>
      <c r="Q392" t="s">
        <v>1788</v>
      </c>
      <c r="R392" s="77" t="str">
        <f>HYPERLINK("https://www.stellartv.com/")</f>
        <v>https://www.stellartv.com/</v>
      </c>
      <c r="S392" t="s">
        <v>2281</v>
      </c>
      <c r="U392" s="77" t="str">
        <f>HYPERLINK("https://pbs.twimg.com/media/Fn5UgOdXkAgoH-D.jpg")</f>
        <v>https://pbs.twimg.com/media/Fn5UgOdXkAgoH-D.jpg</v>
      </c>
      <c r="V392" s="77" t="str">
        <f>HYPERLINK("https://pbs.twimg.com/media/Fn5UgOdXkAgoH-D.jpg")</f>
        <v>https://pbs.twimg.com/media/Fn5UgOdXkAgoH-D.jpg</v>
      </c>
      <c r="W392" s="76">
        <v>44958.698900462965</v>
      </c>
      <c r="X392" s="80">
        <v>44958</v>
      </c>
      <c r="Y392" s="78" t="s">
        <v>2747</v>
      </c>
      <c r="Z392" s="77" t="str">
        <f>HYPERLINK("https://twitter.com/thestellars/status/1620825912651517966")</f>
        <v>https://twitter.com/thestellars/status/1620825912651517966</v>
      </c>
      <c r="AC392" s="78" t="s">
        <v>3766</v>
      </c>
      <c r="AE392" t="b">
        <v>0</v>
      </c>
      <c r="AF392">
        <v>3</v>
      </c>
      <c r="AG392" s="78" t="s">
        <v>4640</v>
      </c>
      <c r="AH392" t="b">
        <v>0</v>
      </c>
      <c r="AI392" t="s">
        <v>4829</v>
      </c>
      <c r="AK392" s="78" t="s">
        <v>4640</v>
      </c>
      <c r="AL392" t="b">
        <v>0</v>
      </c>
      <c r="AM392">
        <v>1</v>
      </c>
      <c r="AN392" s="78" t="s">
        <v>4640</v>
      </c>
      <c r="AO392" s="78" t="s">
        <v>4865</v>
      </c>
      <c r="AP392" t="b">
        <v>0</v>
      </c>
      <c r="AQ392" s="78" t="s">
        <v>3766</v>
      </c>
      <c r="AR392" t="s">
        <v>179</v>
      </c>
      <c r="AS392">
        <v>0</v>
      </c>
      <c r="AT392">
        <v>0</v>
      </c>
    </row>
    <row r="393" spans="1:46" x14ac:dyDescent="0.45">
      <c r="A393" s="62" t="s">
        <v>507</v>
      </c>
      <c r="B393" s="62" t="s">
        <v>1286</v>
      </c>
      <c r="C393" s="63"/>
      <c r="D393" s="64"/>
      <c r="E393" s="65"/>
      <c r="F393" s="66"/>
      <c r="G393" s="63"/>
      <c r="H393" s="67"/>
      <c r="I393" s="68"/>
      <c r="J393" s="68"/>
      <c r="K393" s="32"/>
      <c r="L393" s="75"/>
      <c r="M393" s="75"/>
      <c r="N393" s="70"/>
      <c r="O393" t="s">
        <v>1568</v>
      </c>
      <c r="P393" s="76">
        <v>44958.698900462965</v>
      </c>
      <c r="Q393" t="s">
        <v>1788</v>
      </c>
      <c r="R393" s="77" t="str">
        <f>HYPERLINK("https://www.stellartv.com/")</f>
        <v>https://www.stellartv.com/</v>
      </c>
      <c r="S393" t="s">
        <v>2281</v>
      </c>
      <c r="U393" s="77" t="str">
        <f>HYPERLINK("https://pbs.twimg.com/media/Fn5UgOdXkAgoH-D.jpg")</f>
        <v>https://pbs.twimg.com/media/Fn5UgOdXkAgoH-D.jpg</v>
      </c>
      <c r="V393" s="77" t="str">
        <f>HYPERLINK("https://pbs.twimg.com/media/Fn5UgOdXkAgoH-D.jpg")</f>
        <v>https://pbs.twimg.com/media/Fn5UgOdXkAgoH-D.jpg</v>
      </c>
      <c r="W393" s="76">
        <v>44958.698900462965</v>
      </c>
      <c r="X393" s="80">
        <v>44958</v>
      </c>
      <c r="Y393" s="78" t="s">
        <v>2747</v>
      </c>
      <c r="Z393" s="77" t="str">
        <f>HYPERLINK("https://twitter.com/thestellars/status/1620825912651517966")</f>
        <v>https://twitter.com/thestellars/status/1620825912651517966</v>
      </c>
      <c r="AC393" s="78" t="s">
        <v>3766</v>
      </c>
      <c r="AE393" t="b">
        <v>0</v>
      </c>
      <c r="AF393">
        <v>3</v>
      </c>
      <c r="AG393" s="78" t="s">
        <v>4640</v>
      </c>
      <c r="AH393" t="b">
        <v>0</v>
      </c>
      <c r="AI393" t="s">
        <v>4829</v>
      </c>
      <c r="AK393" s="78" t="s">
        <v>4640</v>
      </c>
      <c r="AL393" t="b">
        <v>0</v>
      </c>
      <c r="AM393">
        <v>1</v>
      </c>
      <c r="AN393" s="78" t="s">
        <v>4640</v>
      </c>
      <c r="AO393" s="78" t="s">
        <v>4865</v>
      </c>
      <c r="AP393" t="b">
        <v>0</v>
      </c>
      <c r="AQ393" s="78" t="s">
        <v>3766</v>
      </c>
      <c r="AR393" t="s">
        <v>179</v>
      </c>
      <c r="AS393">
        <v>0</v>
      </c>
      <c r="AT393">
        <v>0</v>
      </c>
    </row>
    <row r="394" spans="1:46" x14ac:dyDescent="0.45">
      <c r="A394" s="62" t="s">
        <v>507</v>
      </c>
      <c r="B394" s="62" t="s">
        <v>1287</v>
      </c>
      <c r="C394" s="63"/>
      <c r="D394" s="64"/>
      <c r="E394" s="65"/>
      <c r="F394" s="66"/>
      <c r="G394" s="63"/>
      <c r="H394" s="67"/>
      <c r="I394" s="68"/>
      <c r="J394" s="68"/>
      <c r="K394" s="32"/>
      <c r="L394" s="75"/>
      <c r="M394" s="75"/>
      <c r="N394" s="70"/>
      <c r="O394" t="s">
        <v>1568</v>
      </c>
      <c r="P394" s="76">
        <v>44958.698900462965</v>
      </c>
      <c r="Q394" t="s">
        <v>1788</v>
      </c>
      <c r="R394" s="77" t="str">
        <f>HYPERLINK("https://www.stellartv.com/")</f>
        <v>https://www.stellartv.com/</v>
      </c>
      <c r="S394" t="s">
        <v>2281</v>
      </c>
      <c r="U394" s="77" t="str">
        <f>HYPERLINK("https://pbs.twimg.com/media/Fn5UgOdXkAgoH-D.jpg")</f>
        <v>https://pbs.twimg.com/media/Fn5UgOdXkAgoH-D.jpg</v>
      </c>
      <c r="V394" s="77" t="str">
        <f>HYPERLINK("https://pbs.twimg.com/media/Fn5UgOdXkAgoH-D.jpg")</f>
        <v>https://pbs.twimg.com/media/Fn5UgOdXkAgoH-D.jpg</v>
      </c>
      <c r="W394" s="76">
        <v>44958.698900462965</v>
      </c>
      <c r="X394" s="80">
        <v>44958</v>
      </c>
      <c r="Y394" s="78" t="s">
        <v>2747</v>
      </c>
      <c r="Z394" s="77" t="str">
        <f>HYPERLINK("https://twitter.com/thestellars/status/1620825912651517966")</f>
        <v>https://twitter.com/thestellars/status/1620825912651517966</v>
      </c>
      <c r="AC394" s="78" t="s">
        <v>3766</v>
      </c>
      <c r="AE394" t="b">
        <v>0</v>
      </c>
      <c r="AF394">
        <v>3</v>
      </c>
      <c r="AG394" s="78" t="s">
        <v>4640</v>
      </c>
      <c r="AH394" t="b">
        <v>0</v>
      </c>
      <c r="AI394" t="s">
        <v>4829</v>
      </c>
      <c r="AK394" s="78" t="s">
        <v>4640</v>
      </c>
      <c r="AL394" t="b">
        <v>0</v>
      </c>
      <c r="AM394">
        <v>1</v>
      </c>
      <c r="AN394" s="78" t="s">
        <v>4640</v>
      </c>
      <c r="AO394" s="78" t="s">
        <v>4865</v>
      </c>
      <c r="AP394" t="b">
        <v>0</v>
      </c>
      <c r="AQ394" s="78" t="s">
        <v>3766</v>
      </c>
      <c r="AR394" t="s">
        <v>179</v>
      </c>
      <c r="AS394">
        <v>0</v>
      </c>
      <c r="AT394">
        <v>0</v>
      </c>
    </row>
    <row r="395" spans="1:46" x14ac:dyDescent="0.45">
      <c r="A395" s="62" t="s">
        <v>507</v>
      </c>
      <c r="B395" s="62" t="s">
        <v>242</v>
      </c>
      <c r="C395" s="63"/>
      <c r="D395" s="64"/>
      <c r="E395" s="65"/>
      <c r="F395" s="66"/>
      <c r="G395" s="63"/>
      <c r="H395" s="67"/>
      <c r="I395" s="68"/>
      <c r="J395" s="68"/>
      <c r="K395" s="32"/>
      <c r="L395" s="75"/>
      <c r="M395" s="75"/>
      <c r="N395" s="70"/>
      <c r="O395" t="s">
        <v>1568</v>
      </c>
      <c r="P395" s="76">
        <v>44958.698900462965</v>
      </c>
      <c r="Q395" t="s">
        <v>1788</v>
      </c>
      <c r="R395" s="77" t="str">
        <f>HYPERLINK("https://www.stellartv.com/")</f>
        <v>https://www.stellartv.com/</v>
      </c>
      <c r="S395" t="s">
        <v>2281</v>
      </c>
      <c r="U395" s="77" t="str">
        <f>HYPERLINK("https://pbs.twimg.com/media/Fn5UgOdXkAgoH-D.jpg")</f>
        <v>https://pbs.twimg.com/media/Fn5UgOdXkAgoH-D.jpg</v>
      </c>
      <c r="V395" s="77" t="str">
        <f>HYPERLINK("https://pbs.twimg.com/media/Fn5UgOdXkAgoH-D.jpg")</f>
        <v>https://pbs.twimg.com/media/Fn5UgOdXkAgoH-D.jpg</v>
      </c>
      <c r="W395" s="76">
        <v>44958.698900462965</v>
      </c>
      <c r="X395" s="80">
        <v>44958</v>
      </c>
      <c r="Y395" s="78" t="s">
        <v>2747</v>
      </c>
      <c r="Z395" s="77" t="str">
        <f>HYPERLINK("https://twitter.com/thestellars/status/1620825912651517966")</f>
        <v>https://twitter.com/thestellars/status/1620825912651517966</v>
      </c>
      <c r="AC395" s="78" t="s">
        <v>3766</v>
      </c>
      <c r="AE395" t="b">
        <v>0</v>
      </c>
      <c r="AF395">
        <v>3</v>
      </c>
      <c r="AG395" s="78" t="s">
        <v>4640</v>
      </c>
      <c r="AH395" t="b">
        <v>0</v>
      </c>
      <c r="AI395" t="s">
        <v>4829</v>
      </c>
      <c r="AK395" s="78" t="s">
        <v>4640</v>
      </c>
      <c r="AL395" t="b">
        <v>0</v>
      </c>
      <c r="AM395">
        <v>1</v>
      </c>
      <c r="AN395" s="78" t="s">
        <v>4640</v>
      </c>
      <c r="AO395" s="78" t="s">
        <v>4865</v>
      </c>
      <c r="AP395" t="b">
        <v>0</v>
      </c>
      <c r="AQ395" s="78" t="s">
        <v>3766</v>
      </c>
      <c r="AR395" t="s">
        <v>179</v>
      </c>
      <c r="AS395">
        <v>0</v>
      </c>
      <c r="AT395">
        <v>0</v>
      </c>
    </row>
    <row r="396" spans="1:46" x14ac:dyDescent="0.45">
      <c r="A396" s="62" t="s">
        <v>507</v>
      </c>
      <c r="B396" s="62" t="s">
        <v>508</v>
      </c>
      <c r="C396" s="63"/>
      <c r="D396" s="64"/>
      <c r="E396" s="65"/>
      <c r="F396" s="66"/>
      <c r="G396" s="63"/>
      <c r="H396" s="67"/>
      <c r="I396" s="68"/>
      <c r="J396" s="68"/>
      <c r="K396" s="32"/>
      <c r="L396" s="75"/>
      <c r="M396" s="75"/>
      <c r="N396" s="70"/>
      <c r="O396" t="s">
        <v>1568</v>
      </c>
      <c r="P396" s="76">
        <v>44958.698900462965</v>
      </c>
      <c r="Q396" t="s">
        <v>1788</v>
      </c>
      <c r="R396" s="77" t="str">
        <f>HYPERLINK("https://www.stellartv.com/")</f>
        <v>https://www.stellartv.com/</v>
      </c>
      <c r="S396" t="s">
        <v>2281</v>
      </c>
      <c r="U396" s="77" t="str">
        <f>HYPERLINK("https://pbs.twimg.com/media/Fn5UgOdXkAgoH-D.jpg")</f>
        <v>https://pbs.twimg.com/media/Fn5UgOdXkAgoH-D.jpg</v>
      </c>
      <c r="V396" s="77" t="str">
        <f>HYPERLINK("https://pbs.twimg.com/media/Fn5UgOdXkAgoH-D.jpg")</f>
        <v>https://pbs.twimg.com/media/Fn5UgOdXkAgoH-D.jpg</v>
      </c>
      <c r="W396" s="76">
        <v>44958.698900462965</v>
      </c>
      <c r="X396" s="80">
        <v>44958</v>
      </c>
      <c r="Y396" s="78" t="s">
        <v>2747</v>
      </c>
      <c r="Z396" s="77" t="str">
        <f>HYPERLINK("https://twitter.com/thestellars/status/1620825912651517966")</f>
        <v>https://twitter.com/thestellars/status/1620825912651517966</v>
      </c>
      <c r="AC396" s="78" t="s">
        <v>3766</v>
      </c>
      <c r="AE396" t="b">
        <v>0</v>
      </c>
      <c r="AF396">
        <v>3</v>
      </c>
      <c r="AG396" s="78" t="s">
        <v>4640</v>
      </c>
      <c r="AH396" t="b">
        <v>0</v>
      </c>
      <c r="AI396" t="s">
        <v>4829</v>
      </c>
      <c r="AK396" s="78" t="s">
        <v>4640</v>
      </c>
      <c r="AL396" t="b">
        <v>0</v>
      </c>
      <c r="AM396">
        <v>1</v>
      </c>
      <c r="AN396" s="78" t="s">
        <v>4640</v>
      </c>
      <c r="AO396" s="78" t="s">
        <v>4865</v>
      </c>
      <c r="AP396" t="b">
        <v>0</v>
      </c>
      <c r="AQ396" s="78" t="s">
        <v>3766</v>
      </c>
      <c r="AR396" t="s">
        <v>179</v>
      </c>
      <c r="AS396">
        <v>0</v>
      </c>
      <c r="AT396">
        <v>0</v>
      </c>
    </row>
    <row r="397" spans="1:46" x14ac:dyDescent="0.45">
      <c r="A397" s="62" t="s">
        <v>508</v>
      </c>
      <c r="B397" s="62" t="s">
        <v>1283</v>
      </c>
      <c r="C397" s="63"/>
      <c r="D397" s="64"/>
      <c r="E397" s="65"/>
      <c r="F397" s="66"/>
      <c r="G397" s="63"/>
      <c r="H397" s="67"/>
      <c r="I397" s="68"/>
      <c r="J397" s="68"/>
      <c r="K397" s="32"/>
      <c r="L397" s="75"/>
      <c r="M397" s="75"/>
      <c r="N397" s="70"/>
      <c r="O397" t="s">
        <v>1570</v>
      </c>
      <c r="P397" s="76">
        <v>44958.762395833335</v>
      </c>
      <c r="Q397" t="s">
        <v>1788</v>
      </c>
      <c r="R397" s="77" t="str">
        <f>HYPERLINK("https://www.stellartv.com/")</f>
        <v>https://www.stellartv.com/</v>
      </c>
      <c r="S397" t="s">
        <v>2281</v>
      </c>
      <c r="U397" s="77" t="str">
        <f>HYPERLINK("https://pbs.twimg.com/media/Fn5UgOdXkAgoH-D.jpg")</f>
        <v>https://pbs.twimg.com/media/Fn5UgOdXkAgoH-D.jpg</v>
      </c>
      <c r="V397" s="77" t="str">
        <f>HYPERLINK("https://pbs.twimg.com/media/Fn5UgOdXkAgoH-D.jpg")</f>
        <v>https://pbs.twimg.com/media/Fn5UgOdXkAgoH-D.jpg</v>
      </c>
      <c r="W397" s="76">
        <v>44958.762395833335</v>
      </c>
      <c r="X397" s="80">
        <v>44958</v>
      </c>
      <c r="Y397" s="78" t="s">
        <v>2748</v>
      </c>
      <c r="Z397" s="77" t="str">
        <f>HYPERLINK("https://twitter.com/freedomcenter/status/1620848921735225347")</f>
        <v>https://twitter.com/freedomcenter/status/1620848921735225347</v>
      </c>
      <c r="AC397" s="78" t="s">
        <v>3767</v>
      </c>
      <c r="AE397" t="b">
        <v>0</v>
      </c>
      <c r="AF397">
        <v>0</v>
      </c>
      <c r="AG397" s="78" t="s">
        <v>4640</v>
      </c>
      <c r="AH397" t="b">
        <v>0</v>
      </c>
      <c r="AI397" t="s">
        <v>4829</v>
      </c>
      <c r="AK397" s="78" t="s">
        <v>4640</v>
      </c>
      <c r="AL397" t="b">
        <v>0</v>
      </c>
      <c r="AM397">
        <v>1</v>
      </c>
      <c r="AN397" s="78" t="s">
        <v>3766</v>
      </c>
      <c r="AO397" s="78" t="s">
        <v>4851</v>
      </c>
      <c r="AP397" t="b">
        <v>0</v>
      </c>
      <c r="AQ397" s="78" t="s">
        <v>3766</v>
      </c>
      <c r="AR397" t="s">
        <v>179</v>
      </c>
      <c r="AS397">
        <v>0</v>
      </c>
      <c r="AT397">
        <v>0</v>
      </c>
    </row>
    <row r="398" spans="1:46" x14ac:dyDescent="0.45">
      <c r="A398" s="62" t="s">
        <v>508</v>
      </c>
      <c r="B398" s="62" t="s">
        <v>1284</v>
      </c>
      <c r="C398" s="63"/>
      <c r="D398" s="64"/>
      <c r="E398" s="65"/>
      <c r="F398" s="66"/>
      <c r="G398" s="63"/>
      <c r="H398" s="67"/>
      <c r="I398" s="68"/>
      <c r="J398" s="68"/>
      <c r="K398" s="32"/>
      <c r="L398" s="75"/>
      <c r="M398" s="75"/>
      <c r="N398" s="70"/>
      <c r="O398" t="s">
        <v>1570</v>
      </c>
      <c r="P398" s="76">
        <v>44958.762395833335</v>
      </c>
      <c r="Q398" t="s">
        <v>1788</v>
      </c>
      <c r="R398" s="77" t="str">
        <f>HYPERLINK("https://www.stellartv.com/")</f>
        <v>https://www.stellartv.com/</v>
      </c>
      <c r="S398" t="s">
        <v>2281</v>
      </c>
      <c r="U398" s="77" t="str">
        <f>HYPERLINK("https://pbs.twimg.com/media/Fn5UgOdXkAgoH-D.jpg")</f>
        <v>https://pbs.twimg.com/media/Fn5UgOdXkAgoH-D.jpg</v>
      </c>
      <c r="V398" s="77" t="str">
        <f>HYPERLINK("https://pbs.twimg.com/media/Fn5UgOdXkAgoH-D.jpg")</f>
        <v>https://pbs.twimg.com/media/Fn5UgOdXkAgoH-D.jpg</v>
      </c>
      <c r="W398" s="76">
        <v>44958.762395833335</v>
      </c>
      <c r="X398" s="80">
        <v>44958</v>
      </c>
      <c r="Y398" s="78" t="s">
        <v>2748</v>
      </c>
      <c r="Z398" s="77" t="str">
        <f>HYPERLINK("https://twitter.com/freedomcenter/status/1620848921735225347")</f>
        <v>https://twitter.com/freedomcenter/status/1620848921735225347</v>
      </c>
      <c r="AC398" s="78" t="s">
        <v>3767</v>
      </c>
      <c r="AE398" t="b">
        <v>0</v>
      </c>
      <c r="AF398">
        <v>0</v>
      </c>
      <c r="AG398" s="78" t="s">
        <v>4640</v>
      </c>
      <c r="AH398" t="b">
        <v>0</v>
      </c>
      <c r="AI398" t="s">
        <v>4829</v>
      </c>
      <c r="AK398" s="78" t="s">
        <v>4640</v>
      </c>
      <c r="AL398" t="b">
        <v>0</v>
      </c>
      <c r="AM398">
        <v>1</v>
      </c>
      <c r="AN398" s="78" t="s">
        <v>3766</v>
      </c>
      <c r="AO398" s="78" t="s">
        <v>4851</v>
      </c>
      <c r="AP398" t="b">
        <v>0</v>
      </c>
      <c r="AQ398" s="78" t="s">
        <v>3766</v>
      </c>
      <c r="AR398" t="s">
        <v>179</v>
      </c>
      <c r="AS398">
        <v>0</v>
      </c>
      <c r="AT398">
        <v>0</v>
      </c>
    </row>
    <row r="399" spans="1:46" x14ac:dyDescent="0.45">
      <c r="A399" s="62" t="s">
        <v>508</v>
      </c>
      <c r="B399" s="62" t="s">
        <v>1285</v>
      </c>
      <c r="C399" s="63"/>
      <c r="D399" s="64"/>
      <c r="E399" s="65"/>
      <c r="F399" s="66"/>
      <c r="G399" s="63"/>
      <c r="H399" s="67"/>
      <c r="I399" s="68"/>
      <c r="J399" s="68"/>
      <c r="K399" s="32"/>
      <c r="L399" s="75"/>
      <c r="M399" s="75"/>
      <c r="N399" s="70"/>
      <c r="O399" t="s">
        <v>1570</v>
      </c>
      <c r="P399" s="76">
        <v>44958.762395833335</v>
      </c>
      <c r="Q399" t="s">
        <v>1788</v>
      </c>
      <c r="R399" s="77" t="str">
        <f>HYPERLINK("https://www.stellartv.com/")</f>
        <v>https://www.stellartv.com/</v>
      </c>
      <c r="S399" t="s">
        <v>2281</v>
      </c>
      <c r="U399" s="77" t="str">
        <f>HYPERLINK("https://pbs.twimg.com/media/Fn5UgOdXkAgoH-D.jpg")</f>
        <v>https://pbs.twimg.com/media/Fn5UgOdXkAgoH-D.jpg</v>
      </c>
      <c r="V399" s="77" t="str">
        <f>HYPERLINK("https://pbs.twimg.com/media/Fn5UgOdXkAgoH-D.jpg")</f>
        <v>https://pbs.twimg.com/media/Fn5UgOdXkAgoH-D.jpg</v>
      </c>
      <c r="W399" s="76">
        <v>44958.762395833335</v>
      </c>
      <c r="X399" s="80">
        <v>44958</v>
      </c>
      <c r="Y399" s="78" t="s">
        <v>2748</v>
      </c>
      <c r="Z399" s="77" t="str">
        <f>HYPERLINK("https://twitter.com/freedomcenter/status/1620848921735225347")</f>
        <v>https://twitter.com/freedomcenter/status/1620848921735225347</v>
      </c>
      <c r="AC399" s="78" t="s">
        <v>3767</v>
      </c>
      <c r="AE399" t="b">
        <v>0</v>
      </c>
      <c r="AF399">
        <v>0</v>
      </c>
      <c r="AG399" s="78" t="s">
        <v>4640</v>
      </c>
      <c r="AH399" t="b">
        <v>0</v>
      </c>
      <c r="AI399" t="s">
        <v>4829</v>
      </c>
      <c r="AK399" s="78" t="s">
        <v>4640</v>
      </c>
      <c r="AL399" t="b">
        <v>0</v>
      </c>
      <c r="AM399">
        <v>1</v>
      </c>
      <c r="AN399" s="78" t="s">
        <v>3766</v>
      </c>
      <c r="AO399" s="78" t="s">
        <v>4851</v>
      </c>
      <c r="AP399" t="b">
        <v>0</v>
      </c>
      <c r="AQ399" s="78" t="s">
        <v>3766</v>
      </c>
      <c r="AR399" t="s">
        <v>179</v>
      </c>
      <c r="AS399">
        <v>0</v>
      </c>
      <c r="AT399">
        <v>0</v>
      </c>
    </row>
    <row r="400" spans="1:46" x14ac:dyDescent="0.45">
      <c r="A400" s="62" t="s">
        <v>508</v>
      </c>
      <c r="B400" s="62" t="s">
        <v>1286</v>
      </c>
      <c r="C400" s="63"/>
      <c r="D400" s="64"/>
      <c r="E400" s="65"/>
      <c r="F400" s="66"/>
      <c r="G400" s="63"/>
      <c r="H400" s="67"/>
      <c r="I400" s="68"/>
      <c r="J400" s="68"/>
      <c r="K400" s="32"/>
      <c r="L400" s="75"/>
      <c r="M400" s="75"/>
      <c r="N400" s="70"/>
      <c r="O400" t="s">
        <v>1570</v>
      </c>
      <c r="P400" s="76">
        <v>44958.762395833335</v>
      </c>
      <c r="Q400" t="s">
        <v>1788</v>
      </c>
      <c r="R400" s="77" t="str">
        <f>HYPERLINK("https://www.stellartv.com/")</f>
        <v>https://www.stellartv.com/</v>
      </c>
      <c r="S400" t="s">
        <v>2281</v>
      </c>
      <c r="U400" s="77" t="str">
        <f>HYPERLINK("https://pbs.twimg.com/media/Fn5UgOdXkAgoH-D.jpg")</f>
        <v>https://pbs.twimg.com/media/Fn5UgOdXkAgoH-D.jpg</v>
      </c>
      <c r="V400" s="77" t="str">
        <f>HYPERLINK("https://pbs.twimg.com/media/Fn5UgOdXkAgoH-D.jpg")</f>
        <v>https://pbs.twimg.com/media/Fn5UgOdXkAgoH-D.jpg</v>
      </c>
      <c r="W400" s="76">
        <v>44958.762395833335</v>
      </c>
      <c r="X400" s="80">
        <v>44958</v>
      </c>
      <c r="Y400" s="78" t="s">
        <v>2748</v>
      </c>
      <c r="Z400" s="77" t="str">
        <f>HYPERLINK("https://twitter.com/freedomcenter/status/1620848921735225347")</f>
        <v>https://twitter.com/freedomcenter/status/1620848921735225347</v>
      </c>
      <c r="AC400" s="78" t="s">
        <v>3767</v>
      </c>
      <c r="AE400" t="b">
        <v>0</v>
      </c>
      <c r="AF400">
        <v>0</v>
      </c>
      <c r="AG400" s="78" t="s">
        <v>4640</v>
      </c>
      <c r="AH400" t="b">
        <v>0</v>
      </c>
      <c r="AI400" t="s">
        <v>4829</v>
      </c>
      <c r="AK400" s="78" t="s">
        <v>4640</v>
      </c>
      <c r="AL400" t="b">
        <v>0</v>
      </c>
      <c r="AM400">
        <v>1</v>
      </c>
      <c r="AN400" s="78" t="s">
        <v>3766</v>
      </c>
      <c r="AO400" s="78" t="s">
        <v>4851</v>
      </c>
      <c r="AP400" t="b">
        <v>0</v>
      </c>
      <c r="AQ400" s="78" t="s">
        <v>3766</v>
      </c>
      <c r="AR400" t="s">
        <v>179</v>
      </c>
      <c r="AS400">
        <v>0</v>
      </c>
      <c r="AT400">
        <v>0</v>
      </c>
    </row>
    <row r="401" spans="1:54" x14ac:dyDescent="0.45">
      <c r="A401" s="62" t="s">
        <v>508</v>
      </c>
      <c r="B401" s="62" t="s">
        <v>1287</v>
      </c>
      <c r="C401" s="63"/>
      <c r="D401" s="64"/>
      <c r="E401" s="65"/>
      <c r="F401" s="66"/>
      <c r="G401" s="63"/>
      <c r="H401" s="67"/>
      <c r="I401" s="68"/>
      <c r="J401" s="68"/>
      <c r="K401" s="32"/>
      <c r="L401" s="75"/>
      <c r="M401" s="75"/>
      <c r="N401" s="70"/>
      <c r="O401" t="s">
        <v>1570</v>
      </c>
      <c r="P401" s="76">
        <v>44958.762395833335</v>
      </c>
      <c r="Q401" t="s">
        <v>1788</v>
      </c>
      <c r="R401" s="77" t="str">
        <f>HYPERLINK("https://www.stellartv.com/")</f>
        <v>https://www.stellartv.com/</v>
      </c>
      <c r="S401" t="s">
        <v>2281</v>
      </c>
      <c r="U401" s="77" t="str">
        <f>HYPERLINK("https://pbs.twimg.com/media/Fn5UgOdXkAgoH-D.jpg")</f>
        <v>https://pbs.twimg.com/media/Fn5UgOdXkAgoH-D.jpg</v>
      </c>
      <c r="V401" s="77" t="str">
        <f>HYPERLINK("https://pbs.twimg.com/media/Fn5UgOdXkAgoH-D.jpg")</f>
        <v>https://pbs.twimg.com/media/Fn5UgOdXkAgoH-D.jpg</v>
      </c>
      <c r="W401" s="76">
        <v>44958.762395833335</v>
      </c>
      <c r="X401" s="80">
        <v>44958</v>
      </c>
      <c r="Y401" s="78" t="s">
        <v>2748</v>
      </c>
      <c r="Z401" s="77" t="str">
        <f>HYPERLINK("https://twitter.com/freedomcenter/status/1620848921735225347")</f>
        <v>https://twitter.com/freedomcenter/status/1620848921735225347</v>
      </c>
      <c r="AC401" s="78" t="s">
        <v>3767</v>
      </c>
      <c r="AE401" t="b">
        <v>0</v>
      </c>
      <c r="AF401">
        <v>0</v>
      </c>
      <c r="AG401" s="78" t="s">
        <v>4640</v>
      </c>
      <c r="AH401" t="b">
        <v>0</v>
      </c>
      <c r="AI401" t="s">
        <v>4829</v>
      </c>
      <c r="AK401" s="78" t="s">
        <v>4640</v>
      </c>
      <c r="AL401" t="b">
        <v>0</v>
      </c>
      <c r="AM401">
        <v>1</v>
      </c>
      <c r="AN401" s="78" t="s">
        <v>3766</v>
      </c>
      <c r="AO401" s="78" t="s">
        <v>4851</v>
      </c>
      <c r="AP401" t="b">
        <v>0</v>
      </c>
      <c r="AQ401" s="78" t="s">
        <v>3766</v>
      </c>
      <c r="AR401" t="s">
        <v>179</v>
      </c>
      <c r="AS401">
        <v>0</v>
      </c>
      <c r="AT401">
        <v>0</v>
      </c>
    </row>
    <row r="402" spans="1:54" x14ac:dyDescent="0.45">
      <c r="A402" s="62" t="s">
        <v>508</v>
      </c>
      <c r="B402" s="62" t="s">
        <v>507</v>
      </c>
      <c r="C402" s="63"/>
      <c r="D402" s="64"/>
      <c r="E402" s="65"/>
      <c r="F402" s="66"/>
      <c r="G402" s="63"/>
      <c r="H402" s="67"/>
      <c r="I402" s="68"/>
      <c r="J402" s="68"/>
      <c r="K402" s="32"/>
      <c r="L402" s="75"/>
      <c r="M402" s="75"/>
      <c r="N402" s="70"/>
      <c r="O402" t="s">
        <v>1569</v>
      </c>
      <c r="P402" s="76">
        <v>44958.762395833335</v>
      </c>
      <c r="Q402" t="s">
        <v>1788</v>
      </c>
      <c r="R402" s="77" t="str">
        <f>HYPERLINK("https://www.stellartv.com/")</f>
        <v>https://www.stellartv.com/</v>
      </c>
      <c r="S402" t="s">
        <v>2281</v>
      </c>
      <c r="U402" s="77" t="str">
        <f>HYPERLINK("https://pbs.twimg.com/media/Fn5UgOdXkAgoH-D.jpg")</f>
        <v>https://pbs.twimg.com/media/Fn5UgOdXkAgoH-D.jpg</v>
      </c>
      <c r="V402" s="77" t="str">
        <f>HYPERLINK("https://pbs.twimg.com/media/Fn5UgOdXkAgoH-D.jpg")</f>
        <v>https://pbs.twimg.com/media/Fn5UgOdXkAgoH-D.jpg</v>
      </c>
      <c r="W402" s="76">
        <v>44958.762395833335</v>
      </c>
      <c r="X402" s="80">
        <v>44958</v>
      </c>
      <c r="Y402" s="78" t="s">
        <v>2748</v>
      </c>
      <c r="Z402" s="77" t="str">
        <f>HYPERLINK("https://twitter.com/freedomcenter/status/1620848921735225347")</f>
        <v>https://twitter.com/freedomcenter/status/1620848921735225347</v>
      </c>
      <c r="AC402" s="78" t="s">
        <v>3767</v>
      </c>
      <c r="AE402" t="b">
        <v>0</v>
      </c>
      <c r="AF402">
        <v>0</v>
      </c>
      <c r="AG402" s="78" t="s">
        <v>4640</v>
      </c>
      <c r="AH402" t="b">
        <v>0</v>
      </c>
      <c r="AI402" t="s">
        <v>4829</v>
      </c>
      <c r="AK402" s="78" t="s">
        <v>4640</v>
      </c>
      <c r="AL402" t="b">
        <v>0</v>
      </c>
      <c r="AM402">
        <v>1</v>
      </c>
      <c r="AN402" s="78" t="s">
        <v>3766</v>
      </c>
      <c r="AO402" s="78" t="s">
        <v>4851</v>
      </c>
      <c r="AP402" t="b">
        <v>0</v>
      </c>
      <c r="AQ402" s="78" t="s">
        <v>3766</v>
      </c>
      <c r="AR402" t="s">
        <v>179</v>
      </c>
      <c r="AS402">
        <v>0</v>
      </c>
      <c r="AT402">
        <v>0</v>
      </c>
    </row>
    <row r="403" spans="1:54" x14ac:dyDescent="0.45">
      <c r="A403" s="62" t="s">
        <v>508</v>
      </c>
      <c r="B403" s="62" t="s">
        <v>242</v>
      </c>
      <c r="C403" s="63"/>
      <c r="D403" s="64"/>
      <c r="E403" s="65"/>
      <c r="F403" s="66"/>
      <c r="G403" s="63"/>
      <c r="H403" s="67"/>
      <c r="I403" s="68"/>
      <c r="J403" s="68"/>
      <c r="K403" s="32"/>
      <c r="L403" s="75"/>
      <c r="M403" s="75"/>
      <c r="N403" s="70"/>
      <c r="O403" t="s">
        <v>1570</v>
      </c>
      <c r="P403" s="76">
        <v>44958.762395833335</v>
      </c>
      <c r="Q403" t="s">
        <v>1788</v>
      </c>
      <c r="R403" s="77" t="str">
        <f>HYPERLINK("https://www.stellartv.com/")</f>
        <v>https://www.stellartv.com/</v>
      </c>
      <c r="S403" t="s">
        <v>2281</v>
      </c>
      <c r="U403" s="77" t="str">
        <f>HYPERLINK("https://pbs.twimg.com/media/Fn5UgOdXkAgoH-D.jpg")</f>
        <v>https://pbs.twimg.com/media/Fn5UgOdXkAgoH-D.jpg</v>
      </c>
      <c r="V403" s="77" t="str">
        <f>HYPERLINK("https://pbs.twimg.com/media/Fn5UgOdXkAgoH-D.jpg")</f>
        <v>https://pbs.twimg.com/media/Fn5UgOdXkAgoH-D.jpg</v>
      </c>
      <c r="W403" s="76">
        <v>44958.762395833335</v>
      </c>
      <c r="X403" s="80">
        <v>44958</v>
      </c>
      <c r="Y403" s="78" t="s">
        <v>2748</v>
      </c>
      <c r="Z403" s="77" t="str">
        <f>HYPERLINK("https://twitter.com/freedomcenter/status/1620848921735225347")</f>
        <v>https://twitter.com/freedomcenter/status/1620848921735225347</v>
      </c>
      <c r="AC403" s="78" t="s">
        <v>3767</v>
      </c>
      <c r="AE403" t="b">
        <v>0</v>
      </c>
      <c r="AF403">
        <v>0</v>
      </c>
      <c r="AG403" s="78" t="s">
        <v>4640</v>
      </c>
      <c r="AH403" t="b">
        <v>0</v>
      </c>
      <c r="AI403" t="s">
        <v>4829</v>
      </c>
      <c r="AK403" s="78" t="s">
        <v>4640</v>
      </c>
      <c r="AL403" t="b">
        <v>0</v>
      </c>
      <c r="AM403">
        <v>1</v>
      </c>
      <c r="AN403" s="78" t="s">
        <v>3766</v>
      </c>
      <c r="AO403" s="78" t="s">
        <v>4851</v>
      </c>
      <c r="AP403" t="b">
        <v>0</v>
      </c>
      <c r="AQ403" s="78" t="s">
        <v>3766</v>
      </c>
      <c r="AR403" t="s">
        <v>179</v>
      </c>
      <c r="AS403">
        <v>0</v>
      </c>
      <c r="AT403">
        <v>0</v>
      </c>
    </row>
    <row r="404" spans="1:54" x14ac:dyDescent="0.45">
      <c r="A404" s="62" t="s">
        <v>678</v>
      </c>
      <c r="B404" s="62" t="s">
        <v>242</v>
      </c>
      <c r="C404" s="63"/>
      <c r="D404" s="64"/>
      <c r="E404" s="65"/>
      <c r="F404" s="66"/>
      <c r="G404" s="63"/>
      <c r="H404" s="67"/>
      <c r="I404" s="68"/>
      <c r="J404" s="68"/>
      <c r="K404" s="32"/>
      <c r="L404" s="75"/>
      <c r="M404" s="75"/>
      <c r="N404" s="70"/>
      <c r="O404" t="s">
        <v>1568</v>
      </c>
      <c r="P404" s="76">
        <v>44958.876875000002</v>
      </c>
      <c r="Q404" t="s">
        <v>1863</v>
      </c>
      <c r="R404" s="77" t="str">
        <f>HYPERLINK("https://www.swarmapp.com/c/iszUmgWywTw")</f>
        <v>https://www.swarmapp.com/c/iszUmgWywTw</v>
      </c>
      <c r="S404" t="s">
        <v>2277</v>
      </c>
      <c r="V404" s="77" t="str">
        <f>HYPERLINK("https://pbs.twimg.com/profile_images/941520697637007360/tOL2Enac_normal.jpg")</f>
        <v>https://pbs.twimg.com/profile_images/941520697637007360/tOL2Enac_normal.jpg</v>
      </c>
      <c r="W404" s="76">
        <v>44958.876875000002</v>
      </c>
      <c r="X404" s="80">
        <v>44958</v>
      </c>
      <c r="Y404" s="78" t="s">
        <v>2879</v>
      </c>
      <c r="Z404" s="77" t="str">
        <f>HYPERLINK("https://twitter.com/ahoffenbacker/status/1620890408912920579")</f>
        <v>https://twitter.com/ahoffenbacker/status/1620890408912920579</v>
      </c>
      <c r="AC404" s="78" t="s">
        <v>3944</v>
      </c>
      <c r="AE404" t="b">
        <v>0</v>
      </c>
      <c r="AF404">
        <v>1</v>
      </c>
      <c r="AG404" s="78" t="s">
        <v>4640</v>
      </c>
      <c r="AH404" t="b">
        <v>0</v>
      </c>
      <c r="AI404" t="s">
        <v>4829</v>
      </c>
      <c r="AK404" s="78" t="s">
        <v>4640</v>
      </c>
      <c r="AL404" t="b">
        <v>0</v>
      </c>
      <c r="AM404">
        <v>0</v>
      </c>
      <c r="AN404" s="78" t="s">
        <v>4640</v>
      </c>
      <c r="AO404" s="78" t="s">
        <v>4869</v>
      </c>
      <c r="AP404" t="b">
        <v>0</v>
      </c>
      <c r="AQ404" s="78" t="s">
        <v>3944</v>
      </c>
      <c r="AR404" t="s">
        <v>179</v>
      </c>
      <c r="AS404">
        <v>0</v>
      </c>
      <c r="AT404">
        <v>0</v>
      </c>
    </row>
    <row r="405" spans="1:54" x14ac:dyDescent="0.45">
      <c r="A405" s="62" t="s">
        <v>390</v>
      </c>
      <c r="B405" s="62" t="s">
        <v>242</v>
      </c>
      <c r="C405" s="63"/>
      <c r="D405" s="64"/>
      <c r="E405" s="65"/>
      <c r="F405" s="66"/>
      <c r="G405" s="63"/>
      <c r="H405" s="67"/>
      <c r="I405" s="68"/>
      <c r="J405" s="68"/>
      <c r="K405" s="32"/>
      <c r="L405" s="75"/>
      <c r="M405" s="75"/>
      <c r="N405" s="70"/>
      <c r="O405" t="s">
        <v>1568</v>
      </c>
      <c r="P405" s="76">
        <v>44958.698344907411</v>
      </c>
      <c r="Q405" t="s">
        <v>1726</v>
      </c>
      <c r="R405" s="77" t="str">
        <f>HYPERLINK("https://www.swarmapp.com/c/f2H9bSk4Xar")</f>
        <v>https://www.swarmapp.com/c/f2H9bSk4Xar</v>
      </c>
      <c r="S405" t="s">
        <v>2277</v>
      </c>
      <c r="V405" s="77" t="str">
        <f>HYPERLINK("https://pbs.twimg.com/profile_images/1093937517/q100000420939155_6839_normal.jpg")</f>
        <v>https://pbs.twimg.com/profile_images/1093937517/q100000420939155_6839_normal.jpg</v>
      </c>
      <c r="W405" s="76">
        <v>44958.698344907411</v>
      </c>
      <c r="X405" s="80">
        <v>44958</v>
      </c>
      <c r="Y405" s="78" t="s">
        <v>2618</v>
      </c>
      <c r="Z405" s="77" t="str">
        <f>HYPERLINK("https://twitter.com/mechag_86/status/1620825709869502476")</f>
        <v>https://twitter.com/mechag_86/status/1620825709869502476</v>
      </c>
      <c r="AA405">
        <v>29.776575739999998</v>
      </c>
      <c r="AB405">
        <v>-94.975067989999999</v>
      </c>
      <c r="AC405" s="78" t="s">
        <v>3635</v>
      </c>
      <c r="AE405" t="b">
        <v>0</v>
      </c>
      <c r="AF405">
        <v>0</v>
      </c>
      <c r="AG405" s="78" t="s">
        <v>4640</v>
      </c>
      <c r="AH405" t="b">
        <v>0</v>
      </c>
      <c r="AI405" t="s">
        <v>4829</v>
      </c>
      <c r="AK405" s="78" t="s">
        <v>4640</v>
      </c>
      <c r="AL405" t="b">
        <v>0</v>
      </c>
      <c r="AM405">
        <v>0</v>
      </c>
      <c r="AN405" s="78" t="s">
        <v>4640</v>
      </c>
      <c r="AO405" s="78" t="s">
        <v>4861</v>
      </c>
      <c r="AP405" t="b">
        <v>0</v>
      </c>
      <c r="AQ405" s="78" t="s">
        <v>3635</v>
      </c>
      <c r="AR405" t="s">
        <v>179</v>
      </c>
      <c r="AS405">
        <v>0</v>
      </c>
      <c r="AT405">
        <v>0</v>
      </c>
      <c r="AU405" t="s">
        <v>4881</v>
      </c>
      <c r="AV405" t="s">
        <v>4899</v>
      </c>
      <c r="AW405" t="s">
        <v>4901</v>
      </c>
      <c r="AX405" t="s">
        <v>4910</v>
      </c>
      <c r="AY405" t="s">
        <v>4935</v>
      </c>
      <c r="AZ405" t="s">
        <v>4960</v>
      </c>
      <c r="BA405" t="s">
        <v>4975</v>
      </c>
      <c r="BB405" s="77" t="str">
        <f>HYPERLINK("https://api.twitter.com/1.1/geo/id/7543692056063d2f.json")</f>
        <v>https://api.twitter.com/1.1/geo/id/7543692056063d2f.json</v>
      </c>
    </row>
    <row r="406" spans="1:54" x14ac:dyDescent="0.45">
      <c r="A406" s="62" t="s">
        <v>493</v>
      </c>
      <c r="B406" s="62" t="s">
        <v>242</v>
      </c>
      <c r="C406" s="63"/>
      <c r="D406" s="64"/>
      <c r="E406" s="65"/>
      <c r="F406" s="66"/>
      <c r="G406" s="63"/>
      <c r="H406" s="67"/>
      <c r="I406" s="68"/>
      <c r="J406" s="68"/>
      <c r="K406" s="32"/>
      <c r="L406" s="75"/>
      <c r="M406" s="75"/>
      <c r="N406" s="70"/>
      <c r="O406" t="s">
        <v>1568</v>
      </c>
      <c r="P406" s="76">
        <v>44958.750509259262</v>
      </c>
      <c r="Q406" t="s">
        <v>1780</v>
      </c>
      <c r="R406" s="77" t="str">
        <f>HYPERLINK("https://talkshop.live/watch/r3AIuAeCAehA")</f>
        <v>https://talkshop.live/watch/r3AIuAeCAehA</v>
      </c>
      <c r="S406" t="s">
        <v>2261</v>
      </c>
      <c r="T406" s="78" t="s">
        <v>2343</v>
      </c>
      <c r="U406" s="77" t="str">
        <f>HYPERLINK("https://pbs.twimg.com/media/Fn5lg0BXwAI3pbe.jpg")</f>
        <v>https://pbs.twimg.com/media/Fn5lg0BXwAI3pbe.jpg</v>
      </c>
      <c r="V406" s="77" t="str">
        <f>HYPERLINK("https://pbs.twimg.com/media/Fn5lg0BXwAI3pbe.jpg")</f>
        <v>https://pbs.twimg.com/media/Fn5lg0BXwAI3pbe.jpg</v>
      </c>
      <c r="W406" s="76">
        <v>44958.750509259262</v>
      </c>
      <c r="X406" s="80">
        <v>44958</v>
      </c>
      <c r="Y406" s="78" t="s">
        <v>2733</v>
      </c>
      <c r="Z406" s="77" t="str">
        <f>HYPERLINK("https://twitter.com/talkshoplive/status/1620844614247645194")</f>
        <v>https://twitter.com/talkshoplive/status/1620844614247645194</v>
      </c>
      <c r="AC406" s="78" t="s">
        <v>3751</v>
      </c>
      <c r="AE406" t="b">
        <v>0</v>
      </c>
      <c r="AF406">
        <v>0</v>
      </c>
      <c r="AG406" s="78" t="s">
        <v>4640</v>
      </c>
      <c r="AH406" t="b">
        <v>0</v>
      </c>
      <c r="AI406" t="s">
        <v>4829</v>
      </c>
      <c r="AK406" s="78" t="s">
        <v>4640</v>
      </c>
      <c r="AL406" t="b">
        <v>0</v>
      </c>
      <c r="AM406">
        <v>0</v>
      </c>
      <c r="AN406" s="78" t="s">
        <v>4640</v>
      </c>
      <c r="AO406" s="78" t="s">
        <v>4865</v>
      </c>
      <c r="AP406" t="b">
        <v>0</v>
      </c>
      <c r="AQ406" s="78" t="s">
        <v>3751</v>
      </c>
      <c r="AR406" t="s">
        <v>179</v>
      </c>
      <c r="AS406">
        <v>0</v>
      </c>
      <c r="AT406">
        <v>0</v>
      </c>
    </row>
    <row r="407" spans="1:54" x14ac:dyDescent="0.45">
      <c r="A407" s="62" t="s">
        <v>247</v>
      </c>
      <c r="B407" s="62" t="s">
        <v>493</v>
      </c>
      <c r="C407" s="63"/>
      <c r="D407" s="64"/>
      <c r="E407" s="65"/>
      <c r="F407" s="66"/>
      <c r="G407" s="63"/>
      <c r="H407" s="67"/>
      <c r="I407" s="68"/>
      <c r="J407" s="68"/>
      <c r="K407" s="32"/>
      <c r="L407" s="75"/>
      <c r="M407" s="75"/>
      <c r="N407" s="70"/>
      <c r="O407" t="s">
        <v>1568</v>
      </c>
      <c r="P407" s="76">
        <v>44532.968541666669</v>
      </c>
      <c r="Q407" t="s">
        <v>1598</v>
      </c>
      <c r="R407" s="77" t="str">
        <f>HYPERLINK("https://talkshop.live/watch/wg8HZjTVWpd5")</f>
        <v>https://talkshop.live/watch/wg8HZjTVWpd5</v>
      </c>
      <c r="S407" t="s">
        <v>2261</v>
      </c>
      <c r="T407" s="78" t="s">
        <v>2314</v>
      </c>
      <c r="U407" s="77" t="str">
        <f>HYPERLINK("https://pbs.twimg.com/ext_tw_video_thumb/1466546024550477827/pu/img/op5-IBStNok3K9Oq.jpg")</f>
        <v>https://pbs.twimg.com/ext_tw_video_thumb/1466546024550477827/pu/img/op5-IBStNok3K9Oq.jpg</v>
      </c>
      <c r="V407" s="77" t="str">
        <f>HYPERLINK("https://pbs.twimg.com/ext_tw_video_thumb/1466546024550477827/pu/img/op5-IBStNok3K9Oq.jpg")</f>
        <v>https://pbs.twimg.com/ext_tw_video_thumb/1466546024550477827/pu/img/op5-IBStNok3K9Oq.jpg</v>
      </c>
      <c r="W407" s="76">
        <v>44532.968541666669</v>
      </c>
      <c r="X407" s="80">
        <v>44532</v>
      </c>
      <c r="Y407" s="78" t="s">
        <v>2452</v>
      </c>
      <c r="Z407" s="77" t="str">
        <f>HYPERLINK("https://twitter.com/rachaelray/status/1466546396333498370")</f>
        <v>https://twitter.com/rachaelray/status/1466546396333498370</v>
      </c>
      <c r="AC407" s="78" t="s">
        <v>3467</v>
      </c>
      <c r="AE407" t="b">
        <v>0</v>
      </c>
      <c r="AF407">
        <v>65</v>
      </c>
      <c r="AG407" s="78" t="s">
        <v>4640</v>
      </c>
      <c r="AH407" t="b">
        <v>0</v>
      </c>
      <c r="AI407" t="s">
        <v>4829</v>
      </c>
      <c r="AK407" s="78" t="s">
        <v>4640</v>
      </c>
      <c r="AL407" t="b">
        <v>0</v>
      </c>
      <c r="AM407">
        <v>11</v>
      </c>
      <c r="AN407" s="78" t="s">
        <v>4640</v>
      </c>
      <c r="AO407" s="78" t="s">
        <v>4851</v>
      </c>
      <c r="AP407" t="b">
        <v>0</v>
      </c>
      <c r="AQ407" s="78" t="s">
        <v>3467</v>
      </c>
      <c r="AR407" t="s">
        <v>1569</v>
      </c>
      <c r="AS407">
        <v>0</v>
      </c>
      <c r="AT407">
        <v>0</v>
      </c>
    </row>
    <row r="408" spans="1:54" x14ac:dyDescent="0.45">
      <c r="A408" s="62" t="s">
        <v>247</v>
      </c>
      <c r="B408" s="62" t="s">
        <v>242</v>
      </c>
      <c r="C408" s="63"/>
      <c r="D408" s="64"/>
      <c r="E408" s="65"/>
      <c r="F408" s="66"/>
      <c r="G408" s="63"/>
      <c r="H408" s="67"/>
      <c r="I408" s="68"/>
      <c r="J408" s="68"/>
      <c r="K408" s="32"/>
      <c r="L408" s="75"/>
      <c r="M408" s="75"/>
      <c r="N408" s="70"/>
      <c r="O408" t="s">
        <v>1568</v>
      </c>
      <c r="P408" s="76">
        <v>44532.968541666669</v>
      </c>
      <c r="Q408" t="s">
        <v>1598</v>
      </c>
      <c r="R408" s="77" t="str">
        <f>HYPERLINK("https://talkshop.live/watch/wg8HZjTVWpd5")</f>
        <v>https://talkshop.live/watch/wg8HZjTVWpd5</v>
      </c>
      <c r="S408" t="s">
        <v>2261</v>
      </c>
      <c r="T408" s="78" t="s">
        <v>2314</v>
      </c>
      <c r="U408" s="77" t="str">
        <f>HYPERLINK("https://pbs.twimg.com/ext_tw_video_thumb/1466546024550477827/pu/img/op5-IBStNok3K9Oq.jpg")</f>
        <v>https://pbs.twimg.com/ext_tw_video_thumb/1466546024550477827/pu/img/op5-IBStNok3K9Oq.jpg</v>
      </c>
      <c r="V408" s="77" t="str">
        <f>HYPERLINK("https://pbs.twimg.com/ext_tw_video_thumb/1466546024550477827/pu/img/op5-IBStNok3K9Oq.jpg")</f>
        <v>https://pbs.twimg.com/ext_tw_video_thumb/1466546024550477827/pu/img/op5-IBStNok3K9Oq.jpg</v>
      </c>
      <c r="W408" s="76">
        <v>44532.968541666669</v>
      </c>
      <c r="X408" s="80">
        <v>44532</v>
      </c>
      <c r="Y408" s="78" t="s">
        <v>2452</v>
      </c>
      <c r="Z408" s="77" t="str">
        <f>HYPERLINK("https://twitter.com/rachaelray/status/1466546396333498370")</f>
        <v>https://twitter.com/rachaelray/status/1466546396333498370</v>
      </c>
      <c r="AC408" s="78" t="s">
        <v>3467</v>
      </c>
      <c r="AE408" t="b">
        <v>0</v>
      </c>
      <c r="AF408">
        <v>65</v>
      </c>
      <c r="AG408" s="78" t="s">
        <v>4640</v>
      </c>
      <c r="AH408" t="b">
        <v>0</v>
      </c>
      <c r="AI408" t="s">
        <v>4829</v>
      </c>
      <c r="AK408" s="78" t="s">
        <v>4640</v>
      </c>
      <c r="AL408" t="b">
        <v>0</v>
      </c>
      <c r="AM408">
        <v>11</v>
      </c>
      <c r="AN408" s="78" t="s">
        <v>4640</v>
      </c>
      <c r="AO408" s="78" t="s">
        <v>4851</v>
      </c>
      <c r="AP408" t="b">
        <v>0</v>
      </c>
      <c r="AQ408" s="78" t="s">
        <v>3467</v>
      </c>
      <c r="AR408" t="s">
        <v>1569</v>
      </c>
      <c r="AS408">
        <v>0</v>
      </c>
      <c r="AT408">
        <v>0</v>
      </c>
    </row>
    <row r="409" spans="1:54" x14ac:dyDescent="0.45">
      <c r="A409" s="62" t="s">
        <v>248</v>
      </c>
      <c r="B409" s="62" t="s">
        <v>247</v>
      </c>
      <c r="C409" s="63"/>
      <c r="D409" s="64"/>
      <c r="E409" s="65"/>
      <c r="F409" s="66"/>
      <c r="G409" s="63"/>
      <c r="H409" s="67"/>
      <c r="I409" s="68"/>
      <c r="J409" s="68"/>
      <c r="K409" s="32"/>
      <c r="L409" s="75"/>
      <c r="M409" s="75"/>
      <c r="N409" s="70"/>
      <c r="O409" t="s">
        <v>1569</v>
      </c>
      <c r="P409" s="76">
        <v>44958.423090277778</v>
      </c>
      <c r="Q409" t="s">
        <v>1598</v>
      </c>
      <c r="R409" s="77" t="str">
        <f>HYPERLINK("https://talkshop.live/watch/wg8HZjTVWpd5")</f>
        <v>https://talkshop.live/watch/wg8HZjTVWpd5</v>
      </c>
      <c r="S409" t="s">
        <v>2261</v>
      </c>
      <c r="T409" s="78" t="s">
        <v>2314</v>
      </c>
      <c r="U409" s="77" t="str">
        <f>HYPERLINK("https://pbs.twimg.com/ext_tw_video_thumb/1466546024550477827/pu/img/op5-IBStNok3K9Oq.jpg")</f>
        <v>https://pbs.twimg.com/ext_tw_video_thumb/1466546024550477827/pu/img/op5-IBStNok3K9Oq.jpg</v>
      </c>
      <c r="V409" s="77" t="str">
        <f>HYPERLINK("https://pbs.twimg.com/ext_tw_video_thumb/1466546024550477827/pu/img/op5-IBStNok3K9Oq.jpg")</f>
        <v>https://pbs.twimg.com/ext_tw_video_thumb/1466546024550477827/pu/img/op5-IBStNok3K9Oq.jpg</v>
      </c>
      <c r="W409" s="76">
        <v>44958.423090277778</v>
      </c>
      <c r="X409" s="80">
        <v>44958</v>
      </c>
      <c r="Y409" s="78" t="s">
        <v>2453</v>
      </c>
      <c r="Z409" s="77" t="str">
        <f>HYPERLINK("https://twitter.com/alexiah14468441/status/1620725961431068672")</f>
        <v>https://twitter.com/alexiah14468441/status/1620725961431068672</v>
      </c>
      <c r="AC409" s="78" t="s">
        <v>3468</v>
      </c>
      <c r="AE409" t="b">
        <v>0</v>
      </c>
      <c r="AF409">
        <v>0</v>
      </c>
      <c r="AG409" s="78" t="s">
        <v>4640</v>
      </c>
      <c r="AH409" t="b">
        <v>0</v>
      </c>
      <c r="AI409" t="s">
        <v>4829</v>
      </c>
      <c r="AK409" s="78" t="s">
        <v>4640</v>
      </c>
      <c r="AL409" t="b">
        <v>0</v>
      </c>
      <c r="AM409">
        <v>11</v>
      </c>
      <c r="AN409" s="78" t="s">
        <v>3467</v>
      </c>
      <c r="AO409" s="78" t="s">
        <v>4851</v>
      </c>
      <c r="AP409" t="b">
        <v>0</v>
      </c>
      <c r="AQ409" s="78" t="s">
        <v>3467</v>
      </c>
      <c r="AR409" t="s">
        <v>179</v>
      </c>
      <c r="AS409">
        <v>0</v>
      </c>
      <c r="AT409">
        <v>0</v>
      </c>
    </row>
    <row r="410" spans="1:54" x14ac:dyDescent="0.45">
      <c r="A410" s="62" t="s">
        <v>248</v>
      </c>
      <c r="B410" s="62" t="s">
        <v>493</v>
      </c>
      <c r="C410" s="63"/>
      <c r="D410" s="64"/>
      <c r="E410" s="65"/>
      <c r="F410" s="66"/>
      <c r="G410" s="63"/>
      <c r="H410" s="67"/>
      <c r="I410" s="68"/>
      <c r="J410" s="68"/>
      <c r="K410" s="32"/>
      <c r="L410" s="75"/>
      <c r="M410" s="75"/>
      <c r="N410" s="70"/>
      <c r="O410" t="s">
        <v>1570</v>
      </c>
      <c r="P410" s="76">
        <v>44958.423090277778</v>
      </c>
      <c r="Q410" t="s">
        <v>1598</v>
      </c>
      <c r="R410" s="77" t="str">
        <f>HYPERLINK("https://talkshop.live/watch/wg8HZjTVWpd5")</f>
        <v>https://talkshop.live/watch/wg8HZjTVWpd5</v>
      </c>
      <c r="S410" t="s">
        <v>2261</v>
      </c>
      <c r="T410" s="78" t="s">
        <v>2314</v>
      </c>
      <c r="U410" s="77" t="str">
        <f>HYPERLINK("https://pbs.twimg.com/ext_tw_video_thumb/1466546024550477827/pu/img/op5-IBStNok3K9Oq.jpg")</f>
        <v>https://pbs.twimg.com/ext_tw_video_thumb/1466546024550477827/pu/img/op5-IBStNok3K9Oq.jpg</v>
      </c>
      <c r="V410" s="77" t="str">
        <f>HYPERLINK("https://pbs.twimg.com/ext_tw_video_thumb/1466546024550477827/pu/img/op5-IBStNok3K9Oq.jpg")</f>
        <v>https://pbs.twimg.com/ext_tw_video_thumb/1466546024550477827/pu/img/op5-IBStNok3K9Oq.jpg</v>
      </c>
      <c r="W410" s="76">
        <v>44958.423090277778</v>
      </c>
      <c r="X410" s="80">
        <v>44958</v>
      </c>
      <c r="Y410" s="78" t="s">
        <v>2453</v>
      </c>
      <c r="Z410" s="77" t="str">
        <f>HYPERLINK("https://twitter.com/alexiah14468441/status/1620725961431068672")</f>
        <v>https://twitter.com/alexiah14468441/status/1620725961431068672</v>
      </c>
      <c r="AC410" s="78" t="s">
        <v>3468</v>
      </c>
      <c r="AE410" t="b">
        <v>0</v>
      </c>
      <c r="AF410">
        <v>0</v>
      </c>
      <c r="AG410" s="78" t="s">
        <v>4640</v>
      </c>
      <c r="AH410" t="b">
        <v>0</v>
      </c>
      <c r="AI410" t="s">
        <v>4829</v>
      </c>
      <c r="AK410" s="78" t="s">
        <v>4640</v>
      </c>
      <c r="AL410" t="b">
        <v>0</v>
      </c>
      <c r="AM410">
        <v>11</v>
      </c>
      <c r="AN410" s="78" t="s">
        <v>3467</v>
      </c>
      <c r="AO410" s="78" t="s">
        <v>4851</v>
      </c>
      <c r="AP410" t="b">
        <v>0</v>
      </c>
      <c r="AQ410" s="78" t="s">
        <v>3467</v>
      </c>
      <c r="AR410" t="s">
        <v>179</v>
      </c>
      <c r="AS410">
        <v>0</v>
      </c>
      <c r="AT410">
        <v>0</v>
      </c>
    </row>
    <row r="411" spans="1:54" x14ac:dyDescent="0.45">
      <c r="A411" s="62" t="s">
        <v>248</v>
      </c>
      <c r="B411" s="62" t="s">
        <v>242</v>
      </c>
      <c r="C411" s="63"/>
      <c r="D411" s="64"/>
      <c r="E411" s="65"/>
      <c r="F411" s="66"/>
      <c r="G411" s="63"/>
      <c r="H411" s="67"/>
      <c r="I411" s="68"/>
      <c r="J411" s="68"/>
      <c r="K411" s="32"/>
      <c r="L411" s="75"/>
      <c r="M411" s="75"/>
      <c r="N411" s="70"/>
      <c r="O411" t="s">
        <v>1570</v>
      </c>
      <c r="P411" s="76">
        <v>44958.423090277778</v>
      </c>
      <c r="Q411" t="s">
        <v>1598</v>
      </c>
      <c r="R411" s="77" t="str">
        <f>HYPERLINK("https://talkshop.live/watch/wg8HZjTVWpd5")</f>
        <v>https://talkshop.live/watch/wg8HZjTVWpd5</v>
      </c>
      <c r="S411" t="s">
        <v>2261</v>
      </c>
      <c r="T411" s="78" t="s">
        <v>2314</v>
      </c>
      <c r="U411" s="77" t="str">
        <f>HYPERLINK("https://pbs.twimg.com/ext_tw_video_thumb/1466546024550477827/pu/img/op5-IBStNok3K9Oq.jpg")</f>
        <v>https://pbs.twimg.com/ext_tw_video_thumb/1466546024550477827/pu/img/op5-IBStNok3K9Oq.jpg</v>
      </c>
      <c r="V411" s="77" t="str">
        <f>HYPERLINK("https://pbs.twimg.com/ext_tw_video_thumb/1466546024550477827/pu/img/op5-IBStNok3K9Oq.jpg")</f>
        <v>https://pbs.twimg.com/ext_tw_video_thumb/1466546024550477827/pu/img/op5-IBStNok3K9Oq.jpg</v>
      </c>
      <c r="W411" s="76">
        <v>44958.423090277778</v>
      </c>
      <c r="X411" s="80">
        <v>44958</v>
      </c>
      <c r="Y411" s="78" t="s">
        <v>2453</v>
      </c>
      <c r="Z411" s="77" t="str">
        <f>HYPERLINK("https://twitter.com/alexiah14468441/status/1620725961431068672")</f>
        <v>https://twitter.com/alexiah14468441/status/1620725961431068672</v>
      </c>
      <c r="AC411" s="78" t="s">
        <v>3468</v>
      </c>
      <c r="AE411" t="b">
        <v>0</v>
      </c>
      <c r="AF411">
        <v>0</v>
      </c>
      <c r="AG411" s="78" t="s">
        <v>4640</v>
      </c>
      <c r="AH411" t="b">
        <v>0</v>
      </c>
      <c r="AI411" t="s">
        <v>4829</v>
      </c>
      <c r="AK411" s="78" t="s">
        <v>4640</v>
      </c>
      <c r="AL411" t="b">
        <v>0</v>
      </c>
      <c r="AM411">
        <v>11</v>
      </c>
      <c r="AN411" s="78" t="s">
        <v>3467</v>
      </c>
      <c r="AO411" s="78" t="s">
        <v>4851</v>
      </c>
      <c r="AP411" t="b">
        <v>0</v>
      </c>
      <c r="AQ411" s="78" t="s">
        <v>3467</v>
      </c>
      <c r="AR411" t="s">
        <v>179</v>
      </c>
      <c r="AS411">
        <v>0</v>
      </c>
      <c r="AT411">
        <v>0</v>
      </c>
    </row>
    <row r="412" spans="1:54" x14ac:dyDescent="0.45">
      <c r="A412" s="62" t="s">
        <v>701</v>
      </c>
      <c r="B412" s="62" t="s">
        <v>1341</v>
      </c>
      <c r="C412" s="63"/>
      <c r="D412" s="64"/>
      <c r="E412" s="65"/>
      <c r="F412" s="66"/>
      <c r="G412" s="63"/>
      <c r="H412" s="67"/>
      <c r="I412" s="68"/>
      <c r="J412" s="68"/>
      <c r="K412" s="32"/>
      <c r="L412" s="75"/>
      <c r="M412" s="75"/>
      <c r="N412" s="70"/>
      <c r="O412" t="s">
        <v>1568</v>
      </c>
      <c r="P412" s="76">
        <v>44957.803032407406</v>
      </c>
      <c r="Q412" t="s">
        <v>1881</v>
      </c>
      <c r="R412" s="77" t="str">
        <f>HYPERLINK("https://thecinemaholic.com/ready-set-food-shark-tank-update-where-are-they-now/")</f>
        <v>https://thecinemaholic.com/ready-set-food-shark-tank-update-where-are-they-now/</v>
      </c>
      <c r="S412" t="s">
        <v>2289</v>
      </c>
      <c r="T412" s="78" t="s">
        <v>2361</v>
      </c>
      <c r="V412" s="77" t="str">
        <f>HYPERLINK("https://pbs.twimg.com/profile_images/1136052494490931200/ABT0qpIr_normal.jpg")</f>
        <v>https://pbs.twimg.com/profile_images/1136052494490931200/ABT0qpIr_normal.jpg</v>
      </c>
      <c r="W412" s="76">
        <v>44957.803032407406</v>
      </c>
      <c r="X412" s="80">
        <v>44957</v>
      </c>
      <c r="Y412" s="78" t="s">
        <v>2905</v>
      </c>
      <c r="Z412" s="77" t="str">
        <f>HYPERLINK("https://twitter.com/uclaanderson/status/1620501261694148608")</f>
        <v>https://twitter.com/uclaanderson/status/1620501261694148608</v>
      </c>
      <c r="AC412" s="78" t="s">
        <v>3970</v>
      </c>
      <c r="AE412" t="b">
        <v>0</v>
      </c>
      <c r="AF412">
        <v>5</v>
      </c>
      <c r="AG412" s="78" t="s">
        <v>4640</v>
      </c>
      <c r="AH412" t="b">
        <v>0</v>
      </c>
      <c r="AI412" t="s">
        <v>4829</v>
      </c>
      <c r="AK412" s="78" t="s">
        <v>4640</v>
      </c>
      <c r="AL412" t="b">
        <v>0</v>
      </c>
      <c r="AM412">
        <v>4</v>
      </c>
      <c r="AN412" s="78" t="s">
        <v>4640</v>
      </c>
      <c r="AO412" s="78" t="s">
        <v>4851</v>
      </c>
      <c r="AP412" t="b">
        <v>0</v>
      </c>
      <c r="AQ412" s="78" t="s">
        <v>3970</v>
      </c>
      <c r="AR412" t="s">
        <v>1569</v>
      </c>
      <c r="AS412">
        <v>0</v>
      </c>
      <c r="AT412">
        <v>0</v>
      </c>
    </row>
    <row r="413" spans="1:54" x14ac:dyDescent="0.45">
      <c r="A413" s="62" t="s">
        <v>701</v>
      </c>
      <c r="B413" s="62" t="s">
        <v>1342</v>
      </c>
      <c r="C413" s="63"/>
      <c r="D413" s="64"/>
      <c r="E413" s="65"/>
      <c r="F413" s="66"/>
      <c r="G413" s="63"/>
      <c r="H413" s="67"/>
      <c r="I413" s="68"/>
      <c r="J413" s="68"/>
      <c r="K413" s="32"/>
      <c r="L413" s="75"/>
      <c r="M413" s="75"/>
      <c r="N413" s="70"/>
      <c r="O413" t="s">
        <v>1568</v>
      </c>
      <c r="P413" s="76">
        <v>44957.803032407406</v>
      </c>
      <c r="Q413" t="s">
        <v>1881</v>
      </c>
      <c r="R413" s="77" t="str">
        <f>HYPERLINK("https://thecinemaholic.com/ready-set-food-shark-tank-update-where-are-they-now/")</f>
        <v>https://thecinemaholic.com/ready-set-food-shark-tank-update-where-are-they-now/</v>
      </c>
      <c r="S413" t="s">
        <v>2289</v>
      </c>
      <c r="T413" s="78" t="s">
        <v>2361</v>
      </c>
      <c r="V413" s="77" t="str">
        <f>HYPERLINK("https://pbs.twimg.com/profile_images/1136052494490931200/ABT0qpIr_normal.jpg")</f>
        <v>https://pbs.twimg.com/profile_images/1136052494490931200/ABT0qpIr_normal.jpg</v>
      </c>
      <c r="W413" s="76">
        <v>44957.803032407406</v>
      </c>
      <c r="X413" s="80">
        <v>44957</v>
      </c>
      <c r="Y413" s="78" t="s">
        <v>2905</v>
      </c>
      <c r="Z413" s="77" t="str">
        <f>HYPERLINK("https://twitter.com/uclaanderson/status/1620501261694148608")</f>
        <v>https://twitter.com/uclaanderson/status/1620501261694148608</v>
      </c>
      <c r="AC413" s="78" t="s">
        <v>3970</v>
      </c>
      <c r="AE413" t="b">
        <v>0</v>
      </c>
      <c r="AF413">
        <v>5</v>
      </c>
      <c r="AG413" s="78" t="s">
        <v>4640</v>
      </c>
      <c r="AH413" t="b">
        <v>0</v>
      </c>
      <c r="AI413" t="s">
        <v>4829</v>
      </c>
      <c r="AK413" s="78" t="s">
        <v>4640</v>
      </c>
      <c r="AL413" t="b">
        <v>0</v>
      </c>
      <c r="AM413">
        <v>4</v>
      </c>
      <c r="AN413" s="78" t="s">
        <v>4640</v>
      </c>
      <c r="AO413" s="78" t="s">
        <v>4851</v>
      </c>
      <c r="AP413" t="b">
        <v>0</v>
      </c>
      <c r="AQ413" s="78" t="s">
        <v>3970</v>
      </c>
      <c r="AR413" t="s">
        <v>1569</v>
      </c>
      <c r="AS413">
        <v>0</v>
      </c>
      <c r="AT413">
        <v>0</v>
      </c>
    </row>
    <row r="414" spans="1:54" x14ac:dyDescent="0.45">
      <c r="A414" s="62" t="s">
        <v>701</v>
      </c>
      <c r="B414" s="62" t="s">
        <v>242</v>
      </c>
      <c r="C414" s="63"/>
      <c r="D414" s="64"/>
      <c r="E414" s="65"/>
      <c r="F414" s="66"/>
      <c r="G414" s="63"/>
      <c r="H414" s="67"/>
      <c r="I414" s="68"/>
      <c r="J414" s="68"/>
      <c r="K414" s="32"/>
      <c r="L414" s="75"/>
      <c r="M414" s="75"/>
      <c r="N414" s="70"/>
      <c r="O414" t="s">
        <v>1568</v>
      </c>
      <c r="P414" s="76">
        <v>44957.803032407406</v>
      </c>
      <c r="Q414" t="s">
        <v>1881</v>
      </c>
      <c r="R414" s="77" t="str">
        <f>HYPERLINK("https://thecinemaholic.com/ready-set-food-shark-tank-update-where-are-they-now/")</f>
        <v>https://thecinemaholic.com/ready-set-food-shark-tank-update-where-are-they-now/</v>
      </c>
      <c r="S414" t="s">
        <v>2289</v>
      </c>
      <c r="T414" s="78" t="s">
        <v>2361</v>
      </c>
      <c r="V414" s="77" t="str">
        <f>HYPERLINK("https://pbs.twimg.com/profile_images/1136052494490931200/ABT0qpIr_normal.jpg")</f>
        <v>https://pbs.twimg.com/profile_images/1136052494490931200/ABT0qpIr_normal.jpg</v>
      </c>
      <c r="W414" s="76">
        <v>44957.803032407406</v>
      </c>
      <c r="X414" s="80">
        <v>44957</v>
      </c>
      <c r="Y414" s="78" t="s">
        <v>2905</v>
      </c>
      <c r="Z414" s="77" t="str">
        <f>HYPERLINK("https://twitter.com/uclaanderson/status/1620501261694148608")</f>
        <v>https://twitter.com/uclaanderson/status/1620501261694148608</v>
      </c>
      <c r="AC414" s="78" t="s">
        <v>3970</v>
      </c>
      <c r="AE414" t="b">
        <v>0</v>
      </c>
      <c r="AF414">
        <v>5</v>
      </c>
      <c r="AG414" s="78" t="s">
        <v>4640</v>
      </c>
      <c r="AH414" t="b">
        <v>0</v>
      </c>
      <c r="AI414" t="s">
        <v>4829</v>
      </c>
      <c r="AK414" s="78" t="s">
        <v>4640</v>
      </c>
      <c r="AL414" t="b">
        <v>0</v>
      </c>
      <c r="AM414">
        <v>4</v>
      </c>
      <c r="AN414" s="78" t="s">
        <v>4640</v>
      </c>
      <c r="AO414" s="78" t="s">
        <v>4851</v>
      </c>
      <c r="AP414" t="b">
        <v>0</v>
      </c>
      <c r="AQ414" s="78" t="s">
        <v>3970</v>
      </c>
      <c r="AR414" t="s">
        <v>1569</v>
      </c>
      <c r="AS414">
        <v>0</v>
      </c>
      <c r="AT414">
        <v>0</v>
      </c>
    </row>
    <row r="415" spans="1:54" x14ac:dyDescent="0.45">
      <c r="A415" s="62" t="s">
        <v>701</v>
      </c>
      <c r="B415" s="62" t="s">
        <v>1181</v>
      </c>
      <c r="C415" s="63"/>
      <c r="D415" s="64"/>
      <c r="E415" s="65"/>
      <c r="F415" s="66"/>
      <c r="G415" s="63"/>
      <c r="H415" s="67"/>
      <c r="I415" s="68"/>
      <c r="J415" s="68"/>
      <c r="K415" s="32"/>
      <c r="L415" s="75"/>
      <c r="M415" s="75"/>
      <c r="N415" s="70"/>
      <c r="O415" t="s">
        <v>1568</v>
      </c>
      <c r="P415" s="76">
        <v>44957.803032407406</v>
      </c>
      <c r="Q415" t="s">
        <v>1881</v>
      </c>
      <c r="R415" s="77" t="str">
        <f>HYPERLINK("https://thecinemaholic.com/ready-set-food-shark-tank-update-where-are-they-now/")</f>
        <v>https://thecinemaholic.com/ready-set-food-shark-tank-update-where-are-they-now/</v>
      </c>
      <c r="S415" t="s">
        <v>2289</v>
      </c>
      <c r="T415" s="78" t="s">
        <v>2361</v>
      </c>
      <c r="V415" s="77" t="str">
        <f>HYPERLINK("https://pbs.twimg.com/profile_images/1136052494490931200/ABT0qpIr_normal.jpg")</f>
        <v>https://pbs.twimg.com/profile_images/1136052494490931200/ABT0qpIr_normal.jpg</v>
      </c>
      <c r="W415" s="76">
        <v>44957.803032407406</v>
      </c>
      <c r="X415" s="80">
        <v>44957</v>
      </c>
      <c r="Y415" s="78" t="s">
        <v>2905</v>
      </c>
      <c r="Z415" s="77" t="str">
        <f>HYPERLINK("https://twitter.com/uclaanderson/status/1620501261694148608")</f>
        <v>https://twitter.com/uclaanderson/status/1620501261694148608</v>
      </c>
      <c r="AC415" s="78" t="s">
        <v>3970</v>
      </c>
      <c r="AE415" t="b">
        <v>0</v>
      </c>
      <c r="AF415">
        <v>5</v>
      </c>
      <c r="AG415" s="78" t="s">
        <v>4640</v>
      </c>
      <c r="AH415" t="b">
        <v>0</v>
      </c>
      <c r="AI415" t="s">
        <v>4829</v>
      </c>
      <c r="AK415" s="78" t="s">
        <v>4640</v>
      </c>
      <c r="AL415" t="b">
        <v>0</v>
      </c>
      <c r="AM415">
        <v>4</v>
      </c>
      <c r="AN415" s="78" t="s">
        <v>4640</v>
      </c>
      <c r="AO415" s="78" t="s">
        <v>4851</v>
      </c>
      <c r="AP415" t="b">
        <v>0</v>
      </c>
      <c r="AQ415" s="78" t="s">
        <v>3970</v>
      </c>
      <c r="AR415" t="s">
        <v>1569</v>
      </c>
      <c r="AS415">
        <v>0</v>
      </c>
      <c r="AT415">
        <v>0</v>
      </c>
    </row>
    <row r="416" spans="1:54" x14ac:dyDescent="0.45">
      <c r="A416" s="62" t="s">
        <v>701</v>
      </c>
      <c r="B416" s="62" t="s">
        <v>702</v>
      </c>
      <c r="C416" s="63"/>
      <c r="D416" s="64"/>
      <c r="E416" s="65"/>
      <c r="F416" s="66"/>
      <c r="G416" s="63"/>
      <c r="H416" s="67"/>
      <c r="I416" s="68"/>
      <c r="J416" s="68"/>
      <c r="K416" s="32"/>
      <c r="L416" s="75"/>
      <c r="M416" s="75"/>
      <c r="N416" s="70"/>
      <c r="O416" t="s">
        <v>1568</v>
      </c>
      <c r="P416" s="76">
        <v>44957.803032407406</v>
      </c>
      <c r="Q416" t="s">
        <v>1881</v>
      </c>
      <c r="R416" s="77" t="str">
        <f>HYPERLINK("https://thecinemaholic.com/ready-set-food-shark-tank-update-where-are-they-now/")</f>
        <v>https://thecinemaholic.com/ready-set-food-shark-tank-update-where-are-they-now/</v>
      </c>
      <c r="S416" t="s">
        <v>2289</v>
      </c>
      <c r="T416" s="78" t="s">
        <v>2361</v>
      </c>
      <c r="V416" s="77" t="str">
        <f>HYPERLINK("https://pbs.twimg.com/profile_images/1136052494490931200/ABT0qpIr_normal.jpg")</f>
        <v>https://pbs.twimg.com/profile_images/1136052494490931200/ABT0qpIr_normal.jpg</v>
      </c>
      <c r="W416" s="76">
        <v>44957.803032407406</v>
      </c>
      <c r="X416" s="80">
        <v>44957</v>
      </c>
      <c r="Y416" s="78" t="s">
        <v>2905</v>
      </c>
      <c r="Z416" s="77" t="str">
        <f>HYPERLINK("https://twitter.com/uclaanderson/status/1620501261694148608")</f>
        <v>https://twitter.com/uclaanderson/status/1620501261694148608</v>
      </c>
      <c r="AC416" s="78" t="s">
        <v>3970</v>
      </c>
      <c r="AE416" t="b">
        <v>0</v>
      </c>
      <c r="AF416">
        <v>5</v>
      </c>
      <c r="AG416" s="78" t="s">
        <v>4640</v>
      </c>
      <c r="AH416" t="b">
        <v>0</v>
      </c>
      <c r="AI416" t="s">
        <v>4829</v>
      </c>
      <c r="AK416" s="78" t="s">
        <v>4640</v>
      </c>
      <c r="AL416" t="b">
        <v>0</v>
      </c>
      <c r="AM416">
        <v>4</v>
      </c>
      <c r="AN416" s="78" t="s">
        <v>4640</v>
      </c>
      <c r="AO416" s="78" t="s">
        <v>4851</v>
      </c>
      <c r="AP416" t="b">
        <v>0</v>
      </c>
      <c r="AQ416" s="78" t="s">
        <v>3970</v>
      </c>
      <c r="AR416" t="s">
        <v>1569</v>
      </c>
      <c r="AS416">
        <v>0</v>
      </c>
      <c r="AT416">
        <v>0</v>
      </c>
    </row>
    <row r="417" spans="1:46" x14ac:dyDescent="0.45">
      <c r="A417" s="62" t="s">
        <v>702</v>
      </c>
      <c r="B417" s="62" t="s">
        <v>1341</v>
      </c>
      <c r="C417" s="63"/>
      <c r="D417" s="64"/>
      <c r="E417" s="65"/>
      <c r="F417" s="66"/>
      <c r="G417" s="63"/>
      <c r="H417" s="67"/>
      <c r="I417" s="68"/>
      <c r="J417" s="68"/>
      <c r="K417" s="32"/>
      <c r="L417" s="75"/>
      <c r="M417" s="75"/>
      <c r="N417" s="70"/>
      <c r="O417" t="s">
        <v>1570</v>
      </c>
      <c r="P417" s="76">
        <v>44958.894814814812</v>
      </c>
      <c r="Q417" t="s">
        <v>1881</v>
      </c>
      <c r="R417" s="77" t="str">
        <f>HYPERLINK("https://thecinemaholic.com/ready-set-food-shark-tank-update-where-are-they-now/")</f>
        <v>https://thecinemaholic.com/ready-set-food-shark-tank-update-where-are-they-now/</v>
      </c>
      <c r="S417" t="s">
        <v>2289</v>
      </c>
      <c r="T417" s="78" t="s">
        <v>2361</v>
      </c>
      <c r="V417" s="77" t="str">
        <f>HYPERLINK("https://pbs.twimg.com/profile_images/1217165332818739200/s3LFgfei_normal.jpg")</f>
        <v>https://pbs.twimg.com/profile_images/1217165332818739200/s3LFgfei_normal.jpg</v>
      </c>
      <c r="W417" s="76">
        <v>44958.894814814812</v>
      </c>
      <c r="X417" s="80">
        <v>44958</v>
      </c>
      <c r="Y417" s="78" t="s">
        <v>2906</v>
      </c>
      <c r="Z417" s="77" t="str">
        <f>HYPERLINK("https://twitter.com/_readysetfood/status/1620896907068600320")</f>
        <v>https://twitter.com/_readysetfood/status/1620896907068600320</v>
      </c>
      <c r="AC417" s="78" t="s">
        <v>3971</v>
      </c>
      <c r="AE417" t="b">
        <v>0</v>
      </c>
      <c r="AF417">
        <v>0</v>
      </c>
      <c r="AG417" s="78" t="s">
        <v>4640</v>
      </c>
      <c r="AH417" t="b">
        <v>0</v>
      </c>
      <c r="AI417" t="s">
        <v>4829</v>
      </c>
      <c r="AK417" s="78" t="s">
        <v>4640</v>
      </c>
      <c r="AL417" t="b">
        <v>0</v>
      </c>
      <c r="AM417">
        <v>4</v>
      </c>
      <c r="AN417" s="78" t="s">
        <v>3970</v>
      </c>
      <c r="AO417" s="78" t="s">
        <v>4851</v>
      </c>
      <c r="AP417" t="b">
        <v>0</v>
      </c>
      <c r="AQ417" s="78" t="s">
        <v>3970</v>
      </c>
      <c r="AR417" t="s">
        <v>179</v>
      </c>
      <c r="AS417">
        <v>0</v>
      </c>
      <c r="AT417">
        <v>0</v>
      </c>
    </row>
    <row r="418" spans="1:46" x14ac:dyDescent="0.45">
      <c r="A418" s="62" t="s">
        <v>702</v>
      </c>
      <c r="B418" s="62" t="s">
        <v>1342</v>
      </c>
      <c r="C418" s="63"/>
      <c r="D418" s="64"/>
      <c r="E418" s="65"/>
      <c r="F418" s="66"/>
      <c r="G418" s="63"/>
      <c r="H418" s="67"/>
      <c r="I418" s="68"/>
      <c r="J418" s="68"/>
      <c r="K418" s="32"/>
      <c r="L418" s="75"/>
      <c r="M418" s="75"/>
      <c r="N418" s="70"/>
      <c r="O418" t="s">
        <v>1570</v>
      </c>
      <c r="P418" s="76">
        <v>44958.894814814812</v>
      </c>
      <c r="Q418" t="s">
        <v>1881</v>
      </c>
      <c r="R418" s="77" t="str">
        <f>HYPERLINK("https://thecinemaholic.com/ready-set-food-shark-tank-update-where-are-they-now/")</f>
        <v>https://thecinemaholic.com/ready-set-food-shark-tank-update-where-are-they-now/</v>
      </c>
      <c r="S418" t="s">
        <v>2289</v>
      </c>
      <c r="T418" s="78" t="s">
        <v>2361</v>
      </c>
      <c r="V418" s="77" t="str">
        <f>HYPERLINK("https://pbs.twimg.com/profile_images/1217165332818739200/s3LFgfei_normal.jpg")</f>
        <v>https://pbs.twimg.com/profile_images/1217165332818739200/s3LFgfei_normal.jpg</v>
      </c>
      <c r="W418" s="76">
        <v>44958.894814814812</v>
      </c>
      <c r="X418" s="80">
        <v>44958</v>
      </c>
      <c r="Y418" s="78" t="s">
        <v>2906</v>
      </c>
      <c r="Z418" s="77" t="str">
        <f>HYPERLINK("https://twitter.com/_readysetfood/status/1620896907068600320")</f>
        <v>https://twitter.com/_readysetfood/status/1620896907068600320</v>
      </c>
      <c r="AC418" s="78" t="s">
        <v>3971</v>
      </c>
      <c r="AE418" t="b">
        <v>0</v>
      </c>
      <c r="AF418">
        <v>0</v>
      </c>
      <c r="AG418" s="78" t="s">
        <v>4640</v>
      </c>
      <c r="AH418" t="b">
        <v>0</v>
      </c>
      <c r="AI418" t="s">
        <v>4829</v>
      </c>
      <c r="AK418" s="78" t="s">
        <v>4640</v>
      </c>
      <c r="AL418" t="b">
        <v>0</v>
      </c>
      <c r="AM418">
        <v>4</v>
      </c>
      <c r="AN418" s="78" t="s">
        <v>3970</v>
      </c>
      <c r="AO418" s="78" t="s">
        <v>4851</v>
      </c>
      <c r="AP418" t="b">
        <v>0</v>
      </c>
      <c r="AQ418" s="78" t="s">
        <v>3970</v>
      </c>
      <c r="AR418" t="s">
        <v>179</v>
      </c>
      <c r="AS418">
        <v>0</v>
      </c>
      <c r="AT418">
        <v>0</v>
      </c>
    </row>
    <row r="419" spans="1:46" x14ac:dyDescent="0.45">
      <c r="A419" s="62" t="s">
        <v>702</v>
      </c>
      <c r="B419" s="62" t="s">
        <v>701</v>
      </c>
      <c r="C419" s="63"/>
      <c r="D419" s="64"/>
      <c r="E419" s="65"/>
      <c r="F419" s="66"/>
      <c r="G419" s="63"/>
      <c r="H419" s="67"/>
      <c r="I419" s="68"/>
      <c r="J419" s="68"/>
      <c r="K419" s="32"/>
      <c r="L419" s="75"/>
      <c r="M419" s="75"/>
      <c r="N419" s="70"/>
      <c r="O419" t="s">
        <v>1569</v>
      </c>
      <c r="P419" s="76">
        <v>44958.894814814812</v>
      </c>
      <c r="Q419" t="s">
        <v>1881</v>
      </c>
      <c r="R419" s="77" t="str">
        <f>HYPERLINK("https://thecinemaholic.com/ready-set-food-shark-tank-update-where-are-they-now/")</f>
        <v>https://thecinemaholic.com/ready-set-food-shark-tank-update-where-are-they-now/</v>
      </c>
      <c r="S419" t="s">
        <v>2289</v>
      </c>
      <c r="T419" s="78" t="s">
        <v>2361</v>
      </c>
      <c r="V419" s="77" t="str">
        <f>HYPERLINK("https://pbs.twimg.com/profile_images/1217165332818739200/s3LFgfei_normal.jpg")</f>
        <v>https://pbs.twimg.com/profile_images/1217165332818739200/s3LFgfei_normal.jpg</v>
      </c>
      <c r="W419" s="76">
        <v>44958.894814814812</v>
      </c>
      <c r="X419" s="80">
        <v>44958</v>
      </c>
      <c r="Y419" s="78" t="s">
        <v>2906</v>
      </c>
      <c r="Z419" s="77" t="str">
        <f>HYPERLINK("https://twitter.com/_readysetfood/status/1620896907068600320")</f>
        <v>https://twitter.com/_readysetfood/status/1620896907068600320</v>
      </c>
      <c r="AC419" s="78" t="s">
        <v>3971</v>
      </c>
      <c r="AE419" t="b">
        <v>0</v>
      </c>
      <c r="AF419">
        <v>0</v>
      </c>
      <c r="AG419" s="78" t="s">
        <v>4640</v>
      </c>
      <c r="AH419" t="b">
        <v>0</v>
      </c>
      <c r="AI419" t="s">
        <v>4829</v>
      </c>
      <c r="AK419" s="78" t="s">
        <v>4640</v>
      </c>
      <c r="AL419" t="b">
        <v>0</v>
      </c>
      <c r="AM419">
        <v>4</v>
      </c>
      <c r="AN419" s="78" t="s">
        <v>3970</v>
      </c>
      <c r="AO419" s="78" t="s">
        <v>4851</v>
      </c>
      <c r="AP419" t="b">
        <v>0</v>
      </c>
      <c r="AQ419" s="78" t="s">
        <v>3970</v>
      </c>
      <c r="AR419" t="s">
        <v>179</v>
      </c>
      <c r="AS419">
        <v>0</v>
      </c>
      <c r="AT419">
        <v>0</v>
      </c>
    </row>
    <row r="420" spans="1:46" x14ac:dyDescent="0.45">
      <c r="A420" s="62" t="s">
        <v>702</v>
      </c>
      <c r="B420" s="62" t="s">
        <v>242</v>
      </c>
      <c r="C420" s="63"/>
      <c r="D420" s="64"/>
      <c r="E420" s="65"/>
      <c r="F420" s="66"/>
      <c r="G420" s="63"/>
      <c r="H420" s="67"/>
      <c r="I420" s="68"/>
      <c r="J420" s="68"/>
      <c r="K420" s="32"/>
      <c r="L420" s="75"/>
      <c r="M420" s="75"/>
      <c r="N420" s="70"/>
      <c r="O420" t="s">
        <v>1570</v>
      </c>
      <c r="P420" s="76">
        <v>44958.894814814812</v>
      </c>
      <c r="Q420" t="s">
        <v>1881</v>
      </c>
      <c r="R420" s="77" t="str">
        <f>HYPERLINK("https://thecinemaholic.com/ready-set-food-shark-tank-update-where-are-they-now/")</f>
        <v>https://thecinemaholic.com/ready-set-food-shark-tank-update-where-are-they-now/</v>
      </c>
      <c r="S420" t="s">
        <v>2289</v>
      </c>
      <c r="T420" s="78" t="s">
        <v>2361</v>
      </c>
      <c r="V420" s="77" t="str">
        <f>HYPERLINK("https://pbs.twimg.com/profile_images/1217165332818739200/s3LFgfei_normal.jpg")</f>
        <v>https://pbs.twimg.com/profile_images/1217165332818739200/s3LFgfei_normal.jpg</v>
      </c>
      <c r="W420" s="76">
        <v>44958.894814814812</v>
      </c>
      <c r="X420" s="80">
        <v>44958</v>
      </c>
      <c r="Y420" s="78" t="s">
        <v>2906</v>
      </c>
      <c r="Z420" s="77" t="str">
        <f>HYPERLINK("https://twitter.com/_readysetfood/status/1620896907068600320")</f>
        <v>https://twitter.com/_readysetfood/status/1620896907068600320</v>
      </c>
      <c r="AC420" s="78" t="s">
        <v>3971</v>
      </c>
      <c r="AE420" t="b">
        <v>0</v>
      </c>
      <c r="AF420">
        <v>0</v>
      </c>
      <c r="AG420" s="78" t="s">
        <v>4640</v>
      </c>
      <c r="AH420" t="b">
        <v>0</v>
      </c>
      <c r="AI420" t="s">
        <v>4829</v>
      </c>
      <c r="AK420" s="78" t="s">
        <v>4640</v>
      </c>
      <c r="AL420" t="b">
        <v>0</v>
      </c>
      <c r="AM420">
        <v>4</v>
      </c>
      <c r="AN420" s="78" t="s">
        <v>3970</v>
      </c>
      <c r="AO420" s="78" t="s">
        <v>4851</v>
      </c>
      <c r="AP420" t="b">
        <v>0</v>
      </c>
      <c r="AQ420" s="78" t="s">
        <v>3970</v>
      </c>
      <c r="AR420" t="s">
        <v>179</v>
      </c>
      <c r="AS420">
        <v>0</v>
      </c>
      <c r="AT420">
        <v>0</v>
      </c>
    </row>
    <row r="421" spans="1:46" x14ac:dyDescent="0.45">
      <c r="A421" s="62" t="s">
        <v>702</v>
      </c>
      <c r="B421" s="62" t="s">
        <v>1181</v>
      </c>
      <c r="C421" s="63"/>
      <c r="D421" s="64"/>
      <c r="E421" s="65"/>
      <c r="F421" s="66"/>
      <c r="G421" s="63"/>
      <c r="H421" s="67"/>
      <c r="I421" s="68"/>
      <c r="J421" s="68"/>
      <c r="K421" s="32"/>
      <c r="L421" s="75"/>
      <c r="M421" s="75"/>
      <c r="N421" s="70"/>
      <c r="O421" t="s">
        <v>1570</v>
      </c>
      <c r="P421" s="76">
        <v>44958.894814814812</v>
      </c>
      <c r="Q421" t="s">
        <v>1881</v>
      </c>
      <c r="R421" s="77" t="str">
        <f>HYPERLINK("https://thecinemaholic.com/ready-set-food-shark-tank-update-where-are-they-now/")</f>
        <v>https://thecinemaholic.com/ready-set-food-shark-tank-update-where-are-they-now/</v>
      </c>
      <c r="S421" t="s">
        <v>2289</v>
      </c>
      <c r="T421" s="78" t="s">
        <v>2361</v>
      </c>
      <c r="V421" s="77" t="str">
        <f>HYPERLINK("https://pbs.twimg.com/profile_images/1217165332818739200/s3LFgfei_normal.jpg")</f>
        <v>https://pbs.twimg.com/profile_images/1217165332818739200/s3LFgfei_normal.jpg</v>
      </c>
      <c r="W421" s="76">
        <v>44958.894814814812</v>
      </c>
      <c r="X421" s="80">
        <v>44958</v>
      </c>
      <c r="Y421" s="78" t="s">
        <v>2906</v>
      </c>
      <c r="Z421" s="77" t="str">
        <f>HYPERLINK("https://twitter.com/_readysetfood/status/1620896907068600320")</f>
        <v>https://twitter.com/_readysetfood/status/1620896907068600320</v>
      </c>
      <c r="AC421" s="78" t="s">
        <v>3971</v>
      </c>
      <c r="AE421" t="b">
        <v>0</v>
      </c>
      <c r="AF421">
        <v>0</v>
      </c>
      <c r="AG421" s="78" t="s">
        <v>4640</v>
      </c>
      <c r="AH421" t="b">
        <v>0</v>
      </c>
      <c r="AI421" t="s">
        <v>4829</v>
      </c>
      <c r="AK421" s="78" t="s">
        <v>4640</v>
      </c>
      <c r="AL421" t="b">
        <v>0</v>
      </c>
      <c r="AM421">
        <v>4</v>
      </c>
      <c r="AN421" s="78" t="s">
        <v>3970</v>
      </c>
      <c r="AO421" s="78" t="s">
        <v>4851</v>
      </c>
      <c r="AP421" t="b">
        <v>0</v>
      </c>
      <c r="AQ421" s="78" t="s">
        <v>3970</v>
      </c>
      <c r="AR421" t="s">
        <v>179</v>
      </c>
      <c r="AS421">
        <v>0</v>
      </c>
      <c r="AT421">
        <v>0</v>
      </c>
    </row>
    <row r="422" spans="1:46" x14ac:dyDescent="0.45">
      <c r="A422" s="62" t="s">
        <v>1102</v>
      </c>
      <c r="B422" s="62" t="s">
        <v>1113</v>
      </c>
      <c r="C422" s="63"/>
      <c r="D422" s="64"/>
      <c r="E422" s="65"/>
      <c r="F422" s="66"/>
      <c r="G422" s="63"/>
      <c r="H422" s="67"/>
      <c r="I422" s="68"/>
      <c r="J422" s="68"/>
      <c r="K422" s="32"/>
      <c r="L422" s="75"/>
      <c r="M422" s="75"/>
      <c r="N422" s="70"/>
      <c r="O422" t="s">
        <v>1568</v>
      </c>
      <c r="P422" s="76">
        <v>44959.542685185188</v>
      </c>
      <c r="Q422" t="s">
        <v>2247</v>
      </c>
      <c r="R422" s="77" t="s">
        <v>2251</v>
      </c>
      <c r="S422" t="s">
        <v>2306</v>
      </c>
      <c r="V422" s="77" t="str">
        <f>HYPERLINK("https://pbs.twimg.com/profile_images/880793742285742080/ihF2cK2E_normal.jpg")</f>
        <v>https://pbs.twimg.com/profile_images/880793742285742080/ihF2cK2E_normal.jpg</v>
      </c>
      <c r="W422" s="76">
        <v>44959.542685185188</v>
      </c>
      <c r="X422" s="80">
        <v>44959</v>
      </c>
      <c r="Y422" s="78" t="s">
        <v>3421</v>
      </c>
      <c r="Z422" s="77" t="str">
        <f>HYPERLINK("https://twitter.com/thepennyhoarder/status/1621131690734239744")</f>
        <v>https://twitter.com/thepennyhoarder/status/1621131690734239744</v>
      </c>
      <c r="AC422" s="78" t="s">
        <v>4486</v>
      </c>
      <c r="AE422" t="b">
        <v>0</v>
      </c>
      <c r="AF422">
        <v>1</v>
      </c>
      <c r="AG422" s="78" t="s">
        <v>4640</v>
      </c>
      <c r="AH422" t="b">
        <v>0</v>
      </c>
      <c r="AI422" t="s">
        <v>4829</v>
      </c>
      <c r="AK422" s="78" t="s">
        <v>4640</v>
      </c>
      <c r="AL422" t="b">
        <v>0</v>
      </c>
      <c r="AM422">
        <v>0</v>
      </c>
      <c r="AN422" s="78" t="s">
        <v>4640</v>
      </c>
      <c r="AO422" s="78" t="s">
        <v>4871</v>
      </c>
      <c r="AP422" t="b">
        <v>0</v>
      </c>
      <c r="AQ422" s="78" t="s">
        <v>4486</v>
      </c>
      <c r="AR422" t="s">
        <v>179</v>
      </c>
      <c r="AS422">
        <v>0</v>
      </c>
      <c r="AT422">
        <v>0</v>
      </c>
    </row>
    <row r="423" spans="1:46" x14ac:dyDescent="0.45">
      <c r="A423" s="62" t="s">
        <v>1102</v>
      </c>
      <c r="B423" s="62" t="s">
        <v>242</v>
      </c>
      <c r="C423" s="63"/>
      <c r="D423" s="64"/>
      <c r="E423" s="65"/>
      <c r="F423" s="66"/>
      <c r="G423" s="63"/>
      <c r="H423" s="67"/>
      <c r="I423" s="68"/>
      <c r="J423" s="68"/>
      <c r="K423" s="32"/>
      <c r="L423" s="75"/>
      <c r="M423" s="75"/>
      <c r="N423" s="70"/>
      <c r="O423" t="s">
        <v>1568</v>
      </c>
      <c r="P423" s="76">
        <v>44959.542685185188</v>
      </c>
      <c r="Q423" t="s">
        <v>2247</v>
      </c>
      <c r="R423" s="77" t="s">
        <v>2251</v>
      </c>
      <c r="S423" t="s">
        <v>2306</v>
      </c>
      <c r="V423" s="77" t="str">
        <f>HYPERLINK("https://pbs.twimg.com/profile_images/880793742285742080/ihF2cK2E_normal.jpg")</f>
        <v>https://pbs.twimg.com/profile_images/880793742285742080/ihF2cK2E_normal.jpg</v>
      </c>
      <c r="W423" s="76">
        <v>44959.542685185188</v>
      </c>
      <c r="X423" s="80">
        <v>44959</v>
      </c>
      <c r="Y423" s="78" t="s">
        <v>3421</v>
      </c>
      <c r="Z423" s="77" t="str">
        <f>HYPERLINK("https://twitter.com/thepennyhoarder/status/1621131690734239744")</f>
        <v>https://twitter.com/thepennyhoarder/status/1621131690734239744</v>
      </c>
      <c r="AC423" s="78" t="s">
        <v>4486</v>
      </c>
      <c r="AE423" t="b">
        <v>0</v>
      </c>
      <c r="AF423">
        <v>1</v>
      </c>
      <c r="AG423" s="78" t="s">
        <v>4640</v>
      </c>
      <c r="AH423" t="b">
        <v>0</v>
      </c>
      <c r="AI423" t="s">
        <v>4829</v>
      </c>
      <c r="AK423" s="78" t="s">
        <v>4640</v>
      </c>
      <c r="AL423" t="b">
        <v>0</v>
      </c>
      <c r="AM423">
        <v>0</v>
      </c>
      <c r="AN423" s="78" t="s">
        <v>4640</v>
      </c>
      <c r="AO423" s="78" t="s">
        <v>4871</v>
      </c>
      <c r="AP423" t="b">
        <v>0</v>
      </c>
      <c r="AQ423" s="78" t="s">
        <v>4486</v>
      </c>
      <c r="AR423" t="s">
        <v>179</v>
      </c>
      <c r="AS423">
        <v>0</v>
      </c>
      <c r="AT423">
        <v>0</v>
      </c>
    </row>
    <row r="424" spans="1:46" x14ac:dyDescent="0.45">
      <c r="A424" s="62" t="s">
        <v>293</v>
      </c>
      <c r="B424" s="62" t="s">
        <v>1177</v>
      </c>
      <c r="C424" s="63"/>
      <c r="D424" s="64"/>
      <c r="E424" s="65"/>
      <c r="F424" s="66"/>
      <c r="G424" s="63"/>
      <c r="H424" s="67"/>
      <c r="I424" s="68"/>
      <c r="J424" s="68"/>
      <c r="K424" s="32"/>
      <c r="L424" s="75"/>
      <c r="M424" s="75"/>
      <c r="N424" s="70"/>
      <c r="O424" t="s">
        <v>1568</v>
      </c>
      <c r="P424" s="76">
        <v>44958.569826388892</v>
      </c>
      <c r="Q424" t="s">
        <v>1636</v>
      </c>
      <c r="R424" s="77" t="str">
        <f>HYPERLINK("https://www.therookiefather.com/")</f>
        <v>https://www.therookiefather.com/</v>
      </c>
      <c r="S424" t="s">
        <v>2269</v>
      </c>
      <c r="T424" s="78" t="s">
        <v>2318</v>
      </c>
      <c r="U424" s="77" t="str">
        <f>HYPERLINK("https://pbs.twimg.com/media/Fn4pfORXkAAIHKG.jpg")</f>
        <v>https://pbs.twimg.com/media/Fn4pfORXkAAIHKG.jpg</v>
      </c>
      <c r="V424" s="77" t="str">
        <f>HYPERLINK("https://pbs.twimg.com/media/Fn4pfORXkAAIHKG.jpg")</f>
        <v>https://pbs.twimg.com/media/Fn4pfORXkAAIHKG.jpg</v>
      </c>
      <c r="W424" s="76">
        <v>44958.569826388892</v>
      </c>
      <c r="X424" s="80">
        <v>44958</v>
      </c>
      <c r="Y424" s="78" t="s">
        <v>2502</v>
      </c>
      <c r="Z424" s="77" t="str">
        <f>HYPERLINK("https://twitter.com/authorkendall/status/1620779137236602880")</f>
        <v>https://twitter.com/authorkendall/status/1620779137236602880</v>
      </c>
      <c r="AC424" s="78" t="s">
        <v>3517</v>
      </c>
      <c r="AE424" t="b">
        <v>0</v>
      </c>
      <c r="AF424">
        <v>1</v>
      </c>
      <c r="AG424" s="78" t="s">
        <v>4640</v>
      </c>
      <c r="AH424" t="b">
        <v>0</v>
      </c>
      <c r="AI424" t="s">
        <v>4829</v>
      </c>
      <c r="AK424" s="78" t="s">
        <v>4640</v>
      </c>
      <c r="AL424" t="b">
        <v>0</v>
      </c>
      <c r="AM424">
        <v>0</v>
      </c>
      <c r="AN424" s="78" t="s">
        <v>4640</v>
      </c>
      <c r="AO424" s="78" t="s">
        <v>4851</v>
      </c>
      <c r="AP424" t="b">
        <v>0</v>
      </c>
      <c r="AQ424" s="78" t="s">
        <v>3517</v>
      </c>
      <c r="AR424" t="s">
        <v>179</v>
      </c>
      <c r="AS424">
        <v>0</v>
      </c>
      <c r="AT424">
        <v>0</v>
      </c>
    </row>
    <row r="425" spans="1:46" x14ac:dyDescent="0.45">
      <c r="A425" s="62" t="s">
        <v>293</v>
      </c>
      <c r="B425" s="62" t="s">
        <v>1178</v>
      </c>
      <c r="C425" s="63"/>
      <c r="D425" s="64"/>
      <c r="E425" s="65"/>
      <c r="F425" s="66"/>
      <c r="G425" s="63"/>
      <c r="H425" s="67"/>
      <c r="I425" s="68"/>
      <c r="J425" s="68"/>
      <c r="K425" s="32"/>
      <c r="L425" s="75"/>
      <c r="M425" s="75"/>
      <c r="N425" s="70"/>
      <c r="O425" t="s">
        <v>1568</v>
      </c>
      <c r="P425" s="76">
        <v>44958.569826388892</v>
      </c>
      <c r="Q425" t="s">
        <v>1636</v>
      </c>
      <c r="R425" s="77" t="str">
        <f>HYPERLINK("https://www.therookiefather.com/")</f>
        <v>https://www.therookiefather.com/</v>
      </c>
      <c r="S425" t="s">
        <v>2269</v>
      </c>
      <c r="T425" s="78" t="s">
        <v>2318</v>
      </c>
      <c r="U425" s="77" t="str">
        <f>HYPERLINK("https://pbs.twimg.com/media/Fn4pfORXkAAIHKG.jpg")</f>
        <v>https://pbs.twimg.com/media/Fn4pfORXkAAIHKG.jpg</v>
      </c>
      <c r="V425" s="77" t="str">
        <f>HYPERLINK("https://pbs.twimg.com/media/Fn4pfORXkAAIHKG.jpg")</f>
        <v>https://pbs.twimg.com/media/Fn4pfORXkAAIHKG.jpg</v>
      </c>
      <c r="W425" s="76">
        <v>44958.569826388892</v>
      </c>
      <c r="X425" s="80">
        <v>44958</v>
      </c>
      <c r="Y425" s="78" t="s">
        <v>2502</v>
      </c>
      <c r="Z425" s="77" t="str">
        <f>HYPERLINK("https://twitter.com/authorkendall/status/1620779137236602880")</f>
        <v>https://twitter.com/authorkendall/status/1620779137236602880</v>
      </c>
      <c r="AC425" s="78" t="s">
        <v>3517</v>
      </c>
      <c r="AE425" t="b">
        <v>0</v>
      </c>
      <c r="AF425">
        <v>1</v>
      </c>
      <c r="AG425" s="78" t="s">
        <v>4640</v>
      </c>
      <c r="AH425" t="b">
        <v>0</v>
      </c>
      <c r="AI425" t="s">
        <v>4829</v>
      </c>
      <c r="AK425" s="78" t="s">
        <v>4640</v>
      </c>
      <c r="AL425" t="b">
        <v>0</v>
      </c>
      <c r="AM425">
        <v>0</v>
      </c>
      <c r="AN425" s="78" t="s">
        <v>4640</v>
      </c>
      <c r="AO425" s="78" t="s">
        <v>4851</v>
      </c>
      <c r="AP425" t="b">
        <v>0</v>
      </c>
      <c r="AQ425" s="78" t="s">
        <v>3517</v>
      </c>
      <c r="AR425" t="s">
        <v>179</v>
      </c>
      <c r="AS425">
        <v>0</v>
      </c>
      <c r="AT425">
        <v>0</v>
      </c>
    </row>
    <row r="426" spans="1:46" x14ac:dyDescent="0.45">
      <c r="A426" s="62" t="s">
        <v>293</v>
      </c>
      <c r="B426" s="62" t="s">
        <v>1179</v>
      </c>
      <c r="C426" s="63"/>
      <c r="D426" s="64"/>
      <c r="E426" s="65"/>
      <c r="F426" s="66"/>
      <c r="G426" s="63"/>
      <c r="H426" s="67"/>
      <c r="I426" s="68"/>
      <c r="J426" s="68"/>
      <c r="K426" s="32"/>
      <c r="L426" s="75"/>
      <c r="M426" s="75"/>
      <c r="N426" s="70"/>
      <c r="O426" t="s">
        <v>1568</v>
      </c>
      <c r="P426" s="76">
        <v>44958.569826388892</v>
      </c>
      <c r="Q426" t="s">
        <v>1636</v>
      </c>
      <c r="R426" s="77" t="str">
        <f>HYPERLINK("https://www.therookiefather.com/")</f>
        <v>https://www.therookiefather.com/</v>
      </c>
      <c r="S426" t="s">
        <v>2269</v>
      </c>
      <c r="T426" s="78" t="s">
        <v>2318</v>
      </c>
      <c r="U426" s="77" t="str">
        <f>HYPERLINK("https://pbs.twimg.com/media/Fn4pfORXkAAIHKG.jpg")</f>
        <v>https://pbs.twimg.com/media/Fn4pfORXkAAIHKG.jpg</v>
      </c>
      <c r="V426" s="77" t="str">
        <f>HYPERLINK("https://pbs.twimg.com/media/Fn4pfORXkAAIHKG.jpg")</f>
        <v>https://pbs.twimg.com/media/Fn4pfORXkAAIHKG.jpg</v>
      </c>
      <c r="W426" s="76">
        <v>44958.569826388892</v>
      </c>
      <c r="X426" s="80">
        <v>44958</v>
      </c>
      <c r="Y426" s="78" t="s">
        <v>2502</v>
      </c>
      <c r="Z426" s="77" t="str">
        <f>HYPERLINK("https://twitter.com/authorkendall/status/1620779137236602880")</f>
        <v>https://twitter.com/authorkendall/status/1620779137236602880</v>
      </c>
      <c r="AC426" s="78" t="s">
        <v>3517</v>
      </c>
      <c r="AE426" t="b">
        <v>0</v>
      </c>
      <c r="AF426">
        <v>1</v>
      </c>
      <c r="AG426" s="78" t="s">
        <v>4640</v>
      </c>
      <c r="AH426" t="b">
        <v>0</v>
      </c>
      <c r="AI426" t="s">
        <v>4829</v>
      </c>
      <c r="AK426" s="78" t="s">
        <v>4640</v>
      </c>
      <c r="AL426" t="b">
        <v>0</v>
      </c>
      <c r="AM426">
        <v>0</v>
      </c>
      <c r="AN426" s="78" t="s">
        <v>4640</v>
      </c>
      <c r="AO426" s="78" t="s">
        <v>4851</v>
      </c>
      <c r="AP426" t="b">
        <v>0</v>
      </c>
      <c r="AQ426" s="78" t="s">
        <v>3517</v>
      </c>
      <c r="AR426" t="s">
        <v>179</v>
      </c>
      <c r="AS426">
        <v>0</v>
      </c>
      <c r="AT426">
        <v>0</v>
      </c>
    </row>
    <row r="427" spans="1:46" x14ac:dyDescent="0.45">
      <c r="A427" s="62" t="s">
        <v>293</v>
      </c>
      <c r="B427" s="62" t="s">
        <v>1180</v>
      </c>
      <c r="C427" s="63"/>
      <c r="D427" s="64"/>
      <c r="E427" s="65"/>
      <c r="F427" s="66"/>
      <c r="G427" s="63"/>
      <c r="H427" s="67"/>
      <c r="I427" s="68"/>
      <c r="J427" s="68"/>
      <c r="K427" s="32"/>
      <c r="L427" s="75"/>
      <c r="M427" s="75"/>
      <c r="N427" s="70"/>
      <c r="O427" t="s">
        <v>1568</v>
      </c>
      <c r="P427" s="76">
        <v>44958.569826388892</v>
      </c>
      <c r="Q427" t="s">
        <v>1636</v>
      </c>
      <c r="R427" s="77" t="str">
        <f>HYPERLINK("https://www.therookiefather.com/")</f>
        <v>https://www.therookiefather.com/</v>
      </c>
      <c r="S427" t="s">
        <v>2269</v>
      </c>
      <c r="T427" s="78" t="s">
        <v>2318</v>
      </c>
      <c r="U427" s="77" t="str">
        <f>HYPERLINK("https://pbs.twimg.com/media/Fn4pfORXkAAIHKG.jpg")</f>
        <v>https://pbs.twimg.com/media/Fn4pfORXkAAIHKG.jpg</v>
      </c>
      <c r="V427" s="77" t="str">
        <f>HYPERLINK("https://pbs.twimg.com/media/Fn4pfORXkAAIHKG.jpg")</f>
        <v>https://pbs.twimg.com/media/Fn4pfORXkAAIHKG.jpg</v>
      </c>
      <c r="W427" s="76">
        <v>44958.569826388892</v>
      </c>
      <c r="X427" s="80">
        <v>44958</v>
      </c>
      <c r="Y427" s="78" t="s">
        <v>2502</v>
      </c>
      <c r="Z427" s="77" t="str">
        <f>HYPERLINK("https://twitter.com/authorkendall/status/1620779137236602880")</f>
        <v>https://twitter.com/authorkendall/status/1620779137236602880</v>
      </c>
      <c r="AC427" s="78" t="s">
        <v>3517</v>
      </c>
      <c r="AE427" t="b">
        <v>0</v>
      </c>
      <c r="AF427">
        <v>1</v>
      </c>
      <c r="AG427" s="78" t="s">
        <v>4640</v>
      </c>
      <c r="AH427" t="b">
        <v>0</v>
      </c>
      <c r="AI427" t="s">
        <v>4829</v>
      </c>
      <c r="AK427" s="78" t="s">
        <v>4640</v>
      </c>
      <c r="AL427" t="b">
        <v>0</v>
      </c>
      <c r="AM427">
        <v>0</v>
      </c>
      <c r="AN427" s="78" t="s">
        <v>4640</v>
      </c>
      <c r="AO427" s="78" t="s">
        <v>4851</v>
      </c>
      <c r="AP427" t="b">
        <v>0</v>
      </c>
      <c r="AQ427" s="78" t="s">
        <v>3517</v>
      </c>
      <c r="AR427" t="s">
        <v>179</v>
      </c>
      <c r="AS427">
        <v>0</v>
      </c>
      <c r="AT427">
        <v>0</v>
      </c>
    </row>
    <row r="428" spans="1:46" x14ac:dyDescent="0.45">
      <c r="A428" s="62" t="s">
        <v>293</v>
      </c>
      <c r="B428" s="62" t="s">
        <v>1181</v>
      </c>
      <c r="C428" s="63"/>
      <c r="D428" s="64"/>
      <c r="E428" s="65"/>
      <c r="F428" s="66"/>
      <c r="G428" s="63"/>
      <c r="H428" s="67"/>
      <c r="I428" s="68"/>
      <c r="J428" s="68"/>
      <c r="K428" s="32"/>
      <c r="L428" s="75"/>
      <c r="M428" s="75"/>
      <c r="N428" s="70"/>
      <c r="O428" t="s">
        <v>1568</v>
      </c>
      <c r="P428" s="76">
        <v>44958.569826388892</v>
      </c>
      <c r="Q428" t="s">
        <v>1636</v>
      </c>
      <c r="R428" s="77" t="str">
        <f>HYPERLINK("https://www.therookiefather.com/")</f>
        <v>https://www.therookiefather.com/</v>
      </c>
      <c r="S428" t="s">
        <v>2269</v>
      </c>
      <c r="T428" s="78" t="s">
        <v>2318</v>
      </c>
      <c r="U428" s="77" t="str">
        <f>HYPERLINK("https://pbs.twimg.com/media/Fn4pfORXkAAIHKG.jpg")</f>
        <v>https://pbs.twimg.com/media/Fn4pfORXkAAIHKG.jpg</v>
      </c>
      <c r="V428" s="77" t="str">
        <f>HYPERLINK("https://pbs.twimg.com/media/Fn4pfORXkAAIHKG.jpg")</f>
        <v>https://pbs.twimg.com/media/Fn4pfORXkAAIHKG.jpg</v>
      </c>
      <c r="W428" s="76">
        <v>44958.569826388892</v>
      </c>
      <c r="X428" s="80">
        <v>44958</v>
      </c>
      <c r="Y428" s="78" t="s">
        <v>2502</v>
      </c>
      <c r="Z428" s="77" t="str">
        <f>HYPERLINK("https://twitter.com/authorkendall/status/1620779137236602880")</f>
        <v>https://twitter.com/authorkendall/status/1620779137236602880</v>
      </c>
      <c r="AC428" s="78" t="s">
        <v>3517</v>
      </c>
      <c r="AE428" t="b">
        <v>0</v>
      </c>
      <c r="AF428">
        <v>1</v>
      </c>
      <c r="AG428" s="78" t="s">
        <v>4640</v>
      </c>
      <c r="AH428" t="b">
        <v>0</v>
      </c>
      <c r="AI428" t="s">
        <v>4829</v>
      </c>
      <c r="AK428" s="78" t="s">
        <v>4640</v>
      </c>
      <c r="AL428" t="b">
        <v>0</v>
      </c>
      <c r="AM428">
        <v>0</v>
      </c>
      <c r="AN428" s="78" t="s">
        <v>4640</v>
      </c>
      <c r="AO428" s="78" t="s">
        <v>4851</v>
      </c>
      <c r="AP428" t="b">
        <v>0</v>
      </c>
      <c r="AQ428" s="78" t="s">
        <v>3517</v>
      </c>
      <c r="AR428" t="s">
        <v>179</v>
      </c>
      <c r="AS428">
        <v>0</v>
      </c>
      <c r="AT428">
        <v>0</v>
      </c>
    </row>
    <row r="429" spans="1:46" x14ac:dyDescent="0.45">
      <c r="A429" s="62" t="s">
        <v>293</v>
      </c>
      <c r="B429" s="62" t="s">
        <v>242</v>
      </c>
      <c r="C429" s="63"/>
      <c r="D429" s="64"/>
      <c r="E429" s="65"/>
      <c r="F429" s="66"/>
      <c r="G429" s="63"/>
      <c r="H429" s="67"/>
      <c r="I429" s="68"/>
      <c r="J429" s="68"/>
      <c r="K429" s="32"/>
      <c r="L429" s="75"/>
      <c r="M429" s="75"/>
      <c r="N429" s="70"/>
      <c r="O429" t="s">
        <v>1568</v>
      </c>
      <c r="P429" s="76">
        <v>44958.569826388892</v>
      </c>
      <c r="Q429" t="s">
        <v>1636</v>
      </c>
      <c r="R429" s="77" t="str">
        <f>HYPERLINK("https://www.therookiefather.com/")</f>
        <v>https://www.therookiefather.com/</v>
      </c>
      <c r="S429" t="s">
        <v>2269</v>
      </c>
      <c r="T429" s="78" t="s">
        <v>2318</v>
      </c>
      <c r="U429" s="77" t="str">
        <f>HYPERLINK("https://pbs.twimg.com/media/Fn4pfORXkAAIHKG.jpg")</f>
        <v>https://pbs.twimg.com/media/Fn4pfORXkAAIHKG.jpg</v>
      </c>
      <c r="V429" s="77" t="str">
        <f>HYPERLINK("https://pbs.twimg.com/media/Fn4pfORXkAAIHKG.jpg")</f>
        <v>https://pbs.twimg.com/media/Fn4pfORXkAAIHKG.jpg</v>
      </c>
      <c r="W429" s="76">
        <v>44958.569826388892</v>
      </c>
      <c r="X429" s="80">
        <v>44958</v>
      </c>
      <c r="Y429" s="78" t="s">
        <v>2502</v>
      </c>
      <c r="Z429" s="77" t="str">
        <f>HYPERLINK("https://twitter.com/authorkendall/status/1620779137236602880")</f>
        <v>https://twitter.com/authorkendall/status/1620779137236602880</v>
      </c>
      <c r="AC429" s="78" t="s">
        <v>3517</v>
      </c>
      <c r="AE429" t="b">
        <v>0</v>
      </c>
      <c r="AF429">
        <v>1</v>
      </c>
      <c r="AG429" s="78" t="s">
        <v>4640</v>
      </c>
      <c r="AH429" t="b">
        <v>0</v>
      </c>
      <c r="AI429" t="s">
        <v>4829</v>
      </c>
      <c r="AK429" s="78" t="s">
        <v>4640</v>
      </c>
      <c r="AL429" t="b">
        <v>0</v>
      </c>
      <c r="AM429">
        <v>0</v>
      </c>
      <c r="AN429" s="78" t="s">
        <v>4640</v>
      </c>
      <c r="AO429" s="78" t="s">
        <v>4851</v>
      </c>
      <c r="AP429" t="b">
        <v>0</v>
      </c>
      <c r="AQ429" s="78" t="s">
        <v>3517</v>
      </c>
      <c r="AR429" t="s">
        <v>179</v>
      </c>
      <c r="AS429">
        <v>0</v>
      </c>
      <c r="AT429">
        <v>0</v>
      </c>
    </row>
    <row r="430" spans="1:46" x14ac:dyDescent="0.45">
      <c r="A430" s="62" t="s">
        <v>293</v>
      </c>
      <c r="B430" s="62" t="s">
        <v>1113</v>
      </c>
      <c r="C430" s="63"/>
      <c r="D430" s="64"/>
      <c r="E430" s="65"/>
      <c r="F430" s="66"/>
      <c r="G430" s="63"/>
      <c r="H430" s="67"/>
      <c r="I430" s="68"/>
      <c r="J430" s="68"/>
      <c r="K430" s="32"/>
      <c r="L430" s="75"/>
      <c r="M430" s="75"/>
      <c r="N430" s="70"/>
      <c r="O430" t="s">
        <v>1568</v>
      </c>
      <c r="P430" s="76">
        <v>44958.569826388892</v>
      </c>
      <c r="Q430" t="s">
        <v>1636</v>
      </c>
      <c r="R430" s="77" t="str">
        <f>HYPERLINK("https://www.therookiefather.com/")</f>
        <v>https://www.therookiefather.com/</v>
      </c>
      <c r="S430" t="s">
        <v>2269</v>
      </c>
      <c r="T430" s="78" t="s">
        <v>2318</v>
      </c>
      <c r="U430" s="77" t="str">
        <f>HYPERLINK("https://pbs.twimg.com/media/Fn4pfORXkAAIHKG.jpg")</f>
        <v>https://pbs.twimg.com/media/Fn4pfORXkAAIHKG.jpg</v>
      </c>
      <c r="V430" s="77" t="str">
        <f>HYPERLINK("https://pbs.twimg.com/media/Fn4pfORXkAAIHKG.jpg")</f>
        <v>https://pbs.twimg.com/media/Fn4pfORXkAAIHKG.jpg</v>
      </c>
      <c r="W430" s="76">
        <v>44958.569826388892</v>
      </c>
      <c r="X430" s="80">
        <v>44958</v>
      </c>
      <c r="Y430" s="78" t="s">
        <v>2502</v>
      </c>
      <c r="Z430" s="77" t="str">
        <f>HYPERLINK("https://twitter.com/authorkendall/status/1620779137236602880")</f>
        <v>https://twitter.com/authorkendall/status/1620779137236602880</v>
      </c>
      <c r="AC430" s="78" t="s">
        <v>3517</v>
      </c>
      <c r="AE430" t="b">
        <v>0</v>
      </c>
      <c r="AF430">
        <v>1</v>
      </c>
      <c r="AG430" s="78" t="s">
        <v>4640</v>
      </c>
      <c r="AH430" t="b">
        <v>0</v>
      </c>
      <c r="AI430" t="s">
        <v>4829</v>
      </c>
      <c r="AK430" s="78" t="s">
        <v>4640</v>
      </c>
      <c r="AL430" t="b">
        <v>0</v>
      </c>
      <c r="AM430">
        <v>0</v>
      </c>
      <c r="AN430" s="78" t="s">
        <v>4640</v>
      </c>
      <c r="AO430" s="78" t="s">
        <v>4851</v>
      </c>
      <c r="AP430" t="b">
        <v>0</v>
      </c>
      <c r="AQ430" s="78" t="s">
        <v>3517</v>
      </c>
      <c r="AR430" t="s">
        <v>179</v>
      </c>
      <c r="AS430">
        <v>0</v>
      </c>
      <c r="AT430">
        <v>0</v>
      </c>
    </row>
    <row r="431" spans="1:46" x14ac:dyDescent="0.45">
      <c r="A431" s="62" t="s">
        <v>293</v>
      </c>
      <c r="B431" s="62" t="s">
        <v>1182</v>
      </c>
      <c r="C431" s="63"/>
      <c r="D431" s="64"/>
      <c r="E431" s="65"/>
      <c r="F431" s="66"/>
      <c r="G431" s="63"/>
      <c r="H431" s="67"/>
      <c r="I431" s="68"/>
      <c r="J431" s="68"/>
      <c r="K431" s="32"/>
      <c r="L431" s="75"/>
      <c r="M431" s="75"/>
      <c r="N431" s="70"/>
      <c r="O431" t="s">
        <v>1568</v>
      </c>
      <c r="P431" s="76">
        <v>44958.569826388892</v>
      </c>
      <c r="Q431" t="s">
        <v>1636</v>
      </c>
      <c r="R431" s="77" t="str">
        <f>HYPERLINK("https://www.therookiefather.com/")</f>
        <v>https://www.therookiefather.com/</v>
      </c>
      <c r="S431" t="s">
        <v>2269</v>
      </c>
      <c r="T431" s="78" t="s">
        <v>2318</v>
      </c>
      <c r="U431" s="77" t="str">
        <f>HYPERLINK("https://pbs.twimg.com/media/Fn4pfORXkAAIHKG.jpg")</f>
        <v>https://pbs.twimg.com/media/Fn4pfORXkAAIHKG.jpg</v>
      </c>
      <c r="V431" s="77" t="str">
        <f>HYPERLINK("https://pbs.twimg.com/media/Fn4pfORXkAAIHKG.jpg")</f>
        <v>https://pbs.twimg.com/media/Fn4pfORXkAAIHKG.jpg</v>
      </c>
      <c r="W431" s="76">
        <v>44958.569826388892</v>
      </c>
      <c r="X431" s="80">
        <v>44958</v>
      </c>
      <c r="Y431" s="78" t="s">
        <v>2502</v>
      </c>
      <c r="Z431" s="77" t="str">
        <f>HYPERLINK("https://twitter.com/authorkendall/status/1620779137236602880")</f>
        <v>https://twitter.com/authorkendall/status/1620779137236602880</v>
      </c>
      <c r="AC431" s="78" t="s">
        <v>3517</v>
      </c>
      <c r="AE431" t="b">
        <v>0</v>
      </c>
      <c r="AF431">
        <v>1</v>
      </c>
      <c r="AG431" s="78" t="s">
        <v>4640</v>
      </c>
      <c r="AH431" t="b">
        <v>0</v>
      </c>
      <c r="AI431" t="s">
        <v>4829</v>
      </c>
      <c r="AK431" s="78" t="s">
        <v>4640</v>
      </c>
      <c r="AL431" t="b">
        <v>0</v>
      </c>
      <c r="AM431">
        <v>0</v>
      </c>
      <c r="AN431" s="78" t="s">
        <v>4640</v>
      </c>
      <c r="AO431" s="78" t="s">
        <v>4851</v>
      </c>
      <c r="AP431" t="b">
        <v>0</v>
      </c>
      <c r="AQ431" s="78" t="s">
        <v>3517</v>
      </c>
      <c r="AR431" t="s">
        <v>179</v>
      </c>
      <c r="AS431">
        <v>0</v>
      </c>
      <c r="AT431">
        <v>0</v>
      </c>
    </row>
    <row r="432" spans="1:46" x14ac:dyDescent="0.45">
      <c r="A432" s="62" t="s">
        <v>938</v>
      </c>
      <c r="B432" s="62" t="s">
        <v>1447</v>
      </c>
      <c r="C432" s="63"/>
      <c r="D432" s="64"/>
      <c r="E432" s="65"/>
      <c r="F432" s="66"/>
      <c r="G432" s="63"/>
      <c r="H432" s="67"/>
      <c r="I432" s="68"/>
      <c r="J432" s="68"/>
      <c r="K432" s="32"/>
      <c r="L432" s="75"/>
      <c r="M432" s="75"/>
      <c r="N432" s="70"/>
      <c r="O432" t="s">
        <v>1568</v>
      </c>
      <c r="P432" s="76">
        <v>44957.792604166665</v>
      </c>
      <c r="Q432" t="s">
        <v>2099</v>
      </c>
      <c r="R432" s="77" t="str">
        <f>HYPERLINK("https://www.tiktok.com/@beautybybrittney_xo/video/7194882777236573486?_t=8ZUgc7TOJg2&amp;_r=1")</f>
        <v>https://www.tiktok.com/@beautybybrittney_xo/video/7194882777236573486?_t=8ZUgc7TOJg2&amp;_r=1</v>
      </c>
      <c r="S432" t="s">
        <v>2296</v>
      </c>
      <c r="U432" s="77" t="str">
        <f>HYPERLINK("https://pbs.twimg.com/media/Fn0p3WoXoA8RryW.jpg")</f>
        <v>https://pbs.twimg.com/media/Fn0p3WoXoA8RryW.jpg</v>
      </c>
      <c r="V432" s="77" t="str">
        <f>HYPERLINK("https://pbs.twimg.com/media/Fn0p3WoXoA8RryW.jpg")</f>
        <v>https://pbs.twimg.com/media/Fn0p3WoXoA8RryW.jpg</v>
      </c>
      <c r="W432" s="76">
        <v>44957.792604166665</v>
      </c>
      <c r="X432" s="80">
        <v>44957</v>
      </c>
      <c r="Y432" s="78" t="s">
        <v>3210</v>
      </c>
      <c r="Z432" s="77" t="str">
        <f>HYPERLINK("https://twitter.com/beautybybrittn1/status/1620497481531555840")</f>
        <v>https://twitter.com/beautybybrittn1/status/1620497481531555840</v>
      </c>
      <c r="AC432" s="78" t="s">
        <v>4275</v>
      </c>
      <c r="AE432" t="b">
        <v>0</v>
      </c>
      <c r="AF432">
        <v>1</v>
      </c>
      <c r="AG432" s="78" t="s">
        <v>4640</v>
      </c>
      <c r="AH432" t="b">
        <v>0</v>
      </c>
      <c r="AI432" t="s">
        <v>4829</v>
      </c>
      <c r="AK432" s="78" t="s">
        <v>4640</v>
      </c>
      <c r="AL432" t="b">
        <v>0</v>
      </c>
      <c r="AM432">
        <v>1</v>
      </c>
      <c r="AN432" s="78" t="s">
        <v>4640</v>
      </c>
      <c r="AO432" s="78" t="s">
        <v>4849</v>
      </c>
      <c r="AP432" t="b">
        <v>0</v>
      </c>
      <c r="AQ432" s="78" t="s">
        <v>4275</v>
      </c>
      <c r="AR432" t="s">
        <v>1569</v>
      </c>
      <c r="AS432">
        <v>0</v>
      </c>
      <c r="AT432">
        <v>0</v>
      </c>
    </row>
    <row r="433" spans="1:46" x14ac:dyDescent="0.45">
      <c r="A433" s="62" t="s">
        <v>938</v>
      </c>
      <c r="B433" s="62" t="s">
        <v>242</v>
      </c>
      <c r="C433" s="63"/>
      <c r="D433" s="64"/>
      <c r="E433" s="65"/>
      <c r="F433" s="66"/>
      <c r="G433" s="63"/>
      <c r="H433" s="67"/>
      <c r="I433" s="68"/>
      <c r="J433" s="68"/>
      <c r="K433" s="32"/>
      <c r="L433" s="75"/>
      <c r="M433" s="75"/>
      <c r="N433" s="70"/>
      <c r="O433" t="s">
        <v>1568</v>
      </c>
      <c r="P433" s="76">
        <v>44957.792604166665</v>
      </c>
      <c r="Q433" t="s">
        <v>2099</v>
      </c>
      <c r="R433" s="77" t="str">
        <f>HYPERLINK("https://www.tiktok.com/@beautybybrittney_xo/video/7194882777236573486?_t=8ZUgc7TOJg2&amp;_r=1")</f>
        <v>https://www.tiktok.com/@beautybybrittney_xo/video/7194882777236573486?_t=8ZUgc7TOJg2&amp;_r=1</v>
      </c>
      <c r="S433" t="s">
        <v>2296</v>
      </c>
      <c r="U433" s="77" t="str">
        <f>HYPERLINK("https://pbs.twimg.com/media/Fn0p3WoXoA8RryW.jpg")</f>
        <v>https://pbs.twimg.com/media/Fn0p3WoXoA8RryW.jpg</v>
      </c>
      <c r="V433" s="77" t="str">
        <f>HYPERLINK("https://pbs.twimg.com/media/Fn0p3WoXoA8RryW.jpg")</f>
        <v>https://pbs.twimg.com/media/Fn0p3WoXoA8RryW.jpg</v>
      </c>
      <c r="W433" s="76">
        <v>44957.792604166665</v>
      </c>
      <c r="X433" s="80">
        <v>44957</v>
      </c>
      <c r="Y433" s="78" t="s">
        <v>3210</v>
      </c>
      <c r="Z433" s="77" t="str">
        <f>HYPERLINK("https://twitter.com/beautybybrittn1/status/1620497481531555840")</f>
        <v>https://twitter.com/beautybybrittn1/status/1620497481531555840</v>
      </c>
      <c r="AC433" s="78" t="s">
        <v>4275</v>
      </c>
      <c r="AE433" t="b">
        <v>0</v>
      </c>
      <c r="AF433">
        <v>1</v>
      </c>
      <c r="AG433" s="78" t="s">
        <v>4640</v>
      </c>
      <c r="AH433" t="b">
        <v>0</v>
      </c>
      <c r="AI433" t="s">
        <v>4829</v>
      </c>
      <c r="AK433" s="78" t="s">
        <v>4640</v>
      </c>
      <c r="AL433" t="b">
        <v>0</v>
      </c>
      <c r="AM433">
        <v>1</v>
      </c>
      <c r="AN433" s="78" t="s">
        <v>4640</v>
      </c>
      <c r="AO433" s="78" t="s">
        <v>4849</v>
      </c>
      <c r="AP433" t="b">
        <v>0</v>
      </c>
      <c r="AQ433" s="78" t="s">
        <v>4275</v>
      </c>
      <c r="AR433" t="s">
        <v>1569</v>
      </c>
      <c r="AS433">
        <v>0</v>
      </c>
      <c r="AT433">
        <v>0</v>
      </c>
    </row>
    <row r="434" spans="1:46" x14ac:dyDescent="0.45">
      <c r="A434" s="62" t="s">
        <v>939</v>
      </c>
      <c r="B434" s="62" t="s">
        <v>1447</v>
      </c>
      <c r="C434" s="63"/>
      <c r="D434" s="64"/>
      <c r="E434" s="65"/>
      <c r="F434" s="66"/>
      <c r="G434" s="63"/>
      <c r="H434" s="67"/>
      <c r="I434" s="68"/>
      <c r="J434" s="68"/>
      <c r="K434" s="32"/>
      <c r="L434" s="75"/>
      <c r="M434" s="75"/>
      <c r="N434" s="70"/>
      <c r="O434" t="s">
        <v>1570</v>
      </c>
      <c r="P434" s="76">
        <v>44959.160300925927</v>
      </c>
      <c r="Q434" t="s">
        <v>2099</v>
      </c>
      <c r="R434" s="77" t="str">
        <f>HYPERLINK("https://www.tiktok.com/@beautybybrittney_xo/video/7194882777236573486?_t=8ZUgc7TOJg2&amp;_r=1")</f>
        <v>https://www.tiktok.com/@beautybybrittney_xo/video/7194882777236573486?_t=8ZUgc7TOJg2&amp;_r=1</v>
      </c>
      <c r="S434" t="s">
        <v>2296</v>
      </c>
      <c r="U434" s="77" t="str">
        <f>HYPERLINK("https://pbs.twimg.com/media/Fn0p3WoXoA8RryW.jpg")</f>
        <v>https://pbs.twimg.com/media/Fn0p3WoXoA8RryW.jpg</v>
      </c>
      <c r="V434" s="77" t="str">
        <f>HYPERLINK("https://pbs.twimg.com/media/Fn0p3WoXoA8RryW.jpg")</f>
        <v>https://pbs.twimg.com/media/Fn0p3WoXoA8RryW.jpg</v>
      </c>
      <c r="W434" s="76">
        <v>44959.160300925927</v>
      </c>
      <c r="X434" s="80">
        <v>44959</v>
      </c>
      <c r="Y434" s="78" t="s">
        <v>3211</v>
      </c>
      <c r="Z434" s="77" t="str">
        <f>HYPERLINK("https://twitter.com/laura22123010/status/1620993116982460416")</f>
        <v>https://twitter.com/laura22123010/status/1620993116982460416</v>
      </c>
      <c r="AC434" s="78" t="s">
        <v>4276</v>
      </c>
      <c r="AE434" t="b">
        <v>0</v>
      </c>
      <c r="AF434">
        <v>0</v>
      </c>
      <c r="AG434" s="78" t="s">
        <v>4640</v>
      </c>
      <c r="AH434" t="b">
        <v>0</v>
      </c>
      <c r="AI434" t="s">
        <v>4829</v>
      </c>
      <c r="AK434" s="78" t="s">
        <v>4640</v>
      </c>
      <c r="AL434" t="b">
        <v>0</v>
      </c>
      <c r="AM434">
        <v>1</v>
      </c>
      <c r="AN434" s="78" t="s">
        <v>4275</v>
      </c>
      <c r="AO434" s="78" t="s">
        <v>4849</v>
      </c>
      <c r="AP434" t="b">
        <v>0</v>
      </c>
      <c r="AQ434" s="78" t="s">
        <v>4275</v>
      </c>
      <c r="AR434" t="s">
        <v>179</v>
      </c>
      <c r="AS434">
        <v>0</v>
      </c>
      <c r="AT434">
        <v>0</v>
      </c>
    </row>
    <row r="435" spans="1:46" x14ac:dyDescent="0.45">
      <c r="A435" s="62" t="s">
        <v>939</v>
      </c>
      <c r="B435" s="62" t="s">
        <v>938</v>
      </c>
      <c r="C435" s="63"/>
      <c r="D435" s="64"/>
      <c r="E435" s="65"/>
      <c r="F435" s="66"/>
      <c r="G435" s="63"/>
      <c r="H435" s="67"/>
      <c r="I435" s="68"/>
      <c r="J435" s="68"/>
      <c r="K435" s="32"/>
      <c r="L435" s="75"/>
      <c r="M435" s="75"/>
      <c r="N435" s="70"/>
      <c r="O435" t="s">
        <v>1569</v>
      </c>
      <c r="P435" s="76">
        <v>44959.160300925927</v>
      </c>
      <c r="Q435" t="s">
        <v>2099</v>
      </c>
      <c r="R435" s="77" t="str">
        <f>HYPERLINK("https://www.tiktok.com/@beautybybrittney_xo/video/7194882777236573486?_t=8ZUgc7TOJg2&amp;_r=1")</f>
        <v>https://www.tiktok.com/@beautybybrittney_xo/video/7194882777236573486?_t=8ZUgc7TOJg2&amp;_r=1</v>
      </c>
      <c r="S435" t="s">
        <v>2296</v>
      </c>
      <c r="U435" s="77" t="str">
        <f>HYPERLINK("https://pbs.twimg.com/media/Fn0p3WoXoA8RryW.jpg")</f>
        <v>https://pbs.twimg.com/media/Fn0p3WoXoA8RryW.jpg</v>
      </c>
      <c r="V435" s="77" t="str">
        <f>HYPERLINK("https://pbs.twimg.com/media/Fn0p3WoXoA8RryW.jpg")</f>
        <v>https://pbs.twimg.com/media/Fn0p3WoXoA8RryW.jpg</v>
      </c>
      <c r="W435" s="76">
        <v>44959.160300925927</v>
      </c>
      <c r="X435" s="80">
        <v>44959</v>
      </c>
      <c r="Y435" s="78" t="s">
        <v>3211</v>
      </c>
      <c r="Z435" s="77" t="str">
        <f>HYPERLINK("https://twitter.com/laura22123010/status/1620993116982460416")</f>
        <v>https://twitter.com/laura22123010/status/1620993116982460416</v>
      </c>
      <c r="AC435" s="78" t="s">
        <v>4276</v>
      </c>
      <c r="AE435" t="b">
        <v>0</v>
      </c>
      <c r="AF435">
        <v>0</v>
      </c>
      <c r="AG435" s="78" t="s">
        <v>4640</v>
      </c>
      <c r="AH435" t="b">
        <v>0</v>
      </c>
      <c r="AI435" t="s">
        <v>4829</v>
      </c>
      <c r="AK435" s="78" t="s">
        <v>4640</v>
      </c>
      <c r="AL435" t="b">
        <v>0</v>
      </c>
      <c r="AM435">
        <v>1</v>
      </c>
      <c r="AN435" s="78" t="s">
        <v>4275</v>
      </c>
      <c r="AO435" s="78" t="s">
        <v>4849</v>
      </c>
      <c r="AP435" t="b">
        <v>0</v>
      </c>
      <c r="AQ435" s="78" t="s">
        <v>4275</v>
      </c>
      <c r="AR435" t="s">
        <v>179</v>
      </c>
      <c r="AS435">
        <v>0</v>
      </c>
      <c r="AT435">
        <v>0</v>
      </c>
    </row>
    <row r="436" spans="1:46" x14ac:dyDescent="0.45">
      <c r="A436" s="62" t="s">
        <v>939</v>
      </c>
      <c r="B436" s="62" t="s">
        <v>242</v>
      </c>
      <c r="C436" s="63"/>
      <c r="D436" s="64"/>
      <c r="E436" s="65"/>
      <c r="F436" s="66"/>
      <c r="G436" s="63"/>
      <c r="H436" s="67"/>
      <c r="I436" s="68"/>
      <c r="J436" s="68"/>
      <c r="K436" s="32"/>
      <c r="L436" s="75"/>
      <c r="M436" s="75"/>
      <c r="N436" s="70"/>
      <c r="O436" t="s">
        <v>1570</v>
      </c>
      <c r="P436" s="76">
        <v>44959.160300925927</v>
      </c>
      <c r="Q436" t="s">
        <v>2099</v>
      </c>
      <c r="R436" s="77" t="str">
        <f>HYPERLINK("https://www.tiktok.com/@beautybybrittney_xo/video/7194882777236573486?_t=8ZUgc7TOJg2&amp;_r=1")</f>
        <v>https://www.tiktok.com/@beautybybrittney_xo/video/7194882777236573486?_t=8ZUgc7TOJg2&amp;_r=1</v>
      </c>
      <c r="S436" t="s">
        <v>2296</v>
      </c>
      <c r="U436" s="77" t="str">
        <f>HYPERLINK("https://pbs.twimg.com/media/Fn0p3WoXoA8RryW.jpg")</f>
        <v>https://pbs.twimg.com/media/Fn0p3WoXoA8RryW.jpg</v>
      </c>
      <c r="V436" s="77" t="str">
        <f>HYPERLINK("https://pbs.twimg.com/media/Fn0p3WoXoA8RryW.jpg")</f>
        <v>https://pbs.twimg.com/media/Fn0p3WoXoA8RryW.jpg</v>
      </c>
      <c r="W436" s="76">
        <v>44959.160300925927</v>
      </c>
      <c r="X436" s="80">
        <v>44959</v>
      </c>
      <c r="Y436" s="78" t="s">
        <v>3211</v>
      </c>
      <c r="Z436" s="77" t="str">
        <f>HYPERLINK("https://twitter.com/laura22123010/status/1620993116982460416")</f>
        <v>https://twitter.com/laura22123010/status/1620993116982460416</v>
      </c>
      <c r="AC436" s="78" t="s">
        <v>4276</v>
      </c>
      <c r="AE436" t="b">
        <v>0</v>
      </c>
      <c r="AF436">
        <v>0</v>
      </c>
      <c r="AG436" s="78" t="s">
        <v>4640</v>
      </c>
      <c r="AH436" t="b">
        <v>0</v>
      </c>
      <c r="AI436" t="s">
        <v>4829</v>
      </c>
      <c r="AK436" s="78" t="s">
        <v>4640</v>
      </c>
      <c r="AL436" t="b">
        <v>0</v>
      </c>
      <c r="AM436">
        <v>1</v>
      </c>
      <c r="AN436" s="78" t="s">
        <v>4275</v>
      </c>
      <c r="AO436" s="78" t="s">
        <v>4849</v>
      </c>
      <c r="AP436" t="b">
        <v>0</v>
      </c>
      <c r="AQ436" s="78" t="s">
        <v>4275</v>
      </c>
      <c r="AR436" t="s">
        <v>179</v>
      </c>
      <c r="AS436">
        <v>0</v>
      </c>
      <c r="AT436">
        <v>0</v>
      </c>
    </row>
    <row r="437" spans="1:46" x14ac:dyDescent="0.45">
      <c r="A437" s="62" t="s">
        <v>542</v>
      </c>
      <c r="B437" s="62" t="s">
        <v>541</v>
      </c>
      <c r="C437" s="63"/>
      <c r="D437" s="64"/>
      <c r="E437" s="65"/>
      <c r="F437" s="66"/>
      <c r="G437" s="63"/>
      <c r="H437" s="67"/>
      <c r="I437" s="68"/>
      <c r="J437" s="68"/>
      <c r="K437" s="32"/>
      <c r="L437" s="75"/>
      <c r="M437" s="75"/>
      <c r="N437" s="70"/>
      <c r="O437" t="s">
        <v>1568</v>
      </c>
      <c r="P437" s="76">
        <v>44958.794340277775</v>
      </c>
      <c r="Q437" t="s">
        <v>1809</v>
      </c>
      <c r="R437" s="77" t="str">
        <f>HYPERLINK("https://twitter.com/functionalflu/status/1620810876063289348")</f>
        <v>https://twitter.com/functionalflu/status/1620810876063289348</v>
      </c>
      <c r="S437" t="s">
        <v>2257</v>
      </c>
      <c r="T437" s="78" t="s">
        <v>2349</v>
      </c>
      <c r="V437" s="77" t="str">
        <f>HYPERLINK("https://pbs.twimg.com/profile_images/993496311151329281/XimAzESX_normal.jpg")</f>
        <v>https://pbs.twimg.com/profile_images/993496311151329281/XimAzESX_normal.jpg</v>
      </c>
      <c r="W437" s="76">
        <v>44958.794340277775</v>
      </c>
      <c r="X437" s="80">
        <v>44958</v>
      </c>
      <c r="Y437" s="78" t="s">
        <v>2784</v>
      </c>
      <c r="Z437" s="77" t="str">
        <f>HYPERLINK("https://twitter.com/investdetroitvc/status/1620860497187991552")</f>
        <v>https://twitter.com/investdetroitvc/status/1620860497187991552</v>
      </c>
      <c r="AC437" s="78" t="s">
        <v>3803</v>
      </c>
      <c r="AE437" t="b">
        <v>0</v>
      </c>
      <c r="AF437">
        <v>0</v>
      </c>
      <c r="AG437" s="78" t="s">
        <v>4640</v>
      </c>
      <c r="AH437" t="b">
        <v>1</v>
      </c>
      <c r="AI437" t="s">
        <v>4829</v>
      </c>
      <c r="AK437" s="78" t="s">
        <v>3802</v>
      </c>
      <c r="AL437" t="b">
        <v>0</v>
      </c>
      <c r="AM437">
        <v>0</v>
      </c>
      <c r="AN437" s="78" t="s">
        <v>4640</v>
      </c>
      <c r="AO437" s="78" t="s">
        <v>4851</v>
      </c>
      <c r="AP437" t="b">
        <v>0</v>
      </c>
      <c r="AQ437" s="78" t="s">
        <v>3803</v>
      </c>
      <c r="AR437" t="s">
        <v>179</v>
      </c>
      <c r="AS437">
        <v>0</v>
      </c>
      <c r="AT437">
        <v>0</v>
      </c>
    </row>
    <row r="438" spans="1:46" x14ac:dyDescent="0.45">
      <c r="A438" s="62" t="s">
        <v>542</v>
      </c>
      <c r="B438" s="62" t="s">
        <v>242</v>
      </c>
      <c r="C438" s="63"/>
      <c r="D438" s="64"/>
      <c r="E438" s="65"/>
      <c r="F438" s="66"/>
      <c r="G438" s="63"/>
      <c r="H438" s="67"/>
      <c r="I438" s="68"/>
      <c r="J438" s="68"/>
      <c r="K438" s="32"/>
      <c r="L438" s="75"/>
      <c r="M438" s="75"/>
      <c r="N438" s="70"/>
      <c r="O438" t="s">
        <v>1568</v>
      </c>
      <c r="P438" s="76">
        <v>44958.794340277775</v>
      </c>
      <c r="Q438" t="s">
        <v>1809</v>
      </c>
      <c r="R438" s="77" t="str">
        <f>HYPERLINK("https://twitter.com/functionalflu/status/1620810876063289348")</f>
        <v>https://twitter.com/functionalflu/status/1620810876063289348</v>
      </c>
      <c r="S438" t="s">
        <v>2257</v>
      </c>
      <c r="T438" s="78" t="s">
        <v>2349</v>
      </c>
      <c r="V438" s="77" t="str">
        <f>HYPERLINK("https://pbs.twimg.com/profile_images/993496311151329281/XimAzESX_normal.jpg")</f>
        <v>https://pbs.twimg.com/profile_images/993496311151329281/XimAzESX_normal.jpg</v>
      </c>
      <c r="W438" s="76">
        <v>44958.794340277775</v>
      </c>
      <c r="X438" s="80">
        <v>44958</v>
      </c>
      <c r="Y438" s="78" t="s">
        <v>2784</v>
      </c>
      <c r="Z438" s="77" t="str">
        <f>HYPERLINK("https://twitter.com/investdetroitvc/status/1620860497187991552")</f>
        <v>https://twitter.com/investdetroitvc/status/1620860497187991552</v>
      </c>
      <c r="AC438" s="78" t="s">
        <v>3803</v>
      </c>
      <c r="AE438" t="b">
        <v>0</v>
      </c>
      <c r="AF438">
        <v>0</v>
      </c>
      <c r="AG438" s="78" t="s">
        <v>4640</v>
      </c>
      <c r="AH438" t="b">
        <v>1</v>
      </c>
      <c r="AI438" t="s">
        <v>4829</v>
      </c>
      <c r="AK438" s="78" t="s">
        <v>3802</v>
      </c>
      <c r="AL438" t="b">
        <v>0</v>
      </c>
      <c r="AM438">
        <v>0</v>
      </c>
      <c r="AN438" s="78" t="s">
        <v>4640</v>
      </c>
      <c r="AO438" s="78" t="s">
        <v>4851</v>
      </c>
      <c r="AP438" t="b">
        <v>0</v>
      </c>
      <c r="AQ438" s="78" t="s">
        <v>3803</v>
      </c>
      <c r="AR438" t="s">
        <v>179</v>
      </c>
      <c r="AS438">
        <v>0</v>
      </c>
      <c r="AT438">
        <v>0</v>
      </c>
    </row>
    <row r="439" spans="1:46" x14ac:dyDescent="0.45">
      <c r="A439" s="62" t="s">
        <v>306</v>
      </c>
      <c r="B439" s="62" t="s">
        <v>1201</v>
      </c>
      <c r="C439" s="63"/>
      <c r="D439" s="64"/>
      <c r="E439" s="65"/>
      <c r="F439" s="66"/>
      <c r="G439" s="63"/>
      <c r="H439" s="67"/>
      <c r="I439" s="68"/>
      <c r="J439" s="68"/>
      <c r="K439" s="32"/>
      <c r="L439" s="75"/>
      <c r="M439" s="75"/>
      <c r="N439" s="70"/>
      <c r="O439" t="s">
        <v>1568</v>
      </c>
      <c r="P439" s="76">
        <v>44958.594305555554</v>
      </c>
      <c r="Q439" t="s">
        <v>1650</v>
      </c>
      <c r="R439" s="77" t="str">
        <f>HYPERLINK("https://twitter.com/Abdulwa09722526/status/1620729542758498304")</f>
        <v>https://twitter.com/Abdulwa09722526/status/1620729542758498304</v>
      </c>
      <c r="S439" t="s">
        <v>2257</v>
      </c>
      <c r="T439" s="78" t="s">
        <v>2321</v>
      </c>
      <c r="V439" s="77" t="str">
        <f>HYPERLINK("https://abs.twimg.com/sticky/default_profile_images/default_profile_normal.png")</f>
        <v>https://abs.twimg.com/sticky/default_profile_images/default_profile_normal.png</v>
      </c>
      <c r="W439" s="76">
        <v>44958.594305555554</v>
      </c>
      <c r="X439" s="80">
        <v>44958</v>
      </c>
      <c r="Y439" s="78" t="s">
        <v>2518</v>
      </c>
      <c r="Z439" s="77" t="str">
        <f>HYPERLINK("https://twitter.com/abdulwa09722526/status/1620788005920464896")</f>
        <v>https://twitter.com/abdulwa09722526/status/1620788005920464896</v>
      </c>
      <c r="AC439" s="78" t="s">
        <v>3533</v>
      </c>
      <c r="AE439" t="b">
        <v>0</v>
      </c>
      <c r="AF439">
        <v>0</v>
      </c>
      <c r="AG439" s="78" t="s">
        <v>4672</v>
      </c>
      <c r="AH439" t="b">
        <v>1</v>
      </c>
      <c r="AI439" t="s">
        <v>4829</v>
      </c>
      <c r="AK439" s="78" t="s">
        <v>3532</v>
      </c>
      <c r="AL439" t="b">
        <v>0</v>
      </c>
      <c r="AM439">
        <v>0</v>
      </c>
      <c r="AN439" s="78" t="s">
        <v>4640</v>
      </c>
      <c r="AO439" s="78" t="s">
        <v>4850</v>
      </c>
      <c r="AP439" t="b">
        <v>0</v>
      </c>
      <c r="AQ439" s="78" t="s">
        <v>3533</v>
      </c>
      <c r="AR439" t="s">
        <v>179</v>
      </c>
      <c r="AS439">
        <v>0</v>
      </c>
      <c r="AT439">
        <v>0</v>
      </c>
    </row>
    <row r="440" spans="1:46" x14ac:dyDescent="0.45">
      <c r="A440" s="62" t="s">
        <v>306</v>
      </c>
      <c r="B440" s="62" t="s">
        <v>1202</v>
      </c>
      <c r="C440" s="63"/>
      <c r="D440" s="64"/>
      <c r="E440" s="65"/>
      <c r="F440" s="66"/>
      <c r="G440" s="63"/>
      <c r="H440" s="67"/>
      <c r="I440" s="68"/>
      <c r="J440" s="68"/>
      <c r="K440" s="32"/>
      <c r="L440" s="75"/>
      <c r="M440" s="75"/>
      <c r="N440" s="70"/>
      <c r="O440" t="s">
        <v>1568</v>
      </c>
      <c r="P440" s="76">
        <v>44958.594305555554</v>
      </c>
      <c r="Q440" t="s">
        <v>1650</v>
      </c>
      <c r="R440" s="77" t="str">
        <f>HYPERLINK("https://twitter.com/Abdulwa09722526/status/1620729542758498304")</f>
        <v>https://twitter.com/Abdulwa09722526/status/1620729542758498304</v>
      </c>
      <c r="S440" t="s">
        <v>2257</v>
      </c>
      <c r="T440" s="78" t="s">
        <v>2321</v>
      </c>
      <c r="V440" s="77" t="str">
        <f>HYPERLINK("https://abs.twimg.com/sticky/default_profile_images/default_profile_normal.png")</f>
        <v>https://abs.twimg.com/sticky/default_profile_images/default_profile_normal.png</v>
      </c>
      <c r="W440" s="76">
        <v>44958.594305555554</v>
      </c>
      <c r="X440" s="80">
        <v>44958</v>
      </c>
      <c r="Y440" s="78" t="s">
        <v>2518</v>
      </c>
      <c r="Z440" s="77" t="str">
        <f>HYPERLINK("https://twitter.com/abdulwa09722526/status/1620788005920464896")</f>
        <v>https://twitter.com/abdulwa09722526/status/1620788005920464896</v>
      </c>
      <c r="AC440" s="78" t="s">
        <v>3533</v>
      </c>
      <c r="AE440" t="b">
        <v>0</v>
      </c>
      <c r="AF440">
        <v>0</v>
      </c>
      <c r="AG440" s="78" t="s">
        <v>4672</v>
      </c>
      <c r="AH440" t="b">
        <v>1</v>
      </c>
      <c r="AI440" t="s">
        <v>4829</v>
      </c>
      <c r="AK440" s="78" t="s">
        <v>3532</v>
      </c>
      <c r="AL440" t="b">
        <v>0</v>
      </c>
      <c r="AM440">
        <v>0</v>
      </c>
      <c r="AN440" s="78" t="s">
        <v>4640</v>
      </c>
      <c r="AO440" s="78" t="s">
        <v>4850</v>
      </c>
      <c r="AP440" t="b">
        <v>0</v>
      </c>
      <c r="AQ440" s="78" t="s">
        <v>3533</v>
      </c>
      <c r="AR440" t="s">
        <v>179</v>
      </c>
      <c r="AS440">
        <v>0</v>
      </c>
      <c r="AT440">
        <v>0</v>
      </c>
    </row>
    <row r="441" spans="1:46" x14ac:dyDescent="0.45">
      <c r="A441" s="62" t="s">
        <v>306</v>
      </c>
      <c r="B441" s="62" t="s">
        <v>1203</v>
      </c>
      <c r="C441" s="63"/>
      <c r="D441" s="64"/>
      <c r="E441" s="65"/>
      <c r="F441" s="66"/>
      <c r="G441" s="63"/>
      <c r="H441" s="67"/>
      <c r="I441" s="68"/>
      <c r="J441" s="68"/>
      <c r="K441" s="32"/>
      <c r="L441" s="75"/>
      <c r="M441" s="75"/>
      <c r="N441" s="70"/>
      <c r="O441" t="s">
        <v>1568</v>
      </c>
      <c r="P441" s="76">
        <v>44958.594305555554</v>
      </c>
      <c r="Q441" t="s">
        <v>1650</v>
      </c>
      <c r="R441" s="77" t="str">
        <f>HYPERLINK("https://twitter.com/Abdulwa09722526/status/1620729542758498304")</f>
        <v>https://twitter.com/Abdulwa09722526/status/1620729542758498304</v>
      </c>
      <c r="S441" t="s">
        <v>2257</v>
      </c>
      <c r="T441" s="78" t="s">
        <v>2321</v>
      </c>
      <c r="V441" s="77" t="str">
        <f>HYPERLINK("https://abs.twimg.com/sticky/default_profile_images/default_profile_normal.png")</f>
        <v>https://abs.twimg.com/sticky/default_profile_images/default_profile_normal.png</v>
      </c>
      <c r="W441" s="76">
        <v>44958.594305555554</v>
      </c>
      <c r="X441" s="80">
        <v>44958</v>
      </c>
      <c r="Y441" s="78" t="s">
        <v>2518</v>
      </c>
      <c r="Z441" s="77" t="str">
        <f>HYPERLINK("https://twitter.com/abdulwa09722526/status/1620788005920464896")</f>
        <v>https://twitter.com/abdulwa09722526/status/1620788005920464896</v>
      </c>
      <c r="AC441" s="78" t="s">
        <v>3533</v>
      </c>
      <c r="AE441" t="b">
        <v>0</v>
      </c>
      <c r="AF441">
        <v>0</v>
      </c>
      <c r="AG441" s="78" t="s">
        <v>4672</v>
      </c>
      <c r="AH441" t="b">
        <v>1</v>
      </c>
      <c r="AI441" t="s">
        <v>4829</v>
      </c>
      <c r="AK441" s="78" t="s">
        <v>3532</v>
      </c>
      <c r="AL441" t="b">
        <v>0</v>
      </c>
      <c r="AM441">
        <v>0</v>
      </c>
      <c r="AN441" s="78" t="s">
        <v>4640</v>
      </c>
      <c r="AO441" s="78" t="s">
        <v>4850</v>
      </c>
      <c r="AP441" t="b">
        <v>0</v>
      </c>
      <c r="AQ441" s="78" t="s">
        <v>3533</v>
      </c>
      <c r="AR441" t="s">
        <v>179</v>
      </c>
      <c r="AS441">
        <v>0</v>
      </c>
      <c r="AT441">
        <v>0</v>
      </c>
    </row>
    <row r="442" spans="1:46" x14ac:dyDescent="0.45">
      <c r="A442" s="62" t="s">
        <v>306</v>
      </c>
      <c r="B442" s="62" t="s">
        <v>1204</v>
      </c>
      <c r="C442" s="63"/>
      <c r="D442" s="64"/>
      <c r="E442" s="65"/>
      <c r="F442" s="66"/>
      <c r="G442" s="63"/>
      <c r="H442" s="67"/>
      <c r="I442" s="68"/>
      <c r="J442" s="68"/>
      <c r="K442" s="32"/>
      <c r="L442" s="75"/>
      <c r="M442" s="75"/>
      <c r="N442" s="70"/>
      <c r="O442" t="s">
        <v>1568</v>
      </c>
      <c r="P442" s="76">
        <v>44958.594305555554</v>
      </c>
      <c r="Q442" t="s">
        <v>1650</v>
      </c>
      <c r="R442" s="77" t="str">
        <f>HYPERLINK("https://twitter.com/Abdulwa09722526/status/1620729542758498304")</f>
        <v>https://twitter.com/Abdulwa09722526/status/1620729542758498304</v>
      </c>
      <c r="S442" t="s">
        <v>2257</v>
      </c>
      <c r="T442" s="78" t="s">
        <v>2321</v>
      </c>
      <c r="V442" s="77" t="str">
        <f>HYPERLINK("https://abs.twimg.com/sticky/default_profile_images/default_profile_normal.png")</f>
        <v>https://abs.twimg.com/sticky/default_profile_images/default_profile_normal.png</v>
      </c>
      <c r="W442" s="76">
        <v>44958.594305555554</v>
      </c>
      <c r="X442" s="80">
        <v>44958</v>
      </c>
      <c r="Y442" s="78" t="s">
        <v>2518</v>
      </c>
      <c r="Z442" s="77" t="str">
        <f>HYPERLINK("https://twitter.com/abdulwa09722526/status/1620788005920464896")</f>
        <v>https://twitter.com/abdulwa09722526/status/1620788005920464896</v>
      </c>
      <c r="AC442" s="78" t="s">
        <v>3533</v>
      </c>
      <c r="AE442" t="b">
        <v>0</v>
      </c>
      <c r="AF442">
        <v>0</v>
      </c>
      <c r="AG442" s="78" t="s">
        <v>4672</v>
      </c>
      <c r="AH442" t="b">
        <v>1</v>
      </c>
      <c r="AI442" t="s">
        <v>4829</v>
      </c>
      <c r="AK442" s="78" t="s">
        <v>3532</v>
      </c>
      <c r="AL442" t="b">
        <v>0</v>
      </c>
      <c r="AM442">
        <v>0</v>
      </c>
      <c r="AN442" s="78" t="s">
        <v>4640</v>
      </c>
      <c r="AO442" s="78" t="s">
        <v>4850</v>
      </c>
      <c r="AP442" t="b">
        <v>0</v>
      </c>
      <c r="AQ442" s="78" t="s">
        <v>3533</v>
      </c>
      <c r="AR442" t="s">
        <v>179</v>
      </c>
      <c r="AS442">
        <v>0</v>
      </c>
      <c r="AT442">
        <v>0</v>
      </c>
    </row>
    <row r="443" spans="1:46" x14ac:dyDescent="0.45">
      <c r="A443" s="62" t="s">
        <v>306</v>
      </c>
      <c r="B443" s="62" t="s">
        <v>1205</v>
      </c>
      <c r="C443" s="63"/>
      <c r="D443" s="64"/>
      <c r="E443" s="65"/>
      <c r="F443" s="66"/>
      <c r="G443" s="63"/>
      <c r="H443" s="67"/>
      <c r="I443" s="68"/>
      <c r="J443" s="68"/>
      <c r="K443" s="32"/>
      <c r="L443" s="75"/>
      <c r="M443" s="75"/>
      <c r="N443" s="70"/>
      <c r="O443" t="s">
        <v>1568</v>
      </c>
      <c r="P443" s="76">
        <v>44958.594305555554</v>
      </c>
      <c r="Q443" t="s">
        <v>1650</v>
      </c>
      <c r="R443" s="77" t="str">
        <f>HYPERLINK("https://twitter.com/Abdulwa09722526/status/1620729542758498304")</f>
        <v>https://twitter.com/Abdulwa09722526/status/1620729542758498304</v>
      </c>
      <c r="S443" t="s">
        <v>2257</v>
      </c>
      <c r="T443" s="78" t="s">
        <v>2321</v>
      </c>
      <c r="V443" s="77" t="str">
        <f>HYPERLINK("https://abs.twimg.com/sticky/default_profile_images/default_profile_normal.png")</f>
        <v>https://abs.twimg.com/sticky/default_profile_images/default_profile_normal.png</v>
      </c>
      <c r="W443" s="76">
        <v>44958.594305555554</v>
      </c>
      <c r="X443" s="80">
        <v>44958</v>
      </c>
      <c r="Y443" s="78" t="s">
        <v>2518</v>
      </c>
      <c r="Z443" s="77" t="str">
        <f>HYPERLINK("https://twitter.com/abdulwa09722526/status/1620788005920464896")</f>
        <v>https://twitter.com/abdulwa09722526/status/1620788005920464896</v>
      </c>
      <c r="AC443" s="78" t="s">
        <v>3533</v>
      </c>
      <c r="AE443" t="b">
        <v>0</v>
      </c>
      <c r="AF443">
        <v>0</v>
      </c>
      <c r="AG443" s="78" t="s">
        <v>4672</v>
      </c>
      <c r="AH443" t="b">
        <v>1</v>
      </c>
      <c r="AI443" t="s">
        <v>4829</v>
      </c>
      <c r="AK443" s="78" t="s">
        <v>3532</v>
      </c>
      <c r="AL443" t="b">
        <v>0</v>
      </c>
      <c r="AM443">
        <v>0</v>
      </c>
      <c r="AN443" s="78" t="s">
        <v>4640</v>
      </c>
      <c r="AO443" s="78" t="s">
        <v>4850</v>
      </c>
      <c r="AP443" t="b">
        <v>0</v>
      </c>
      <c r="AQ443" s="78" t="s">
        <v>3533</v>
      </c>
      <c r="AR443" t="s">
        <v>179</v>
      </c>
      <c r="AS443">
        <v>0</v>
      </c>
      <c r="AT443">
        <v>0</v>
      </c>
    </row>
    <row r="444" spans="1:46" x14ac:dyDescent="0.45">
      <c r="A444" s="62" t="s">
        <v>306</v>
      </c>
      <c r="B444" s="62" t="s">
        <v>242</v>
      </c>
      <c r="C444" s="63"/>
      <c r="D444" s="64"/>
      <c r="E444" s="65"/>
      <c r="F444" s="66"/>
      <c r="G444" s="63"/>
      <c r="H444" s="67"/>
      <c r="I444" s="68"/>
      <c r="J444" s="68"/>
      <c r="K444" s="32"/>
      <c r="L444" s="75"/>
      <c r="M444" s="75"/>
      <c r="N444" s="70"/>
      <c r="O444" t="s">
        <v>1568</v>
      </c>
      <c r="P444" s="76">
        <v>44958.594305555554</v>
      </c>
      <c r="Q444" t="s">
        <v>1650</v>
      </c>
      <c r="R444" s="77" t="str">
        <f>HYPERLINK("https://twitter.com/Abdulwa09722526/status/1620729542758498304")</f>
        <v>https://twitter.com/Abdulwa09722526/status/1620729542758498304</v>
      </c>
      <c r="S444" t="s">
        <v>2257</v>
      </c>
      <c r="T444" s="78" t="s">
        <v>2321</v>
      </c>
      <c r="V444" s="77" t="str">
        <f>HYPERLINK("https://abs.twimg.com/sticky/default_profile_images/default_profile_normal.png")</f>
        <v>https://abs.twimg.com/sticky/default_profile_images/default_profile_normal.png</v>
      </c>
      <c r="W444" s="76">
        <v>44958.594305555554</v>
      </c>
      <c r="X444" s="80">
        <v>44958</v>
      </c>
      <c r="Y444" s="78" t="s">
        <v>2518</v>
      </c>
      <c r="Z444" s="77" t="str">
        <f>HYPERLINK("https://twitter.com/abdulwa09722526/status/1620788005920464896")</f>
        <v>https://twitter.com/abdulwa09722526/status/1620788005920464896</v>
      </c>
      <c r="AC444" s="78" t="s">
        <v>3533</v>
      </c>
      <c r="AE444" t="b">
        <v>0</v>
      </c>
      <c r="AF444">
        <v>0</v>
      </c>
      <c r="AG444" s="78" t="s">
        <v>4672</v>
      </c>
      <c r="AH444" t="b">
        <v>1</v>
      </c>
      <c r="AI444" t="s">
        <v>4829</v>
      </c>
      <c r="AK444" s="78" t="s">
        <v>3532</v>
      </c>
      <c r="AL444" t="b">
        <v>0</v>
      </c>
      <c r="AM444">
        <v>0</v>
      </c>
      <c r="AN444" s="78" t="s">
        <v>4640</v>
      </c>
      <c r="AO444" s="78" t="s">
        <v>4850</v>
      </c>
      <c r="AP444" t="b">
        <v>0</v>
      </c>
      <c r="AQ444" s="78" t="s">
        <v>3533</v>
      </c>
      <c r="AR444" t="s">
        <v>179</v>
      </c>
      <c r="AS444">
        <v>0</v>
      </c>
      <c r="AT444">
        <v>0</v>
      </c>
    </row>
    <row r="445" spans="1:46" x14ac:dyDescent="0.45">
      <c r="A445" s="62" t="s">
        <v>306</v>
      </c>
      <c r="B445" s="62" t="s">
        <v>1110</v>
      </c>
      <c r="C445" s="63"/>
      <c r="D445" s="64"/>
      <c r="E445" s="65"/>
      <c r="F445" s="66"/>
      <c r="G445" s="63"/>
      <c r="H445" s="67"/>
      <c r="I445" s="68"/>
      <c r="J445" s="68"/>
      <c r="K445" s="32"/>
      <c r="L445" s="75"/>
      <c r="M445" s="75"/>
      <c r="N445" s="70"/>
      <c r="O445" t="s">
        <v>1568</v>
      </c>
      <c r="P445" s="76">
        <v>44958.594305555554</v>
      </c>
      <c r="Q445" t="s">
        <v>1650</v>
      </c>
      <c r="R445" s="77" t="str">
        <f>HYPERLINK("https://twitter.com/Abdulwa09722526/status/1620729542758498304")</f>
        <v>https://twitter.com/Abdulwa09722526/status/1620729542758498304</v>
      </c>
      <c r="S445" t="s">
        <v>2257</v>
      </c>
      <c r="T445" s="78" t="s">
        <v>2321</v>
      </c>
      <c r="V445" s="77" t="str">
        <f>HYPERLINK("https://abs.twimg.com/sticky/default_profile_images/default_profile_normal.png")</f>
        <v>https://abs.twimg.com/sticky/default_profile_images/default_profile_normal.png</v>
      </c>
      <c r="W445" s="76">
        <v>44958.594305555554</v>
      </c>
      <c r="X445" s="80">
        <v>44958</v>
      </c>
      <c r="Y445" s="78" t="s">
        <v>2518</v>
      </c>
      <c r="Z445" s="77" t="str">
        <f>HYPERLINK("https://twitter.com/abdulwa09722526/status/1620788005920464896")</f>
        <v>https://twitter.com/abdulwa09722526/status/1620788005920464896</v>
      </c>
      <c r="AC445" s="78" t="s">
        <v>3533</v>
      </c>
      <c r="AE445" t="b">
        <v>0</v>
      </c>
      <c r="AF445">
        <v>0</v>
      </c>
      <c r="AG445" s="78" t="s">
        <v>4672</v>
      </c>
      <c r="AH445" t="b">
        <v>1</v>
      </c>
      <c r="AI445" t="s">
        <v>4829</v>
      </c>
      <c r="AK445" s="78" t="s">
        <v>3532</v>
      </c>
      <c r="AL445" t="b">
        <v>0</v>
      </c>
      <c r="AM445">
        <v>0</v>
      </c>
      <c r="AN445" s="78" t="s">
        <v>4640</v>
      </c>
      <c r="AO445" s="78" t="s">
        <v>4850</v>
      </c>
      <c r="AP445" t="b">
        <v>0</v>
      </c>
      <c r="AQ445" s="78" t="s">
        <v>3533</v>
      </c>
      <c r="AR445" t="s">
        <v>179</v>
      </c>
      <c r="AS445">
        <v>0</v>
      </c>
      <c r="AT445">
        <v>0</v>
      </c>
    </row>
    <row r="446" spans="1:46" x14ac:dyDescent="0.45">
      <c r="A446" s="62" t="s">
        <v>306</v>
      </c>
      <c r="B446" s="62" t="s">
        <v>1109</v>
      </c>
      <c r="C446" s="63"/>
      <c r="D446" s="64"/>
      <c r="E446" s="65"/>
      <c r="F446" s="66"/>
      <c r="G446" s="63"/>
      <c r="H446" s="67"/>
      <c r="I446" s="68"/>
      <c r="J446" s="68"/>
      <c r="K446" s="32"/>
      <c r="L446" s="75"/>
      <c r="M446" s="75"/>
      <c r="N446" s="70"/>
      <c r="O446" t="s">
        <v>1567</v>
      </c>
      <c r="P446" s="76">
        <v>44958.594305555554</v>
      </c>
      <c r="Q446" t="s">
        <v>1650</v>
      </c>
      <c r="R446" s="77" t="str">
        <f>HYPERLINK("https://twitter.com/Abdulwa09722526/status/1620729542758498304")</f>
        <v>https://twitter.com/Abdulwa09722526/status/1620729542758498304</v>
      </c>
      <c r="S446" t="s">
        <v>2257</v>
      </c>
      <c r="T446" s="78" t="s">
        <v>2321</v>
      </c>
      <c r="V446" s="77" t="str">
        <f>HYPERLINK("https://abs.twimg.com/sticky/default_profile_images/default_profile_normal.png")</f>
        <v>https://abs.twimg.com/sticky/default_profile_images/default_profile_normal.png</v>
      </c>
      <c r="W446" s="76">
        <v>44958.594305555554</v>
      </c>
      <c r="X446" s="80">
        <v>44958</v>
      </c>
      <c r="Y446" s="78" t="s">
        <v>2518</v>
      </c>
      <c r="Z446" s="77" t="str">
        <f>HYPERLINK("https://twitter.com/abdulwa09722526/status/1620788005920464896")</f>
        <v>https://twitter.com/abdulwa09722526/status/1620788005920464896</v>
      </c>
      <c r="AC446" s="78" t="s">
        <v>3533</v>
      </c>
      <c r="AE446" t="b">
        <v>0</v>
      </c>
      <c r="AF446">
        <v>0</v>
      </c>
      <c r="AG446" s="78" t="s">
        <v>4672</v>
      </c>
      <c r="AH446" t="b">
        <v>1</v>
      </c>
      <c r="AI446" t="s">
        <v>4829</v>
      </c>
      <c r="AK446" s="78" t="s">
        <v>3532</v>
      </c>
      <c r="AL446" t="b">
        <v>0</v>
      </c>
      <c r="AM446">
        <v>0</v>
      </c>
      <c r="AN446" s="78" t="s">
        <v>4640</v>
      </c>
      <c r="AO446" s="78" t="s">
        <v>4850</v>
      </c>
      <c r="AP446" t="b">
        <v>0</v>
      </c>
      <c r="AQ446" s="78" t="s">
        <v>3533</v>
      </c>
      <c r="AR446" t="s">
        <v>179</v>
      </c>
      <c r="AS446">
        <v>0</v>
      </c>
      <c r="AT446">
        <v>0</v>
      </c>
    </row>
    <row r="447" spans="1:46" x14ac:dyDescent="0.45">
      <c r="A447" s="62" t="s">
        <v>306</v>
      </c>
      <c r="B447" s="62" t="s">
        <v>1201</v>
      </c>
      <c r="C447" s="63"/>
      <c r="D447" s="64"/>
      <c r="E447" s="65"/>
      <c r="F447" s="66"/>
      <c r="G447" s="63"/>
      <c r="H447" s="67"/>
      <c r="I447" s="68"/>
      <c r="J447" s="68"/>
      <c r="K447" s="32"/>
      <c r="L447" s="75"/>
      <c r="M447" s="75"/>
      <c r="N447" s="70"/>
      <c r="O447" t="s">
        <v>1568</v>
      </c>
      <c r="P447" s="76">
        <v>44958.600706018522</v>
      </c>
      <c r="Q447" t="s">
        <v>1651</v>
      </c>
      <c r="R447" s="77" t="str">
        <f>HYPERLINK("https://twitter.com/flipkartsupport/status/1620788366890471426")</f>
        <v>https://twitter.com/flipkartsupport/status/1620788366890471426</v>
      </c>
      <c r="S447" t="s">
        <v>2257</v>
      </c>
      <c r="T447" s="78" t="s">
        <v>2322</v>
      </c>
      <c r="V447" s="77" t="str">
        <f>HYPERLINK("https://abs.twimg.com/sticky/default_profile_images/default_profile_normal.png")</f>
        <v>https://abs.twimg.com/sticky/default_profile_images/default_profile_normal.png</v>
      </c>
      <c r="W447" s="76">
        <v>44958.600706018522</v>
      </c>
      <c r="X447" s="80">
        <v>44958</v>
      </c>
      <c r="Y447" s="78" t="s">
        <v>2519</v>
      </c>
      <c r="Z447" s="77" t="str">
        <f>HYPERLINK("https://twitter.com/abdulwa09722526/status/1620790326876332035")</f>
        <v>https://twitter.com/abdulwa09722526/status/1620790326876332035</v>
      </c>
      <c r="AC447" s="78" t="s">
        <v>3534</v>
      </c>
      <c r="AE447" t="b">
        <v>0</v>
      </c>
      <c r="AF447">
        <v>0</v>
      </c>
      <c r="AG447" s="78" t="s">
        <v>4672</v>
      </c>
      <c r="AH447" t="b">
        <v>1</v>
      </c>
      <c r="AI447" t="s">
        <v>4829</v>
      </c>
      <c r="AK447" s="78" t="s">
        <v>4834</v>
      </c>
      <c r="AL447" t="b">
        <v>0</v>
      </c>
      <c r="AM447">
        <v>0</v>
      </c>
      <c r="AN447" s="78" t="s">
        <v>4640</v>
      </c>
      <c r="AO447" s="78" t="s">
        <v>4850</v>
      </c>
      <c r="AP447" t="b">
        <v>0</v>
      </c>
      <c r="AQ447" s="78" t="s">
        <v>3534</v>
      </c>
      <c r="AR447" t="s">
        <v>179</v>
      </c>
      <c r="AS447">
        <v>0</v>
      </c>
      <c r="AT447">
        <v>0</v>
      </c>
    </row>
    <row r="448" spans="1:46" x14ac:dyDescent="0.45">
      <c r="A448" s="62" t="s">
        <v>306</v>
      </c>
      <c r="B448" s="62" t="s">
        <v>1202</v>
      </c>
      <c r="C448" s="63"/>
      <c r="D448" s="64"/>
      <c r="E448" s="65"/>
      <c r="F448" s="66"/>
      <c r="G448" s="63"/>
      <c r="H448" s="67"/>
      <c r="I448" s="68"/>
      <c r="J448" s="68"/>
      <c r="K448" s="32"/>
      <c r="L448" s="75"/>
      <c r="M448" s="75"/>
      <c r="N448" s="70"/>
      <c r="O448" t="s">
        <v>1568</v>
      </c>
      <c r="P448" s="76">
        <v>44958.600706018522</v>
      </c>
      <c r="Q448" t="s">
        <v>1651</v>
      </c>
      <c r="R448" s="77" t="str">
        <f>HYPERLINK("https://twitter.com/flipkartsupport/status/1620788366890471426")</f>
        <v>https://twitter.com/flipkartsupport/status/1620788366890471426</v>
      </c>
      <c r="S448" t="s">
        <v>2257</v>
      </c>
      <c r="T448" s="78" t="s">
        <v>2322</v>
      </c>
      <c r="V448" s="77" t="str">
        <f>HYPERLINK("https://abs.twimg.com/sticky/default_profile_images/default_profile_normal.png")</f>
        <v>https://abs.twimg.com/sticky/default_profile_images/default_profile_normal.png</v>
      </c>
      <c r="W448" s="76">
        <v>44958.600706018522</v>
      </c>
      <c r="X448" s="80">
        <v>44958</v>
      </c>
      <c r="Y448" s="78" t="s">
        <v>2519</v>
      </c>
      <c r="Z448" s="77" t="str">
        <f>HYPERLINK("https://twitter.com/abdulwa09722526/status/1620790326876332035")</f>
        <v>https://twitter.com/abdulwa09722526/status/1620790326876332035</v>
      </c>
      <c r="AC448" s="78" t="s">
        <v>3534</v>
      </c>
      <c r="AE448" t="b">
        <v>0</v>
      </c>
      <c r="AF448">
        <v>0</v>
      </c>
      <c r="AG448" s="78" t="s">
        <v>4672</v>
      </c>
      <c r="AH448" t="b">
        <v>1</v>
      </c>
      <c r="AI448" t="s">
        <v>4829</v>
      </c>
      <c r="AK448" s="78" t="s">
        <v>4834</v>
      </c>
      <c r="AL448" t="b">
        <v>0</v>
      </c>
      <c r="AM448">
        <v>0</v>
      </c>
      <c r="AN448" s="78" t="s">
        <v>4640</v>
      </c>
      <c r="AO448" s="78" t="s">
        <v>4850</v>
      </c>
      <c r="AP448" t="b">
        <v>0</v>
      </c>
      <c r="AQ448" s="78" t="s">
        <v>3534</v>
      </c>
      <c r="AR448" t="s">
        <v>179</v>
      </c>
      <c r="AS448">
        <v>0</v>
      </c>
      <c r="AT448">
        <v>0</v>
      </c>
    </row>
    <row r="449" spans="1:46" x14ac:dyDescent="0.45">
      <c r="A449" s="62" t="s">
        <v>306</v>
      </c>
      <c r="B449" s="62" t="s">
        <v>1203</v>
      </c>
      <c r="C449" s="63"/>
      <c r="D449" s="64"/>
      <c r="E449" s="65"/>
      <c r="F449" s="66"/>
      <c r="G449" s="63"/>
      <c r="H449" s="67"/>
      <c r="I449" s="68"/>
      <c r="J449" s="68"/>
      <c r="K449" s="32"/>
      <c r="L449" s="75"/>
      <c r="M449" s="75"/>
      <c r="N449" s="70"/>
      <c r="O449" t="s">
        <v>1568</v>
      </c>
      <c r="P449" s="76">
        <v>44958.600706018522</v>
      </c>
      <c r="Q449" t="s">
        <v>1651</v>
      </c>
      <c r="R449" s="77" t="str">
        <f>HYPERLINK("https://twitter.com/flipkartsupport/status/1620788366890471426")</f>
        <v>https://twitter.com/flipkartsupport/status/1620788366890471426</v>
      </c>
      <c r="S449" t="s">
        <v>2257</v>
      </c>
      <c r="T449" s="78" t="s">
        <v>2322</v>
      </c>
      <c r="V449" s="77" t="str">
        <f>HYPERLINK("https://abs.twimg.com/sticky/default_profile_images/default_profile_normal.png")</f>
        <v>https://abs.twimg.com/sticky/default_profile_images/default_profile_normal.png</v>
      </c>
      <c r="W449" s="76">
        <v>44958.600706018522</v>
      </c>
      <c r="X449" s="80">
        <v>44958</v>
      </c>
      <c r="Y449" s="78" t="s">
        <v>2519</v>
      </c>
      <c r="Z449" s="77" t="str">
        <f>HYPERLINK("https://twitter.com/abdulwa09722526/status/1620790326876332035")</f>
        <v>https://twitter.com/abdulwa09722526/status/1620790326876332035</v>
      </c>
      <c r="AC449" s="78" t="s">
        <v>3534</v>
      </c>
      <c r="AE449" t="b">
        <v>0</v>
      </c>
      <c r="AF449">
        <v>0</v>
      </c>
      <c r="AG449" s="78" t="s">
        <v>4672</v>
      </c>
      <c r="AH449" t="b">
        <v>1</v>
      </c>
      <c r="AI449" t="s">
        <v>4829</v>
      </c>
      <c r="AK449" s="78" t="s">
        <v>4834</v>
      </c>
      <c r="AL449" t="b">
        <v>0</v>
      </c>
      <c r="AM449">
        <v>0</v>
      </c>
      <c r="AN449" s="78" t="s">
        <v>4640</v>
      </c>
      <c r="AO449" s="78" t="s">
        <v>4850</v>
      </c>
      <c r="AP449" t="b">
        <v>0</v>
      </c>
      <c r="AQ449" s="78" t="s">
        <v>3534</v>
      </c>
      <c r="AR449" t="s">
        <v>179</v>
      </c>
      <c r="AS449">
        <v>0</v>
      </c>
      <c r="AT449">
        <v>0</v>
      </c>
    </row>
    <row r="450" spans="1:46" x14ac:dyDescent="0.45">
      <c r="A450" s="62" t="s">
        <v>306</v>
      </c>
      <c r="B450" s="62" t="s">
        <v>1204</v>
      </c>
      <c r="C450" s="63"/>
      <c r="D450" s="64"/>
      <c r="E450" s="65"/>
      <c r="F450" s="66"/>
      <c r="G450" s="63"/>
      <c r="H450" s="67"/>
      <c r="I450" s="68"/>
      <c r="J450" s="68"/>
      <c r="K450" s="32"/>
      <c r="L450" s="75"/>
      <c r="M450" s="75"/>
      <c r="N450" s="70"/>
      <c r="O450" t="s">
        <v>1568</v>
      </c>
      <c r="P450" s="76">
        <v>44958.600706018522</v>
      </c>
      <c r="Q450" t="s">
        <v>1651</v>
      </c>
      <c r="R450" s="77" t="str">
        <f>HYPERLINK("https://twitter.com/flipkartsupport/status/1620788366890471426")</f>
        <v>https://twitter.com/flipkartsupport/status/1620788366890471426</v>
      </c>
      <c r="S450" t="s">
        <v>2257</v>
      </c>
      <c r="T450" s="78" t="s">
        <v>2322</v>
      </c>
      <c r="V450" s="77" t="str">
        <f>HYPERLINK("https://abs.twimg.com/sticky/default_profile_images/default_profile_normal.png")</f>
        <v>https://abs.twimg.com/sticky/default_profile_images/default_profile_normal.png</v>
      </c>
      <c r="W450" s="76">
        <v>44958.600706018522</v>
      </c>
      <c r="X450" s="80">
        <v>44958</v>
      </c>
      <c r="Y450" s="78" t="s">
        <v>2519</v>
      </c>
      <c r="Z450" s="77" t="str">
        <f>HYPERLINK("https://twitter.com/abdulwa09722526/status/1620790326876332035")</f>
        <v>https://twitter.com/abdulwa09722526/status/1620790326876332035</v>
      </c>
      <c r="AC450" s="78" t="s">
        <v>3534</v>
      </c>
      <c r="AE450" t="b">
        <v>0</v>
      </c>
      <c r="AF450">
        <v>0</v>
      </c>
      <c r="AG450" s="78" t="s">
        <v>4672</v>
      </c>
      <c r="AH450" t="b">
        <v>1</v>
      </c>
      <c r="AI450" t="s">
        <v>4829</v>
      </c>
      <c r="AK450" s="78" t="s">
        <v>4834</v>
      </c>
      <c r="AL450" t="b">
        <v>0</v>
      </c>
      <c r="AM450">
        <v>0</v>
      </c>
      <c r="AN450" s="78" t="s">
        <v>4640</v>
      </c>
      <c r="AO450" s="78" t="s">
        <v>4850</v>
      </c>
      <c r="AP450" t="b">
        <v>0</v>
      </c>
      <c r="AQ450" s="78" t="s">
        <v>3534</v>
      </c>
      <c r="AR450" t="s">
        <v>179</v>
      </c>
      <c r="AS450">
        <v>0</v>
      </c>
      <c r="AT450">
        <v>0</v>
      </c>
    </row>
    <row r="451" spans="1:46" x14ac:dyDescent="0.45">
      <c r="A451" s="62" t="s">
        <v>306</v>
      </c>
      <c r="B451" s="62" t="s">
        <v>1205</v>
      </c>
      <c r="C451" s="63"/>
      <c r="D451" s="64"/>
      <c r="E451" s="65"/>
      <c r="F451" s="66"/>
      <c r="G451" s="63"/>
      <c r="H451" s="67"/>
      <c r="I451" s="68"/>
      <c r="J451" s="68"/>
      <c r="K451" s="32"/>
      <c r="L451" s="75"/>
      <c r="M451" s="75"/>
      <c r="N451" s="70"/>
      <c r="O451" t="s">
        <v>1568</v>
      </c>
      <c r="P451" s="76">
        <v>44958.600706018522</v>
      </c>
      <c r="Q451" t="s">
        <v>1651</v>
      </c>
      <c r="R451" s="77" t="str">
        <f>HYPERLINK("https://twitter.com/flipkartsupport/status/1620788366890471426")</f>
        <v>https://twitter.com/flipkartsupport/status/1620788366890471426</v>
      </c>
      <c r="S451" t="s">
        <v>2257</v>
      </c>
      <c r="T451" s="78" t="s">
        <v>2322</v>
      </c>
      <c r="V451" s="77" t="str">
        <f>HYPERLINK("https://abs.twimg.com/sticky/default_profile_images/default_profile_normal.png")</f>
        <v>https://abs.twimg.com/sticky/default_profile_images/default_profile_normal.png</v>
      </c>
      <c r="W451" s="76">
        <v>44958.600706018522</v>
      </c>
      <c r="X451" s="80">
        <v>44958</v>
      </c>
      <c r="Y451" s="78" t="s">
        <v>2519</v>
      </c>
      <c r="Z451" s="77" t="str">
        <f>HYPERLINK("https://twitter.com/abdulwa09722526/status/1620790326876332035")</f>
        <v>https://twitter.com/abdulwa09722526/status/1620790326876332035</v>
      </c>
      <c r="AC451" s="78" t="s">
        <v>3534</v>
      </c>
      <c r="AE451" t="b">
        <v>0</v>
      </c>
      <c r="AF451">
        <v>0</v>
      </c>
      <c r="AG451" s="78" t="s">
        <v>4672</v>
      </c>
      <c r="AH451" t="b">
        <v>1</v>
      </c>
      <c r="AI451" t="s">
        <v>4829</v>
      </c>
      <c r="AK451" s="78" t="s">
        <v>4834</v>
      </c>
      <c r="AL451" t="b">
        <v>0</v>
      </c>
      <c r="AM451">
        <v>0</v>
      </c>
      <c r="AN451" s="78" t="s">
        <v>4640</v>
      </c>
      <c r="AO451" s="78" t="s">
        <v>4850</v>
      </c>
      <c r="AP451" t="b">
        <v>0</v>
      </c>
      <c r="AQ451" s="78" t="s">
        <v>3534</v>
      </c>
      <c r="AR451" t="s">
        <v>179</v>
      </c>
      <c r="AS451">
        <v>0</v>
      </c>
      <c r="AT451">
        <v>0</v>
      </c>
    </row>
    <row r="452" spans="1:46" x14ac:dyDescent="0.45">
      <c r="A452" s="62" t="s">
        <v>306</v>
      </c>
      <c r="B452" s="62" t="s">
        <v>242</v>
      </c>
      <c r="C452" s="63"/>
      <c r="D452" s="64"/>
      <c r="E452" s="65"/>
      <c r="F452" s="66"/>
      <c r="G452" s="63"/>
      <c r="H452" s="67"/>
      <c r="I452" s="68"/>
      <c r="J452" s="68"/>
      <c r="K452" s="32"/>
      <c r="L452" s="75"/>
      <c r="M452" s="75"/>
      <c r="N452" s="70"/>
      <c r="O452" t="s">
        <v>1568</v>
      </c>
      <c r="P452" s="76">
        <v>44958.600706018522</v>
      </c>
      <c r="Q452" t="s">
        <v>1651</v>
      </c>
      <c r="R452" s="77" t="str">
        <f>HYPERLINK("https://twitter.com/flipkartsupport/status/1620788366890471426")</f>
        <v>https://twitter.com/flipkartsupport/status/1620788366890471426</v>
      </c>
      <c r="S452" t="s">
        <v>2257</v>
      </c>
      <c r="T452" s="78" t="s">
        <v>2322</v>
      </c>
      <c r="V452" s="77" t="str">
        <f>HYPERLINK("https://abs.twimg.com/sticky/default_profile_images/default_profile_normal.png")</f>
        <v>https://abs.twimg.com/sticky/default_profile_images/default_profile_normal.png</v>
      </c>
      <c r="W452" s="76">
        <v>44958.600706018522</v>
      </c>
      <c r="X452" s="80">
        <v>44958</v>
      </c>
      <c r="Y452" s="78" t="s">
        <v>2519</v>
      </c>
      <c r="Z452" s="77" t="str">
        <f>HYPERLINK("https://twitter.com/abdulwa09722526/status/1620790326876332035")</f>
        <v>https://twitter.com/abdulwa09722526/status/1620790326876332035</v>
      </c>
      <c r="AC452" s="78" t="s">
        <v>3534</v>
      </c>
      <c r="AE452" t="b">
        <v>0</v>
      </c>
      <c r="AF452">
        <v>0</v>
      </c>
      <c r="AG452" s="78" t="s">
        <v>4672</v>
      </c>
      <c r="AH452" t="b">
        <v>1</v>
      </c>
      <c r="AI452" t="s">
        <v>4829</v>
      </c>
      <c r="AK452" s="78" t="s">
        <v>4834</v>
      </c>
      <c r="AL452" t="b">
        <v>0</v>
      </c>
      <c r="AM452">
        <v>0</v>
      </c>
      <c r="AN452" s="78" t="s">
        <v>4640</v>
      </c>
      <c r="AO452" s="78" t="s">
        <v>4850</v>
      </c>
      <c r="AP452" t="b">
        <v>0</v>
      </c>
      <c r="AQ452" s="78" t="s">
        <v>3534</v>
      </c>
      <c r="AR452" t="s">
        <v>179</v>
      </c>
      <c r="AS452">
        <v>0</v>
      </c>
      <c r="AT452">
        <v>0</v>
      </c>
    </row>
    <row r="453" spans="1:46" x14ac:dyDescent="0.45">
      <c r="A453" s="62" t="s">
        <v>306</v>
      </c>
      <c r="B453" s="62" t="s">
        <v>1110</v>
      </c>
      <c r="C453" s="63"/>
      <c r="D453" s="64"/>
      <c r="E453" s="65"/>
      <c r="F453" s="66"/>
      <c r="G453" s="63"/>
      <c r="H453" s="67"/>
      <c r="I453" s="68"/>
      <c r="J453" s="68"/>
      <c r="K453" s="32"/>
      <c r="L453" s="75"/>
      <c r="M453" s="75"/>
      <c r="N453" s="70"/>
      <c r="O453" t="s">
        <v>1568</v>
      </c>
      <c r="P453" s="76">
        <v>44958.600706018522</v>
      </c>
      <c r="Q453" t="s">
        <v>1651</v>
      </c>
      <c r="R453" s="77" t="str">
        <f>HYPERLINK("https://twitter.com/flipkartsupport/status/1620788366890471426")</f>
        <v>https://twitter.com/flipkartsupport/status/1620788366890471426</v>
      </c>
      <c r="S453" t="s">
        <v>2257</v>
      </c>
      <c r="T453" s="78" t="s">
        <v>2322</v>
      </c>
      <c r="V453" s="77" t="str">
        <f>HYPERLINK("https://abs.twimg.com/sticky/default_profile_images/default_profile_normal.png")</f>
        <v>https://abs.twimg.com/sticky/default_profile_images/default_profile_normal.png</v>
      </c>
      <c r="W453" s="76">
        <v>44958.600706018522</v>
      </c>
      <c r="X453" s="80">
        <v>44958</v>
      </c>
      <c r="Y453" s="78" t="s">
        <v>2519</v>
      </c>
      <c r="Z453" s="77" t="str">
        <f>HYPERLINK("https://twitter.com/abdulwa09722526/status/1620790326876332035")</f>
        <v>https://twitter.com/abdulwa09722526/status/1620790326876332035</v>
      </c>
      <c r="AC453" s="78" t="s">
        <v>3534</v>
      </c>
      <c r="AE453" t="b">
        <v>0</v>
      </c>
      <c r="AF453">
        <v>0</v>
      </c>
      <c r="AG453" s="78" t="s">
        <v>4672</v>
      </c>
      <c r="AH453" t="b">
        <v>1</v>
      </c>
      <c r="AI453" t="s">
        <v>4829</v>
      </c>
      <c r="AK453" s="78" t="s">
        <v>4834</v>
      </c>
      <c r="AL453" t="b">
        <v>0</v>
      </c>
      <c r="AM453">
        <v>0</v>
      </c>
      <c r="AN453" s="78" t="s">
        <v>4640</v>
      </c>
      <c r="AO453" s="78" t="s">
        <v>4850</v>
      </c>
      <c r="AP453" t="b">
        <v>0</v>
      </c>
      <c r="AQ453" s="78" t="s">
        <v>3534</v>
      </c>
      <c r="AR453" t="s">
        <v>179</v>
      </c>
      <c r="AS453">
        <v>0</v>
      </c>
      <c r="AT453">
        <v>0</v>
      </c>
    </row>
    <row r="454" spans="1:46" x14ac:dyDescent="0.45">
      <c r="A454" s="62" t="s">
        <v>306</v>
      </c>
      <c r="B454" s="62" t="s">
        <v>1109</v>
      </c>
      <c r="C454" s="63"/>
      <c r="D454" s="64"/>
      <c r="E454" s="65"/>
      <c r="F454" s="66"/>
      <c r="G454" s="63"/>
      <c r="H454" s="67"/>
      <c r="I454" s="68"/>
      <c r="J454" s="68"/>
      <c r="K454" s="32"/>
      <c r="L454" s="75"/>
      <c r="M454" s="75"/>
      <c r="N454" s="70"/>
      <c r="O454" t="s">
        <v>1567</v>
      </c>
      <c r="P454" s="76">
        <v>44958.600706018522</v>
      </c>
      <c r="Q454" t="s">
        <v>1651</v>
      </c>
      <c r="R454" s="77" t="str">
        <f>HYPERLINK("https://twitter.com/flipkartsupport/status/1620788366890471426")</f>
        <v>https://twitter.com/flipkartsupport/status/1620788366890471426</v>
      </c>
      <c r="S454" t="s">
        <v>2257</v>
      </c>
      <c r="T454" s="78" t="s">
        <v>2322</v>
      </c>
      <c r="V454" s="77" t="str">
        <f>HYPERLINK("https://abs.twimg.com/sticky/default_profile_images/default_profile_normal.png")</f>
        <v>https://abs.twimg.com/sticky/default_profile_images/default_profile_normal.png</v>
      </c>
      <c r="W454" s="76">
        <v>44958.600706018522</v>
      </c>
      <c r="X454" s="80">
        <v>44958</v>
      </c>
      <c r="Y454" s="78" t="s">
        <v>2519</v>
      </c>
      <c r="Z454" s="77" t="str">
        <f>HYPERLINK("https://twitter.com/abdulwa09722526/status/1620790326876332035")</f>
        <v>https://twitter.com/abdulwa09722526/status/1620790326876332035</v>
      </c>
      <c r="AC454" s="78" t="s">
        <v>3534</v>
      </c>
      <c r="AE454" t="b">
        <v>0</v>
      </c>
      <c r="AF454">
        <v>0</v>
      </c>
      <c r="AG454" s="78" t="s">
        <v>4672</v>
      </c>
      <c r="AH454" t="b">
        <v>1</v>
      </c>
      <c r="AI454" t="s">
        <v>4829</v>
      </c>
      <c r="AK454" s="78" t="s">
        <v>4834</v>
      </c>
      <c r="AL454" t="b">
        <v>0</v>
      </c>
      <c r="AM454">
        <v>0</v>
      </c>
      <c r="AN454" s="78" t="s">
        <v>4640</v>
      </c>
      <c r="AO454" s="78" t="s">
        <v>4850</v>
      </c>
      <c r="AP454" t="b">
        <v>0</v>
      </c>
      <c r="AQ454" s="78" t="s">
        <v>3534</v>
      </c>
      <c r="AR454" t="s">
        <v>179</v>
      </c>
      <c r="AS454">
        <v>0</v>
      </c>
      <c r="AT454">
        <v>0</v>
      </c>
    </row>
    <row r="455" spans="1:46" x14ac:dyDescent="0.45">
      <c r="A455" s="62" t="s">
        <v>1049</v>
      </c>
      <c r="B455" s="62" t="s">
        <v>1529</v>
      </c>
      <c r="C455" s="63"/>
      <c r="D455" s="64"/>
      <c r="E455" s="65"/>
      <c r="F455" s="66"/>
      <c r="G455" s="63"/>
      <c r="H455" s="67"/>
      <c r="I455" s="68"/>
      <c r="J455" s="68"/>
      <c r="K455" s="32"/>
      <c r="L455" s="75"/>
      <c r="M455" s="75"/>
      <c r="N455" s="70"/>
      <c r="O455" t="s">
        <v>1568</v>
      </c>
      <c r="P455" s="76">
        <v>44887.58011574074</v>
      </c>
      <c r="Q455" t="s">
        <v>2201</v>
      </c>
      <c r="R455" s="77" t="str">
        <f>HYPERLINK("https://twitter.com/DivaDash722/status/1595028729260134400?s=20&amp;t=TUpFIf74Jq1RwBHApB02Rg")</f>
        <v>https://twitter.com/DivaDash722/status/1595028729260134400?s=20&amp;t=TUpFIf74Jq1RwBHApB02Rg</v>
      </c>
      <c r="S455" t="s">
        <v>2257</v>
      </c>
      <c r="T455" s="78" t="s">
        <v>2415</v>
      </c>
      <c r="V455" s="77" t="str">
        <f>HYPERLINK("https://pbs.twimg.com/profile_images/1599994133577437184/gRDr6ZVj_normal.jpg")</f>
        <v>https://pbs.twimg.com/profile_images/1599994133577437184/gRDr6ZVj_normal.jpg</v>
      </c>
      <c r="W455" s="76">
        <v>44887.58011574074</v>
      </c>
      <c r="X455" s="80">
        <v>44887</v>
      </c>
      <c r="Y455" s="78" t="s">
        <v>3358</v>
      </c>
      <c r="Z455" s="77" t="str">
        <f>HYPERLINK("https://twitter.com/lrbitisnot/status/1595053328550985736")</f>
        <v>https://twitter.com/lrbitisnot/status/1595053328550985736</v>
      </c>
      <c r="AC455" s="78" t="s">
        <v>4423</v>
      </c>
      <c r="AD455" s="78" t="s">
        <v>4623</v>
      </c>
      <c r="AE455" t="b">
        <v>0</v>
      </c>
      <c r="AF455">
        <v>19</v>
      </c>
      <c r="AG455" s="78" t="s">
        <v>4809</v>
      </c>
      <c r="AH455" t="b">
        <v>1</v>
      </c>
      <c r="AI455" t="s">
        <v>4829</v>
      </c>
      <c r="AK455" s="78" t="s">
        <v>4848</v>
      </c>
      <c r="AL455" t="b">
        <v>0</v>
      </c>
      <c r="AM455">
        <v>16</v>
      </c>
      <c r="AN455" s="78" t="s">
        <v>4640</v>
      </c>
      <c r="AO455" s="78" t="s">
        <v>4851</v>
      </c>
      <c r="AP455" t="b">
        <v>0</v>
      </c>
      <c r="AQ455" s="78" t="s">
        <v>4623</v>
      </c>
      <c r="AR455" t="s">
        <v>1569</v>
      </c>
      <c r="AS455">
        <v>0</v>
      </c>
      <c r="AT455">
        <v>0</v>
      </c>
    </row>
    <row r="456" spans="1:46" x14ac:dyDescent="0.45">
      <c r="A456" s="62" t="s">
        <v>1049</v>
      </c>
      <c r="B456" s="62" t="s">
        <v>242</v>
      </c>
      <c r="C456" s="63"/>
      <c r="D456" s="64"/>
      <c r="E456" s="65"/>
      <c r="F456" s="66"/>
      <c r="G456" s="63"/>
      <c r="H456" s="67"/>
      <c r="I456" s="68"/>
      <c r="J456" s="68"/>
      <c r="K456" s="32"/>
      <c r="L456" s="75"/>
      <c r="M456" s="75"/>
      <c r="N456" s="70"/>
      <c r="O456" t="s">
        <v>1568</v>
      </c>
      <c r="P456" s="76">
        <v>44887.58011574074</v>
      </c>
      <c r="Q456" t="s">
        <v>2201</v>
      </c>
      <c r="R456" s="77" t="str">
        <f>HYPERLINK("https://twitter.com/DivaDash722/status/1595028729260134400?s=20&amp;t=TUpFIf74Jq1RwBHApB02Rg")</f>
        <v>https://twitter.com/DivaDash722/status/1595028729260134400?s=20&amp;t=TUpFIf74Jq1RwBHApB02Rg</v>
      </c>
      <c r="S456" t="s">
        <v>2257</v>
      </c>
      <c r="T456" s="78" t="s">
        <v>2415</v>
      </c>
      <c r="V456" s="77" t="str">
        <f>HYPERLINK("https://pbs.twimg.com/profile_images/1599994133577437184/gRDr6ZVj_normal.jpg")</f>
        <v>https://pbs.twimg.com/profile_images/1599994133577437184/gRDr6ZVj_normal.jpg</v>
      </c>
      <c r="W456" s="76">
        <v>44887.58011574074</v>
      </c>
      <c r="X456" s="80">
        <v>44887</v>
      </c>
      <c r="Y456" s="78" t="s">
        <v>3358</v>
      </c>
      <c r="Z456" s="77" t="str">
        <f>HYPERLINK("https://twitter.com/lrbitisnot/status/1595053328550985736")</f>
        <v>https://twitter.com/lrbitisnot/status/1595053328550985736</v>
      </c>
      <c r="AC456" s="78" t="s">
        <v>4423</v>
      </c>
      <c r="AD456" s="78" t="s">
        <v>4623</v>
      </c>
      <c r="AE456" t="b">
        <v>0</v>
      </c>
      <c r="AF456">
        <v>19</v>
      </c>
      <c r="AG456" s="78" t="s">
        <v>4809</v>
      </c>
      <c r="AH456" t="b">
        <v>1</v>
      </c>
      <c r="AI456" t="s">
        <v>4829</v>
      </c>
      <c r="AK456" s="78" t="s">
        <v>4848</v>
      </c>
      <c r="AL456" t="b">
        <v>0</v>
      </c>
      <c r="AM456">
        <v>16</v>
      </c>
      <c r="AN456" s="78" t="s">
        <v>4640</v>
      </c>
      <c r="AO456" s="78" t="s">
        <v>4851</v>
      </c>
      <c r="AP456" t="b">
        <v>0</v>
      </c>
      <c r="AQ456" s="78" t="s">
        <v>4623</v>
      </c>
      <c r="AR456" t="s">
        <v>1569</v>
      </c>
      <c r="AS456">
        <v>0</v>
      </c>
      <c r="AT456">
        <v>0</v>
      </c>
    </row>
    <row r="457" spans="1:46" x14ac:dyDescent="0.45">
      <c r="A457" s="62" t="s">
        <v>1049</v>
      </c>
      <c r="B457" s="62" t="s">
        <v>1529</v>
      </c>
      <c r="C457" s="63"/>
      <c r="D457" s="64"/>
      <c r="E457" s="65"/>
      <c r="F457" s="66"/>
      <c r="G457" s="63"/>
      <c r="H457" s="67"/>
      <c r="I457" s="68"/>
      <c r="J457" s="68"/>
      <c r="K457" s="32"/>
      <c r="L457" s="75"/>
      <c r="M457" s="75"/>
      <c r="N457" s="70"/>
      <c r="O457" t="s">
        <v>1570</v>
      </c>
      <c r="P457" s="76">
        <v>44959.475208333337</v>
      </c>
      <c r="Q457" t="s">
        <v>2201</v>
      </c>
      <c r="R457" s="77" t="str">
        <f>HYPERLINK("https://twitter.com/DivaDash722/status/1595028729260134400?s=20&amp;t=TUpFIf74Jq1RwBHApB02Rg")</f>
        <v>https://twitter.com/DivaDash722/status/1595028729260134400?s=20&amp;t=TUpFIf74Jq1RwBHApB02Rg</v>
      </c>
      <c r="S457" t="s">
        <v>2257</v>
      </c>
      <c r="T457" s="78" t="s">
        <v>2415</v>
      </c>
      <c r="V457" s="77" t="str">
        <f>HYPERLINK("https://pbs.twimg.com/profile_images/1599994133577437184/gRDr6ZVj_normal.jpg")</f>
        <v>https://pbs.twimg.com/profile_images/1599994133577437184/gRDr6ZVj_normal.jpg</v>
      </c>
      <c r="W457" s="76">
        <v>44959.475208333337</v>
      </c>
      <c r="X457" s="80">
        <v>44959</v>
      </c>
      <c r="Y457" s="78" t="s">
        <v>3359</v>
      </c>
      <c r="Z457" s="77" t="str">
        <f>HYPERLINK("https://twitter.com/lrbitisnot/status/1621107236356624385")</f>
        <v>https://twitter.com/lrbitisnot/status/1621107236356624385</v>
      </c>
      <c r="AC457" s="78" t="s">
        <v>4424</v>
      </c>
      <c r="AE457" t="b">
        <v>0</v>
      </c>
      <c r="AF457">
        <v>0</v>
      </c>
      <c r="AG457" s="78" t="s">
        <v>4640</v>
      </c>
      <c r="AH457" t="b">
        <v>1</v>
      </c>
      <c r="AI457" t="s">
        <v>4829</v>
      </c>
      <c r="AK457" s="78" t="s">
        <v>4848</v>
      </c>
      <c r="AL457" t="b">
        <v>0</v>
      </c>
      <c r="AM457">
        <v>16</v>
      </c>
      <c r="AN457" s="78" t="s">
        <v>4423</v>
      </c>
      <c r="AO457" s="78" t="s">
        <v>4851</v>
      </c>
      <c r="AP457" t="b">
        <v>0</v>
      </c>
      <c r="AQ457" s="78" t="s">
        <v>4423</v>
      </c>
      <c r="AR457" t="s">
        <v>179</v>
      </c>
      <c r="AS457">
        <v>0</v>
      </c>
      <c r="AT457">
        <v>0</v>
      </c>
    </row>
    <row r="458" spans="1:46" x14ac:dyDescent="0.45">
      <c r="A458" s="62" t="s">
        <v>1049</v>
      </c>
      <c r="B458" s="62" t="s">
        <v>242</v>
      </c>
      <c r="C458" s="63"/>
      <c r="D458" s="64"/>
      <c r="E458" s="65"/>
      <c r="F458" s="66"/>
      <c r="G458" s="63"/>
      <c r="H458" s="67"/>
      <c r="I458" s="68"/>
      <c r="J458" s="68"/>
      <c r="K458" s="32"/>
      <c r="L458" s="75"/>
      <c r="M458" s="75"/>
      <c r="N458" s="70"/>
      <c r="O458" t="s">
        <v>1570</v>
      </c>
      <c r="P458" s="76">
        <v>44959.475208333337</v>
      </c>
      <c r="Q458" t="s">
        <v>2201</v>
      </c>
      <c r="R458" s="77" t="str">
        <f>HYPERLINK("https://twitter.com/DivaDash722/status/1595028729260134400?s=20&amp;t=TUpFIf74Jq1RwBHApB02Rg")</f>
        <v>https://twitter.com/DivaDash722/status/1595028729260134400?s=20&amp;t=TUpFIf74Jq1RwBHApB02Rg</v>
      </c>
      <c r="S458" t="s">
        <v>2257</v>
      </c>
      <c r="T458" s="78" t="s">
        <v>2415</v>
      </c>
      <c r="V458" s="77" t="str">
        <f>HYPERLINK("https://pbs.twimg.com/profile_images/1599994133577437184/gRDr6ZVj_normal.jpg")</f>
        <v>https://pbs.twimg.com/profile_images/1599994133577437184/gRDr6ZVj_normal.jpg</v>
      </c>
      <c r="W458" s="76">
        <v>44959.475208333337</v>
      </c>
      <c r="X458" s="80">
        <v>44959</v>
      </c>
      <c r="Y458" s="78" t="s">
        <v>3359</v>
      </c>
      <c r="Z458" s="77" t="str">
        <f>HYPERLINK("https://twitter.com/lrbitisnot/status/1621107236356624385")</f>
        <v>https://twitter.com/lrbitisnot/status/1621107236356624385</v>
      </c>
      <c r="AC458" s="78" t="s">
        <v>4424</v>
      </c>
      <c r="AE458" t="b">
        <v>0</v>
      </c>
      <c r="AF458">
        <v>0</v>
      </c>
      <c r="AG458" s="78" t="s">
        <v>4640</v>
      </c>
      <c r="AH458" t="b">
        <v>1</v>
      </c>
      <c r="AI458" t="s">
        <v>4829</v>
      </c>
      <c r="AK458" s="78" t="s">
        <v>4848</v>
      </c>
      <c r="AL458" t="b">
        <v>0</v>
      </c>
      <c r="AM458">
        <v>16</v>
      </c>
      <c r="AN458" s="78" t="s">
        <v>4423</v>
      </c>
      <c r="AO458" s="78" t="s">
        <v>4851</v>
      </c>
      <c r="AP458" t="b">
        <v>0</v>
      </c>
      <c r="AQ458" s="78" t="s">
        <v>4423</v>
      </c>
      <c r="AR458" t="s">
        <v>179</v>
      </c>
      <c r="AS458">
        <v>0</v>
      </c>
      <c r="AT458">
        <v>0</v>
      </c>
    </row>
    <row r="459" spans="1:46" x14ac:dyDescent="0.45">
      <c r="A459" s="62" t="s">
        <v>1049</v>
      </c>
      <c r="B459" s="62" t="s">
        <v>1049</v>
      </c>
      <c r="C459" s="63"/>
      <c r="D459" s="64"/>
      <c r="E459" s="65"/>
      <c r="F459" s="66"/>
      <c r="G459" s="63"/>
      <c r="H459" s="67"/>
      <c r="I459" s="68"/>
      <c r="J459" s="68"/>
      <c r="K459" s="32"/>
      <c r="L459" s="75"/>
      <c r="M459" s="75"/>
      <c r="N459" s="70"/>
      <c r="O459" t="s">
        <v>1569</v>
      </c>
      <c r="P459" s="76">
        <v>44959.475208333337</v>
      </c>
      <c r="Q459" t="s">
        <v>2201</v>
      </c>
      <c r="R459" s="77" t="str">
        <f>HYPERLINK("https://twitter.com/DivaDash722/status/1595028729260134400?s=20&amp;t=TUpFIf74Jq1RwBHApB02Rg")</f>
        <v>https://twitter.com/DivaDash722/status/1595028729260134400?s=20&amp;t=TUpFIf74Jq1RwBHApB02Rg</v>
      </c>
      <c r="S459" t="s">
        <v>2257</v>
      </c>
      <c r="T459" s="78" t="s">
        <v>2415</v>
      </c>
      <c r="V459" s="77" t="str">
        <f>HYPERLINK("https://pbs.twimg.com/profile_images/1599994133577437184/gRDr6ZVj_normal.jpg")</f>
        <v>https://pbs.twimg.com/profile_images/1599994133577437184/gRDr6ZVj_normal.jpg</v>
      </c>
      <c r="W459" s="76">
        <v>44959.475208333337</v>
      </c>
      <c r="X459" s="80">
        <v>44959</v>
      </c>
      <c r="Y459" s="78" t="s">
        <v>3359</v>
      </c>
      <c r="Z459" s="77" t="str">
        <f>HYPERLINK("https://twitter.com/lrbitisnot/status/1621107236356624385")</f>
        <v>https://twitter.com/lrbitisnot/status/1621107236356624385</v>
      </c>
      <c r="AC459" s="78" t="s">
        <v>4424</v>
      </c>
      <c r="AE459" t="b">
        <v>0</v>
      </c>
      <c r="AF459">
        <v>0</v>
      </c>
      <c r="AG459" s="78" t="s">
        <v>4640</v>
      </c>
      <c r="AH459" t="b">
        <v>1</v>
      </c>
      <c r="AI459" t="s">
        <v>4829</v>
      </c>
      <c r="AK459" s="78" t="s">
        <v>4848</v>
      </c>
      <c r="AL459" t="b">
        <v>0</v>
      </c>
      <c r="AM459">
        <v>16</v>
      </c>
      <c r="AN459" s="78" t="s">
        <v>4423</v>
      </c>
      <c r="AO459" s="78" t="s">
        <v>4851</v>
      </c>
      <c r="AP459" t="b">
        <v>0</v>
      </c>
      <c r="AQ459" s="78" t="s">
        <v>4423</v>
      </c>
      <c r="AR459" t="s">
        <v>179</v>
      </c>
      <c r="AS459">
        <v>0</v>
      </c>
      <c r="AT459">
        <v>0</v>
      </c>
    </row>
    <row r="460" spans="1:46" x14ac:dyDescent="0.45">
      <c r="A460" s="62" t="s">
        <v>952</v>
      </c>
      <c r="B460" s="62" t="s">
        <v>1462</v>
      </c>
      <c r="C460" s="63"/>
      <c r="D460" s="64"/>
      <c r="E460" s="65"/>
      <c r="F460" s="66"/>
      <c r="G460" s="63"/>
      <c r="H460" s="67"/>
      <c r="I460" s="68"/>
      <c r="J460" s="68"/>
      <c r="K460" s="32"/>
      <c r="L460" s="75"/>
      <c r="M460" s="75"/>
      <c r="N460" s="70"/>
      <c r="O460" t="s">
        <v>1568</v>
      </c>
      <c r="P460" s="76">
        <v>44958.930393518516</v>
      </c>
      <c r="Q460" t="s">
        <v>2111</v>
      </c>
      <c r="R460" s="77" t="str">
        <f>HYPERLINK("https://twitter.com/Sourabhcjain/status/1620908603107590144")</f>
        <v>https://twitter.com/Sourabhcjain/status/1620908603107590144</v>
      </c>
      <c r="S460" t="s">
        <v>2257</v>
      </c>
      <c r="T460" s="78" t="s">
        <v>2401</v>
      </c>
      <c r="U460" s="77" t="str">
        <f>HYPERLINK("https://pbs.twimg.com/media/Fn6g3LBacAAKX27.jpg")</f>
        <v>https://pbs.twimg.com/media/Fn6g3LBacAAKX27.jpg</v>
      </c>
      <c r="V460" s="77" t="str">
        <f>HYPERLINK("https://pbs.twimg.com/media/Fn6g3LBacAAKX27.jpg")</f>
        <v>https://pbs.twimg.com/media/Fn6g3LBacAAKX27.jpg</v>
      </c>
      <c r="W460" s="76">
        <v>44958.930393518516</v>
      </c>
      <c r="X460" s="80">
        <v>44958</v>
      </c>
      <c r="Y460" s="78" t="s">
        <v>3227</v>
      </c>
      <c r="Z460" s="77" t="str">
        <f>HYPERLINK("https://twitter.com/sourabhcjain/status/1620909800002568198")</f>
        <v>https://twitter.com/sourabhcjain/status/1620909800002568198</v>
      </c>
      <c r="AC460" s="78" t="s">
        <v>4292</v>
      </c>
      <c r="AE460" t="b">
        <v>0</v>
      </c>
      <c r="AF460">
        <v>0</v>
      </c>
      <c r="AG460" s="78" t="s">
        <v>4776</v>
      </c>
      <c r="AH460" t="b">
        <v>1</v>
      </c>
      <c r="AI460" t="s">
        <v>4829</v>
      </c>
      <c r="AK460" s="78" t="s">
        <v>4291</v>
      </c>
      <c r="AL460" t="b">
        <v>0</v>
      </c>
      <c r="AM460">
        <v>0</v>
      </c>
      <c r="AN460" s="78" t="s">
        <v>4640</v>
      </c>
      <c r="AO460" s="78" t="s">
        <v>4850</v>
      </c>
      <c r="AP460" t="b">
        <v>0</v>
      </c>
      <c r="AQ460" s="78" t="s">
        <v>4292</v>
      </c>
      <c r="AR460" t="s">
        <v>179</v>
      </c>
      <c r="AS460">
        <v>0</v>
      </c>
      <c r="AT460">
        <v>0</v>
      </c>
    </row>
    <row r="461" spans="1:46" x14ac:dyDescent="0.45">
      <c r="A461" s="62" t="s">
        <v>952</v>
      </c>
      <c r="B461" s="62" t="s">
        <v>1438</v>
      </c>
      <c r="C461" s="63"/>
      <c r="D461" s="64"/>
      <c r="E461" s="65"/>
      <c r="F461" s="66"/>
      <c r="G461" s="63"/>
      <c r="H461" s="67"/>
      <c r="I461" s="68"/>
      <c r="J461" s="68"/>
      <c r="K461" s="32"/>
      <c r="L461" s="75"/>
      <c r="M461" s="75"/>
      <c r="N461" s="70"/>
      <c r="O461" t="s">
        <v>1567</v>
      </c>
      <c r="P461" s="76">
        <v>44958.930393518516</v>
      </c>
      <c r="Q461" t="s">
        <v>2111</v>
      </c>
      <c r="R461" s="77" t="str">
        <f>HYPERLINK("https://twitter.com/Sourabhcjain/status/1620908603107590144")</f>
        <v>https://twitter.com/Sourabhcjain/status/1620908603107590144</v>
      </c>
      <c r="S461" t="s">
        <v>2257</v>
      </c>
      <c r="T461" s="78" t="s">
        <v>2401</v>
      </c>
      <c r="U461" s="77" t="str">
        <f>HYPERLINK("https://pbs.twimg.com/media/Fn6g3LBacAAKX27.jpg")</f>
        <v>https://pbs.twimg.com/media/Fn6g3LBacAAKX27.jpg</v>
      </c>
      <c r="V461" s="77" t="str">
        <f>HYPERLINK("https://pbs.twimg.com/media/Fn6g3LBacAAKX27.jpg")</f>
        <v>https://pbs.twimg.com/media/Fn6g3LBacAAKX27.jpg</v>
      </c>
      <c r="W461" s="76">
        <v>44958.930393518516</v>
      </c>
      <c r="X461" s="80">
        <v>44958</v>
      </c>
      <c r="Y461" s="78" t="s">
        <v>3227</v>
      </c>
      <c r="Z461" s="77" t="str">
        <f>HYPERLINK("https://twitter.com/sourabhcjain/status/1620909800002568198")</f>
        <v>https://twitter.com/sourabhcjain/status/1620909800002568198</v>
      </c>
      <c r="AC461" s="78" t="s">
        <v>4292</v>
      </c>
      <c r="AE461" t="b">
        <v>0</v>
      </c>
      <c r="AF461">
        <v>0</v>
      </c>
      <c r="AG461" s="78" t="s">
        <v>4776</v>
      </c>
      <c r="AH461" t="b">
        <v>1</v>
      </c>
      <c r="AI461" t="s">
        <v>4829</v>
      </c>
      <c r="AK461" s="78" t="s">
        <v>4291</v>
      </c>
      <c r="AL461" t="b">
        <v>0</v>
      </c>
      <c r="AM461">
        <v>0</v>
      </c>
      <c r="AN461" s="78" t="s">
        <v>4640</v>
      </c>
      <c r="AO461" s="78" t="s">
        <v>4850</v>
      </c>
      <c r="AP461" t="b">
        <v>0</v>
      </c>
      <c r="AQ461" s="78" t="s">
        <v>4292</v>
      </c>
      <c r="AR461" t="s">
        <v>179</v>
      </c>
      <c r="AS461">
        <v>0</v>
      </c>
      <c r="AT461">
        <v>0</v>
      </c>
    </row>
    <row r="462" spans="1:46" x14ac:dyDescent="0.45">
      <c r="A462" s="62" t="s">
        <v>952</v>
      </c>
      <c r="B462" s="62" t="s">
        <v>1202</v>
      </c>
      <c r="C462" s="63"/>
      <c r="D462" s="64"/>
      <c r="E462" s="65"/>
      <c r="F462" s="66"/>
      <c r="G462" s="63"/>
      <c r="H462" s="67"/>
      <c r="I462" s="68"/>
      <c r="J462" s="68"/>
      <c r="K462" s="32"/>
      <c r="L462" s="75"/>
      <c r="M462" s="75"/>
      <c r="N462" s="70"/>
      <c r="O462" t="s">
        <v>1568</v>
      </c>
      <c r="P462" s="76">
        <v>44958.930393518516</v>
      </c>
      <c r="Q462" t="s">
        <v>2111</v>
      </c>
      <c r="R462" s="77" t="str">
        <f>HYPERLINK("https://twitter.com/Sourabhcjain/status/1620908603107590144")</f>
        <v>https://twitter.com/Sourabhcjain/status/1620908603107590144</v>
      </c>
      <c r="S462" t="s">
        <v>2257</v>
      </c>
      <c r="T462" s="78" t="s">
        <v>2401</v>
      </c>
      <c r="U462" s="77" t="str">
        <f>HYPERLINK("https://pbs.twimg.com/media/Fn6g3LBacAAKX27.jpg")</f>
        <v>https://pbs.twimg.com/media/Fn6g3LBacAAKX27.jpg</v>
      </c>
      <c r="V462" s="77" t="str">
        <f>HYPERLINK("https://pbs.twimg.com/media/Fn6g3LBacAAKX27.jpg")</f>
        <v>https://pbs.twimg.com/media/Fn6g3LBacAAKX27.jpg</v>
      </c>
      <c r="W462" s="76">
        <v>44958.930393518516</v>
      </c>
      <c r="X462" s="80">
        <v>44958</v>
      </c>
      <c r="Y462" s="78" t="s">
        <v>3227</v>
      </c>
      <c r="Z462" s="77" t="str">
        <f>HYPERLINK("https://twitter.com/sourabhcjain/status/1620909800002568198")</f>
        <v>https://twitter.com/sourabhcjain/status/1620909800002568198</v>
      </c>
      <c r="AC462" s="78" t="s">
        <v>4292</v>
      </c>
      <c r="AE462" t="b">
        <v>0</v>
      </c>
      <c r="AF462">
        <v>0</v>
      </c>
      <c r="AG462" s="78" t="s">
        <v>4776</v>
      </c>
      <c r="AH462" t="b">
        <v>1</v>
      </c>
      <c r="AI462" t="s">
        <v>4829</v>
      </c>
      <c r="AK462" s="78" t="s">
        <v>4291</v>
      </c>
      <c r="AL462" t="b">
        <v>0</v>
      </c>
      <c r="AM462">
        <v>0</v>
      </c>
      <c r="AN462" s="78" t="s">
        <v>4640</v>
      </c>
      <c r="AO462" s="78" t="s">
        <v>4850</v>
      </c>
      <c r="AP462" t="b">
        <v>0</v>
      </c>
      <c r="AQ462" s="78" t="s">
        <v>4292</v>
      </c>
      <c r="AR462" t="s">
        <v>179</v>
      </c>
      <c r="AS462">
        <v>0</v>
      </c>
      <c r="AT462">
        <v>0</v>
      </c>
    </row>
    <row r="463" spans="1:46" x14ac:dyDescent="0.45">
      <c r="A463" s="62" t="s">
        <v>952</v>
      </c>
      <c r="B463" s="62" t="s">
        <v>1110</v>
      </c>
      <c r="C463" s="63"/>
      <c r="D463" s="64"/>
      <c r="E463" s="65"/>
      <c r="F463" s="66"/>
      <c r="G463" s="63"/>
      <c r="H463" s="67"/>
      <c r="I463" s="68"/>
      <c r="J463" s="68"/>
      <c r="K463" s="32"/>
      <c r="L463" s="75"/>
      <c r="M463" s="75"/>
      <c r="N463" s="70"/>
      <c r="O463" t="s">
        <v>1568</v>
      </c>
      <c r="P463" s="76">
        <v>44958.930393518516</v>
      </c>
      <c r="Q463" t="s">
        <v>2111</v>
      </c>
      <c r="R463" s="77" t="str">
        <f>HYPERLINK("https://twitter.com/Sourabhcjain/status/1620908603107590144")</f>
        <v>https://twitter.com/Sourabhcjain/status/1620908603107590144</v>
      </c>
      <c r="S463" t="s">
        <v>2257</v>
      </c>
      <c r="T463" s="78" t="s">
        <v>2401</v>
      </c>
      <c r="U463" s="77" t="str">
        <f>HYPERLINK("https://pbs.twimg.com/media/Fn6g3LBacAAKX27.jpg")</f>
        <v>https://pbs.twimg.com/media/Fn6g3LBacAAKX27.jpg</v>
      </c>
      <c r="V463" s="77" t="str">
        <f>HYPERLINK("https://pbs.twimg.com/media/Fn6g3LBacAAKX27.jpg")</f>
        <v>https://pbs.twimg.com/media/Fn6g3LBacAAKX27.jpg</v>
      </c>
      <c r="W463" s="76">
        <v>44958.930393518516</v>
      </c>
      <c r="X463" s="80">
        <v>44958</v>
      </c>
      <c r="Y463" s="78" t="s">
        <v>3227</v>
      </c>
      <c r="Z463" s="77" t="str">
        <f>HYPERLINK("https://twitter.com/sourabhcjain/status/1620909800002568198")</f>
        <v>https://twitter.com/sourabhcjain/status/1620909800002568198</v>
      </c>
      <c r="AC463" s="78" t="s">
        <v>4292</v>
      </c>
      <c r="AE463" t="b">
        <v>0</v>
      </c>
      <c r="AF463">
        <v>0</v>
      </c>
      <c r="AG463" s="78" t="s">
        <v>4776</v>
      </c>
      <c r="AH463" t="b">
        <v>1</v>
      </c>
      <c r="AI463" t="s">
        <v>4829</v>
      </c>
      <c r="AK463" s="78" t="s">
        <v>4291</v>
      </c>
      <c r="AL463" t="b">
        <v>0</v>
      </c>
      <c r="AM463">
        <v>0</v>
      </c>
      <c r="AN463" s="78" t="s">
        <v>4640</v>
      </c>
      <c r="AO463" s="78" t="s">
        <v>4850</v>
      </c>
      <c r="AP463" t="b">
        <v>0</v>
      </c>
      <c r="AQ463" s="78" t="s">
        <v>4292</v>
      </c>
      <c r="AR463" t="s">
        <v>179</v>
      </c>
      <c r="AS463">
        <v>0</v>
      </c>
      <c r="AT463">
        <v>0</v>
      </c>
    </row>
    <row r="464" spans="1:46" x14ac:dyDescent="0.45">
      <c r="A464" s="62" t="s">
        <v>952</v>
      </c>
      <c r="B464" s="62" t="s">
        <v>1109</v>
      </c>
      <c r="C464" s="63"/>
      <c r="D464" s="64"/>
      <c r="E464" s="65"/>
      <c r="F464" s="66"/>
      <c r="G464" s="63"/>
      <c r="H464" s="67"/>
      <c r="I464" s="68"/>
      <c r="J464" s="68"/>
      <c r="K464" s="32"/>
      <c r="L464" s="75"/>
      <c r="M464" s="75"/>
      <c r="N464" s="70"/>
      <c r="O464" t="s">
        <v>1568</v>
      </c>
      <c r="P464" s="76">
        <v>44958.930393518516</v>
      </c>
      <c r="Q464" t="s">
        <v>2111</v>
      </c>
      <c r="R464" s="77" t="str">
        <f>HYPERLINK("https://twitter.com/Sourabhcjain/status/1620908603107590144")</f>
        <v>https://twitter.com/Sourabhcjain/status/1620908603107590144</v>
      </c>
      <c r="S464" t="s">
        <v>2257</v>
      </c>
      <c r="T464" s="78" t="s">
        <v>2401</v>
      </c>
      <c r="U464" s="77" t="str">
        <f>HYPERLINK("https://pbs.twimg.com/media/Fn6g3LBacAAKX27.jpg")</f>
        <v>https://pbs.twimg.com/media/Fn6g3LBacAAKX27.jpg</v>
      </c>
      <c r="V464" s="77" t="str">
        <f>HYPERLINK("https://pbs.twimg.com/media/Fn6g3LBacAAKX27.jpg")</f>
        <v>https://pbs.twimg.com/media/Fn6g3LBacAAKX27.jpg</v>
      </c>
      <c r="W464" s="76">
        <v>44958.930393518516</v>
      </c>
      <c r="X464" s="80">
        <v>44958</v>
      </c>
      <c r="Y464" s="78" t="s">
        <v>3227</v>
      </c>
      <c r="Z464" s="77" t="str">
        <f>HYPERLINK("https://twitter.com/sourabhcjain/status/1620909800002568198")</f>
        <v>https://twitter.com/sourabhcjain/status/1620909800002568198</v>
      </c>
      <c r="AC464" s="78" t="s">
        <v>4292</v>
      </c>
      <c r="AE464" t="b">
        <v>0</v>
      </c>
      <c r="AF464">
        <v>0</v>
      </c>
      <c r="AG464" s="78" t="s">
        <v>4776</v>
      </c>
      <c r="AH464" t="b">
        <v>1</v>
      </c>
      <c r="AI464" t="s">
        <v>4829</v>
      </c>
      <c r="AK464" s="78" t="s">
        <v>4291</v>
      </c>
      <c r="AL464" t="b">
        <v>0</v>
      </c>
      <c r="AM464">
        <v>0</v>
      </c>
      <c r="AN464" s="78" t="s">
        <v>4640</v>
      </c>
      <c r="AO464" s="78" t="s">
        <v>4850</v>
      </c>
      <c r="AP464" t="b">
        <v>0</v>
      </c>
      <c r="AQ464" s="78" t="s">
        <v>4292</v>
      </c>
      <c r="AR464" t="s">
        <v>179</v>
      </c>
      <c r="AS464">
        <v>0</v>
      </c>
      <c r="AT464">
        <v>0</v>
      </c>
    </row>
    <row r="465" spans="1:46" x14ac:dyDescent="0.45">
      <c r="A465" s="62" t="s">
        <v>952</v>
      </c>
      <c r="B465" s="62" t="s">
        <v>1204</v>
      </c>
      <c r="C465" s="63"/>
      <c r="D465" s="64"/>
      <c r="E465" s="65"/>
      <c r="F465" s="66"/>
      <c r="G465" s="63"/>
      <c r="H465" s="67"/>
      <c r="I465" s="68"/>
      <c r="J465" s="68"/>
      <c r="K465" s="32"/>
      <c r="L465" s="75"/>
      <c r="M465" s="75"/>
      <c r="N465" s="70"/>
      <c r="O465" t="s">
        <v>1568</v>
      </c>
      <c r="P465" s="76">
        <v>44958.930393518516</v>
      </c>
      <c r="Q465" t="s">
        <v>2111</v>
      </c>
      <c r="R465" s="77" t="str">
        <f>HYPERLINK("https://twitter.com/Sourabhcjain/status/1620908603107590144")</f>
        <v>https://twitter.com/Sourabhcjain/status/1620908603107590144</v>
      </c>
      <c r="S465" t="s">
        <v>2257</v>
      </c>
      <c r="T465" s="78" t="s">
        <v>2401</v>
      </c>
      <c r="U465" s="77" t="str">
        <f>HYPERLINK("https://pbs.twimg.com/media/Fn6g3LBacAAKX27.jpg")</f>
        <v>https://pbs.twimg.com/media/Fn6g3LBacAAKX27.jpg</v>
      </c>
      <c r="V465" s="77" t="str">
        <f>HYPERLINK("https://pbs.twimg.com/media/Fn6g3LBacAAKX27.jpg")</f>
        <v>https://pbs.twimg.com/media/Fn6g3LBacAAKX27.jpg</v>
      </c>
      <c r="W465" s="76">
        <v>44958.930393518516</v>
      </c>
      <c r="X465" s="80">
        <v>44958</v>
      </c>
      <c r="Y465" s="78" t="s">
        <v>3227</v>
      </c>
      <c r="Z465" s="77" t="str">
        <f>HYPERLINK("https://twitter.com/sourabhcjain/status/1620909800002568198")</f>
        <v>https://twitter.com/sourabhcjain/status/1620909800002568198</v>
      </c>
      <c r="AC465" s="78" t="s">
        <v>4292</v>
      </c>
      <c r="AE465" t="b">
        <v>0</v>
      </c>
      <c r="AF465">
        <v>0</v>
      </c>
      <c r="AG465" s="78" t="s">
        <v>4776</v>
      </c>
      <c r="AH465" t="b">
        <v>1</v>
      </c>
      <c r="AI465" t="s">
        <v>4829</v>
      </c>
      <c r="AK465" s="78" t="s">
        <v>4291</v>
      </c>
      <c r="AL465" t="b">
        <v>0</v>
      </c>
      <c r="AM465">
        <v>0</v>
      </c>
      <c r="AN465" s="78" t="s">
        <v>4640</v>
      </c>
      <c r="AO465" s="78" t="s">
        <v>4850</v>
      </c>
      <c r="AP465" t="b">
        <v>0</v>
      </c>
      <c r="AQ465" s="78" t="s">
        <v>4292</v>
      </c>
      <c r="AR465" t="s">
        <v>179</v>
      </c>
      <c r="AS465">
        <v>0</v>
      </c>
      <c r="AT465">
        <v>0</v>
      </c>
    </row>
    <row r="466" spans="1:46" x14ac:dyDescent="0.45">
      <c r="A466" s="62" t="s">
        <v>952</v>
      </c>
      <c r="B466" s="62" t="s">
        <v>242</v>
      </c>
      <c r="C466" s="63"/>
      <c r="D466" s="64"/>
      <c r="E466" s="65"/>
      <c r="F466" s="66"/>
      <c r="G466" s="63"/>
      <c r="H466" s="67"/>
      <c r="I466" s="68"/>
      <c r="J466" s="68"/>
      <c r="K466" s="32"/>
      <c r="L466" s="75"/>
      <c r="M466" s="75"/>
      <c r="N466" s="70"/>
      <c r="O466" t="s">
        <v>1568</v>
      </c>
      <c r="P466" s="76">
        <v>44958.930393518516</v>
      </c>
      <c r="Q466" t="s">
        <v>2111</v>
      </c>
      <c r="R466" s="77" t="str">
        <f>HYPERLINK("https://twitter.com/Sourabhcjain/status/1620908603107590144")</f>
        <v>https://twitter.com/Sourabhcjain/status/1620908603107590144</v>
      </c>
      <c r="S466" t="s">
        <v>2257</v>
      </c>
      <c r="T466" s="78" t="s">
        <v>2401</v>
      </c>
      <c r="U466" s="77" t="str">
        <f>HYPERLINK("https://pbs.twimg.com/media/Fn6g3LBacAAKX27.jpg")</f>
        <v>https://pbs.twimg.com/media/Fn6g3LBacAAKX27.jpg</v>
      </c>
      <c r="V466" s="77" t="str">
        <f>HYPERLINK("https://pbs.twimg.com/media/Fn6g3LBacAAKX27.jpg")</f>
        <v>https://pbs.twimg.com/media/Fn6g3LBacAAKX27.jpg</v>
      </c>
      <c r="W466" s="76">
        <v>44958.930393518516</v>
      </c>
      <c r="X466" s="80">
        <v>44958</v>
      </c>
      <c r="Y466" s="78" t="s">
        <v>3227</v>
      </c>
      <c r="Z466" s="77" t="str">
        <f>HYPERLINK("https://twitter.com/sourabhcjain/status/1620909800002568198")</f>
        <v>https://twitter.com/sourabhcjain/status/1620909800002568198</v>
      </c>
      <c r="AC466" s="78" t="s">
        <v>4292</v>
      </c>
      <c r="AE466" t="b">
        <v>0</v>
      </c>
      <c r="AF466">
        <v>0</v>
      </c>
      <c r="AG466" s="78" t="s">
        <v>4776</v>
      </c>
      <c r="AH466" t="b">
        <v>1</v>
      </c>
      <c r="AI466" t="s">
        <v>4829</v>
      </c>
      <c r="AK466" s="78" t="s">
        <v>4291</v>
      </c>
      <c r="AL466" t="b">
        <v>0</v>
      </c>
      <c r="AM466">
        <v>0</v>
      </c>
      <c r="AN466" s="78" t="s">
        <v>4640</v>
      </c>
      <c r="AO466" s="78" t="s">
        <v>4850</v>
      </c>
      <c r="AP466" t="b">
        <v>0</v>
      </c>
      <c r="AQ466" s="78" t="s">
        <v>4292</v>
      </c>
      <c r="AR466" t="s">
        <v>179</v>
      </c>
      <c r="AS466">
        <v>0</v>
      </c>
      <c r="AT466">
        <v>0</v>
      </c>
    </row>
    <row r="467" spans="1:46" x14ac:dyDescent="0.45">
      <c r="A467" s="62" t="s">
        <v>309</v>
      </c>
      <c r="B467" s="62" t="s">
        <v>242</v>
      </c>
      <c r="C467" s="63"/>
      <c r="D467" s="64"/>
      <c r="E467" s="65"/>
      <c r="F467" s="66"/>
      <c r="G467" s="63"/>
      <c r="H467" s="67"/>
      <c r="I467" s="68"/>
      <c r="J467" s="68"/>
      <c r="K467" s="32"/>
      <c r="L467" s="75"/>
      <c r="M467" s="75"/>
      <c r="N467" s="70"/>
      <c r="O467" t="s">
        <v>1568</v>
      </c>
      <c r="P467" s="76">
        <v>44643.679618055554</v>
      </c>
      <c r="Q467" t="s">
        <v>1654</v>
      </c>
      <c r="R467" s="77" t="str">
        <f>HYPERLINK("https://twitter.com/Pathways_CP/status/1506664571624427522")</f>
        <v>https://twitter.com/Pathways_CP/status/1506664571624427522</v>
      </c>
      <c r="S467" t="s">
        <v>2257</v>
      </c>
      <c r="T467" s="78" t="s">
        <v>2323</v>
      </c>
      <c r="V467" s="77" t="str">
        <f>HYPERLINK("https://pbs.twimg.com/profile_images/1482154111818682368/pjWBAPDf_normal.jpg")</f>
        <v>https://pbs.twimg.com/profile_images/1482154111818682368/pjWBAPDf_normal.jpg</v>
      </c>
      <c r="W467" s="76">
        <v>44643.679618055554</v>
      </c>
      <c r="X467" s="80">
        <v>44643</v>
      </c>
      <c r="Y467" s="78" t="s">
        <v>2522</v>
      </c>
      <c r="Z467" s="77" t="str">
        <f>HYPERLINK("https://twitter.com/brianjcano/status/1506666745553166343")</f>
        <v>https://twitter.com/brianjcano/status/1506666745553166343</v>
      </c>
      <c r="AC467" s="78" t="s">
        <v>3537</v>
      </c>
      <c r="AE467" t="b">
        <v>0</v>
      </c>
      <c r="AF467">
        <v>28</v>
      </c>
      <c r="AG467" s="78" t="s">
        <v>4640</v>
      </c>
      <c r="AH467" t="b">
        <v>1</v>
      </c>
      <c r="AI467" t="s">
        <v>4829</v>
      </c>
      <c r="AK467" s="78" t="s">
        <v>4835</v>
      </c>
      <c r="AL467" t="b">
        <v>0</v>
      </c>
      <c r="AM467">
        <v>4</v>
      </c>
      <c r="AN467" s="78" t="s">
        <v>4640</v>
      </c>
      <c r="AO467" s="78" t="s">
        <v>4851</v>
      </c>
      <c r="AP467" t="b">
        <v>0</v>
      </c>
      <c r="AQ467" s="78" t="s">
        <v>3537</v>
      </c>
      <c r="AR467" t="s">
        <v>1569</v>
      </c>
      <c r="AS467">
        <v>0</v>
      </c>
      <c r="AT467">
        <v>0</v>
      </c>
    </row>
    <row r="468" spans="1:46" x14ac:dyDescent="0.45">
      <c r="A468" s="62" t="s">
        <v>310</v>
      </c>
      <c r="B468" s="62" t="s">
        <v>309</v>
      </c>
      <c r="C468" s="63"/>
      <c r="D468" s="64"/>
      <c r="E468" s="65"/>
      <c r="F468" s="66"/>
      <c r="G468" s="63"/>
      <c r="H468" s="67"/>
      <c r="I468" s="68"/>
      <c r="J468" s="68"/>
      <c r="K468" s="32"/>
      <c r="L468" s="75"/>
      <c r="M468" s="75"/>
      <c r="N468" s="70"/>
      <c r="O468" t="s">
        <v>1569</v>
      </c>
      <c r="P468" s="76">
        <v>44958.606724537036</v>
      </c>
      <c r="Q468" t="s">
        <v>1654</v>
      </c>
      <c r="R468" s="77" t="str">
        <f>HYPERLINK("https://twitter.com/Pathways_CP/status/1506664571624427522")</f>
        <v>https://twitter.com/Pathways_CP/status/1506664571624427522</v>
      </c>
      <c r="S468" t="s">
        <v>2257</v>
      </c>
      <c r="T468" s="78" t="s">
        <v>2323</v>
      </c>
      <c r="V468" s="77" t="str">
        <f>HYPERLINK("https://pbs.twimg.com/profile_images/1619422081069752320/8LIEX61-_normal.jpg")</f>
        <v>https://pbs.twimg.com/profile_images/1619422081069752320/8LIEX61-_normal.jpg</v>
      </c>
      <c r="W468" s="76">
        <v>44958.606724537036</v>
      </c>
      <c r="X468" s="80">
        <v>44958</v>
      </c>
      <c r="Y468" s="78" t="s">
        <v>2523</v>
      </c>
      <c r="Z468" s="77" t="str">
        <f>HYPERLINK("https://twitter.com/amytassel1/status/1620792507209781250")</f>
        <v>https://twitter.com/amytassel1/status/1620792507209781250</v>
      </c>
      <c r="AC468" s="78" t="s">
        <v>3538</v>
      </c>
      <c r="AE468" t="b">
        <v>0</v>
      </c>
      <c r="AF468">
        <v>0</v>
      </c>
      <c r="AG468" s="78" t="s">
        <v>4640</v>
      </c>
      <c r="AH468" t="b">
        <v>1</v>
      </c>
      <c r="AI468" t="s">
        <v>4829</v>
      </c>
      <c r="AK468" s="78" t="s">
        <v>4835</v>
      </c>
      <c r="AL468" t="b">
        <v>0</v>
      </c>
      <c r="AM468">
        <v>4</v>
      </c>
      <c r="AN468" s="78" t="s">
        <v>3537</v>
      </c>
      <c r="AO468" s="78" t="s">
        <v>4852</v>
      </c>
      <c r="AP468" t="b">
        <v>0</v>
      </c>
      <c r="AQ468" s="78" t="s">
        <v>3537</v>
      </c>
      <c r="AR468" t="s">
        <v>179</v>
      </c>
      <c r="AS468">
        <v>0</v>
      </c>
      <c r="AT468">
        <v>0</v>
      </c>
    </row>
    <row r="469" spans="1:46" x14ac:dyDescent="0.45">
      <c r="A469" s="62" t="s">
        <v>310</v>
      </c>
      <c r="B469" s="62" t="s">
        <v>242</v>
      </c>
      <c r="C469" s="63"/>
      <c r="D469" s="64"/>
      <c r="E469" s="65"/>
      <c r="F469" s="66"/>
      <c r="G469" s="63"/>
      <c r="H469" s="67"/>
      <c r="I469" s="68"/>
      <c r="J469" s="68"/>
      <c r="K469" s="32"/>
      <c r="L469" s="75"/>
      <c r="M469" s="75"/>
      <c r="N469" s="70"/>
      <c r="O469" t="s">
        <v>1570</v>
      </c>
      <c r="P469" s="76">
        <v>44958.606724537036</v>
      </c>
      <c r="Q469" t="s">
        <v>1654</v>
      </c>
      <c r="R469" s="77" t="str">
        <f>HYPERLINK("https://twitter.com/Pathways_CP/status/1506664571624427522")</f>
        <v>https://twitter.com/Pathways_CP/status/1506664571624427522</v>
      </c>
      <c r="S469" t="s">
        <v>2257</v>
      </c>
      <c r="T469" s="78" t="s">
        <v>2323</v>
      </c>
      <c r="V469" s="77" t="str">
        <f>HYPERLINK("https://pbs.twimg.com/profile_images/1619422081069752320/8LIEX61-_normal.jpg")</f>
        <v>https://pbs.twimg.com/profile_images/1619422081069752320/8LIEX61-_normal.jpg</v>
      </c>
      <c r="W469" s="76">
        <v>44958.606724537036</v>
      </c>
      <c r="X469" s="80">
        <v>44958</v>
      </c>
      <c r="Y469" s="78" t="s">
        <v>2523</v>
      </c>
      <c r="Z469" s="77" t="str">
        <f>HYPERLINK("https://twitter.com/amytassel1/status/1620792507209781250")</f>
        <v>https://twitter.com/amytassel1/status/1620792507209781250</v>
      </c>
      <c r="AC469" s="78" t="s">
        <v>3538</v>
      </c>
      <c r="AE469" t="b">
        <v>0</v>
      </c>
      <c r="AF469">
        <v>0</v>
      </c>
      <c r="AG469" s="78" t="s">
        <v>4640</v>
      </c>
      <c r="AH469" t="b">
        <v>1</v>
      </c>
      <c r="AI469" t="s">
        <v>4829</v>
      </c>
      <c r="AK469" s="78" t="s">
        <v>4835</v>
      </c>
      <c r="AL469" t="b">
        <v>0</v>
      </c>
      <c r="AM469">
        <v>4</v>
      </c>
      <c r="AN469" s="78" t="s">
        <v>3537</v>
      </c>
      <c r="AO469" s="78" t="s">
        <v>4852</v>
      </c>
      <c r="AP469" t="b">
        <v>0</v>
      </c>
      <c r="AQ469" s="78" t="s">
        <v>3537</v>
      </c>
      <c r="AR469" t="s">
        <v>179</v>
      </c>
      <c r="AS469">
        <v>0</v>
      </c>
      <c r="AT469">
        <v>0</v>
      </c>
    </row>
    <row r="470" spans="1:46" x14ac:dyDescent="0.45">
      <c r="A470" s="62" t="s">
        <v>683</v>
      </c>
      <c r="B470" s="62" t="s">
        <v>242</v>
      </c>
      <c r="C470" s="63"/>
      <c r="D470" s="64"/>
      <c r="E470" s="65"/>
      <c r="F470" s="66"/>
      <c r="G470" s="63"/>
      <c r="H470" s="67"/>
      <c r="I470" s="68"/>
      <c r="J470" s="68"/>
      <c r="K470" s="32"/>
      <c r="L470" s="75"/>
      <c r="M470" s="75"/>
      <c r="N470" s="70"/>
      <c r="O470" t="s">
        <v>1568</v>
      </c>
      <c r="P470" s="76">
        <v>44958.878611111111</v>
      </c>
      <c r="Q470" t="s">
        <v>1868</v>
      </c>
      <c r="R470" s="77" t="str">
        <f>HYPERLINK("https://twitter.com/Walmart/status/1620533889574780928")</f>
        <v>https://twitter.com/Walmart/status/1620533889574780928</v>
      </c>
      <c r="S470" t="s">
        <v>2257</v>
      </c>
      <c r="T470" s="78" t="s">
        <v>2332</v>
      </c>
      <c r="V470" s="77" t="str">
        <f>HYPERLINK("https://pbs.twimg.com/profile_images/1095685997894029312/SuyDdSdJ_normal.jpg")</f>
        <v>https://pbs.twimg.com/profile_images/1095685997894029312/SuyDdSdJ_normal.jpg</v>
      </c>
      <c r="W470" s="76">
        <v>44958.878611111111</v>
      </c>
      <c r="X470" s="80">
        <v>44958</v>
      </c>
      <c r="Y470" s="78" t="s">
        <v>2884</v>
      </c>
      <c r="Z470" s="77" t="str">
        <f>HYPERLINK("https://twitter.com/omnitalk/status/1620891036519383042")</f>
        <v>https://twitter.com/omnitalk/status/1620891036519383042</v>
      </c>
      <c r="AC470" s="78" t="s">
        <v>3949</v>
      </c>
      <c r="AE470" t="b">
        <v>0</v>
      </c>
      <c r="AF470">
        <v>2</v>
      </c>
      <c r="AG470" s="78" t="s">
        <v>4640</v>
      </c>
      <c r="AH470" t="b">
        <v>1</v>
      </c>
      <c r="AI470" t="s">
        <v>4829</v>
      </c>
      <c r="AK470" s="78" t="s">
        <v>4498</v>
      </c>
      <c r="AL470" t="b">
        <v>0</v>
      </c>
      <c r="AM470">
        <v>0</v>
      </c>
      <c r="AN470" s="78" t="s">
        <v>4640</v>
      </c>
      <c r="AO470" s="78" t="s">
        <v>4851</v>
      </c>
      <c r="AP470" t="b">
        <v>0</v>
      </c>
      <c r="AQ470" s="78" t="s">
        <v>3949</v>
      </c>
      <c r="AR470" t="s">
        <v>179</v>
      </c>
      <c r="AS470">
        <v>0</v>
      </c>
      <c r="AT470">
        <v>0</v>
      </c>
    </row>
    <row r="471" spans="1:46" x14ac:dyDescent="0.45">
      <c r="A471" s="62" t="s">
        <v>1028</v>
      </c>
      <c r="B471" s="62" t="s">
        <v>1199</v>
      </c>
      <c r="C471" s="63"/>
      <c r="D471" s="64"/>
      <c r="E471" s="65"/>
      <c r="F471" s="66"/>
      <c r="G471" s="63"/>
      <c r="H471" s="67"/>
      <c r="I471" s="68"/>
      <c r="J471" s="68"/>
      <c r="K471" s="32"/>
      <c r="L471" s="75"/>
      <c r="M471" s="75"/>
      <c r="N471" s="70"/>
      <c r="O471" t="s">
        <v>1568</v>
      </c>
      <c r="P471" s="76">
        <v>44939.751759259256</v>
      </c>
      <c r="Q471" t="s">
        <v>2183</v>
      </c>
      <c r="R471" s="77" t="str">
        <f>HYPERLINK("https://twitter.com/KellyClarksonTV/status/1613902561978863616")</f>
        <v>https://twitter.com/KellyClarksonTV/status/1613902561978863616</v>
      </c>
      <c r="S471" t="s">
        <v>2257</v>
      </c>
      <c r="V471" s="77" t="str">
        <f>HYPERLINK("https://pbs.twimg.com/profile_images/1620173271114326016/ROD2oSOb_normal.jpg")</f>
        <v>https://pbs.twimg.com/profile_images/1620173271114326016/ROD2oSOb_normal.jpg</v>
      </c>
      <c r="W471" s="76">
        <v>44939.751759259256</v>
      </c>
      <c r="X471" s="80">
        <v>44939</v>
      </c>
      <c r="Y471" s="78" t="s">
        <v>3326</v>
      </c>
      <c r="Z471" s="77" t="str">
        <f>HYPERLINK("https://twitter.com/nickjonas/status/1613959698579099648")</f>
        <v>https://twitter.com/nickjonas/status/1613959698579099648</v>
      </c>
      <c r="AC471" s="78" t="s">
        <v>4391</v>
      </c>
      <c r="AE471" t="b">
        <v>0</v>
      </c>
      <c r="AF471">
        <v>1534</v>
      </c>
      <c r="AG471" s="78" t="s">
        <v>4640</v>
      </c>
      <c r="AH471" t="b">
        <v>1</v>
      </c>
      <c r="AI471" t="s">
        <v>4829</v>
      </c>
      <c r="AK471" s="78" t="s">
        <v>4846</v>
      </c>
      <c r="AL471" t="b">
        <v>0</v>
      </c>
      <c r="AM471">
        <v>184</v>
      </c>
      <c r="AN471" s="78" t="s">
        <v>4640</v>
      </c>
      <c r="AO471" s="78" t="s">
        <v>4849</v>
      </c>
      <c r="AP471" t="b">
        <v>0</v>
      </c>
      <c r="AQ471" s="78" t="s">
        <v>4391</v>
      </c>
      <c r="AR471" t="s">
        <v>1569</v>
      </c>
      <c r="AS471">
        <v>0</v>
      </c>
      <c r="AT471">
        <v>0</v>
      </c>
    </row>
    <row r="472" spans="1:46" x14ac:dyDescent="0.45">
      <c r="A472" s="62" t="s">
        <v>1028</v>
      </c>
      <c r="B472" s="62" t="s">
        <v>1502</v>
      </c>
      <c r="C472" s="63"/>
      <c r="D472" s="64"/>
      <c r="E472" s="65"/>
      <c r="F472" s="66"/>
      <c r="G472" s="63"/>
      <c r="H472" s="67"/>
      <c r="I472" s="68"/>
      <c r="J472" s="68"/>
      <c r="K472" s="32"/>
      <c r="L472" s="75"/>
      <c r="M472" s="75"/>
      <c r="N472" s="70"/>
      <c r="O472" t="s">
        <v>1568</v>
      </c>
      <c r="P472" s="76">
        <v>44939.751759259256</v>
      </c>
      <c r="Q472" t="s">
        <v>2183</v>
      </c>
      <c r="R472" s="77" t="str">
        <f>HYPERLINK("https://twitter.com/KellyClarksonTV/status/1613902561978863616")</f>
        <v>https://twitter.com/KellyClarksonTV/status/1613902561978863616</v>
      </c>
      <c r="S472" t="s">
        <v>2257</v>
      </c>
      <c r="V472" s="77" t="str">
        <f>HYPERLINK("https://pbs.twimg.com/profile_images/1620173271114326016/ROD2oSOb_normal.jpg")</f>
        <v>https://pbs.twimg.com/profile_images/1620173271114326016/ROD2oSOb_normal.jpg</v>
      </c>
      <c r="W472" s="76">
        <v>44939.751759259256</v>
      </c>
      <c r="X472" s="80">
        <v>44939</v>
      </c>
      <c r="Y472" s="78" t="s">
        <v>3326</v>
      </c>
      <c r="Z472" s="77" t="str">
        <f>HYPERLINK("https://twitter.com/nickjonas/status/1613959698579099648")</f>
        <v>https://twitter.com/nickjonas/status/1613959698579099648</v>
      </c>
      <c r="AC472" s="78" t="s">
        <v>4391</v>
      </c>
      <c r="AE472" t="b">
        <v>0</v>
      </c>
      <c r="AF472">
        <v>1534</v>
      </c>
      <c r="AG472" s="78" t="s">
        <v>4640</v>
      </c>
      <c r="AH472" t="b">
        <v>1</v>
      </c>
      <c r="AI472" t="s">
        <v>4829</v>
      </c>
      <c r="AK472" s="78" t="s">
        <v>4846</v>
      </c>
      <c r="AL472" t="b">
        <v>0</v>
      </c>
      <c r="AM472">
        <v>184</v>
      </c>
      <c r="AN472" s="78" t="s">
        <v>4640</v>
      </c>
      <c r="AO472" s="78" t="s">
        <v>4849</v>
      </c>
      <c r="AP472" t="b">
        <v>0</v>
      </c>
      <c r="AQ472" s="78" t="s">
        <v>4391</v>
      </c>
      <c r="AR472" t="s">
        <v>1569</v>
      </c>
      <c r="AS472">
        <v>0</v>
      </c>
      <c r="AT472">
        <v>0</v>
      </c>
    </row>
    <row r="473" spans="1:46" x14ac:dyDescent="0.45">
      <c r="A473" s="62" t="s">
        <v>1028</v>
      </c>
      <c r="B473" s="62" t="s">
        <v>1503</v>
      </c>
      <c r="C473" s="63"/>
      <c r="D473" s="64"/>
      <c r="E473" s="65"/>
      <c r="F473" s="66"/>
      <c r="G473" s="63"/>
      <c r="H473" s="67"/>
      <c r="I473" s="68"/>
      <c r="J473" s="68"/>
      <c r="K473" s="32"/>
      <c r="L473" s="75"/>
      <c r="M473" s="75"/>
      <c r="N473" s="70"/>
      <c r="O473" t="s">
        <v>1568</v>
      </c>
      <c r="P473" s="76">
        <v>44939.751759259256</v>
      </c>
      <c r="Q473" t="s">
        <v>2183</v>
      </c>
      <c r="R473" s="77" t="str">
        <f>HYPERLINK("https://twitter.com/KellyClarksonTV/status/1613902561978863616")</f>
        <v>https://twitter.com/KellyClarksonTV/status/1613902561978863616</v>
      </c>
      <c r="S473" t="s">
        <v>2257</v>
      </c>
      <c r="V473" s="77" t="str">
        <f>HYPERLINK("https://pbs.twimg.com/profile_images/1620173271114326016/ROD2oSOb_normal.jpg")</f>
        <v>https://pbs.twimg.com/profile_images/1620173271114326016/ROD2oSOb_normal.jpg</v>
      </c>
      <c r="W473" s="76">
        <v>44939.751759259256</v>
      </c>
      <c r="X473" s="80">
        <v>44939</v>
      </c>
      <c r="Y473" s="78" t="s">
        <v>3326</v>
      </c>
      <c r="Z473" s="77" t="str">
        <f>HYPERLINK("https://twitter.com/nickjonas/status/1613959698579099648")</f>
        <v>https://twitter.com/nickjonas/status/1613959698579099648</v>
      </c>
      <c r="AC473" s="78" t="s">
        <v>4391</v>
      </c>
      <c r="AE473" t="b">
        <v>0</v>
      </c>
      <c r="AF473">
        <v>1534</v>
      </c>
      <c r="AG473" s="78" t="s">
        <v>4640</v>
      </c>
      <c r="AH473" t="b">
        <v>1</v>
      </c>
      <c r="AI473" t="s">
        <v>4829</v>
      </c>
      <c r="AK473" s="78" t="s">
        <v>4846</v>
      </c>
      <c r="AL473" t="b">
        <v>0</v>
      </c>
      <c r="AM473">
        <v>184</v>
      </c>
      <c r="AN473" s="78" t="s">
        <v>4640</v>
      </c>
      <c r="AO473" s="78" t="s">
        <v>4849</v>
      </c>
      <c r="AP473" t="b">
        <v>0</v>
      </c>
      <c r="AQ473" s="78" t="s">
        <v>4391</v>
      </c>
      <c r="AR473" t="s">
        <v>1569</v>
      </c>
      <c r="AS473">
        <v>0</v>
      </c>
      <c r="AT473">
        <v>0</v>
      </c>
    </row>
    <row r="474" spans="1:46" x14ac:dyDescent="0.45">
      <c r="A474" s="62" t="s">
        <v>1028</v>
      </c>
      <c r="B474" s="62" t="s">
        <v>242</v>
      </c>
      <c r="C474" s="63"/>
      <c r="D474" s="64"/>
      <c r="E474" s="65"/>
      <c r="F474" s="66"/>
      <c r="G474" s="63"/>
      <c r="H474" s="67"/>
      <c r="I474" s="68"/>
      <c r="J474" s="68"/>
      <c r="K474" s="32"/>
      <c r="L474" s="75"/>
      <c r="M474" s="75"/>
      <c r="N474" s="70"/>
      <c r="O474" t="s">
        <v>1568</v>
      </c>
      <c r="P474" s="76">
        <v>44939.751759259256</v>
      </c>
      <c r="Q474" t="s">
        <v>2183</v>
      </c>
      <c r="R474" s="77" t="str">
        <f>HYPERLINK("https://twitter.com/KellyClarksonTV/status/1613902561978863616")</f>
        <v>https://twitter.com/KellyClarksonTV/status/1613902561978863616</v>
      </c>
      <c r="S474" t="s">
        <v>2257</v>
      </c>
      <c r="V474" s="77" t="str">
        <f>HYPERLINK("https://pbs.twimg.com/profile_images/1620173271114326016/ROD2oSOb_normal.jpg")</f>
        <v>https://pbs.twimg.com/profile_images/1620173271114326016/ROD2oSOb_normal.jpg</v>
      </c>
      <c r="W474" s="76">
        <v>44939.751759259256</v>
      </c>
      <c r="X474" s="80">
        <v>44939</v>
      </c>
      <c r="Y474" s="78" t="s">
        <v>3326</v>
      </c>
      <c r="Z474" s="77" t="str">
        <f>HYPERLINK("https://twitter.com/nickjonas/status/1613959698579099648")</f>
        <v>https://twitter.com/nickjonas/status/1613959698579099648</v>
      </c>
      <c r="AC474" s="78" t="s">
        <v>4391</v>
      </c>
      <c r="AE474" t="b">
        <v>0</v>
      </c>
      <c r="AF474">
        <v>1534</v>
      </c>
      <c r="AG474" s="78" t="s">
        <v>4640</v>
      </c>
      <c r="AH474" t="b">
        <v>1</v>
      </c>
      <c r="AI474" t="s">
        <v>4829</v>
      </c>
      <c r="AK474" s="78" t="s">
        <v>4846</v>
      </c>
      <c r="AL474" t="b">
        <v>0</v>
      </c>
      <c r="AM474">
        <v>184</v>
      </c>
      <c r="AN474" s="78" t="s">
        <v>4640</v>
      </c>
      <c r="AO474" s="78" t="s">
        <v>4849</v>
      </c>
      <c r="AP474" t="b">
        <v>0</v>
      </c>
      <c r="AQ474" s="78" t="s">
        <v>4391</v>
      </c>
      <c r="AR474" t="s">
        <v>1569</v>
      </c>
      <c r="AS474">
        <v>0</v>
      </c>
      <c r="AT474">
        <v>0</v>
      </c>
    </row>
    <row r="475" spans="1:46" x14ac:dyDescent="0.45">
      <c r="A475" s="62" t="s">
        <v>1070</v>
      </c>
      <c r="B475" s="62" t="s">
        <v>1230</v>
      </c>
      <c r="C475" s="63"/>
      <c r="D475" s="64"/>
      <c r="E475" s="65"/>
      <c r="F475" s="66"/>
      <c r="G475" s="63"/>
      <c r="H475" s="67"/>
      <c r="I475" s="68"/>
      <c r="J475" s="68"/>
      <c r="K475" s="32"/>
      <c r="L475" s="75"/>
      <c r="M475" s="75"/>
      <c r="N475" s="70"/>
      <c r="O475" t="s">
        <v>1568</v>
      </c>
      <c r="P475" s="76">
        <v>44958.724583333336</v>
      </c>
      <c r="Q475" t="s">
        <v>2022</v>
      </c>
      <c r="R475" s="77" t="str">
        <f>HYPERLINK("https://twitter.com/mileycyrus/status/1164595246241603584?s=46&amp;t=mJoHKRFsrneZLdTnw4e3LQ")</f>
        <v>https://twitter.com/mileycyrus/status/1164595246241603584?s=46&amp;t=mJoHKRFsrneZLdTnw4e3LQ</v>
      </c>
      <c r="S475" t="s">
        <v>2257</v>
      </c>
      <c r="V475" s="77" t="str">
        <f>HYPERLINK("https://pbs.twimg.com/profile_images/1611479392617652224/VxUozo9u_normal.jpg")</f>
        <v>https://pbs.twimg.com/profile_images/1611479392617652224/VxUozo9u_normal.jpg</v>
      </c>
      <c r="W475" s="76">
        <v>44958.724583333336</v>
      </c>
      <c r="X475" s="80">
        <v>44958</v>
      </c>
      <c r="Y475" s="78" t="s">
        <v>3384</v>
      </c>
      <c r="Z475" s="77" t="str">
        <f>HYPERLINK("https://twitter.com/spaceaur0ras/status/1620835217228402703")</f>
        <v>https://twitter.com/spaceaur0ras/status/1620835217228402703</v>
      </c>
      <c r="AC475" s="78" t="s">
        <v>4449</v>
      </c>
      <c r="AD475" s="78" t="s">
        <v>4473</v>
      </c>
      <c r="AE475" t="b">
        <v>0</v>
      </c>
      <c r="AF475">
        <v>51</v>
      </c>
      <c r="AG475" s="78" t="s">
        <v>4639</v>
      </c>
      <c r="AH475" t="b">
        <v>1</v>
      </c>
      <c r="AI475" t="s">
        <v>4829</v>
      </c>
      <c r="AK475" s="78" t="s">
        <v>4842</v>
      </c>
      <c r="AL475" t="b">
        <v>0</v>
      </c>
      <c r="AM475">
        <v>2</v>
      </c>
      <c r="AN475" s="78" t="s">
        <v>4640</v>
      </c>
      <c r="AO475" s="78" t="s">
        <v>4849</v>
      </c>
      <c r="AP475" t="b">
        <v>0</v>
      </c>
      <c r="AQ475" s="78" t="s">
        <v>4473</v>
      </c>
      <c r="AR475" t="s">
        <v>179</v>
      </c>
      <c r="AS475">
        <v>0</v>
      </c>
      <c r="AT475">
        <v>0</v>
      </c>
    </row>
    <row r="476" spans="1:46" x14ac:dyDescent="0.45">
      <c r="A476" s="62" t="s">
        <v>1070</v>
      </c>
      <c r="B476" s="62" t="s">
        <v>242</v>
      </c>
      <c r="C476" s="63"/>
      <c r="D476" s="64"/>
      <c r="E476" s="65"/>
      <c r="F476" s="66"/>
      <c r="G476" s="63"/>
      <c r="H476" s="67"/>
      <c r="I476" s="68"/>
      <c r="J476" s="68"/>
      <c r="K476" s="32"/>
      <c r="L476" s="75"/>
      <c r="M476" s="75"/>
      <c r="N476" s="70"/>
      <c r="O476" t="s">
        <v>1567</v>
      </c>
      <c r="P476" s="76">
        <v>44958.724583333336</v>
      </c>
      <c r="Q476" t="s">
        <v>2022</v>
      </c>
      <c r="R476" s="77" t="str">
        <f>HYPERLINK("https://twitter.com/mileycyrus/status/1164595246241603584?s=46&amp;t=mJoHKRFsrneZLdTnw4e3LQ")</f>
        <v>https://twitter.com/mileycyrus/status/1164595246241603584?s=46&amp;t=mJoHKRFsrneZLdTnw4e3LQ</v>
      </c>
      <c r="S476" t="s">
        <v>2257</v>
      </c>
      <c r="V476" s="77" t="str">
        <f>HYPERLINK("https://pbs.twimg.com/profile_images/1611479392617652224/VxUozo9u_normal.jpg")</f>
        <v>https://pbs.twimg.com/profile_images/1611479392617652224/VxUozo9u_normal.jpg</v>
      </c>
      <c r="W476" s="76">
        <v>44958.724583333336</v>
      </c>
      <c r="X476" s="80">
        <v>44958</v>
      </c>
      <c r="Y476" s="78" t="s">
        <v>3384</v>
      </c>
      <c r="Z476" s="77" t="str">
        <f>HYPERLINK("https://twitter.com/spaceaur0ras/status/1620835217228402703")</f>
        <v>https://twitter.com/spaceaur0ras/status/1620835217228402703</v>
      </c>
      <c r="AC476" s="78" t="s">
        <v>4449</v>
      </c>
      <c r="AD476" s="78" t="s">
        <v>4473</v>
      </c>
      <c r="AE476" t="b">
        <v>0</v>
      </c>
      <c r="AF476">
        <v>51</v>
      </c>
      <c r="AG476" s="78" t="s">
        <v>4639</v>
      </c>
      <c r="AH476" t="b">
        <v>1</v>
      </c>
      <c r="AI476" t="s">
        <v>4829</v>
      </c>
      <c r="AK476" s="78" t="s">
        <v>4842</v>
      </c>
      <c r="AL476" t="b">
        <v>0</v>
      </c>
      <c r="AM476">
        <v>2</v>
      </c>
      <c r="AN476" s="78" t="s">
        <v>4640</v>
      </c>
      <c r="AO476" s="78" t="s">
        <v>4849</v>
      </c>
      <c r="AP476" t="b">
        <v>0</v>
      </c>
      <c r="AQ476" s="78" t="s">
        <v>4473</v>
      </c>
      <c r="AR476" t="s">
        <v>179</v>
      </c>
      <c r="AS476">
        <v>0</v>
      </c>
      <c r="AT476">
        <v>0</v>
      </c>
    </row>
    <row r="477" spans="1:46" x14ac:dyDescent="0.45">
      <c r="A477" s="62" t="s">
        <v>788</v>
      </c>
      <c r="B477" s="62" t="s">
        <v>242</v>
      </c>
      <c r="C477" s="63"/>
      <c r="D477" s="64"/>
      <c r="E477" s="65"/>
      <c r="F477" s="66"/>
      <c r="G477" s="63"/>
      <c r="H477" s="67"/>
      <c r="I477" s="68"/>
      <c r="J477" s="68"/>
      <c r="K477" s="32"/>
      <c r="L477" s="75"/>
      <c r="M477" s="75"/>
      <c r="N477" s="70"/>
      <c r="O477" t="s">
        <v>1568</v>
      </c>
      <c r="P477" s="76">
        <v>44958.808877314812</v>
      </c>
      <c r="Q477" t="s">
        <v>2012</v>
      </c>
      <c r="R477" s="77" t="str">
        <f>HYPERLINK("https://twitter.com/tristecoach/status/1620856892066238464")</f>
        <v>https://twitter.com/tristecoach/status/1620856892066238464</v>
      </c>
      <c r="S477" t="s">
        <v>2257</v>
      </c>
      <c r="V477" s="77" t="str">
        <f>HYPERLINK("https://pbs.twimg.com/profile_images/1532886686522396672/SFEDvaMT_normal.jpg")</f>
        <v>https://pbs.twimg.com/profile_images/1532886686522396672/SFEDvaMT_normal.jpg</v>
      </c>
      <c r="W477" s="76">
        <v>44958.808877314812</v>
      </c>
      <c r="X477" s="80">
        <v>44958</v>
      </c>
      <c r="Y477" s="78" t="s">
        <v>3078</v>
      </c>
      <c r="Z477" s="77" t="str">
        <f>HYPERLINK("https://twitter.com/dgarcia_ctw/status/1620865764776620033")</f>
        <v>https://twitter.com/dgarcia_ctw/status/1620865764776620033</v>
      </c>
      <c r="AC477" s="78" t="s">
        <v>4143</v>
      </c>
      <c r="AE477" t="b">
        <v>0</v>
      </c>
      <c r="AF477">
        <v>9</v>
      </c>
      <c r="AG477" s="78" t="s">
        <v>4640</v>
      </c>
      <c r="AH477" t="b">
        <v>1</v>
      </c>
      <c r="AI477" t="s">
        <v>4829</v>
      </c>
      <c r="AK477" s="78" t="s">
        <v>4841</v>
      </c>
      <c r="AL477" t="b">
        <v>0</v>
      </c>
      <c r="AM477">
        <v>1</v>
      </c>
      <c r="AN477" s="78" t="s">
        <v>4640</v>
      </c>
      <c r="AO477" s="78" t="s">
        <v>4849</v>
      </c>
      <c r="AP477" t="b">
        <v>0</v>
      </c>
      <c r="AQ477" s="78" t="s">
        <v>4143</v>
      </c>
      <c r="AR477" t="s">
        <v>179</v>
      </c>
      <c r="AS477">
        <v>0</v>
      </c>
      <c r="AT477">
        <v>0</v>
      </c>
    </row>
    <row r="478" spans="1:46" x14ac:dyDescent="0.45">
      <c r="A478" s="62" t="s">
        <v>841</v>
      </c>
      <c r="B478" s="62" t="s">
        <v>1230</v>
      </c>
      <c r="C478" s="63"/>
      <c r="D478" s="64"/>
      <c r="E478" s="65"/>
      <c r="F478" s="66"/>
      <c r="G478" s="63"/>
      <c r="H478" s="67"/>
      <c r="I478" s="68"/>
      <c r="J478" s="68"/>
      <c r="K478" s="32"/>
      <c r="L478" s="75"/>
      <c r="M478" s="75"/>
      <c r="N478" s="70"/>
      <c r="O478" t="s">
        <v>1568</v>
      </c>
      <c r="P478" s="76">
        <v>44959.011469907404</v>
      </c>
      <c r="Q478" t="s">
        <v>2023</v>
      </c>
      <c r="R478" s="77" t="str">
        <f>HYPERLINK("https://twitter.com/MileyCyrus/status/1164595246241603584?t=Smg0mgvYHLtTyNvm1B3dzA&amp;s=19")</f>
        <v>https://twitter.com/MileyCyrus/status/1164595246241603584?t=Smg0mgvYHLtTyNvm1B3dzA&amp;s=19</v>
      </c>
      <c r="S478" t="s">
        <v>2257</v>
      </c>
      <c r="V478" s="77" t="str">
        <f>HYPERLINK("https://pbs.twimg.com/profile_images/1577008460624953353/3TFD8DOs_normal.jpg")</f>
        <v>https://pbs.twimg.com/profile_images/1577008460624953353/3TFD8DOs_normal.jpg</v>
      </c>
      <c r="W478" s="76">
        <v>44959.011469907404</v>
      </c>
      <c r="X478" s="80">
        <v>44959</v>
      </c>
      <c r="Y478" s="78" t="s">
        <v>3101</v>
      </c>
      <c r="Z478" s="77" t="str">
        <f>HYPERLINK("https://twitter.com/mileybase/status/1620939182289076224")</f>
        <v>https://twitter.com/mileybase/status/1620939182289076224</v>
      </c>
      <c r="AC478" s="78" t="s">
        <v>4166</v>
      </c>
      <c r="AD478" s="78" t="s">
        <v>4473</v>
      </c>
      <c r="AE478" t="b">
        <v>0</v>
      </c>
      <c r="AF478">
        <v>3</v>
      </c>
      <c r="AG478" s="78" t="s">
        <v>4639</v>
      </c>
      <c r="AH478" t="b">
        <v>1</v>
      </c>
      <c r="AI478" t="s">
        <v>4829</v>
      </c>
      <c r="AK478" s="78" t="s">
        <v>4842</v>
      </c>
      <c r="AL478" t="b">
        <v>0</v>
      </c>
      <c r="AM478">
        <v>0</v>
      </c>
      <c r="AN478" s="78" t="s">
        <v>4640</v>
      </c>
      <c r="AO478" s="78" t="s">
        <v>4850</v>
      </c>
      <c r="AP478" t="b">
        <v>0</v>
      </c>
      <c r="AQ478" s="78" t="s">
        <v>4473</v>
      </c>
      <c r="AR478" t="s">
        <v>179</v>
      </c>
      <c r="AS478">
        <v>0</v>
      </c>
      <c r="AT478">
        <v>0</v>
      </c>
    </row>
    <row r="479" spans="1:46" x14ac:dyDescent="0.45">
      <c r="A479" s="62" t="s">
        <v>841</v>
      </c>
      <c r="B479" s="62" t="s">
        <v>242</v>
      </c>
      <c r="C479" s="63"/>
      <c r="D479" s="64"/>
      <c r="E479" s="65"/>
      <c r="F479" s="66"/>
      <c r="G479" s="63"/>
      <c r="H479" s="67"/>
      <c r="I479" s="68"/>
      <c r="J479" s="68"/>
      <c r="K479" s="32"/>
      <c r="L479" s="75"/>
      <c r="M479" s="75"/>
      <c r="N479" s="70"/>
      <c r="O479" t="s">
        <v>1567</v>
      </c>
      <c r="P479" s="76">
        <v>44959.011469907404</v>
      </c>
      <c r="Q479" t="s">
        <v>2023</v>
      </c>
      <c r="R479" s="77" t="str">
        <f>HYPERLINK("https://twitter.com/MileyCyrus/status/1164595246241603584?t=Smg0mgvYHLtTyNvm1B3dzA&amp;s=19")</f>
        <v>https://twitter.com/MileyCyrus/status/1164595246241603584?t=Smg0mgvYHLtTyNvm1B3dzA&amp;s=19</v>
      </c>
      <c r="S479" t="s">
        <v>2257</v>
      </c>
      <c r="V479" s="77" t="str">
        <f>HYPERLINK("https://pbs.twimg.com/profile_images/1577008460624953353/3TFD8DOs_normal.jpg")</f>
        <v>https://pbs.twimg.com/profile_images/1577008460624953353/3TFD8DOs_normal.jpg</v>
      </c>
      <c r="W479" s="76">
        <v>44959.011469907404</v>
      </c>
      <c r="X479" s="80">
        <v>44959</v>
      </c>
      <c r="Y479" s="78" t="s">
        <v>3101</v>
      </c>
      <c r="Z479" s="77" t="str">
        <f>HYPERLINK("https://twitter.com/mileybase/status/1620939182289076224")</f>
        <v>https://twitter.com/mileybase/status/1620939182289076224</v>
      </c>
      <c r="AC479" s="78" t="s">
        <v>4166</v>
      </c>
      <c r="AD479" s="78" t="s">
        <v>4473</v>
      </c>
      <c r="AE479" t="b">
        <v>0</v>
      </c>
      <c r="AF479">
        <v>3</v>
      </c>
      <c r="AG479" s="78" t="s">
        <v>4639</v>
      </c>
      <c r="AH479" t="b">
        <v>1</v>
      </c>
      <c r="AI479" t="s">
        <v>4829</v>
      </c>
      <c r="AK479" s="78" t="s">
        <v>4842</v>
      </c>
      <c r="AL479" t="b">
        <v>0</v>
      </c>
      <c r="AM479">
        <v>0</v>
      </c>
      <c r="AN479" s="78" t="s">
        <v>4640</v>
      </c>
      <c r="AO479" s="78" t="s">
        <v>4850</v>
      </c>
      <c r="AP479" t="b">
        <v>0</v>
      </c>
      <c r="AQ479" s="78" t="s">
        <v>4473</v>
      </c>
      <c r="AR479" t="s">
        <v>179</v>
      </c>
      <c r="AS479">
        <v>0</v>
      </c>
      <c r="AT479">
        <v>0</v>
      </c>
    </row>
    <row r="480" spans="1:46" x14ac:dyDescent="0.45">
      <c r="A480" s="62" t="s">
        <v>294</v>
      </c>
      <c r="B480" s="62" t="s">
        <v>1112</v>
      </c>
      <c r="C480" s="63"/>
      <c r="D480" s="64"/>
      <c r="E480" s="65"/>
      <c r="F480" s="66"/>
      <c r="G480" s="63"/>
      <c r="H480" s="67"/>
      <c r="I480" s="68"/>
      <c r="J480" s="68"/>
      <c r="K480" s="32"/>
      <c r="L480" s="75"/>
      <c r="M480" s="75"/>
      <c r="N480" s="70"/>
      <c r="O480" t="s">
        <v>1568</v>
      </c>
      <c r="P480" s="76">
        <v>44958.575624999998</v>
      </c>
      <c r="Q480" t="s">
        <v>1637</v>
      </c>
      <c r="R480" s="77" t="str">
        <f>HYPERLINK("https://twitter.com/CREWcrew/status/1620754112819204096")</f>
        <v>https://twitter.com/CREWcrew/status/1620754112819204096</v>
      </c>
      <c r="S480" t="s">
        <v>2257</v>
      </c>
      <c r="V480" s="77" t="str">
        <f>HYPERLINK("https://pbs.twimg.com/profile_images/1612585334155497477/xJFBbSG8_normal.jpg")</f>
        <v>https://pbs.twimg.com/profile_images/1612585334155497477/xJFBbSG8_normal.jpg</v>
      </c>
      <c r="W480" s="76">
        <v>44958.575624999998</v>
      </c>
      <c r="X480" s="80">
        <v>44958</v>
      </c>
      <c r="Y480" s="78" t="s">
        <v>2503</v>
      </c>
      <c r="Z480" s="77" t="str">
        <f>HYPERLINK("https://twitter.com/resisteringa/status/1620781239165915136")</f>
        <v>https://twitter.com/resisteringa/status/1620781239165915136</v>
      </c>
      <c r="AC480" s="78" t="s">
        <v>3518</v>
      </c>
      <c r="AE480" t="b">
        <v>0</v>
      </c>
      <c r="AF480">
        <v>2</v>
      </c>
      <c r="AG480" s="78" t="s">
        <v>4640</v>
      </c>
      <c r="AH480" t="b">
        <v>1</v>
      </c>
      <c r="AI480" t="s">
        <v>4829</v>
      </c>
      <c r="AK480" s="78" t="s">
        <v>4832</v>
      </c>
      <c r="AL480" t="b">
        <v>0</v>
      </c>
      <c r="AM480">
        <v>1</v>
      </c>
      <c r="AN480" s="78" t="s">
        <v>4640</v>
      </c>
      <c r="AO480" s="78" t="s">
        <v>4850</v>
      </c>
      <c r="AP480" t="b">
        <v>0</v>
      </c>
      <c r="AQ480" s="78" t="s">
        <v>3518</v>
      </c>
      <c r="AR480" t="s">
        <v>179</v>
      </c>
      <c r="AS480">
        <v>0</v>
      </c>
      <c r="AT480">
        <v>0</v>
      </c>
    </row>
    <row r="481" spans="1:46" x14ac:dyDescent="0.45">
      <c r="A481" s="62" t="s">
        <v>294</v>
      </c>
      <c r="B481" s="62" t="s">
        <v>1114</v>
      </c>
      <c r="C481" s="63"/>
      <c r="D481" s="64"/>
      <c r="E481" s="65"/>
      <c r="F481" s="66"/>
      <c r="G481" s="63"/>
      <c r="H481" s="67"/>
      <c r="I481" s="68"/>
      <c r="J481" s="68"/>
      <c r="K481" s="32"/>
      <c r="L481" s="75"/>
      <c r="M481" s="75"/>
      <c r="N481" s="70"/>
      <c r="O481" t="s">
        <v>1568</v>
      </c>
      <c r="P481" s="76">
        <v>44958.575624999998</v>
      </c>
      <c r="Q481" t="s">
        <v>1637</v>
      </c>
      <c r="R481" s="77" t="str">
        <f>HYPERLINK("https://twitter.com/CREWcrew/status/1620754112819204096")</f>
        <v>https://twitter.com/CREWcrew/status/1620754112819204096</v>
      </c>
      <c r="S481" t="s">
        <v>2257</v>
      </c>
      <c r="V481" s="77" t="str">
        <f>HYPERLINK("https://pbs.twimg.com/profile_images/1612585334155497477/xJFBbSG8_normal.jpg")</f>
        <v>https://pbs.twimg.com/profile_images/1612585334155497477/xJFBbSG8_normal.jpg</v>
      </c>
      <c r="W481" s="76">
        <v>44958.575624999998</v>
      </c>
      <c r="X481" s="80">
        <v>44958</v>
      </c>
      <c r="Y481" s="78" t="s">
        <v>2503</v>
      </c>
      <c r="Z481" s="77" t="str">
        <f>HYPERLINK("https://twitter.com/resisteringa/status/1620781239165915136")</f>
        <v>https://twitter.com/resisteringa/status/1620781239165915136</v>
      </c>
      <c r="AC481" s="78" t="s">
        <v>3518</v>
      </c>
      <c r="AE481" t="b">
        <v>0</v>
      </c>
      <c r="AF481">
        <v>2</v>
      </c>
      <c r="AG481" s="78" t="s">
        <v>4640</v>
      </c>
      <c r="AH481" t="b">
        <v>1</v>
      </c>
      <c r="AI481" t="s">
        <v>4829</v>
      </c>
      <c r="AK481" s="78" t="s">
        <v>4832</v>
      </c>
      <c r="AL481" t="b">
        <v>0</v>
      </c>
      <c r="AM481">
        <v>1</v>
      </c>
      <c r="AN481" s="78" t="s">
        <v>4640</v>
      </c>
      <c r="AO481" s="78" t="s">
        <v>4850</v>
      </c>
      <c r="AP481" t="b">
        <v>0</v>
      </c>
      <c r="AQ481" s="78" t="s">
        <v>3518</v>
      </c>
      <c r="AR481" t="s">
        <v>179</v>
      </c>
      <c r="AS481">
        <v>0</v>
      </c>
      <c r="AT481">
        <v>0</v>
      </c>
    </row>
    <row r="482" spans="1:46" x14ac:dyDescent="0.45">
      <c r="A482" s="62" t="s">
        <v>294</v>
      </c>
      <c r="B482" s="62" t="s">
        <v>242</v>
      </c>
      <c r="C482" s="63"/>
      <c r="D482" s="64"/>
      <c r="E482" s="65"/>
      <c r="F482" s="66"/>
      <c r="G482" s="63"/>
      <c r="H482" s="67"/>
      <c r="I482" s="68"/>
      <c r="J482" s="68"/>
      <c r="K482" s="32"/>
      <c r="L482" s="75"/>
      <c r="M482" s="75"/>
      <c r="N482" s="70"/>
      <c r="O482" t="s">
        <v>1568</v>
      </c>
      <c r="P482" s="76">
        <v>44958.575624999998</v>
      </c>
      <c r="Q482" t="s">
        <v>1637</v>
      </c>
      <c r="R482" s="77" t="str">
        <f>HYPERLINK("https://twitter.com/CREWcrew/status/1620754112819204096")</f>
        <v>https://twitter.com/CREWcrew/status/1620754112819204096</v>
      </c>
      <c r="S482" t="s">
        <v>2257</v>
      </c>
      <c r="V482" s="77" t="str">
        <f>HYPERLINK("https://pbs.twimg.com/profile_images/1612585334155497477/xJFBbSG8_normal.jpg")</f>
        <v>https://pbs.twimg.com/profile_images/1612585334155497477/xJFBbSG8_normal.jpg</v>
      </c>
      <c r="W482" s="76">
        <v>44958.575624999998</v>
      </c>
      <c r="X482" s="80">
        <v>44958</v>
      </c>
      <c r="Y482" s="78" t="s">
        <v>2503</v>
      </c>
      <c r="Z482" s="77" t="str">
        <f>HYPERLINK("https://twitter.com/resisteringa/status/1620781239165915136")</f>
        <v>https://twitter.com/resisteringa/status/1620781239165915136</v>
      </c>
      <c r="AC482" s="78" t="s">
        <v>3518</v>
      </c>
      <c r="AE482" t="b">
        <v>0</v>
      </c>
      <c r="AF482">
        <v>2</v>
      </c>
      <c r="AG482" s="78" t="s">
        <v>4640</v>
      </c>
      <c r="AH482" t="b">
        <v>1</v>
      </c>
      <c r="AI482" t="s">
        <v>4829</v>
      </c>
      <c r="AK482" s="78" t="s">
        <v>4832</v>
      </c>
      <c r="AL482" t="b">
        <v>0</v>
      </c>
      <c r="AM482">
        <v>1</v>
      </c>
      <c r="AN482" s="78" t="s">
        <v>4640</v>
      </c>
      <c r="AO482" s="78" t="s">
        <v>4850</v>
      </c>
      <c r="AP482" t="b">
        <v>0</v>
      </c>
      <c r="AQ482" s="78" t="s">
        <v>3518</v>
      </c>
      <c r="AR482" t="s">
        <v>179</v>
      </c>
      <c r="AS482">
        <v>0</v>
      </c>
      <c r="AT482">
        <v>0</v>
      </c>
    </row>
    <row r="483" spans="1:46" x14ac:dyDescent="0.45">
      <c r="A483" s="62" t="s">
        <v>294</v>
      </c>
      <c r="B483" s="62" t="s">
        <v>1113</v>
      </c>
      <c r="C483" s="63"/>
      <c r="D483" s="64"/>
      <c r="E483" s="65"/>
      <c r="F483" s="66"/>
      <c r="G483" s="63"/>
      <c r="H483" s="67"/>
      <c r="I483" s="68"/>
      <c r="J483" s="68"/>
      <c r="K483" s="32"/>
      <c r="L483" s="75"/>
      <c r="M483" s="75"/>
      <c r="N483" s="70"/>
      <c r="O483" t="s">
        <v>1568</v>
      </c>
      <c r="P483" s="76">
        <v>44958.575624999998</v>
      </c>
      <c r="Q483" t="s">
        <v>1637</v>
      </c>
      <c r="R483" s="77" t="str">
        <f>HYPERLINK("https://twitter.com/CREWcrew/status/1620754112819204096")</f>
        <v>https://twitter.com/CREWcrew/status/1620754112819204096</v>
      </c>
      <c r="S483" t="s">
        <v>2257</v>
      </c>
      <c r="V483" s="77" t="str">
        <f>HYPERLINK("https://pbs.twimg.com/profile_images/1612585334155497477/xJFBbSG8_normal.jpg")</f>
        <v>https://pbs.twimg.com/profile_images/1612585334155497477/xJFBbSG8_normal.jpg</v>
      </c>
      <c r="W483" s="76">
        <v>44958.575624999998</v>
      </c>
      <c r="X483" s="80">
        <v>44958</v>
      </c>
      <c r="Y483" s="78" t="s">
        <v>2503</v>
      </c>
      <c r="Z483" s="77" t="str">
        <f>HYPERLINK("https://twitter.com/resisteringa/status/1620781239165915136")</f>
        <v>https://twitter.com/resisteringa/status/1620781239165915136</v>
      </c>
      <c r="AC483" s="78" t="s">
        <v>3518</v>
      </c>
      <c r="AE483" t="b">
        <v>0</v>
      </c>
      <c r="AF483">
        <v>2</v>
      </c>
      <c r="AG483" s="78" t="s">
        <v>4640</v>
      </c>
      <c r="AH483" t="b">
        <v>1</v>
      </c>
      <c r="AI483" t="s">
        <v>4829</v>
      </c>
      <c r="AK483" s="78" t="s">
        <v>4832</v>
      </c>
      <c r="AL483" t="b">
        <v>0</v>
      </c>
      <c r="AM483">
        <v>1</v>
      </c>
      <c r="AN483" s="78" t="s">
        <v>4640</v>
      </c>
      <c r="AO483" s="78" t="s">
        <v>4850</v>
      </c>
      <c r="AP483" t="b">
        <v>0</v>
      </c>
      <c r="AQ483" s="78" t="s">
        <v>3518</v>
      </c>
      <c r="AR483" t="s">
        <v>179</v>
      </c>
      <c r="AS483">
        <v>0</v>
      </c>
      <c r="AT483">
        <v>0</v>
      </c>
    </row>
    <row r="484" spans="1:46" x14ac:dyDescent="0.45">
      <c r="A484" s="62" t="s">
        <v>1011</v>
      </c>
      <c r="B484" s="62" t="s">
        <v>1489</v>
      </c>
      <c r="C484" s="63"/>
      <c r="D484" s="64"/>
      <c r="E484" s="65"/>
      <c r="F484" s="66"/>
      <c r="G484" s="63"/>
      <c r="H484" s="67"/>
      <c r="I484" s="68"/>
      <c r="J484" s="68"/>
      <c r="K484" s="32"/>
      <c r="L484" s="75"/>
      <c r="M484" s="75"/>
      <c r="N484" s="70"/>
      <c r="O484" t="s">
        <v>1568</v>
      </c>
      <c r="P484" s="76">
        <v>44959.331921296296</v>
      </c>
      <c r="Q484" t="s">
        <v>2167</v>
      </c>
      <c r="R484" s="77" t="str">
        <f>HYPERLINK("https://twitter.com/nataliemzumino/status/1603791283448938498?t=uJOp7WDdvRBpLyWwMolxhw&amp;s=19")</f>
        <v>https://twitter.com/nataliemzumino/status/1603791283448938498?t=uJOp7WDdvRBpLyWwMolxhw&amp;s=19</v>
      </c>
      <c r="S484" t="s">
        <v>2257</v>
      </c>
      <c r="U484" s="77" t="str">
        <f>HYPERLINK("https://pbs.twimg.com/media/Fn8jwOJXEAAXuFE.jpg")</f>
        <v>https://pbs.twimg.com/media/Fn8jwOJXEAAXuFE.jpg</v>
      </c>
      <c r="V484" s="77" t="str">
        <f>HYPERLINK("https://pbs.twimg.com/media/Fn8jwOJXEAAXuFE.jpg")</f>
        <v>https://pbs.twimg.com/media/Fn8jwOJXEAAXuFE.jpg</v>
      </c>
      <c r="W484" s="76">
        <v>44959.331921296296</v>
      </c>
      <c r="X484" s="80">
        <v>44959</v>
      </c>
      <c r="Y484" s="78" t="s">
        <v>3304</v>
      </c>
      <c r="Z484" s="77" t="str">
        <f>HYPERLINK("https://twitter.com/taneldanilo/status/1621055312709967875")</f>
        <v>https://twitter.com/taneldanilo/status/1621055312709967875</v>
      </c>
      <c r="AC484" s="78" t="s">
        <v>4369</v>
      </c>
      <c r="AD484" s="78" t="s">
        <v>4614</v>
      </c>
      <c r="AE484" t="b">
        <v>0</v>
      </c>
      <c r="AF484">
        <v>2</v>
      </c>
      <c r="AG484" s="78" t="s">
        <v>4796</v>
      </c>
      <c r="AH484" t="b">
        <v>1</v>
      </c>
      <c r="AI484" t="s">
        <v>4829</v>
      </c>
      <c r="AK484" s="78" t="s">
        <v>4845</v>
      </c>
      <c r="AL484" t="b">
        <v>0</v>
      </c>
      <c r="AM484">
        <v>0</v>
      </c>
      <c r="AN484" s="78" t="s">
        <v>4640</v>
      </c>
      <c r="AO484" s="78" t="s">
        <v>4850</v>
      </c>
      <c r="AP484" t="b">
        <v>0</v>
      </c>
      <c r="AQ484" s="78" t="s">
        <v>4614</v>
      </c>
      <c r="AR484" t="s">
        <v>179</v>
      </c>
      <c r="AS484">
        <v>0</v>
      </c>
      <c r="AT484">
        <v>0</v>
      </c>
    </row>
    <row r="485" spans="1:46" x14ac:dyDescent="0.45">
      <c r="A485" s="62" t="s">
        <v>1011</v>
      </c>
      <c r="B485" s="62" t="s">
        <v>1490</v>
      </c>
      <c r="C485" s="63"/>
      <c r="D485" s="64"/>
      <c r="E485" s="65"/>
      <c r="F485" s="66"/>
      <c r="G485" s="63"/>
      <c r="H485" s="67"/>
      <c r="I485" s="68"/>
      <c r="J485" s="68"/>
      <c r="K485" s="32"/>
      <c r="L485" s="75"/>
      <c r="M485" s="75"/>
      <c r="N485" s="70"/>
      <c r="O485" t="s">
        <v>1568</v>
      </c>
      <c r="P485" s="76">
        <v>44959.331921296296</v>
      </c>
      <c r="Q485" t="s">
        <v>2167</v>
      </c>
      <c r="R485" s="77" t="str">
        <f>HYPERLINK("https://twitter.com/nataliemzumino/status/1603791283448938498?t=uJOp7WDdvRBpLyWwMolxhw&amp;s=19")</f>
        <v>https://twitter.com/nataliemzumino/status/1603791283448938498?t=uJOp7WDdvRBpLyWwMolxhw&amp;s=19</v>
      </c>
      <c r="S485" t="s">
        <v>2257</v>
      </c>
      <c r="U485" s="77" t="str">
        <f>HYPERLINK("https://pbs.twimg.com/media/Fn8jwOJXEAAXuFE.jpg")</f>
        <v>https://pbs.twimg.com/media/Fn8jwOJXEAAXuFE.jpg</v>
      </c>
      <c r="V485" s="77" t="str">
        <f>HYPERLINK("https://pbs.twimg.com/media/Fn8jwOJXEAAXuFE.jpg")</f>
        <v>https://pbs.twimg.com/media/Fn8jwOJXEAAXuFE.jpg</v>
      </c>
      <c r="W485" s="76">
        <v>44959.331921296296</v>
      </c>
      <c r="X485" s="80">
        <v>44959</v>
      </c>
      <c r="Y485" s="78" t="s">
        <v>3304</v>
      </c>
      <c r="Z485" s="77" t="str">
        <f>HYPERLINK("https://twitter.com/taneldanilo/status/1621055312709967875")</f>
        <v>https://twitter.com/taneldanilo/status/1621055312709967875</v>
      </c>
      <c r="AC485" s="78" t="s">
        <v>4369</v>
      </c>
      <c r="AD485" s="78" t="s">
        <v>4614</v>
      </c>
      <c r="AE485" t="b">
        <v>0</v>
      </c>
      <c r="AF485">
        <v>2</v>
      </c>
      <c r="AG485" s="78" t="s">
        <v>4796</v>
      </c>
      <c r="AH485" t="b">
        <v>1</v>
      </c>
      <c r="AI485" t="s">
        <v>4829</v>
      </c>
      <c r="AK485" s="78" t="s">
        <v>4845</v>
      </c>
      <c r="AL485" t="b">
        <v>0</v>
      </c>
      <c r="AM485">
        <v>0</v>
      </c>
      <c r="AN485" s="78" t="s">
        <v>4640</v>
      </c>
      <c r="AO485" s="78" t="s">
        <v>4850</v>
      </c>
      <c r="AP485" t="b">
        <v>0</v>
      </c>
      <c r="AQ485" s="78" t="s">
        <v>4614</v>
      </c>
      <c r="AR485" t="s">
        <v>179</v>
      </c>
      <c r="AS485">
        <v>0</v>
      </c>
      <c r="AT485">
        <v>0</v>
      </c>
    </row>
    <row r="486" spans="1:46" x14ac:dyDescent="0.45">
      <c r="A486" s="62" t="s">
        <v>1011</v>
      </c>
      <c r="B486" s="62" t="s">
        <v>1491</v>
      </c>
      <c r="C486" s="63"/>
      <c r="D486" s="64"/>
      <c r="E486" s="65"/>
      <c r="F486" s="66"/>
      <c r="G486" s="63"/>
      <c r="H486" s="67"/>
      <c r="I486" s="68"/>
      <c r="J486" s="68"/>
      <c r="K486" s="32"/>
      <c r="L486" s="75"/>
      <c r="M486" s="75"/>
      <c r="N486" s="70"/>
      <c r="O486" t="s">
        <v>1568</v>
      </c>
      <c r="P486" s="76">
        <v>44959.331921296296</v>
      </c>
      <c r="Q486" t="s">
        <v>2167</v>
      </c>
      <c r="R486" s="77" t="str">
        <f>HYPERLINK("https://twitter.com/nataliemzumino/status/1603791283448938498?t=uJOp7WDdvRBpLyWwMolxhw&amp;s=19")</f>
        <v>https://twitter.com/nataliemzumino/status/1603791283448938498?t=uJOp7WDdvRBpLyWwMolxhw&amp;s=19</v>
      </c>
      <c r="S486" t="s">
        <v>2257</v>
      </c>
      <c r="U486" s="77" t="str">
        <f>HYPERLINK("https://pbs.twimg.com/media/Fn8jwOJXEAAXuFE.jpg")</f>
        <v>https://pbs.twimg.com/media/Fn8jwOJXEAAXuFE.jpg</v>
      </c>
      <c r="V486" s="77" t="str">
        <f>HYPERLINK("https://pbs.twimg.com/media/Fn8jwOJXEAAXuFE.jpg")</f>
        <v>https://pbs.twimg.com/media/Fn8jwOJXEAAXuFE.jpg</v>
      </c>
      <c r="W486" s="76">
        <v>44959.331921296296</v>
      </c>
      <c r="X486" s="80">
        <v>44959</v>
      </c>
      <c r="Y486" s="78" t="s">
        <v>3304</v>
      </c>
      <c r="Z486" s="77" t="str">
        <f>HYPERLINK("https://twitter.com/taneldanilo/status/1621055312709967875")</f>
        <v>https://twitter.com/taneldanilo/status/1621055312709967875</v>
      </c>
      <c r="AC486" s="78" t="s">
        <v>4369</v>
      </c>
      <c r="AD486" s="78" t="s">
        <v>4614</v>
      </c>
      <c r="AE486" t="b">
        <v>0</v>
      </c>
      <c r="AF486">
        <v>2</v>
      </c>
      <c r="AG486" s="78" t="s">
        <v>4796</v>
      </c>
      <c r="AH486" t="b">
        <v>1</v>
      </c>
      <c r="AI486" t="s">
        <v>4829</v>
      </c>
      <c r="AK486" s="78" t="s">
        <v>4845</v>
      </c>
      <c r="AL486" t="b">
        <v>0</v>
      </c>
      <c r="AM486">
        <v>0</v>
      </c>
      <c r="AN486" s="78" t="s">
        <v>4640</v>
      </c>
      <c r="AO486" s="78" t="s">
        <v>4850</v>
      </c>
      <c r="AP486" t="b">
        <v>0</v>
      </c>
      <c r="AQ486" s="78" t="s">
        <v>4614</v>
      </c>
      <c r="AR486" t="s">
        <v>179</v>
      </c>
      <c r="AS486">
        <v>0</v>
      </c>
      <c r="AT486">
        <v>0</v>
      </c>
    </row>
    <row r="487" spans="1:46" x14ac:dyDescent="0.45">
      <c r="A487" s="62" t="s">
        <v>1011</v>
      </c>
      <c r="B487" s="62" t="s">
        <v>1492</v>
      </c>
      <c r="C487" s="63"/>
      <c r="D487" s="64"/>
      <c r="E487" s="65"/>
      <c r="F487" s="66"/>
      <c r="G487" s="63"/>
      <c r="H487" s="67"/>
      <c r="I487" s="68"/>
      <c r="J487" s="68"/>
      <c r="K487" s="32"/>
      <c r="L487" s="75"/>
      <c r="M487" s="75"/>
      <c r="N487" s="70"/>
      <c r="O487" t="s">
        <v>1567</v>
      </c>
      <c r="P487" s="76">
        <v>44959.331921296296</v>
      </c>
      <c r="Q487" t="s">
        <v>2167</v>
      </c>
      <c r="R487" s="77" t="str">
        <f>HYPERLINK("https://twitter.com/nataliemzumino/status/1603791283448938498?t=uJOp7WDdvRBpLyWwMolxhw&amp;s=19")</f>
        <v>https://twitter.com/nataliemzumino/status/1603791283448938498?t=uJOp7WDdvRBpLyWwMolxhw&amp;s=19</v>
      </c>
      <c r="S487" t="s">
        <v>2257</v>
      </c>
      <c r="U487" s="77" t="str">
        <f>HYPERLINK("https://pbs.twimg.com/media/Fn8jwOJXEAAXuFE.jpg")</f>
        <v>https://pbs.twimg.com/media/Fn8jwOJXEAAXuFE.jpg</v>
      </c>
      <c r="V487" s="77" t="str">
        <f>HYPERLINK("https://pbs.twimg.com/media/Fn8jwOJXEAAXuFE.jpg")</f>
        <v>https://pbs.twimg.com/media/Fn8jwOJXEAAXuFE.jpg</v>
      </c>
      <c r="W487" s="76">
        <v>44959.331921296296</v>
      </c>
      <c r="X487" s="80">
        <v>44959</v>
      </c>
      <c r="Y487" s="78" t="s">
        <v>3304</v>
      </c>
      <c r="Z487" s="77" t="str">
        <f>HYPERLINK("https://twitter.com/taneldanilo/status/1621055312709967875")</f>
        <v>https://twitter.com/taneldanilo/status/1621055312709967875</v>
      </c>
      <c r="AC487" s="78" t="s">
        <v>4369</v>
      </c>
      <c r="AD487" s="78" t="s">
        <v>4614</v>
      </c>
      <c r="AE487" t="b">
        <v>0</v>
      </c>
      <c r="AF487">
        <v>2</v>
      </c>
      <c r="AG487" s="78" t="s">
        <v>4796</v>
      </c>
      <c r="AH487" t="b">
        <v>1</v>
      </c>
      <c r="AI487" t="s">
        <v>4829</v>
      </c>
      <c r="AK487" s="78" t="s">
        <v>4845</v>
      </c>
      <c r="AL487" t="b">
        <v>0</v>
      </c>
      <c r="AM487">
        <v>0</v>
      </c>
      <c r="AN487" s="78" t="s">
        <v>4640</v>
      </c>
      <c r="AO487" s="78" t="s">
        <v>4850</v>
      </c>
      <c r="AP487" t="b">
        <v>0</v>
      </c>
      <c r="AQ487" s="78" t="s">
        <v>4614</v>
      </c>
      <c r="AR487" t="s">
        <v>179</v>
      </c>
      <c r="AS487">
        <v>0</v>
      </c>
      <c r="AT487">
        <v>0</v>
      </c>
    </row>
    <row r="488" spans="1:46" x14ac:dyDescent="0.45">
      <c r="A488" s="62" t="s">
        <v>1011</v>
      </c>
      <c r="B488" s="62" t="s">
        <v>242</v>
      </c>
      <c r="C488" s="63"/>
      <c r="D488" s="64"/>
      <c r="E488" s="65"/>
      <c r="F488" s="66"/>
      <c r="G488" s="63"/>
      <c r="H488" s="67"/>
      <c r="I488" s="68"/>
      <c r="J488" s="68"/>
      <c r="K488" s="32"/>
      <c r="L488" s="75"/>
      <c r="M488" s="75"/>
      <c r="N488" s="70"/>
      <c r="O488" t="s">
        <v>1568</v>
      </c>
      <c r="P488" s="76">
        <v>44959.331921296296</v>
      </c>
      <c r="Q488" t="s">
        <v>2167</v>
      </c>
      <c r="R488" s="77" t="str">
        <f>HYPERLINK("https://twitter.com/nataliemzumino/status/1603791283448938498?t=uJOp7WDdvRBpLyWwMolxhw&amp;s=19")</f>
        <v>https://twitter.com/nataliemzumino/status/1603791283448938498?t=uJOp7WDdvRBpLyWwMolxhw&amp;s=19</v>
      </c>
      <c r="S488" t="s">
        <v>2257</v>
      </c>
      <c r="U488" s="77" t="str">
        <f>HYPERLINK("https://pbs.twimg.com/media/Fn8jwOJXEAAXuFE.jpg")</f>
        <v>https://pbs.twimg.com/media/Fn8jwOJXEAAXuFE.jpg</v>
      </c>
      <c r="V488" s="77" t="str">
        <f>HYPERLINK("https://pbs.twimg.com/media/Fn8jwOJXEAAXuFE.jpg")</f>
        <v>https://pbs.twimg.com/media/Fn8jwOJXEAAXuFE.jpg</v>
      </c>
      <c r="W488" s="76">
        <v>44959.331921296296</v>
      </c>
      <c r="X488" s="80">
        <v>44959</v>
      </c>
      <c r="Y488" s="78" t="s">
        <v>3304</v>
      </c>
      <c r="Z488" s="77" t="str">
        <f>HYPERLINK("https://twitter.com/taneldanilo/status/1621055312709967875")</f>
        <v>https://twitter.com/taneldanilo/status/1621055312709967875</v>
      </c>
      <c r="AC488" s="78" t="s">
        <v>4369</v>
      </c>
      <c r="AD488" s="78" t="s">
        <v>4614</v>
      </c>
      <c r="AE488" t="b">
        <v>0</v>
      </c>
      <c r="AF488">
        <v>2</v>
      </c>
      <c r="AG488" s="78" t="s">
        <v>4796</v>
      </c>
      <c r="AH488" t="b">
        <v>1</v>
      </c>
      <c r="AI488" t="s">
        <v>4829</v>
      </c>
      <c r="AK488" s="78" t="s">
        <v>4845</v>
      </c>
      <c r="AL488" t="b">
        <v>0</v>
      </c>
      <c r="AM488">
        <v>0</v>
      </c>
      <c r="AN488" s="78" t="s">
        <v>4640</v>
      </c>
      <c r="AO488" s="78" t="s">
        <v>4850</v>
      </c>
      <c r="AP488" t="b">
        <v>0</v>
      </c>
      <c r="AQ488" s="78" t="s">
        <v>4614</v>
      </c>
      <c r="AR488" t="s">
        <v>179</v>
      </c>
      <c r="AS488">
        <v>0</v>
      </c>
      <c r="AT488">
        <v>0</v>
      </c>
    </row>
    <row r="489" spans="1:46" x14ac:dyDescent="0.45">
      <c r="A489" s="62" t="s">
        <v>1033</v>
      </c>
      <c r="B489" s="62" t="s">
        <v>1508</v>
      </c>
      <c r="C489" s="63"/>
      <c r="D489" s="64"/>
      <c r="E489" s="65"/>
      <c r="F489" s="66"/>
      <c r="G489" s="63"/>
      <c r="H489" s="67"/>
      <c r="I489" s="68"/>
      <c r="J489" s="68"/>
      <c r="K489" s="32"/>
      <c r="L489" s="75"/>
      <c r="M489" s="75"/>
      <c r="N489" s="70"/>
      <c r="O489" t="s">
        <v>1568</v>
      </c>
      <c r="P489" s="76">
        <v>44959.198252314818</v>
      </c>
      <c r="Q489" t="s">
        <v>2186</v>
      </c>
      <c r="R489" s="77" t="str">
        <f>HYPERLINK("https://twitter.com/magupta03/status/1615244469405908993")</f>
        <v>https://twitter.com/magupta03/status/1615244469405908993</v>
      </c>
      <c r="S489" t="s">
        <v>2257</v>
      </c>
      <c r="V489" s="77" t="str">
        <f>HYPERLINK("https://pbs.twimg.com/profile_images/1476392114074238978/_mBfkJs6_normal.jpg")</f>
        <v>https://pbs.twimg.com/profile_images/1476392114074238978/_mBfkJs6_normal.jpg</v>
      </c>
      <c r="W489" s="76">
        <v>44959.198252314818</v>
      </c>
      <c r="X489" s="80">
        <v>44959</v>
      </c>
      <c r="Y489" s="78" t="s">
        <v>3334</v>
      </c>
      <c r="Z489" s="77" t="str">
        <f>HYPERLINK("https://twitter.com/aagupta88/status/1621006871959330819")</f>
        <v>https://twitter.com/aagupta88/status/1621006871959330819</v>
      </c>
      <c r="AC489" s="78" t="s">
        <v>4399</v>
      </c>
      <c r="AE489" t="b">
        <v>0</v>
      </c>
      <c r="AF489">
        <v>2</v>
      </c>
      <c r="AG489" s="78" t="s">
        <v>4802</v>
      </c>
      <c r="AH489" t="b">
        <v>1</v>
      </c>
      <c r="AI489" t="s">
        <v>4829</v>
      </c>
      <c r="AK489" s="78" t="s">
        <v>4847</v>
      </c>
      <c r="AL489" t="b">
        <v>0</v>
      </c>
      <c r="AM489">
        <v>0</v>
      </c>
      <c r="AN489" s="78" t="s">
        <v>4640</v>
      </c>
      <c r="AO489" s="78" t="s">
        <v>4850</v>
      </c>
      <c r="AP489" t="b">
        <v>0</v>
      </c>
      <c r="AQ489" s="78" t="s">
        <v>4399</v>
      </c>
      <c r="AR489" t="s">
        <v>179</v>
      </c>
      <c r="AS489">
        <v>0</v>
      </c>
      <c r="AT489">
        <v>0</v>
      </c>
    </row>
    <row r="490" spans="1:46" x14ac:dyDescent="0.45">
      <c r="A490" s="62" t="s">
        <v>1033</v>
      </c>
      <c r="B490" s="62" t="s">
        <v>1509</v>
      </c>
      <c r="C490" s="63"/>
      <c r="D490" s="64"/>
      <c r="E490" s="65"/>
      <c r="F490" s="66"/>
      <c r="G490" s="63"/>
      <c r="H490" s="67"/>
      <c r="I490" s="68"/>
      <c r="J490" s="68"/>
      <c r="K490" s="32"/>
      <c r="L490" s="75"/>
      <c r="M490" s="75"/>
      <c r="N490" s="70"/>
      <c r="O490" t="s">
        <v>1568</v>
      </c>
      <c r="P490" s="76">
        <v>44959.198252314818</v>
      </c>
      <c r="Q490" t="s">
        <v>2186</v>
      </c>
      <c r="R490" s="77" t="str">
        <f>HYPERLINK("https://twitter.com/magupta03/status/1615244469405908993")</f>
        <v>https://twitter.com/magupta03/status/1615244469405908993</v>
      </c>
      <c r="S490" t="s">
        <v>2257</v>
      </c>
      <c r="V490" s="77" t="str">
        <f>HYPERLINK("https://pbs.twimg.com/profile_images/1476392114074238978/_mBfkJs6_normal.jpg")</f>
        <v>https://pbs.twimg.com/profile_images/1476392114074238978/_mBfkJs6_normal.jpg</v>
      </c>
      <c r="W490" s="76">
        <v>44959.198252314818</v>
      </c>
      <c r="X490" s="80">
        <v>44959</v>
      </c>
      <c r="Y490" s="78" t="s">
        <v>3334</v>
      </c>
      <c r="Z490" s="77" t="str">
        <f>HYPERLINK("https://twitter.com/aagupta88/status/1621006871959330819")</f>
        <v>https://twitter.com/aagupta88/status/1621006871959330819</v>
      </c>
      <c r="AC490" s="78" t="s">
        <v>4399</v>
      </c>
      <c r="AE490" t="b">
        <v>0</v>
      </c>
      <c r="AF490">
        <v>2</v>
      </c>
      <c r="AG490" s="78" t="s">
        <v>4802</v>
      </c>
      <c r="AH490" t="b">
        <v>1</v>
      </c>
      <c r="AI490" t="s">
        <v>4829</v>
      </c>
      <c r="AK490" s="78" t="s">
        <v>4847</v>
      </c>
      <c r="AL490" t="b">
        <v>0</v>
      </c>
      <c r="AM490">
        <v>0</v>
      </c>
      <c r="AN490" s="78" t="s">
        <v>4640</v>
      </c>
      <c r="AO490" s="78" t="s">
        <v>4850</v>
      </c>
      <c r="AP490" t="b">
        <v>0</v>
      </c>
      <c r="AQ490" s="78" t="s">
        <v>4399</v>
      </c>
      <c r="AR490" t="s">
        <v>179</v>
      </c>
      <c r="AS490">
        <v>0</v>
      </c>
      <c r="AT490">
        <v>0</v>
      </c>
    </row>
    <row r="491" spans="1:46" x14ac:dyDescent="0.45">
      <c r="A491" s="62" t="s">
        <v>1033</v>
      </c>
      <c r="B491" s="62" t="s">
        <v>1510</v>
      </c>
      <c r="C491" s="63"/>
      <c r="D491" s="64"/>
      <c r="E491" s="65"/>
      <c r="F491" s="66"/>
      <c r="G491" s="63"/>
      <c r="H491" s="67"/>
      <c r="I491" s="68"/>
      <c r="J491" s="68"/>
      <c r="K491" s="32"/>
      <c r="L491" s="75"/>
      <c r="M491" s="75"/>
      <c r="N491" s="70"/>
      <c r="O491" t="s">
        <v>1568</v>
      </c>
      <c r="P491" s="76">
        <v>44959.198252314818</v>
      </c>
      <c r="Q491" t="s">
        <v>2186</v>
      </c>
      <c r="R491" s="77" t="str">
        <f>HYPERLINK("https://twitter.com/magupta03/status/1615244469405908993")</f>
        <v>https://twitter.com/magupta03/status/1615244469405908993</v>
      </c>
      <c r="S491" t="s">
        <v>2257</v>
      </c>
      <c r="V491" s="77" t="str">
        <f>HYPERLINK("https://pbs.twimg.com/profile_images/1476392114074238978/_mBfkJs6_normal.jpg")</f>
        <v>https://pbs.twimg.com/profile_images/1476392114074238978/_mBfkJs6_normal.jpg</v>
      </c>
      <c r="W491" s="76">
        <v>44959.198252314818</v>
      </c>
      <c r="X491" s="80">
        <v>44959</v>
      </c>
      <c r="Y491" s="78" t="s">
        <v>3334</v>
      </c>
      <c r="Z491" s="77" t="str">
        <f>HYPERLINK("https://twitter.com/aagupta88/status/1621006871959330819")</f>
        <v>https://twitter.com/aagupta88/status/1621006871959330819</v>
      </c>
      <c r="AC491" s="78" t="s">
        <v>4399</v>
      </c>
      <c r="AE491" t="b">
        <v>0</v>
      </c>
      <c r="AF491">
        <v>2</v>
      </c>
      <c r="AG491" s="78" t="s">
        <v>4802</v>
      </c>
      <c r="AH491" t="b">
        <v>1</v>
      </c>
      <c r="AI491" t="s">
        <v>4829</v>
      </c>
      <c r="AK491" s="78" t="s">
        <v>4847</v>
      </c>
      <c r="AL491" t="b">
        <v>0</v>
      </c>
      <c r="AM491">
        <v>0</v>
      </c>
      <c r="AN491" s="78" t="s">
        <v>4640</v>
      </c>
      <c r="AO491" s="78" t="s">
        <v>4850</v>
      </c>
      <c r="AP491" t="b">
        <v>0</v>
      </c>
      <c r="AQ491" s="78" t="s">
        <v>4399</v>
      </c>
      <c r="AR491" t="s">
        <v>179</v>
      </c>
      <c r="AS491">
        <v>0</v>
      </c>
      <c r="AT491">
        <v>0</v>
      </c>
    </row>
    <row r="492" spans="1:46" x14ac:dyDescent="0.45">
      <c r="A492" s="62" t="s">
        <v>1033</v>
      </c>
      <c r="B492" s="62" t="s">
        <v>1511</v>
      </c>
      <c r="C492" s="63"/>
      <c r="D492" s="64"/>
      <c r="E492" s="65"/>
      <c r="F492" s="66"/>
      <c r="G492" s="63"/>
      <c r="H492" s="67"/>
      <c r="I492" s="68"/>
      <c r="J492" s="68"/>
      <c r="K492" s="32"/>
      <c r="L492" s="75"/>
      <c r="M492" s="75"/>
      <c r="N492" s="70"/>
      <c r="O492" t="s">
        <v>1568</v>
      </c>
      <c r="P492" s="76">
        <v>44959.198252314818</v>
      </c>
      <c r="Q492" t="s">
        <v>2186</v>
      </c>
      <c r="R492" s="77" t="str">
        <f>HYPERLINK("https://twitter.com/magupta03/status/1615244469405908993")</f>
        <v>https://twitter.com/magupta03/status/1615244469405908993</v>
      </c>
      <c r="S492" t="s">
        <v>2257</v>
      </c>
      <c r="V492" s="77" t="str">
        <f>HYPERLINK("https://pbs.twimg.com/profile_images/1476392114074238978/_mBfkJs6_normal.jpg")</f>
        <v>https://pbs.twimg.com/profile_images/1476392114074238978/_mBfkJs6_normal.jpg</v>
      </c>
      <c r="W492" s="76">
        <v>44959.198252314818</v>
      </c>
      <c r="X492" s="80">
        <v>44959</v>
      </c>
      <c r="Y492" s="78" t="s">
        <v>3334</v>
      </c>
      <c r="Z492" s="77" t="str">
        <f>HYPERLINK("https://twitter.com/aagupta88/status/1621006871959330819")</f>
        <v>https://twitter.com/aagupta88/status/1621006871959330819</v>
      </c>
      <c r="AC492" s="78" t="s">
        <v>4399</v>
      </c>
      <c r="AE492" t="b">
        <v>0</v>
      </c>
      <c r="AF492">
        <v>2</v>
      </c>
      <c r="AG492" s="78" t="s">
        <v>4802</v>
      </c>
      <c r="AH492" t="b">
        <v>1</v>
      </c>
      <c r="AI492" t="s">
        <v>4829</v>
      </c>
      <c r="AK492" s="78" t="s">
        <v>4847</v>
      </c>
      <c r="AL492" t="b">
        <v>0</v>
      </c>
      <c r="AM492">
        <v>0</v>
      </c>
      <c r="AN492" s="78" t="s">
        <v>4640</v>
      </c>
      <c r="AO492" s="78" t="s">
        <v>4850</v>
      </c>
      <c r="AP492" t="b">
        <v>0</v>
      </c>
      <c r="AQ492" s="78" t="s">
        <v>4399</v>
      </c>
      <c r="AR492" t="s">
        <v>179</v>
      </c>
      <c r="AS492">
        <v>0</v>
      </c>
      <c r="AT492">
        <v>0</v>
      </c>
    </row>
    <row r="493" spans="1:46" x14ac:dyDescent="0.45">
      <c r="A493" s="62" t="s">
        <v>1033</v>
      </c>
      <c r="B493" s="62" t="s">
        <v>1512</v>
      </c>
      <c r="C493" s="63"/>
      <c r="D493" s="64"/>
      <c r="E493" s="65"/>
      <c r="F493" s="66"/>
      <c r="G493" s="63"/>
      <c r="H493" s="67"/>
      <c r="I493" s="68"/>
      <c r="J493" s="68"/>
      <c r="K493" s="32"/>
      <c r="L493" s="75"/>
      <c r="M493" s="75"/>
      <c r="N493" s="70"/>
      <c r="O493" t="s">
        <v>1568</v>
      </c>
      <c r="P493" s="76">
        <v>44959.198252314818</v>
      </c>
      <c r="Q493" t="s">
        <v>2186</v>
      </c>
      <c r="R493" s="77" t="str">
        <f>HYPERLINK("https://twitter.com/magupta03/status/1615244469405908993")</f>
        <v>https://twitter.com/magupta03/status/1615244469405908993</v>
      </c>
      <c r="S493" t="s">
        <v>2257</v>
      </c>
      <c r="V493" s="77" t="str">
        <f>HYPERLINK("https://pbs.twimg.com/profile_images/1476392114074238978/_mBfkJs6_normal.jpg")</f>
        <v>https://pbs.twimg.com/profile_images/1476392114074238978/_mBfkJs6_normal.jpg</v>
      </c>
      <c r="W493" s="76">
        <v>44959.198252314818</v>
      </c>
      <c r="X493" s="80">
        <v>44959</v>
      </c>
      <c r="Y493" s="78" t="s">
        <v>3334</v>
      </c>
      <c r="Z493" s="77" t="str">
        <f>HYPERLINK("https://twitter.com/aagupta88/status/1621006871959330819")</f>
        <v>https://twitter.com/aagupta88/status/1621006871959330819</v>
      </c>
      <c r="AC493" s="78" t="s">
        <v>4399</v>
      </c>
      <c r="AE493" t="b">
        <v>0</v>
      </c>
      <c r="AF493">
        <v>2</v>
      </c>
      <c r="AG493" s="78" t="s">
        <v>4802</v>
      </c>
      <c r="AH493" t="b">
        <v>1</v>
      </c>
      <c r="AI493" t="s">
        <v>4829</v>
      </c>
      <c r="AK493" s="78" t="s">
        <v>4847</v>
      </c>
      <c r="AL493" t="b">
        <v>0</v>
      </c>
      <c r="AM493">
        <v>0</v>
      </c>
      <c r="AN493" s="78" t="s">
        <v>4640</v>
      </c>
      <c r="AO493" s="78" t="s">
        <v>4850</v>
      </c>
      <c r="AP493" t="b">
        <v>0</v>
      </c>
      <c r="AQ493" s="78" t="s">
        <v>4399</v>
      </c>
      <c r="AR493" t="s">
        <v>179</v>
      </c>
      <c r="AS493">
        <v>0</v>
      </c>
      <c r="AT493">
        <v>0</v>
      </c>
    </row>
    <row r="494" spans="1:46" x14ac:dyDescent="0.45">
      <c r="A494" s="62" t="s">
        <v>1033</v>
      </c>
      <c r="B494" s="62" t="s">
        <v>1031</v>
      </c>
      <c r="C494" s="63"/>
      <c r="D494" s="64"/>
      <c r="E494" s="65"/>
      <c r="F494" s="66"/>
      <c r="G494" s="63"/>
      <c r="H494" s="67"/>
      <c r="I494" s="68"/>
      <c r="J494" s="68"/>
      <c r="K494" s="32"/>
      <c r="L494" s="75"/>
      <c r="M494" s="75"/>
      <c r="N494" s="70"/>
      <c r="O494" t="s">
        <v>1568</v>
      </c>
      <c r="P494" s="76">
        <v>44959.198252314818</v>
      </c>
      <c r="Q494" t="s">
        <v>2186</v>
      </c>
      <c r="R494" s="77" t="str">
        <f>HYPERLINK("https://twitter.com/magupta03/status/1615244469405908993")</f>
        <v>https://twitter.com/magupta03/status/1615244469405908993</v>
      </c>
      <c r="S494" t="s">
        <v>2257</v>
      </c>
      <c r="V494" s="77" t="str">
        <f>HYPERLINK("https://pbs.twimg.com/profile_images/1476392114074238978/_mBfkJs6_normal.jpg")</f>
        <v>https://pbs.twimg.com/profile_images/1476392114074238978/_mBfkJs6_normal.jpg</v>
      </c>
      <c r="W494" s="76">
        <v>44959.198252314818</v>
      </c>
      <c r="X494" s="80">
        <v>44959</v>
      </c>
      <c r="Y494" s="78" t="s">
        <v>3334</v>
      </c>
      <c r="Z494" s="77" t="str">
        <f>HYPERLINK("https://twitter.com/aagupta88/status/1621006871959330819")</f>
        <v>https://twitter.com/aagupta88/status/1621006871959330819</v>
      </c>
      <c r="AC494" s="78" t="s">
        <v>4399</v>
      </c>
      <c r="AE494" t="b">
        <v>0</v>
      </c>
      <c r="AF494">
        <v>2</v>
      </c>
      <c r="AG494" s="78" t="s">
        <v>4802</v>
      </c>
      <c r="AH494" t="b">
        <v>1</v>
      </c>
      <c r="AI494" t="s">
        <v>4829</v>
      </c>
      <c r="AK494" s="78" t="s">
        <v>4847</v>
      </c>
      <c r="AL494" t="b">
        <v>0</v>
      </c>
      <c r="AM494">
        <v>0</v>
      </c>
      <c r="AN494" s="78" t="s">
        <v>4640</v>
      </c>
      <c r="AO494" s="78" t="s">
        <v>4850</v>
      </c>
      <c r="AP494" t="b">
        <v>0</v>
      </c>
      <c r="AQ494" s="78" t="s">
        <v>4399</v>
      </c>
      <c r="AR494" t="s">
        <v>179</v>
      </c>
      <c r="AS494">
        <v>0</v>
      </c>
      <c r="AT494">
        <v>0</v>
      </c>
    </row>
    <row r="495" spans="1:46" x14ac:dyDescent="0.45">
      <c r="A495" s="62" t="s">
        <v>1033</v>
      </c>
      <c r="B495" s="62" t="s">
        <v>1506</v>
      </c>
      <c r="C495" s="63"/>
      <c r="D495" s="64"/>
      <c r="E495" s="65"/>
      <c r="F495" s="66"/>
      <c r="G495" s="63"/>
      <c r="H495" s="67"/>
      <c r="I495" s="68"/>
      <c r="J495" s="68"/>
      <c r="K495" s="32"/>
      <c r="L495" s="75"/>
      <c r="M495" s="75"/>
      <c r="N495" s="70"/>
      <c r="O495" t="s">
        <v>1568</v>
      </c>
      <c r="P495" s="76">
        <v>44959.198252314818</v>
      </c>
      <c r="Q495" t="s">
        <v>2186</v>
      </c>
      <c r="R495" s="77" t="str">
        <f>HYPERLINK("https://twitter.com/magupta03/status/1615244469405908993")</f>
        <v>https://twitter.com/magupta03/status/1615244469405908993</v>
      </c>
      <c r="S495" t="s">
        <v>2257</v>
      </c>
      <c r="V495" s="77" t="str">
        <f>HYPERLINK("https://pbs.twimg.com/profile_images/1476392114074238978/_mBfkJs6_normal.jpg")</f>
        <v>https://pbs.twimg.com/profile_images/1476392114074238978/_mBfkJs6_normal.jpg</v>
      </c>
      <c r="W495" s="76">
        <v>44959.198252314818</v>
      </c>
      <c r="X495" s="80">
        <v>44959</v>
      </c>
      <c r="Y495" s="78" t="s">
        <v>3334</v>
      </c>
      <c r="Z495" s="77" t="str">
        <f>HYPERLINK("https://twitter.com/aagupta88/status/1621006871959330819")</f>
        <v>https://twitter.com/aagupta88/status/1621006871959330819</v>
      </c>
      <c r="AC495" s="78" t="s">
        <v>4399</v>
      </c>
      <c r="AE495" t="b">
        <v>0</v>
      </c>
      <c r="AF495">
        <v>2</v>
      </c>
      <c r="AG495" s="78" t="s">
        <v>4802</v>
      </c>
      <c r="AH495" t="b">
        <v>1</v>
      </c>
      <c r="AI495" t="s">
        <v>4829</v>
      </c>
      <c r="AK495" s="78" t="s">
        <v>4847</v>
      </c>
      <c r="AL495" t="b">
        <v>0</v>
      </c>
      <c r="AM495">
        <v>0</v>
      </c>
      <c r="AN495" s="78" t="s">
        <v>4640</v>
      </c>
      <c r="AO495" s="78" t="s">
        <v>4850</v>
      </c>
      <c r="AP495" t="b">
        <v>0</v>
      </c>
      <c r="AQ495" s="78" t="s">
        <v>4399</v>
      </c>
      <c r="AR495" t="s">
        <v>179</v>
      </c>
      <c r="AS495">
        <v>0</v>
      </c>
      <c r="AT495">
        <v>0</v>
      </c>
    </row>
    <row r="496" spans="1:46" x14ac:dyDescent="0.45">
      <c r="A496" s="62" t="s">
        <v>1033</v>
      </c>
      <c r="B496" s="62" t="s">
        <v>1513</v>
      </c>
      <c r="C496" s="63"/>
      <c r="D496" s="64"/>
      <c r="E496" s="65"/>
      <c r="F496" s="66"/>
      <c r="G496" s="63"/>
      <c r="H496" s="67"/>
      <c r="I496" s="68"/>
      <c r="J496" s="68"/>
      <c r="K496" s="32"/>
      <c r="L496" s="75"/>
      <c r="M496" s="75"/>
      <c r="N496" s="70"/>
      <c r="O496" t="s">
        <v>1568</v>
      </c>
      <c r="P496" s="76">
        <v>44959.198252314818</v>
      </c>
      <c r="Q496" t="s">
        <v>2186</v>
      </c>
      <c r="R496" s="77" t="str">
        <f>HYPERLINK("https://twitter.com/magupta03/status/1615244469405908993")</f>
        <v>https://twitter.com/magupta03/status/1615244469405908993</v>
      </c>
      <c r="S496" t="s">
        <v>2257</v>
      </c>
      <c r="V496" s="77" t="str">
        <f>HYPERLINK("https://pbs.twimg.com/profile_images/1476392114074238978/_mBfkJs6_normal.jpg")</f>
        <v>https://pbs.twimg.com/profile_images/1476392114074238978/_mBfkJs6_normal.jpg</v>
      </c>
      <c r="W496" s="76">
        <v>44959.198252314818</v>
      </c>
      <c r="X496" s="80">
        <v>44959</v>
      </c>
      <c r="Y496" s="78" t="s">
        <v>3334</v>
      </c>
      <c r="Z496" s="77" t="str">
        <f>HYPERLINK("https://twitter.com/aagupta88/status/1621006871959330819")</f>
        <v>https://twitter.com/aagupta88/status/1621006871959330819</v>
      </c>
      <c r="AC496" s="78" t="s">
        <v>4399</v>
      </c>
      <c r="AE496" t="b">
        <v>0</v>
      </c>
      <c r="AF496">
        <v>2</v>
      </c>
      <c r="AG496" s="78" t="s">
        <v>4802</v>
      </c>
      <c r="AH496" t="b">
        <v>1</v>
      </c>
      <c r="AI496" t="s">
        <v>4829</v>
      </c>
      <c r="AK496" s="78" t="s">
        <v>4847</v>
      </c>
      <c r="AL496" t="b">
        <v>0</v>
      </c>
      <c r="AM496">
        <v>0</v>
      </c>
      <c r="AN496" s="78" t="s">
        <v>4640</v>
      </c>
      <c r="AO496" s="78" t="s">
        <v>4850</v>
      </c>
      <c r="AP496" t="b">
        <v>0</v>
      </c>
      <c r="AQ496" s="78" t="s">
        <v>4399</v>
      </c>
      <c r="AR496" t="s">
        <v>179</v>
      </c>
      <c r="AS496">
        <v>0</v>
      </c>
      <c r="AT496">
        <v>0</v>
      </c>
    </row>
    <row r="497" spans="1:46" x14ac:dyDescent="0.45">
      <c r="A497" s="62" t="s">
        <v>1033</v>
      </c>
      <c r="B497" s="62" t="s">
        <v>1514</v>
      </c>
      <c r="C497" s="63"/>
      <c r="D497" s="64"/>
      <c r="E497" s="65"/>
      <c r="F497" s="66"/>
      <c r="G497" s="63"/>
      <c r="H497" s="67"/>
      <c r="I497" s="68"/>
      <c r="J497" s="68"/>
      <c r="K497" s="32"/>
      <c r="L497" s="75"/>
      <c r="M497" s="75"/>
      <c r="N497" s="70"/>
      <c r="O497" t="s">
        <v>1568</v>
      </c>
      <c r="P497" s="76">
        <v>44959.198252314818</v>
      </c>
      <c r="Q497" t="s">
        <v>2186</v>
      </c>
      <c r="R497" s="77" t="str">
        <f>HYPERLINK("https://twitter.com/magupta03/status/1615244469405908993")</f>
        <v>https://twitter.com/magupta03/status/1615244469405908993</v>
      </c>
      <c r="S497" t="s">
        <v>2257</v>
      </c>
      <c r="V497" s="77" t="str">
        <f>HYPERLINK("https://pbs.twimg.com/profile_images/1476392114074238978/_mBfkJs6_normal.jpg")</f>
        <v>https://pbs.twimg.com/profile_images/1476392114074238978/_mBfkJs6_normal.jpg</v>
      </c>
      <c r="W497" s="76">
        <v>44959.198252314818</v>
      </c>
      <c r="X497" s="80">
        <v>44959</v>
      </c>
      <c r="Y497" s="78" t="s">
        <v>3334</v>
      </c>
      <c r="Z497" s="77" t="str">
        <f>HYPERLINK("https://twitter.com/aagupta88/status/1621006871959330819")</f>
        <v>https://twitter.com/aagupta88/status/1621006871959330819</v>
      </c>
      <c r="AC497" s="78" t="s">
        <v>4399</v>
      </c>
      <c r="AE497" t="b">
        <v>0</v>
      </c>
      <c r="AF497">
        <v>2</v>
      </c>
      <c r="AG497" s="78" t="s">
        <v>4802</v>
      </c>
      <c r="AH497" t="b">
        <v>1</v>
      </c>
      <c r="AI497" t="s">
        <v>4829</v>
      </c>
      <c r="AK497" s="78" t="s">
        <v>4847</v>
      </c>
      <c r="AL497" t="b">
        <v>0</v>
      </c>
      <c r="AM497">
        <v>0</v>
      </c>
      <c r="AN497" s="78" t="s">
        <v>4640</v>
      </c>
      <c r="AO497" s="78" t="s">
        <v>4850</v>
      </c>
      <c r="AP497" t="b">
        <v>0</v>
      </c>
      <c r="AQ497" s="78" t="s">
        <v>4399</v>
      </c>
      <c r="AR497" t="s">
        <v>179</v>
      </c>
      <c r="AS497">
        <v>0</v>
      </c>
      <c r="AT497">
        <v>0</v>
      </c>
    </row>
    <row r="498" spans="1:46" x14ac:dyDescent="0.45">
      <c r="A498" s="62" t="s">
        <v>1033</v>
      </c>
      <c r="B498" s="62" t="s">
        <v>242</v>
      </c>
      <c r="C498" s="63"/>
      <c r="D498" s="64"/>
      <c r="E498" s="65"/>
      <c r="F498" s="66"/>
      <c r="G498" s="63"/>
      <c r="H498" s="67"/>
      <c r="I498" s="68"/>
      <c r="J498" s="68"/>
      <c r="K498" s="32"/>
      <c r="L498" s="75"/>
      <c r="M498" s="75"/>
      <c r="N498" s="70"/>
      <c r="O498" t="s">
        <v>1568</v>
      </c>
      <c r="P498" s="76">
        <v>44959.198252314818</v>
      </c>
      <c r="Q498" t="s">
        <v>2186</v>
      </c>
      <c r="R498" s="77" t="str">
        <f>HYPERLINK("https://twitter.com/magupta03/status/1615244469405908993")</f>
        <v>https://twitter.com/magupta03/status/1615244469405908993</v>
      </c>
      <c r="S498" t="s">
        <v>2257</v>
      </c>
      <c r="V498" s="77" t="str">
        <f>HYPERLINK("https://pbs.twimg.com/profile_images/1476392114074238978/_mBfkJs6_normal.jpg")</f>
        <v>https://pbs.twimg.com/profile_images/1476392114074238978/_mBfkJs6_normal.jpg</v>
      </c>
      <c r="W498" s="76">
        <v>44959.198252314818</v>
      </c>
      <c r="X498" s="80">
        <v>44959</v>
      </c>
      <c r="Y498" s="78" t="s">
        <v>3334</v>
      </c>
      <c r="Z498" s="77" t="str">
        <f>HYPERLINK("https://twitter.com/aagupta88/status/1621006871959330819")</f>
        <v>https://twitter.com/aagupta88/status/1621006871959330819</v>
      </c>
      <c r="AC498" s="78" t="s">
        <v>4399</v>
      </c>
      <c r="AE498" t="b">
        <v>0</v>
      </c>
      <c r="AF498">
        <v>2</v>
      </c>
      <c r="AG498" s="78" t="s">
        <v>4802</v>
      </c>
      <c r="AH498" t="b">
        <v>1</v>
      </c>
      <c r="AI498" t="s">
        <v>4829</v>
      </c>
      <c r="AK498" s="78" t="s">
        <v>4847</v>
      </c>
      <c r="AL498" t="b">
        <v>0</v>
      </c>
      <c r="AM498">
        <v>0</v>
      </c>
      <c r="AN498" s="78" t="s">
        <v>4640</v>
      </c>
      <c r="AO498" s="78" t="s">
        <v>4850</v>
      </c>
      <c r="AP498" t="b">
        <v>0</v>
      </c>
      <c r="AQ498" s="78" t="s">
        <v>4399</v>
      </c>
      <c r="AR498" t="s">
        <v>179</v>
      </c>
      <c r="AS498">
        <v>0</v>
      </c>
      <c r="AT498">
        <v>0</v>
      </c>
    </row>
    <row r="499" spans="1:46" x14ac:dyDescent="0.45">
      <c r="A499" s="62" t="s">
        <v>1033</v>
      </c>
      <c r="B499" s="62" t="s">
        <v>1109</v>
      </c>
      <c r="C499" s="63"/>
      <c r="D499" s="64"/>
      <c r="E499" s="65"/>
      <c r="F499" s="66"/>
      <c r="G499" s="63"/>
      <c r="H499" s="67"/>
      <c r="I499" s="68"/>
      <c r="J499" s="68"/>
      <c r="K499" s="32"/>
      <c r="L499" s="75"/>
      <c r="M499" s="75"/>
      <c r="N499" s="70"/>
      <c r="O499" t="s">
        <v>1568</v>
      </c>
      <c r="P499" s="76">
        <v>44959.198252314818</v>
      </c>
      <c r="Q499" t="s">
        <v>2186</v>
      </c>
      <c r="R499" s="77" t="str">
        <f>HYPERLINK("https://twitter.com/magupta03/status/1615244469405908993")</f>
        <v>https://twitter.com/magupta03/status/1615244469405908993</v>
      </c>
      <c r="S499" t="s">
        <v>2257</v>
      </c>
      <c r="V499" s="77" t="str">
        <f>HYPERLINK("https://pbs.twimg.com/profile_images/1476392114074238978/_mBfkJs6_normal.jpg")</f>
        <v>https://pbs.twimg.com/profile_images/1476392114074238978/_mBfkJs6_normal.jpg</v>
      </c>
      <c r="W499" s="76">
        <v>44959.198252314818</v>
      </c>
      <c r="X499" s="80">
        <v>44959</v>
      </c>
      <c r="Y499" s="78" t="s">
        <v>3334</v>
      </c>
      <c r="Z499" s="77" t="str">
        <f>HYPERLINK("https://twitter.com/aagupta88/status/1621006871959330819")</f>
        <v>https://twitter.com/aagupta88/status/1621006871959330819</v>
      </c>
      <c r="AC499" s="78" t="s">
        <v>4399</v>
      </c>
      <c r="AE499" t="b">
        <v>0</v>
      </c>
      <c r="AF499">
        <v>2</v>
      </c>
      <c r="AG499" s="78" t="s">
        <v>4802</v>
      </c>
      <c r="AH499" t="b">
        <v>1</v>
      </c>
      <c r="AI499" t="s">
        <v>4829</v>
      </c>
      <c r="AK499" s="78" t="s">
        <v>4847</v>
      </c>
      <c r="AL499" t="b">
        <v>0</v>
      </c>
      <c r="AM499">
        <v>0</v>
      </c>
      <c r="AN499" s="78" t="s">
        <v>4640</v>
      </c>
      <c r="AO499" s="78" t="s">
        <v>4850</v>
      </c>
      <c r="AP499" t="b">
        <v>0</v>
      </c>
      <c r="AQ499" s="78" t="s">
        <v>4399</v>
      </c>
      <c r="AR499" t="s">
        <v>179</v>
      </c>
      <c r="AS499">
        <v>0</v>
      </c>
      <c r="AT499">
        <v>0</v>
      </c>
    </row>
    <row r="500" spans="1:46" x14ac:dyDescent="0.45">
      <c r="A500" s="62" t="s">
        <v>1033</v>
      </c>
      <c r="B500" s="62" t="s">
        <v>1108</v>
      </c>
      <c r="C500" s="63"/>
      <c r="D500" s="64"/>
      <c r="E500" s="65"/>
      <c r="F500" s="66"/>
      <c r="G500" s="63"/>
      <c r="H500" s="67"/>
      <c r="I500" s="68"/>
      <c r="J500" s="68"/>
      <c r="K500" s="32"/>
      <c r="L500" s="75"/>
      <c r="M500" s="75"/>
      <c r="N500" s="70"/>
      <c r="O500" t="s">
        <v>1568</v>
      </c>
      <c r="P500" s="76">
        <v>44959.198252314818</v>
      </c>
      <c r="Q500" t="s">
        <v>2186</v>
      </c>
      <c r="R500" s="77" t="str">
        <f>HYPERLINK("https://twitter.com/magupta03/status/1615244469405908993")</f>
        <v>https://twitter.com/magupta03/status/1615244469405908993</v>
      </c>
      <c r="S500" t="s">
        <v>2257</v>
      </c>
      <c r="V500" s="77" t="str">
        <f>HYPERLINK("https://pbs.twimg.com/profile_images/1476392114074238978/_mBfkJs6_normal.jpg")</f>
        <v>https://pbs.twimg.com/profile_images/1476392114074238978/_mBfkJs6_normal.jpg</v>
      </c>
      <c r="W500" s="76">
        <v>44959.198252314818</v>
      </c>
      <c r="X500" s="80">
        <v>44959</v>
      </c>
      <c r="Y500" s="78" t="s">
        <v>3334</v>
      </c>
      <c r="Z500" s="77" t="str">
        <f>HYPERLINK("https://twitter.com/aagupta88/status/1621006871959330819")</f>
        <v>https://twitter.com/aagupta88/status/1621006871959330819</v>
      </c>
      <c r="AC500" s="78" t="s">
        <v>4399</v>
      </c>
      <c r="AE500" t="b">
        <v>0</v>
      </c>
      <c r="AF500">
        <v>2</v>
      </c>
      <c r="AG500" s="78" t="s">
        <v>4802</v>
      </c>
      <c r="AH500" t="b">
        <v>1</v>
      </c>
      <c r="AI500" t="s">
        <v>4829</v>
      </c>
      <c r="AK500" s="78" t="s">
        <v>4847</v>
      </c>
      <c r="AL500" t="b">
        <v>0</v>
      </c>
      <c r="AM500">
        <v>0</v>
      </c>
      <c r="AN500" s="78" t="s">
        <v>4640</v>
      </c>
      <c r="AO500" s="78" t="s">
        <v>4850</v>
      </c>
      <c r="AP500" t="b">
        <v>0</v>
      </c>
      <c r="AQ500" s="78" t="s">
        <v>4399</v>
      </c>
      <c r="AR500" t="s">
        <v>179</v>
      </c>
      <c r="AS500">
        <v>0</v>
      </c>
      <c r="AT500">
        <v>0</v>
      </c>
    </row>
    <row r="501" spans="1:46" x14ac:dyDescent="0.45">
      <c r="A501" s="62" t="s">
        <v>1033</v>
      </c>
      <c r="B501" s="62" t="s">
        <v>1515</v>
      </c>
      <c r="C501" s="63"/>
      <c r="D501" s="64"/>
      <c r="E501" s="65"/>
      <c r="F501" s="66"/>
      <c r="G501" s="63"/>
      <c r="H501" s="67"/>
      <c r="I501" s="68"/>
      <c r="J501" s="68"/>
      <c r="K501" s="32"/>
      <c r="L501" s="75"/>
      <c r="M501" s="75"/>
      <c r="N501" s="70"/>
      <c r="O501" t="s">
        <v>1567</v>
      </c>
      <c r="P501" s="76">
        <v>44959.198252314818</v>
      </c>
      <c r="Q501" t="s">
        <v>2186</v>
      </c>
      <c r="R501" s="77" t="str">
        <f>HYPERLINK("https://twitter.com/magupta03/status/1615244469405908993")</f>
        <v>https://twitter.com/magupta03/status/1615244469405908993</v>
      </c>
      <c r="S501" t="s">
        <v>2257</v>
      </c>
      <c r="V501" s="77" t="str">
        <f>HYPERLINK("https://pbs.twimg.com/profile_images/1476392114074238978/_mBfkJs6_normal.jpg")</f>
        <v>https://pbs.twimg.com/profile_images/1476392114074238978/_mBfkJs6_normal.jpg</v>
      </c>
      <c r="W501" s="76">
        <v>44959.198252314818</v>
      </c>
      <c r="X501" s="80">
        <v>44959</v>
      </c>
      <c r="Y501" s="78" t="s">
        <v>3334</v>
      </c>
      <c r="Z501" s="77" t="str">
        <f>HYPERLINK("https://twitter.com/aagupta88/status/1621006871959330819")</f>
        <v>https://twitter.com/aagupta88/status/1621006871959330819</v>
      </c>
      <c r="AC501" s="78" t="s">
        <v>4399</v>
      </c>
      <c r="AE501" t="b">
        <v>0</v>
      </c>
      <c r="AF501">
        <v>2</v>
      </c>
      <c r="AG501" s="78" t="s">
        <v>4802</v>
      </c>
      <c r="AH501" t="b">
        <v>1</v>
      </c>
      <c r="AI501" t="s">
        <v>4829</v>
      </c>
      <c r="AK501" s="78" t="s">
        <v>4847</v>
      </c>
      <c r="AL501" t="b">
        <v>0</v>
      </c>
      <c r="AM501">
        <v>0</v>
      </c>
      <c r="AN501" s="78" t="s">
        <v>4640</v>
      </c>
      <c r="AO501" s="78" t="s">
        <v>4850</v>
      </c>
      <c r="AP501" t="b">
        <v>0</v>
      </c>
      <c r="AQ501" s="78" t="s">
        <v>4399</v>
      </c>
      <c r="AR501" t="s">
        <v>179</v>
      </c>
      <c r="AS501">
        <v>0</v>
      </c>
      <c r="AT501">
        <v>0</v>
      </c>
    </row>
    <row r="502" spans="1:46" x14ac:dyDescent="0.45">
      <c r="A502" s="62" t="s">
        <v>353</v>
      </c>
      <c r="B502" s="62" t="s">
        <v>1231</v>
      </c>
      <c r="C502" s="63"/>
      <c r="D502" s="64"/>
      <c r="E502" s="65"/>
      <c r="F502" s="66"/>
      <c r="G502" s="63"/>
      <c r="H502" s="67"/>
      <c r="I502" s="68"/>
      <c r="J502" s="68"/>
      <c r="K502" s="32"/>
      <c r="L502" s="75"/>
      <c r="M502" s="75"/>
      <c r="N502" s="70"/>
      <c r="O502" t="s">
        <v>1568</v>
      </c>
      <c r="P502" s="76">
        <v>44958.671840277777</v>
      </c>
      <c r="Q502" t="s">
        <v>1696</v>
      </c>
      <c r="R502" s="77" t="str">
        <f>HYPERLINK("https://twitter.com/walmartworld/status/1620466526292680724")</f>
        <v>https://twitter.com/walmartworld/status/1620466526292680724</v>
      </c>
      <c r="S502" t="s">
        <v>2257</v>
      </c>
      <c r="V502" s="77" t="str">
        <f>HYPERLINK("https://pbs.twimg.com/profile_images/1291136680687091712/mWAnTLJy_normal.jpg")</f>
        <v>https://pbs.twimg.com/profile_images/1291136680687091712/mWAnTLJy_normal.jpg</v>
      </c>
      <c r="W502" s="76">
        <v>44958.671840277777</v>
      </c>
      <c r="X502" s="80">
        <v>44958</v>
      </c>
      <c r="Y502" s="78" t="s">
        <v>2574</v>
      </c>
      <c r="Z502" s="77" t="str">
        <f>HYPERLINK("https://twitter.com/joannethelola/status/1620816104154357763")</f>
        <v>https://twitter.com/joannethelola/status/1620816104154357763</v>
      </c>
      <c r="AC502" s="78" t="s">
        <v>3591</v>
      </c>
      <c r="AE502" t="b">
        <v>0</v>
      </c>
      <c r="AF502">
        <v>1</v>
      </c>
      <c r="AG502" s="78" t="s">
        <v>4640</v>
      </c>
      <c r="AH502" t="b">
        <v>1</v>
      </c>
      <c r="AI502" t="s">
        <v>4829</v>
      </c>
      <c r="AK502" s="78" t="s">
        <v>4836</v>
      </c>
      <c r="AL502" t="b">
        <v>0</v>
      </c>
      <c r="AM502">
        <v>0</v>
      </c>
      <c r="AN502" s="78" t="s">
        <v>4640</v>
      </c>
      <c r="AO502" s="78" t="s">
        <v>4849</v>
      </c>
      <c r="AP502" t="b">
        <v>0</v>
      </c>
      <c r="AQ502" s="78" t="s">
        <v>3591</v>
      </c>
      <c r="AR502" t="s">
        <v>179</v>
      </c>
      <c r="AS502">
        <v>0</v>
      </c>
      <c r="AT502">
        <v>0</v>
      </c>
    </row>
    <row r="503" spans="1:46" x14ac:dyDescent="0.45">
      <c r="A503" s="62" t="s">
        <v>353</v>
      </c>
      <c r="B503" s="62" t="s">
        <v>1232</v>
      </c>
      <c r="C503" s="63"/>
      <c r="D503" s="64"/>
      <c r="E503" s="65"/>
      <c r="F503" s="66"/>
      <c r="G503" s="63"/>
      <c r="H503" s="67"/>
      <c r="I503" s="68"/>
      <c r="J503" s="68"/>
      <c r="K503" s="32"/>
      <c r="L503" s="75"/>
      <c r="M503" s="75"/>
      <c r="N503" s="70"/>
      <c r="O503" t="s">
        <v>1568</v>
      </c>
      <c r="P503" s="76">
        <v>44958.671840277777</v>
      </c>
      <c r="Q503" t="s">
        <v>1696</v>
      </c>
      <c r="R503" s="77" t="str">
        <f>HYPERLINK("https://twitter.com/walmartworld/status/1620466526292680724")</f>
        <v>https://twitter.com/walmartworld/status/1620466526292680724</v>
      </c>
      <c r="S503" t="s">
        <v>2257</v>
      </c>
      <c r="V503" s="77" t="str">
        <f>HYPERLINK("https://pbs.twimg.com/profile_images/1291136680687091712/mWAnTLJy_normal.jpg")</f>
        <v>https://pbs.twimg.com/profile_images/1291136680687091712/mWAnTLJy_normal.jpg</v>
      </c>
      <c r="W503" s="76">
        <v>44958.671840277777</v>
      </c>
      <c r="X503" s="80">
        <v>44958</v>
      </c>
      <c r="Y503" s="78" t="s">
        <v>2574</v>
      </c>
      <c r="Z503" s="77" t="str">
        <f>HYPERLINK("https://twitter.com/joannethelola/status/1620816104154357763")</f>
        <v>https://twitter.com/joannethelola/status/1620816104154357763</v>
      </c>
      <c r="AC503" s="78" t="s">
        <v>3591</v>
      </c>
      <c r="AE503" t="b">
        <v>0</v>
      </c>
      <c r="AF503">
        <v>1</v>
      </c>
      <c r="AG503" s="78" t="s">
        <v>4640</v>
      </c>
      <c r="AH503" t="b">
        <v>1</v>
      </c>
      <c r="AI503" t="s">
        <v>4829</v>
      </c>
      <c r="AK503" s="78" t="s">
        <v>4836</v>
      </c>
      <c r="AL503" t="b">
        <v>0</v>
      </c>
      <c r="AM503">
        <v>0</v>
      </c>
      <c r="AN503" s="78" t="s">
        <v>4640</v>
      </c>
      <c r="AO503" s="78" t="s">
        <v>4849</v>
      </c>
      <c r="AP503" t="b">
        <v>0</v>
      </c>
      <c r="AQ503" s="78" t="s">
        <v>3591</v>
      </c>
      <c r="AR503" t="s">
        <v>179</v>
      </c>
      <c r="AS503">
        <v>0</v>
      </c>
      <c r="AT503">
        <v>0</v>
      </c>
    </row>
    <row r="504" spans="1:46" x14ac:dyDescent="0.45">
      <c r="A504" s="62" t="s">
        <v>353</v>
      </c>
      <c r="B504" s="62" t="s">
        <v>1233</v>
      </c>
      <c r="C504" s="63"/>
      <c r="D504" s="64"/>
      <c r="E504" s="65"/>
      <c r="F504" s="66"/>
      <c r="G504" s="63"/>
      <c r="H504" s="67"/>
      <c r="I504" s="68"/>
      <c r="J504" s="68"/>
      <c r="K504" s="32"/>
      <c r="L504" s="75"/>
      <c r="M504" s="75"/>
      <c r="N504" s="70"/>
      <c r="O504" t="s">
        <v>1568</v>
      </c>
      <c r="P504" s="76">
        <v>44958.671840277777</v>
      </c>
      <c r="Q504" t="s">
        <v>1696</v>
      </c>
      <c r="R504" s="77" t="str">
        <f>HYPERLINK("https://twitter.com/walmartworld/status/1620466526292680724")</f>
        <v>https://twitter.com/walmartworld/status/1620466526292680724</v>
      </c>
      <c r="S504" t="s">
        <v>2257</v>
      </c>
      <c r="V504" s="77" t="str">
        <f>HYPERLINK("https://pbs.twimg.com/profile_images/1291136680687091712/mWAnTLJy_normal.jpg")</f>
        <v>https://pbs.twimg.com/profile_images/1291136680687091712/mWAnTLJy_normal.jpg</v>
      </c>
      <c r="W504" s="76">
        <v>44958.671840277777</v>
      </c>
      <c r="X504" s="80">
        <v>44958</v>
      </c>
      <c r="Y504" s="78" t="s">
        <v>2574</v>
      </c>
      <c r="Z504" s="77" t="str">
        <f>HYPERLINK("https://twitter.com/joannethelola/status/1620816104154357763")</f>
        <v>https://twitter.com/joannethelola/status/1620816104154357763</v>
      </c>
      <c r="AC504" s="78" t="s">
        <v>3591</v>
      </c>
      <c r="AE504" t="b">
        <v>0</v>
      </c>
      <c r="AF504">
        <v>1</v>
      </c>
      <c r="AG504" s="78" t="s">
        <v>4640</v>
      </c>
      <c r="AH504" t="b">
        <v>1</v>
      </c>
      <c r="AI504" t="s">
        <v>4829</v>
      </c>
      <c r="AK504" s="78" t="s">
        <v>4836</v>
      </c>
      <c r="AL504" t="b">
        <v>0</v>
      </c>
      <c r="AM504">
        <v>0</v>
      </c>
      <c r="AN504" s="78" t="s">
        <v>4640</v>
      </c>
      <c r="AO504" s="78" t="s">
        <v>4849</v>
      </c>
      <c r="AP504" t="b">
        <v>0</v>
      </c>
      <c r="AQ504" s="78" t="s">
        <v>3591</v>
      </c>
      <c r="AR504" t="s">
        <v>179</v>
      </c>
      <c r="AS504">
        <v>0</v>
      </c>
      <c r="AT504">
        <v>0</v>
      </c>
    </row>
    <row r="505" spans="1:46" x14ac:dyDescent="0.45">
      <c r="A505" s="62" t="s">
        <v>353</v>
      </c>
      <c r="B505" s="62" t="s">
        <v>242</v>
      </c>
      <c r="C505" s="63"/>
      <c r="D505" s="64"/>
      <c r="E505" s="65"/>
      <c r="F505" s="66"/>
      <c r="G505" s="63"/>
      <c r="H505" s="67"/>
      <c r="I505" s="68"/>
      <c r="J505" s="68"/>
      <c r="K505" s="32"/>
      <c r="L505" s="75"/>
      <c r="M505" s="75"/>
      <c r="N505" s="70"/>
      <c r="O505" t="s">
        <v>1568</v>
      </c>
      <c r="P505" s="76">
        <v>44958.671840277777</v>
      </c>
      <c r="Q505" t="s">
        <v>1696</v>
      </c>
      <c r="R505" s="77" t="str">
        <f>HYPERLINK("https://twitter.com/walmartworld/status/1620466526292680724")</f>
        <v>https://twitter.com/walmartworld/status/1620466526292680724</v>
      </c>
      <c r="S505" t="s">
        <v>2257</v>
      </c>
      <c r="V505" s="77" t="str">
        <f>HYPERLINK("https://pbs.twimg.com/profile_images/1291136680687091712/mWAnTLJy_normal.jpg")</f>
        <v>https://pbs.twimg.com/profile_images/1291136680687091712/mWAnTLJy_normal.jpg</v>
      </c>
      <c r="W505" s="76">
        <v>44958.671840277777</v>
      </c>
      <c r="X505" s="80">
        <v>44958</v>
      </c>
      <c r="Y505" s="78" t="s">
        <v>2574</v>
      </c>
      <c r="Z505" s="77" t="str">
        <f>HYPERLINK("https://twitter.com/joannethelola/status/1620816104154357763")</f>
        <v>https://twitter.com/joannethelola/status/1620816104154357763</v>
      </c>
      <c r="AC505" s="78" t="s">
        <v>3591</v>
      </c>
      <c r="AE505" t="b">
        <v>0</v>
      </c>
      <c r="AF505">
        <v>1</v>
      </c>
      <c r="AG505" s="78" t="s">
        <v>4640</v>
      </c>
      <c r="AH505" t="b">
        <v>1</v>
      </c>
      <c r="AI505" t="s">
        <v>4829</v>
      </c>
      <c r="AK505" s="78" t="s">
        <v>4836</v>
      </c>
      <c r="AL505" t="b">
        <v>0</v>
      </c>
      <c r="AM505">
        <v>0</v>
      </c>
      <c r="AN505" s="78" t="s">
        <v>4640</v>
      </c>
      <c r="AO505" s="78" t="s">
        <v>4849</v>
      </c>
      <c r="AP505" t="b">
        <v>0</v>
      </c>
      <c r="AQ505" s="78" t="s">
        <v>3591</v>
      </c>
      <c r="AR505" t="s">
        <v>179</v>
      </c>
      <c r="AS505">
        <v>0</v>
      </c>
      <c r="AT505">
        <v>0</v>
      </c>
    </row>
    <row r="506" spans="1:46" x14ac:dyDescent="0.45">
      <c r="A506" s="62" t="s">
        <v>905</v>
      </c>
      <c r="B506" s="62" t="s">
        <v>242</v>
      </c>
      <c r="C506" s="63"/>
      <c r="D506" s="64"/>
      <c r="E506" s="65"/>
      <c r="F506" s="66"/>
      <c r="G506" s="63"/>
      <c r="H506" s="67"/>
      <c r="I506" s="68"/>
      <c r="J506" s="68"/>
      <c r="K506" s="32"/>
      <c r="L506" s="75"/>
      <c r="M506" s="75"/>
      <c r="N506" s="70"/>
      <c r="O506" t="s">
        <v>1568</v>
      </c>
      <c r="P506" s="76">
        <v>44959.091921296298</v>
      </c>
      <c r="Q506" t="s">
        <v>2063</v>
      </c>
      <c r="R506" s="77" t="str">
        <f>HYPERLINK("https://twitter.com/coupleyfit/status/1620961289874059264")</f>
        <v>https://twitter.com/coupleyfit/status/1620961289874059264</v>
      </c>
      <c r="S506" t="s">
        <v>2257</v>
      </c>
      <c r="V506" s="77" t="str">
        <f>HYPERLINK("https://pbs.twimg.com/profile_images/1507123216010997763/ZgOo_Xt-_normal.jpg")</f>
        <v>https://pbs.twimg.com/profile_images/1507123216010997763/ZgOo_Xt-_normal.jpg</v>
      </c>
      <c r="W506" s="76">
        <v>44959.091921296298</v>
      </c>
      <c r="X506" s="80">
        <v>44959</v>
      </c>
      <c r="Y506" s="78" t="s">
        <v>3168</v>
      </c>
      <c r="Z506" s="77" t="str">
        <f>HYPERLINK("https://twitter.com/deanna_helene/status/1620968336170573824")</f>
        <v>https://twitter.com/deanna_helene/status/1620968336170573824</v>
      </c>
      <c r="AC506" s="78" t="s">
        <v>4233</v>
      </c>
      <c r="AE506" t="b">
        <v>0</v>
      </c>
      <c r="AF506">
        <v>1</v>
      </c>
      <c r="AG506" s="78" t="s">
        <v>4640</v>
      </c>
      <c r="AH506" t="b">
        <v>1</v>
      </c>
      <c r="AI506" t="s">
        <v>4829</v>
      </c>
      <c r="AK506" s="78" t="s">
        <v>4215</v>
      </c>
      <c r="AL506" t="b">
        <v>0</v>
      </c>
      <c r="AM506">
        <v>0</v>
      </c>
      <c r="AN506" s="78" t="s">
        <v>4640</v>
      </c>
      <c r="AO506" s="78" t="s">
        <v>4849</v>
      </c>
      <c r="AP506" t="b">
        <v>0</v>
      </c>
      <c r="AQ506" s="78" t="s">
        <v>4233</v>
      </c>
      <c r="AR506" t="s">
        <v>179</v>
      </c>
      <c r="AS506">
        <v>0</v>
      </c>
      <c r="AT506">
        <v>0</v>
      </c>
    </row>
    <row r="507" spans="1:46" x14ac:dyDescent="0.45">
      <c r="A507" s="62" t="s">
        <v>909</v>
      </c>
      <c r="B507" s="62" t="s">
        <v>242</v>
      </c>
      <c r="C507" s="63"/>
      <c r="D507" s="64"/>
      <c r="E507" s="65"/>
      <c r="F507" s="66"/>
      <c r="G507" s="63"/>
      <c r="H507" s="67"/>
      <c r="I507" s="68"/>
      <c r="J507" s="68"/>
      <c r="K507" s="32"/>
      <c r="L507" s="75"/>
      <c r="M507" s="75"/>
      <c r="N507" s="70"/>
      <c r="O507" t="s">
        <v>1568</v>
      </c>
      <c r="P507" s="76">
        <v>44959.09888888889</v>
      </c>
      <c r="Q507" t="s">
        <v>2068</v>
      </c>
      <c r="R507" s="77" t="str">
        <f>HYPERLINK("https://twitter.com/coupleyfit/status/1620961289874059264")</f>
        <v>https://twitter.com/coupleyfit/status/1620961289874059264</v>
      </c>
      <c r="S507" t="s">
        <v>2257</v>
      </c>
      <c r="V507" s="77" t="str">
        <f>HYPERLINK("https://pbs.twimg.com/profile_images/1583855077114060800/T6hgRz6l_normal.jpg")</f>
        <v>https://pbs.twimg.com/profile_images/1583855077114060800/T6hgRz6l_normal.jpg</v>
      </c>
      <c r="W507" s="76">
        <v>44959.09888888889</v>
      </c>
      <c r="X507" s="80">
        <v>44959</v>
      </c>
      <c r="Y507" s="78" t="s">
        <v>3173</v>
      </c>
      <c r="Z507" s="77" t="str">
        <f>HYPERLINK("https://twitter.com/kurtmangum2/status/1620970863083536385")</f>
        <v>https://twitter.com/kurtmangum2/status/1620970863083536385</v>
      </c>
      <c r="AC507" s="78" t="s">
        <v>4238</v>
      </c>
      <c r="AE507" t="b">
        <v>0</v>
      </c>
      <c r="AF507">
        <v>1</v>
      </c>
      <c r="AG507" s="78" t="s">
        <v>4640</v>
      </c>
      <c r="AH507" t="b">
        <v>1</v>
      </c>
      <c r="AI507" t="s">
        <v>4829</v>
      </c>
      <c r="AK507" s="78" t="s">
        <v>4215</v>
      </c>
      <c r="AL507" t="b">
        <v>0</v>
      </c>
      <c r="AM507">
        <v>0</v>
      </c>
      <c r="AN507" s="78" t="s">
        <v>4640</v>
      </c>
      <c r="AO507" s="78" t="s">
        <v>4849</v>
      </c>
      <c r="AP507" t="b">
        <v>0</v>
      </c>
      <c r="AQ507" s="78" t="s">
        <v>4238</v>
      </c>
      <c r="AR507" t="s">
        <v>179</v>
      </c>
      <c r="AS507">
        <v>0</v>
      </c>
      <c r="AT507">
        <v>0</v>
      </c>
    </row>
    <row r="508" spans="1:46" x14ac:dyDescent="0.45">
      <c r="A508" s="62" t="s">
        <v>223</v>
      </c>
      <c r="B508" s="62" t="s">
        <v>242</v>
      </c>
      <c r="C508" s="63"/>
      <c r="D508" s="64"/>
      <c r="E508" s="65"/>
      <c r="F508" s="66"/>
      <c r="G508" s="63"/>
      <c r="H508" s="67"/>
      <c r="I508" s="68"/>
      <c r="J508" s="68"/>
      <c r="K508" s="32"/>
      <c r="L508" s="75"/>
      <c r="M508" s="75"/>
      <c r="N508" s="70"/>
      <c r="O508" t="s">
        <v>1568</v>
      </c>
      <c r="P508" s="76">
        <v>44958.299733796295</v>
      </c>
      <c r="Q508" t="s">
        <v>1577</v>
      </c>
      <c r="R508" s="77" t="str">
        <f>HYPERLINK("https://twitter.com/CREWcrew/status/1620663295005933570")</f>
        <v>https://twitter.com/CREWcrew/status/1620663295005933570</v>
      </c>
      <c r="S508" t="s">
        <v>2257</v>
      </c>
      <c r="V508" s="77" t="str">
        <f>HYPERLINK("https://pbs.twimg.com/profile_images/505824908337639424/5XztOYwe_normal.jpeg")</f>
        <v>https://pbs.twimg.com/profile_images/505824908337639424/5XztOYwe_normal.jpeg</v>
      </c>
      <c r="W508" s="76">
        <v>44958.299733796295</v>
      </c>
      <c r="X508" s="80">
        <v>44958</v>
      </c>
      <c r="Y508" s="78" t="s">
        <v>2426</v>
      </c>
      <c r="Z508" s="77" t="str">
        <f>HYPERLINK("https://twitter.com/jeanne_muenchau/status/1620681256542535681")</f>
        <v>https://twitter.com/jeanne_muenchau/status/1620681256542535681</v>
      </c>
      <c r="AC508" s="78" t="s">
        <v>3441</v>
      </c>
      <c r="AE508" t="b">
        <v>0</v>
      </c>
      <c r="AF508">
        <v>0</v>
      </c>
      <c r="AG508" s="78" t="s">
        <v>4643</v>
      </c>
      <c r="AH508" t="b">
        <v>1</v>
      </c>
      <c r="AI508" t="s">
        <v>4829</v>
      </c>
      <c r="AK508" s="78" t="s">
        <v>4830</v>
      </c>
      <c r="AL508" t="b">
        <v>0</v>
      </c>
      <c r="AM508">
        <v>0</v>
      </c>
      <c r="AN508" s="78" t="s">
        <v>4640</v>
      </c>
      <c r="AO508" s="78" t="s">
        <v>4852</v>
      </c>
      <c r="AP508" t="b">
        <v>0</v>
      </c>
      <c r="AQ508" s="78" t="s">
        <v>3441</v>
      </c>
      <c r="AR508" t="s">
        <v>179</v>
      </c>
      <c r="AS508">
        <v>0</v>
      </c>
      <c r="AT508">
        <v>0</v>
      </c>
    </row>
    <row r="509" spans="1:46" x14ac:dyDescent="0.45">
      <c r="A509" s="62" t="s">
        <v>223</v>
      </c>
      <c r="B509" s="62" t="s">
        <v>1112</v>
      </c>
      <c r="C509" s="63"/>
      <c r="D509" s="64"/>
      <c r="E509" s="65"/>
      <c r="F509" s="66"/>
      <c r="G509" s="63"/>
      <c r="H509" s="67"/>
      <c r="I509" s="68"/>
      <c r="J509" s="68"/>
      <c r="K509" s="32"/>
      <c r="L509" s="75"/>
      <c r="M509" s="75"/>
      <c r="N509" s="70"/>
      <c r="O509" t="s">
        <v>1568</v>
      </c>
      <c r="P509" s="76">
        <v>44958.299733796295</v>
      </c>
      <c r="Q509" t="s">
        <v>1577</v>
      </c>
      <c r="R509" s="77" t="str">
        <f>HYPERLINK("https://twitter.com/CREWcrew/status/1620663295005933570")</f>
        <v>https://twitter.com/CREWcrew/status/1620663295005933570</v>
      </c>
      <c r="S509" t="s">
        <v>2257</v>
      </c>
      <c r="V509" s="77" t="str">
        <f>HYPERLINK("https://pbs.twimg.com/profile_images/505824908337639424/5XztOYwe_normal.jpeg")</f>
        <v>https://pbs.twimg.com/profile_images/505824908337639424/5XztOYwe_normal.jpeg</v>
      </c>
      <c r="W509" s="76">
        <v>44958.299733796295</v>
      </c>
      <c r="X509" s="80">
        <v>44958</v>
      </c>
      <c r="Y509" s="78" t="s">
        <v>2426</v>
      </c>
      <c r="Z509" s="77" t="str">
        <f>HYPERLINK("https://twitter.com/jeanne_muenchau/status/1620681256542535681")</f>
        <v>https://twitter.com/jeanne_muenchau/status/1620681256542535681</v>
      </c>
      <c r="AC509" s="78" t="s">
        <v>3441</v>
      </c>
      <c r="AE509" t="b">
        <v>0</v>
      </c>
      <c r="AF509">
        <v>0</v>
      </c>
      <c r="AG509" s="78" t="s">
        <v>4643</v>
      </c>
      <c r="AH509" t="b">
        <v>1</v>
      </c>
      <c r="AI509" t="s">
        <v>4829</v>
      </c>
      <c r="AK509" s="78" t="s">
        <v>4830</v>
      </c>
      <c r="AL509" t="b">
        <v>0</v>
      </c>
      <c r="AM509">
        <v>0</v>
      </c>
      <c r="AN509" s="78" t="s">
        <v>4640</v>
      </c>
      <c r="AO509" s="78" t="s">
        <v>4852</v>
      </c>
      <c r="AP509" t="b">
        <v>0</v>
      </c>
      <c r="AQ509" s="78" t="s">
        <v>3441</v>
      </c>
      <c r="AR509" t="s">
        <v>179</v>
      </c>
      <c r="AS509">
        <v>0</v>
      </c>
      <c r="AT509">
        <v>0</v>
      </c>
    </row>
    <row r="510" spans="1:46" x14ac:dyDescent="0.45">
      <c r="A510" s="62" t="s">
        <v>223</v>
      </c>
      <c r="B510" s="62" t="s">
        <v>1113</v>
      </c>
      <c r="C510" s="63"/>
      <c r="D510" s="64"/>
      <c r="E510" s="65"/>
      <c r="F510" s="66"/>
      <c r="G510" s="63"/>
      <c r="H510" s="67"/>
      <c r="I510" s="68"/>
      <c r="J510" s="68"/>
      <c r="K510" s="32"/>
      <c r="L510" s="75"/>
      <c r="M510" s="75"/>
      <c r="N510" s="70"/>
      <c r="O510" t="s">
        <v>1568</v>
      </c>
      <c r="P510" s="76">
        <v>44958.299733796295</v>
      </c>
      <c r="Q510" t="s">
        <v>1577</v>
      </c>
      <c r="R510" s="77" t="str">
        <f>HYPERLINK("https://twitter.com/CREWcrew/status/1620663295005933570")</f>
        <v>https://twitter.com/CREWcrew/status/1620663295005933570</v>
      </c>
      <c r="S510" t="s">
        <v>2257</v>
      </c>
      <c r="V510" s="77" t="str">
        <f>HYPERLINK("https://pbs.twimg.com/profile_images/505824908337639424/5XztOYwe_normal.jpeg")</f>
        <v>https://pbs.twimg.com/profile_images/505824908337639424/5XztOYwe_normal.jpeg</v>
      </c>
      <c r="W510" s="76">
        <v>44958.299733796295</v>
      </c>
      <c r="X510" s="80">
        <v>44958</v>
      </c>
      <c r="Y510" s="78" t="s">
        <v>2426</v>
      </c>
      <c r="Z510" s="77" t="str">
        <f>HYPERLINK("https://twitter.com/jeanne_muenchau/status/1620681256542535681")</f>
        <v>https://twitter.com/jeanne_muenchau/status/1620681256542535681</v>
      </c>
      <c r="AC510" s="78" t="s">
        <v>3441</v>
      </c>
      <c r="AE510" t="b">
        <v>0</v>
      </c>
      <c r="AF510">
        <v>0</v>
      </c>
      <c r="AG510" s="78" t="s">
        <v>4643</v>
      </c>
      <c r="AH510" t="b">
        <v>1</v>
      </c>
      <c r="AI510" t="s">
        <v>4829</v>
      </c>
      <c r="AK510" s="78" t="s">
        <v>4830</v>
      </c>
      <c r="AL510" t="b">
        <v>0</v>
      </c>
      <c r="AM510">
        <v>0</v>
      </c>
      <c r="AN510" s="78" t="s">
        <v>4640</v>
      </c>
      <c r="AO510" s="78" t="s">
        <v>4852</v>
      </c>
      <c r="AP510" t="b">
        <v>0</v>
      </c>
      <c r="AQ510" s="78" t="s">
        <v>3441</v>
      </c>
      <c r="AR510" t="s">
        <v>179</v>
      </c>
      <c r="AS510">
        <v>0</v>
      </c>
      <c r="AT510">
        <v>0</v>
      </c>
    </row>
    <row r="511" spans="1:46" x14ac:dyDescent="0.45">
      <c r="A511" s="62" t="s">
        <v>223</v>
      </c>
      <c r="B511" s="62" t="s">
        <v>1114</v>
      </c>
      <c r="C511" s="63"/>
      <c r="D511" s="64"/>
      <c r="E511" s="65"/>
      <c r="F511" s="66"/>
      <c r="G511" s="63"/>
      <c r="H511" s="67"/>
      <c r="I511" s="68"/>
      <c r="J511" s="68"/>
      <c r="K511" s="32"/>
      <c r="L511" s="75"/>
      <c r="M511" s="75"/>
      <c r="N511" s="70"/>
      <c r="O511" t="s">
        <v>1567</v>
      </c>
      <c r="P511" s="76">
        <v>44958.299733796295</v>
      </c>
      <c r="Q511" t="s">
        <v>1577</v>
      </c>
      <c r="R511" s="77" t="str">
        <f>HYPERLINK("https://twitter.com/CREWcrew/status/1620663295005933570")</f>
        <v>https://twitter.com/CREWcrew/status/1620663295005933570</v>
      </c>
      <c r="S511" t="s">
        <v>2257</v>
      </c>
      <c r="V511" s="77" t="str">
        <f>HYPERLINK("https://pbs.twimg.com/profile_images/505824908337639424/5XztOYwe_normal.jpeg")</f>
        <v>https://pbs.twimg.com/profile_images/505824908337639424/5XztOYwe_normal.jpeg</v>
      </c>
      <c r="W511" s="76">
        <v>44958.299733796295</v>
      </c>
      <c r="X511" s="80">
        <v>44958</v>
      </c>
      <c r="Y511" s="78" t="s">
        <v>2426</v>
      </c>
      <c r="Z511" s="77" t="str">
        <f>HYPERLINK("https://twitter.com/jeanne_muenchau/status/1620681256542535681")</f>
        <v>https://twitter.com/jeanne_muenchau/status/1620681256542535681</v>
      </c>
      <c r="AC511" s="78" t="s">
        <v>3441</v>
      </c>
      <c r="AE511" t="b">
        <v>0</v>
      </c>
      <c r="AF511">
        <v>0</v>
      </c>
      <c r="AG511" s="78" t="s">
        <v>4643</v>
      </c>
      <c r="AH511" t="b">
        <v>1</v>
      </c>
      <c r="AI511" t="s">
        <v>4829</v>
      </c>
      <c r="AK511" s="78" t="s">
        <v>4830</v>
      </c>
      <c r="AL511" t="b">
        <v>0</v>
      </c>
      <c r="AM511">
        <v>0</v>
      </c>
      <c r="AN511" s="78" t="s">
        <v>4640</v>
      </c>
      <c r="AO511" s="78" t="s">
        <v>4852</v>
      </c>
      <c r="AP511" t="b">
        <v>0</v>
      </c>
      <c r="AQ511" s="78" t="s">
        <v>3441</v>
      </c>
      <c r="AR511" t="s">
        <v>179</v>
      </c>
      <c r="AS511">
        <v>0</v>
      </c>
      <c r="AT511">
        <v>0</v>
      </c>
    </row>
    <row r="512" spans="1:46" x14ac:dyDescent="0.45">
      <c r="A512" s="62" t="s">
        <v>260</v>
      </c>
      <c r="B512" s="62" t="s">
        <v>242</v>
      </c>
      <c r="C512" s="63"/>
      <c r="D512" s="64"/>
      <c r="E512" s="65"/>
      <c r="F512" s="66"/>
      <c r="G512" s="63"/>
      <c r="H512" s="67"/>
      <c r="I512" s="68"/>
      <c r="J512" s="68"/>
      <c r="K512" s="32"/>
      <c r="L512" s="75"/>
      <c r="M512" s="75"/>
      <c r="N512" s="70"/>
      <c r="O512" t="s">
        <v>1568</v>
      </c>
      <c r="P512" s="76">
        <v>44958.470520833333</v>
      </c>
      <c r="Q512" t="s">
        <v>1606</v>
      </c>
      <c r="R512" s="77" t="str">
        <f>HYPERLINK("https://twitter.com/valhallabckgirl/status/1620650941212139520")</f>
        <v>https://twitter.com/valhallabckgirl/status/1620650941212139520</v>
      </c>
      <c r="S512" t="s">
        <v>2257</v>
      </c>
      <c r="V512" s="77" t="str">
        <f>HYPERLINK("https://pbs.twimg.com/profile_images/1618569775738667010/4fzmt2YR_normal.jpg")</f>
        <v>https://pbs.twimg.com/profile_images/1618569775738667010/4fzmt2YR_normal.jpg</v>
      </c>
      <c r="W512" s="76">
        <v>44958.470520833333</v>
      </c>
      <c r="X512" s="80">
        <v>44958</v>
      </c>
      <c r="Y512" s="78" t="s">
        <v>2466</v>
      </c>
      <c r="Z512" s="77" t="str">
        <f>HYPERLINK("https://twitter.com/wild_fl0w3r_/status/1620743149441388550")</f>
        <v>https://twitter.com/wild_fl0w3r_/status/1620743149441388550</v>
      </c>
      <c r="AC512" s="78" t="s">
        <v>3481</v>
      </c>
      <c r="AE512" t="b">
        <v>0</v>
      </c>
      <c r="AF512">
        <v>0</v>
      </c>
      <c r="AG512" s="78" t="s">
        <v>4640</v>
      </c>
      <c r="AH512" t="b">
        <v>1</v>
      </c>
      <c r="AI512" t="s">
        <v>4829</v>
      </c>
      <c r="AK512" s="78" t="s">
        <v>4342</v>
      </c>
      <c r="AL512" t="b">
        <v>0</v>
      </c>
      <c r="AM512">
        <v>0</v>
      </c>
      <c r="AN512" s="78" t="s">
        <v>4640</v>
      </c>
      <c r="AO512" s="78" t="s">
        <v>4849</v>
      </c>
      <c r="AP512" t="b">
        <v>0</v>
      </c>
      <c r="AQ512" s="78" t="s">
        <v>3481</v>
      </c>
      <c r="AR512" t="s">
        <v>179</v>
      </c>
      <c r="AS512">
        <v>0</v>
      </c>
      <c r="AT512">
        <v>0</v>
      </c>
    </row>
    <row r="513" spans="1:54" x14ac:dyDescent="0.45">
      <c r="A513" s="62" t="s">
        <v>261</v>
      </c>
      <c r="B513" s="62" t="s">
        <v>242</v>
      </c>
      <c r="C513" s="63"/>
      <c r="D513" s="64"/>
      <c r="E513" s="65"/>
      <c r="F513" s="66"/>
      <c r="G513" s="63"/>
      <c r="H513" s="67"/>
      <c r="I513" s="68"/>
      <c r="J513" s="68"/>
      <c r="K513" s="32"/>
      <c r="L513" s="75"/>
      <c r="M513" s="75"/>
      <c r="N513" s="70"/>
      <c r="O513" t="s">
        <v>1568</v>
      </c>
      <c r="P513" s="76">
        <v>44958.475324074076</v>
      </c>
      <c r="Q513" t="s">
        <v>1607</v>
      </c>
      <c r="R513" s="77" t="str">
        <f>HYPERLINK("https://twitter.com/clownworld_/status/1620514002781765645")</f>
        <v>https://twitter.com/clownworld_/status/1620514002781765645</v>
      </c>
      <c r="S513" t="s">
        <v>2257</v>
      </c>
      <c r="V513" s="77" t="str">
        <f>HYPERLINK("https://pbs.twimg.com/profile_images/1613302994811985922/VvQ4UWVJ_normal.jpg")</f>
        <v>https://pbs.twimg.com/profile_images/1613302994811985922/VvQ4UWVJ_normal.jpg</v>
      </c>
      <c r="W513" s="76">
        <v>44958.475324074076</v>
      </c>
      <c r="X513" s="80">
        <v>44958</v>
      </c>
      <c r="Y513" s="78" t="s">
        <v>2467</v>
      </c>
      <c r="Z513" s="77" t="str">
        <f>HYPERLINK("https://twitter.com/justinzollars/status/1620744888999636993")</f>
        <v>https://twitter.com/justinzollars/status/1620744888999636993</v>
      </c>
      <c r="AC513" s="78" t="s">
        <v>3482</v>
      </c>
      <c r="AE513" t="b">
        <v>0</v>
      </c>
      <c r="AF513">
        <v>0</v>
      </c>
      <c r="AG513" s="78" t="s">
        <v>4640</v>
      </c>
      <c r="AH513" t="b">
        <v>1</v>
      </c>
      <c r="AI513" t="s">
        <v>4829</v>
      </c>
      <c r="AK513" s="78" t="s">
        <v>4831</v>
      </c>
      <c r="AL513" t="b">
        <v>0</v>
      </c>
      <c r="AM513">
        <v>0</v>
      </c>
      <c r="AN513" s="78" t="s">
        <v>4640</v>
      </c>
      <c r="AO513" s="78" t="s">
        <v>4849</v>
      </c>
      <c r="AP513" t="b">
        <v>0</v>
      </c>
      <c r="AQ513" s="78" t="s">
        <v>3482</v>
      </c>
      <c r="AR513" t="s">
        <v>179</v>
      </c>
      <c r="AS513">
        <v>0</v>
      </c>
      <c r="AT513">
        <v>0</v>
      </c>
    </row>
    <row r="514" spans="1:54" x14ac:dyDescent="0.45">
      <c r="A514" s="62" t="s">
        <v>271</v>
      </c>
      <c r="B514" s="62" t="s">
        <v>242</v>
      </c>
      <c r="C514" s="63"/>
      <c r="D514" s="64"/>
      <c r="E514" s="65"/>
      <c r="F514" s="66"/>
      <c r="G514" s="63"/>
      <c r="H514" s="67"/>
      <c r="I514" s="68"/>
      <c r="J514" s="68"/>
      <c r="K514" s="32"/>
      <c r="L514" s="75"/>
      <c r="M514" s="75"/>
      <c r="N514" s="70"/>
      <c r="O514" t="s">
        <v>1568</v>
      </c>
      <c r="P514" s="76">
        <v>44958.514317129629</v>
      </c>
      <c r="Q514" t="s">
        <v>1615</v>
      </c>
      <c r="R514" s="77" t="str">
        <f>HYPERLINK("https://twitter.com/clownworld_/status/1620589278458974208")</f>
        <v>https://twitter.com/clownworld_/status/1620589278458974208</v>
      </c>
      <c r="S514" t="s">
        <v>2257</v>
      </c>
      <c r="V514" s="77" t="str">
        <f>HYPERLINK("https://pbs.twimg.com/profile_images/1476365773077635072/369A6d4J_normal.jpg")</f>
        <v>https://pbs.twimg.com/profile_images/1476365773077635072/369A6d4J_normal.jpg</v>
      </c>
      <c r="W514" s="76">
        <v>44958.514317129629</v>
      </c>
      <c r="X514" s="80">
        <v>44958</v>
      </c>
      <c r="Y514" s="78" t="s">
        <v>2477</v>
      </c>
      <c r="Z514" s="77" t="str">
        <f>HYPERLINK("https://twitter.com/vickyverenzuela/status/1620759021816004609")</f>
        <v>https://twitter.com/vickyverenzuela/status/1620759021816004609</v>
      </c>
      <c r="AC514" s="78" t="s">
        <v>3492</v>
      </c>
      <c r="AE514" t="b">
        <v>0</v>
      </c>
      <c r="AF514">
        <v>0</v>
      </c>
      <c r="AG514" s="78" t="s">
        <v>4640</v>
      </c>
      <c r="AH514" t="b">
        <v>1</v>
      </c>
      <c r="AI514" t="s">
        <v>4829</v>
      </c>
      <c r="AK514" s="78" t="s">
        <v>4511</v>
      </c>
      <c r="AL514" t="b">
        <v>0</v>
      </c>
      <c r="AM514">
        <v>0</v>
      </c>
      <c r="AN514" s="78" t="s">
        <v>4640</v>
      </c>
      <c r="AO514" s="78" t="s">
        <v>4849</v>
      </c>
      <c r="AP514" t="b">
        <v>0</v>
      </c>
      <c r="AQ514" s="78" t="s">
        <v>3492</v>
      </c>
      <c r="AR514" t="s">
        <v>179</v>
      </c>
      <c r="AS514">
        <v>0</v>
      </c>
      <c r="AT514">
        <v>0</v>
      </c>
      <c r="AU514" t="s">
        <v>4876</v>
      </c>
      <c r="AV514" t="s">
        <v>4899</v>
      </c>
      <c r="AW514" t="s">
        <v>4901</v>
      </c>
      <c r="AX514" t="s">
        <v>4905</v>
      </c>
      <c r="AY514" t="s">
        <v>4930</v>
      </c>
      <c r="AZ514" t="s">
        <v>4955</v>
      </c>
      <c r="BA514" t="s">
        <v>4975</v>
      </c>
      <c r="BB514" s="77" t="str">
        <f>HYPERLINK("https://api.twitter.com/1.1/geo/id/a5b6bdd8008412b1.json")</f>
        <v>https://api.twitter.com/1.1/geo/id/a5b6bdd8008412b1.json</v>
      </c>
    </row>
    <row r="515" spans="1:54" x14ac:dyDescent="0.45">
      <c r="A515" s="62" t="s">
        <v>306</v>
      </c>
      <c r="B515" s="62" t="s">
        <v>1201</v>
      </c>
      <c r="C515" s="63"/>
      <c r="D515" s="64"/>
      <c r="E515" s="65"/>
      <c r="F515" s="66"/>
      <c r="G515" s="63"/>
      <c r="H515" s="67"/>
      <c r="I515" s="68"/>
      <c r="J515" s="68"/>
      <c r="K515" s="32"/>
      <c r="L515" s="75"/>
      <c r="M515" s="75"/>
      <c r="N515" s="70"/>
      <c r="O515" t="s">
        <v>1568</v>
      </c>
      <c r="P515" s="76">
        <v>44958.303067129629</v>
      </c>
      <c r="Q515" t="s">
        <v>1647</v>
      </c>
      <c r="R515" s="77" t="str">
        <f>HYPERLINK("https://twitter.com/Abdulwa09722526/status/1620662177534468096")</f>
        <v>https://twitter.com/Abdulwa09722526/status/1620662177534468096</v>
      </c>
      <c r="S515" t="s">
        <v>2257</v>
      </c>
      <c r="V515" s="77" t="str">
        <f>HYPERLINK("https://abs.twimg.com/sticky/default_profile_images/default_profile_normal.png")</f>
        <v>https://abs.twimg.com/sticky/default_profile_images/default_profile_normal.png</v>
      </c>
      <c r="W515" s="76">
        <v>44958.303067129629</v>
      </c>
      <c r="X515" s="80">
        <v>44958</v>
      </c>
      <c r="Y515" s="78" t="s">
        <v>2515</v>
      </c>
      <c r="Z515" s="77" t="str">
        <f>HYPERLINK("https://twitter.com/abdulwa09722526/status/1620682468356685824")</f>
        <v>https://twitter.com/abdulwa09722526/status/1620682468356685824</v>
      </c>
      <c r="AC515" s="78" t="s">
        <v>3530</v>
      </c>
      <c r="AE515" t="b">
        <v>0</v>
      </c>
      <c r="AF515">
        <v>0</v>
      </c>
      <c r="AG515" s="78" t="s">
        <v>4672</v>
      </c>
      <c r="AH515" t="b">
        <v>1</v>
      </c>
      <c r="AI515" t="s">
        <v>4829</v>
      </c>
      <c r="AK515" s="78" t="s">
        <v>4833</v>
      </c>
      <c r="AL515" t="b">
        <v>0</v>
      </c>
      <c r="AM515">
        <v>0</v>
      </c>
      <c r="AN515" s="78" t="s">
        <v>4640</v>
      </c>
      <c r="AO515" s="78" t="s">
        <v>4850</v>
      </c>
      <c r="AP515" t="b">
        <v>0</v>
      </c>
      <c r="AQ515" s="78" t="s">
        <v>3530</v>
      </c>
      <c r="AR515" t="s">
        <v>179</v>
      </c>
      <c r="AS515">
        <v>0</v>
      </c>
      <c r="AT515">
        <v>0</v>
      </c>
    </row>
    <row r="516" spans="1:54" x14ac:dyDescent="0.45">
      <c r="A516" s="62" t="s">
        <v>306</v>
      </c>
      <c r="B516" s="62" t="s">
        <v>1201</v>
      </c>
      <c r="C516" s="63"/>
      <c r="D516" s="64"/>
      <c r="E516" s="65"/>
      <c r="F516" s="66"/>
      <c r="G516" s="63"/>
      <c r="H516" s="67"/>
      <c r="I516" s="68"/>
      <c r="J516" s="68"/>
      <c r="K516" s="32"/>
      <c r="L516" s="75"/>
      <c r="M516" s="75"/>
      <c r="N516" s="70"/>
      <c r="O516" t="s">
        <v>1568</v>
      </c>
      <c r="P516" s="76">
        <v>44958.313796296294</v>
      </c>
      <c r="Q516" t="s">
        <v>1648</v>
      </c>
      <c r="R516" s="77" t="str">
        <f>HYPERLINK("https://twitter.com/Abdulwa09722526/status/1620682468356685824")</f>
        <v>https://twitter.com/Abdulwa09722526/status/1620682468356685824</v>
      </c>
      <c r="S516" t="s">
        <v>2257</v>
      </c>
      <c r="V516" s="77" t="str">
        <f>HYPERLINK("https://abs.twimg.com/sticky/default_profile_images/default_profile_normal.png")</f>
        <v>https://abs.twimg.com/sticky/default_profile_images/default_profile_normal.png</v>
      </c>
      <c r="W516" s="76">
        <v>44958.313796296294</v>
      </c>
      <c r="X516" s="80">
        <v>44958</v>
      </c>
      <c r="Y516" s="78" t="s">
        <v>2516</v>
      </c>
      <c r="Z516" s="77" t="str">
        <f>HYPERLINK("https://twitter.com/abdulwa09722526/status/1620686353116839937")</f>
        <v>https://twitter.com/abdulwa09722526/status/1620686353116839937</v>
      </c>
      <c r="AC516" s="78" t="s">
        <v>3531</v>
      </c>
      <c r="AE516" t="b">
        <v>0</v>
      </c>
      <c r="AF516">
        <v>0</v>
      </c>
      <c r="AG516" s="78" t="s">
        <v>4672</v>
      </c>
      <c r="AH516" t="b">
        <v>1</v>
      </c>
      <c r="AI516" t="s">
        <v>4829</v>
      </c>
      <c r="AK516" s="78" t="s">
        <v>3530</v>
      </c>
      <c r="AL516" t="b">
        <v>0</v>
      </c>
      <c r="AM516">
        <v>0</v>
      </c>
      <c r="AN516" s="78" t="s">
        <v>4640</v>
      </c>
      <c r="AO516" s="78" t="s">
        <v>4850</v>
      </c>
      <c r="AP516" t="b">
        <v>0</v>
      </c>
      <c r="AQ516" s="78" t="s">
        <v>3531</v>
      </c>
      <c r="AR516" t="s">
        <v>179</v>
      </c>
      <c r="AS516">
        <v>0</v>
      </c>
      <c r="AT516">
        <v>0</v>
      </c>
    </row>
    <row r="517" spans="1:54" x14ac:dyDescent="0.45">
      <c r="A517" s="62" t="s">
        <v>306</v>
      </c>
      <c r="B517" s="62" t="s">
        <v>1201</v>
      </c>
      <c r="C517" s="63"/>
      <c r="D517" s="64"/>
      <c r="E517" s="65"/>
      <c r="F517" s="66"/>
      <c r="G517" s="63"/>
      <c r="H517" s="67"/>
      <c r="I517" s="68"/>
      <c r="J517" s="68"/>
      <c r="K517" s="32"/>
      <c r="L517" s="75"/>
      <c r="M517" s="75"/>
      <c r="N517" s="70"/>
      <c r="O517" t="s">
        <v>1568</v>
      </c>
      <c r="P517" s="76">
        <v>44958.432974537034</v>
      </c>
      <c r="Q517" t="s">
        <v>1649</v>
      </c>
      <c r="R517" s="77" t="str">
        <f>HYPERLINK("https://twitter.com/Abdulwa09722526/status/1620686353116839937")</f>
        <v>https://twitter.com/Abdulwa09722526/status/1620686353116839937</v>
      </c>
      <c r="S517" t="s">
        <v>2257</v>
      </c>
      <c r="V517" s="77" t="str">
        <f>HYPERLINK("https://abs.twimg.com/sticky/default_profile_images/default_profile_normal.png")</f>
        <v>https://abs.twimg.com/sticky/default_profile_images/default_profile_normal.png</v>
      </c>
      <c r="W517" s="76">
        <v>44958.432974537034</v>
      </c>
      <c r="X517" s="80">
        <v>44958</v>
      </c>
      <c r="Y517" s="78" t="s">
        <v>2517</v>
      </c>
      <c r="Z517" s="77" t="str">
        <f>HYPERLINK("https://twitter.com/abdulwa09722526/status/1620729542758498304")</f>
        <v>https://twitter.com/abdulwa09722526/status/1620729542758498304</v>
      </c>
      <c r="AC517" s="78" t="s">
        <v>3532</v>
      </c>
      <c r="AE517" t="b">
        <v>0</v>
      </c>
      <c r="AF517">
        <v>0</v>
      </c>
      <c r="AG517" s="78" t="s">
        <v>4672</v>
      </c>
      <c r="AH517" t="b">
        <v>1</v>
      </c>
      <c r="AI517" t="s">
        <v>4829</v>
      </c>
      <c r="AK517" s="78" t="s">
        <v>3531</v>
      </c>
      <c r="AL517" t="b">
        <v>0</v>
      </c>
      <c r="AM517">
        <v>0</v>
      </c>
      <c r="AN517" s="78" t="s">
        <v>4640</v>
      </c>
      <c r="AO517" s="78" t="s">
        <v>4850</v>
      </c>
      <c r="AP517" t="b">
        <v>0</v>
      </c>
      <c r="AQ517" s="78" t="s">
        <v>3532</v>
      </c>
      <c r="AR517" t="s">
        <v>179</v>
      </c>
      <c r="AS517">
        <v>0</v>
      </c>
      <c r="AT517">
        <v>0</v>
      </c>
    </row>
    <row r="518" spans="1:54" x14ac:dyDescent="0.45">
      <c r="A518" s="62" t="s">
        <v>306</v>
      </c>
      <c r="B518" s="62" t="s">
        <v>1202</v>
      </c>
      <c r="C518" s="63"/>
      <c r="D518" s="64"/>
      <c r="E518" s="65"/>
      <c r="F518" s="66"/>
      <c r="G518" s="63"/>
      <c r="H518" s="67"/>
      <c r="I518" s="68"/>
      <c r="J518" s="68"/>
      <c r="K518" s="32"/>
      <c r="L518" s="75"/>
      <c r="M518" s="75"/>
      <c r="N518" s="70"/>
      <c r="O518" t="s">
        <v>1568</v>
      </c>
      <c r="P518" s="76">
        <v>44958.303067129629</v>
      </c>
      <c r="Q518" t="s">
        <v>1647</v>
      </c>
      <c r="R518" s="77" t="str">
        <f>HYPERLINK("https://twitter.com/Abdulwa09722526/status/1620662177534468096")</f>
        <v>https://twitter.com/Abdulwa09722526/status/1620662177534468096</v>
      </c>
      <c r="S518" t="s">
        <v>2257</v>
      </c>
      <c r="V518" s="77" t="str">
        <f>HYPERLINK("https://abs.twimg.com/sticky/default_profile_images/default_profile_normal.png")</f>
        <v>https://abs.twimg.com/sticky/default_profile_images/default_profile_normal.png</v>
      </c>
      <c r="W518" s="76">
        <v>44958.303067129629</v>
      </c>
      <c r="X518" s="80">
        <v>44958</v>
      </c>
      <c r="Y518" s="78" t="s">
        <v>2515</v>
      </c>
      <c r="Z518" s="77" t="str">
        <f>HYPERLINK("https://twitter.com/abdulwa09722526/status/1620682468356685824")</f>
        <v>https://twitter.com/abdulwa09722526/status/1620682468356685824</v>
      </c>
      <c r="AC518" s="78" t="s">
        <v>3530</v>
      </c>
      <c r="AE518" t="b">
        <v>0</v>
      </c>
      <c r="AF518">
        <v>0</v>
      </c>
      <c r="AG518" s="78" t="s">
        <v>4672</v>
      </c>
      <c r="AH518" t="b">
        <v>1</v>
      </c>
      <c r="AI518" t="s">
        <v>4829</v>
      </c>
      <c r="AK518" s="78" t="s">
        <v>4833</v>
      </c>
      <c r="AL518" t="b">
        <v>0</v>
      </c>
      <c r="AM518">
        <v>0</v>
      </c>
      <c r="AN518" s="78" t="s">
        <v>4640</v>
      </c>
      <c r="AO518" s="78" t="s">
        <v>4850</v>
      </c>
      <c r="AP518" t="b">
        <v>0</v>
      </c>
      <c r="AQ518" s="78" t="s">
        <v>3530</v>
      </c>
      <c r="AR518" t="s">
        <v>179</v>
      </c>
      <c r="AS518">
        <v>0</v>
      </c>
      <c r="AT518">
        <v>0</v>
      </c>
    </row>
    <row r="519" spans="1:54" x14ac:dyDescent="0.45">
      <c r="A519" s="62" t="s">
        <v>306</v>
      </c>
      <c r="B519" s="62" t="s">
        <v>1203</v>
      </c>
      <c r="C519" s="63"/>
      <c r="D519" s="64"/>
      <c r="E519" s="65"/>
      <c r="F519" s="66"/>
      <c r="G519" s="63"/>
      <c r="H519" s="67"/>
      <c r="I519" s="68"/>
      <c r="J519" s="68"/>
      <c r="K519" s="32"/>
      <c r="L519" s="75"/>
      <c r="M519" s="75"/>
      <c r="N519" s="70"/>
      <c r="O519" t="s">
        <v>1568</v>
      </c>
      <c r="P519" s="76">
        <v>44958.303067129629</v>
      </c>
      <c r="Q519" t="s">
        <v>1647</v>
      </c>
      <c r="R519" s="77" t="str">
        <f>HYPERLINK("https://twitter.com/Abdulwa09722526/status/1620662177534468096")</f>
        <v>https://twitter.com/Abdulwa09722526/status/1620662177534468096</v>
      </c>
      <c r="S519" t="s">
        <v>2257</v>
      </c>
      <c r="V519" s="77" t="str">
        <f>HYPERLINK("https://abs.twimg.com/sticky/default_profile_images/default_profile_normal.png")</f>
        <v>https://abs.twimg.com/sticky/default_profile_images/default_profile_normal.png</v>
      </c>
      <c r="W519" s="76">
        <v>44958.303067129629</v>
      </c>
      <c r="X519" s="80">
        <v>44958</v>
      </c>
      <c r="Y519" s="78" t="s">
        <v>2515</v>
      </c>
      <c r="Z519" s="77" t="str">
        <f>HYPERLINK("https://twitter.com/abdulwa09722526/status/1620682468356685824")</f>
        <v>https://twitter.com/abdulwa09722526/status/1620682468356685824</v>
      </c>
      <c r="AC519" s="78" t="s">
        <v>3530</v>
      </c>
      <c r="AE519" t="b">
        <v>0</v>
      </c>
      <c r="AF519">
        <v>0</v>
      </c>
      <c r="AG519" s="78" t="s">
        <v>4672</v>
      </c>
      <c r="AH519" t="b">
        <v>1</v>
      </c>
      <c r="AI519" t="s">
        <v>4829</v>
      </c>
      <c r="AK519" s="78" t="s">
        <v>4833</v>
      </c>
      <c r="AL519" t="b">
        <v>0</v>
      </c>
      <c r="AM519">
        <v>0</v>
      </c>
      <c r="AN519" s="78" t="s">
        <v>4640</v>
      </c>
      <c r="AO519" s="78" t="s">
        <v>4850</v>
      </c>
      <c r="AP519" t="b">
        <v>0</v>
      </c>
      <c r="AQ519" s="78" t="s">
        <v>3530</v>
      </c>
      <c r="AR519" t="s">
        <v>179</v>
      </c>
      <c r="AS519">
        <v>0</v>
      </c>
      <c r="AT519">
        <v>0</v>
      </c>
    </row>
    <row r="520" spans="1:54" x14ac:dyDescent="0.45">
      <c r="A520" s="62" t="s">
        <v>306</v>
      </c>
      <c r="B520" s="62" t="s">
        <v>1204</v>
      </c>
      <c r="C520" s="63"/>
      <c r="D520" s="64"/>
      <c r="E520" s="65"/>
      <c r="F520" s="66"/>
      <c r="G520" s="63"/>
      <c r="H520" s="67"/>
      <c r="I520" s="68"/>
      <c r="J520" s="68"/>
      <c r="K520" s="32"/>
      <c r="L520" s="75"/>
      <c r="M520" s="75"/>
      <c r="N520" s="70"/>
      <c r="O520" t="s">
        <v>1568</v>
      </c>
      <c r="P520" s="76">
        <v>44958.303067129629</v>
      </c>
      <c r="Q520" t="s">
        <v>1647</v>
      </c>
      <c r="R520" s="77" t="str">
        <f>HYPERLINK("https://twitter.com/Abdulwa09722526/status/1620662177534468096")</f>
        <v>https://twitter.com/Abdulwa09722526/status/1620662177534468096</v>
      </c>
      <c r="S520" t="s">
        <v>2257</v>
      </c>
      <c r="V520" s="77" t="str">
        <f>HYPERLINK("https://abs.twimg.com/sticky/default_profile_images/default_profile_normal.png")</f>
        <v>https://abs.twimg.com/sticky/default_profile_images/default_profile_normal.png</v>
      </c>
      <c r="W520" s="76">
        <v>44958.303067129629</v>
      </c>
      <c r="X520" s="80">
        <v>44958</v>
      </c>
      <c r="Y520" s="78" t="s">
        <v>2515</v>
      </c>
      <c r="Z520" s="77" t="str">
        <f>HYPERLINK("https://twitter.com/abdulwa09722526/status/1620682468356685824")</f>
        <v>https://twitter.com/abdulwa09722526/status/1620682468356685824</v>
      </c>
      <c r="AC520" s="78" t="s">
        <v>3530</v>
      </c>
      <c r="AE520" t="b">
        <v>0</v>
      </c>
      <c r="AF520">
        <v>0</v>
      </c>
      <c r="AG520" s="78" t="s">
        <v>4672</v>
      </c>
      <c r="AH520" t="b">
        <v>1</v>
      </c>
      <c r="AI520" t="s">
        <v>4829</v>
      </c>
      <c r="AK520" s="78" t="s">
        <v>4833</v>
      </c>
      <c r="AL520" t="b">
        <v>0</v>
      </c>
      <c r="AM520">
        <v>0</v>
      </c>
      <c r="AN520" s="78" t="s">
        <v>4640</v>
      </c>
      <c r="AO520" s="78" t="s">
        <v>4850</v>
      </c>
      <c r="AP520" t="b">
        <v>0</v>
      </c>
      <c r="AQ520" s="78" t="s">
        <v>3530</v>
      </c>
      <c r="AR520" t="s">
        <v>179</v>
      </c>
      <c r="AS520">
        <v>0</v>
      </c>
      <c r="AT520">
        <v>0</v>
      </c>
    </row>
    <row r="521" spans="1:54" x14ac:dyDescent="0.45">
      <c r="A521" s="62" t="s">
        <v>306</v>
      </c>
      <c r="B521" s="62" t="s">
        <v>1205</v>
      </c>
      <c r="C521" s="63"/>
      <c r="D521" s="64"/>
      <c r="E521" s="65"/>
      <c r="F521" s="66"/>
      <c r="G521" s="63"/>
      <c r="H521" s="67"/>
      <c r="I521" s="68"/>
      <c r="J521" s="68"/>
      <c r="K521" s="32"/>
      <c r="L521" s="75"/>
      <c r="M521" s="75"/>
      <c r="N521" s="70"/>
      <c r="O521" t="s">
        <v>1568</v>
      </c>
      <c r="P521" s="76">
        <v>44958.303067129629</v>
      </c>
      <c r="Q521" t="s">
        <v>1647</v>
      </c>
      <c r="R521" s="77" t="str">
        <f>HYPERLINK("https://twitter.com/Abdulwa09722526/status/1620662177534468096")</f>
        <v>https://twitter.com/Abdulwa09722526/status/1620662177534468096</v>
      </c>
      <c r="S521" t="s">
        <v>2257</v>
      </c>
      <c r="V521" s="77" t="str">
        <f>HYPERLINK("https://abs.twimg.com/sticky/default_profile_images/default_profile_normal.png")</f>
        <v>https://abs.twimg.com/sticky/default_profile_images/default_profile_normal.png</v>
      </c>
      <c r="W521" s="76">
        <v>44958.303067129629</v>
      </c>
      <c r="X521" s="80">
        <v>44958</v>
      </c>
      <c r="Y521" s="78" t="s">
        <v>2515</v>
      </c>
      <c r="Z521" s="77" t="str">
        <f>HYPERLINK("https://twitter.com/abdulwa09722526/status/1620682468356685824")</f>
        <v>https://twitter.com/abdulwa09722526/status/1620682468356685824</v>
      </c>
      <c r="AC521" s="78" t="s">
        <v>3530</v>
      </c>
      <c r="AE521" t="b">
        <v>0</v>
      </c>
      <c r="AF521">
        <v>0</v>
      </c>
      <c r="AG521" s="78" t="s">
        <v>4672</v>
      </c>
      <c r="AH521" t="b">
        <v>1</v>
      </c>
      <c r="AI521" t="s">
        <v>4829</v>
      </c>
      <c r="AK521" s="78" t="s">
        <v>4833</v>
      </c>
      <c r="AL521" t="b">
        <v>0</v>
      </c>
      <c r="AM521">
        <v>0</v>
      </c>
      <c r="AN521" s="78" t="s">
        <v>4640</v>
      </c>
      <c r="AO521" s="78" t="s">
        <v>4850</v>
      </c>
      <c r="AP521" t="b">
        <v>0</v>
      </c>
      <c r="AQ521" s="78" t="s">
        <v>3530</v>
      </c>
      <c r="AR521" t="s">
        <v>179</v>
      </c>
      <c r="AS521">
        <v>0</v>
      </c>
      <c r="AT521">
        <v>0</v>
      </c>
    </row>
    <row r="522" spans="1:54" x14ac:dyDescent="0.45">
      <c r="A522" s="62" t="s">
        <v>306</v>
      </c>
      <c r="B522" s="62" t="s">
        <v>242</v>
      </c>
      <c r="C522" s="63"/>
      <c r="D522" s="64"/>
      <c r="E522" s="65"/>
      <c r="F522" s="66"/>
      <c r="G522" s="63"/>
      <c r="H522" s="67"/>
      <c r="I522" s="68"/>
      <c r="J522" s="68"/>
      <c r="K522" s="32"/>
      <c r="L522" s="75"/>
      <c r="M522" s="75"/>
      <c r="N522" s="70"/>
      <c r="O522" t="s">
        <v>1568</v>
      </c>
      <c r="P522" s="76">
        <v>44958.303067129629</v>
      </c>
      <c r="Q522" t="s">
        <v>1647</v>
      </c>
      <c r="R522" s="77" t="str">
        <f>HYPERLINK("https://twitter.com/Abdulwa09722526/status/1620662177534468096")</f>
        <v>https://twitter.com/Abdulwa09722526/status/1620662177534468096</v>
      </c>
      <c r="S522" t="s">
        <v>2257</v>
      </c>
      <c r="V522" s="77" t="str">
        <f>HYPERLINK("https://abs.twimg.com/sticky/default_profile_images/default_profile_normal.png")</f>
        <v>https://abs.twimg.com/sticky/default_profile_images/default_profile_normal.png</v>
      </c>
      <c r="W522" s="76">
        <v>44958.303067129629</v>
      </c>
      <c r="X522" s="80">
        <v>44958</v>
      </c>
      <c r="Y522" s="78" t="s">
        <v>2515</v>
      </c>
      <c r="Z522" s="77" t="str">
        <f>HYPERLINK("https://twitter.com/abdulwa09722526/status/1620682468356685824")</f>
        <v>https://twitter.com/abdulwa09722526/status/1620682468356685824</v>
      </c>
      <c r="AC522" s="78" t="s">
        <v>3530</v>
      </c>
      <c r="AE522" t="b">
        <v>0</v>
      </c>
      <c r="AF522">
        <v>0</v>
      </c>
      <c r="AG522" s="78" t="s">
        <v>4672</v>
      </c>
      <c r="AH522" t="b">
        <v>1</v>
      </c>
      <c r="AI522" t="s">
        <v>4829</v>
      </c>
      <c r="AK522" s="78" t="s">
        <v>4833</v>
      </c>
      <c r="AL522" t="b">
        <v>0</v>
      </c>
      <c r="AM522">
        <v>0</v>
      </c>
      <c r="AN522" s="78" t="s">
        <v>4640</v>
      </c>
      <c r="AO522" s="78" t="s">
        <v>4850</v>
      </c>
      <c r="AP522" t="b">
        <v>0</v>
      </c>
      <c r="AQ522" s="78" t="s">
        <v>3530</v>
      </c>
      <c r="AR522" t="s">
        <v>179</v>
      </c>
      <c r="AS522">
        <v>0</v>
      </c>
      <c r="AT522">
        <v>0</v>
      </c>
    </row>
    <row r="523" spans="1:54" x14ac:dyDescent="0.45">
      <c r="A523" s="62" t="s">
        <v>306</v>
      </c>
      <c r="B523" s="62" t="s">
        <v>1110</v>
      </c>
      <c r="C523" s="63"/>
      <c r="D523" s="64"/>
      <c r="E523" s="65"/>
      <c r="F523" s="66"/>
      <c r="G523" s="63"/>
      <c r="H523" s="67"/>
      <c r="I523" s="68"/>
      <c r="J523" s="68"/>
      <c r="K523" s="32"/>
      <c r="L523" s="75"/>
      <c r="M523" s="75"/>
      <c r="N523" s="70"/>
      <c r="O523" t="s">
        <v>1568</v>
      </c>
      <c r="P523" s="76">
        <v>44958.303067129629</v>
      </c>
      <c r="Q523" t="s">
        <v>1647</v>
      </c>
      <c r="R523" s="77" t="str">
        <f>HYPERLINK("https://twitter.com/Abdulwa09722526/status/1620662177534468096")</f>
        <v>https://twitter.com/Abdulwa09722526/status/1620662177534468096</v>
      </c>
      <c r="S523" t="s">
        <v>2257</v>
      </c>
      <c r="V523" s="77" t="str">
        <f>HYPERLINK("https://abs.twimg.com/sticky/default_profile_images/default_profile_normal.png")</f>
        <v>https://abs.twimg.com/sticky/default_profile_images/default_profile_normal.png</v>
      </c>
      <c r="W523" s="76">
        <v>44958.303067129629</v>
      </c>
      <c r="X523" s="80">
        <v>44958</v>
      </c>
      <c r="Y523" s="78" t="s">
        <v>2515</v>
      </c>
      <c r="Z523" s="77" t="str">
        <f>HYPERLINK("https://twitter.com/abdulwa09722526/status/1620682468356685824")</f>
        <v>https://twitter.com/abdulwa09722526/status/1620682468356685824</v>
      </c>
      <c r="AC523" s="78" t="s">
        <v>3530</v>
      </c>
      <c r="AE523" t="b">
        <v>0</v>
      </c>
      <c r="AF523">
        <v>0</v>
      </c>
      <c r="AG523" s="78" t="s">
        <v>4672</v>
      </c>
      <c r="AH523" t="b">
        <v>1</v>
      </c>
      <c r="AI523" t="s">
        <v>4829</v>
      </c>
      <c r="AK523" s="78" t="s">
        <v>4833</v>
      </c>
      <c r="AL523" t="b">
        <v>0</v>
      </c>
      <c r="AM523">
        <v>0</v>
      </c>
      <c r="AN523" s="78" t="s">
        <v>4640</v>
      </c>
      <c r="AO523" s="78" t="s">
        <v>4850</v>
      </c>
      <c r="AP523" t="b">
        <v>0</v>
      </c>
      <c r="AQ523" s="78" t="s">
        <v>3530</v>
      </c>
      <c r="AR523" t="s">
        <v>179</v>
      </c>
      <c r="AS523">
        <v>0</v>
      </c>
      <c r="AT523">
        <v>0</v>
      </c>
    </row>
    <row r="524" spans="1:54" x14ac:dyDescent="0.45">
      <c r="A524" s="62" t="s">
        <v>306</v>
      </c>
      <c r="B524" s="62" t="s">
        <v>1109</v>
      </c>
      <c r="C524" s="63"/>
      <c r="D524" s="64"/>
      <c r="E524" s="65"/>
      <c r="F524" s="66"/>
      <c r="G524" s="63"/>
      <c r="H524" s="67"/>
      <c r="I524" s="68"/>
      <c r="J524" s="68"/>
      <c r="K524" s="32"/>
      <c r="L524" s="75"/>
      <c r="M524" s="75"/>
      <c r="N524" s="70"/>
      <c r="O524" t="s">
        <v>1567</v>
      </c>
      <c r="P524" s="76">
        <v>44958.303067129629</v>
      </c>
      <c r="Q524" t="s">
        <v>1647</v>
      </c>
      <c r="R524" s="77" t="str">
        <f>HYPERLINK("https://twitter.com/Abdulwa09722526/status/1620662177534468096")</f>
        <v>https://twitter.com/Abdulwa09722526/status/1620662177534468096</v>
      </c>
      <c r="S524" t="s">
        <v>2257</v>
      </c>
      <c r="V524" s="77" t="str">
        <f>HYPERLINK("https://abs.twimg.com/sticky/default_profile_images/default_profile_normal.png")</f>
        <v>https://abs.twimg.com/sticky/default_profile_images/default_profile_normal.png</v>
      </c>
      <c r="W524" s="76">
        <v>44958.303067129629</v>
      </c>
      <c r="X524" s="80">
        <v>44958</v>
      </c>
      <c r="Y524" s="78" t="s">
        <v>2515</v>
      </c>
      <c r="Z524" s="77" t="str">
        <f>HYPERLINK("https://twitter.com/abdulwa09722526/status/1620682468356685824")</f>
        <v>https://twitter.com/abdulwa09722526/status/1620682468356685824</v>
      </c>
      <c r="AC524" s="78" t="s">
        <v>3530</v>
      </c>
      <c r="AE524" t="b">
        <v>0</v>
      </c>
      <c r="AF524">
        <v>0</v>
      </c>
      <c r="AG524" s="78" t="s">
        <v>4672</v>
      </c>
      <c r="AH524" t="b">
        <v>1</v>
      </c>
      <c r="AI524" t="s">
        <v>4829</v>
      </c>
      <c r="AK524" s="78" t="s">
        <v>4833</v>
      </c>
      <c r="AL524" t="b">
        <v>0</v>
      </c>
      <c r="AM524">
        <v>0</v>
      </c>
      <c r="AN524" s="78" t="s">
        <v>4640</v>
      </c>
      <c r="AO524" s="78" t="s">
        <v>4850</v>
      </c>
      <c r="AP524" t="b">
        <v>0</v>
      </c>
      <c r="AQ524" s="78" t="s">
        <v>3530</v>
      </c>
      <c r="AR524" t="s">
        <v>179</v>
      </c>
      <c r="AS524">
        <v>0</v>
      </c>
      <c r="AT524">
        <v>0</v>
      </c>
    </row>
    <row r="525" spans="1:54" x14ac:dyDescent="0.45">
      <c r="A525" s="62" t="s">
        <v>306</v>
      </c>
      <c r="B525" s="62" t="s">
        <v>1202</v>
      </c>
      <c r="C525" s="63"/>
      <c r="D525" s="64"/>
      <c r="E525" s="65"/>
      <c r="F525" s="66"/>
      <c r="G525" s="63"/>
      <c r="H525" s="67"/>
      <c r="I525" s="68"/>
      <c r="J525" s="68"/>
      <c r="K525" s="32"/>
      <c r="L525" s="75"/>
      <c r="M525" s="75"/>
      <c r="N525" s="70"/>
      <c r="O525" t="s">
        <v>1568</v>
      </c>
      <c r="P525" s="76">
        <v>44958.313796296294</v>
      </c>
      <c r="Q525" t="s">
        <v>1648</v>
      </c>
      <c r="R525" s="77" t="str">
        <f>HYPERLINK("https://twitter.com/Abdulwa09722526/status/1620682468356685824")</f>
        <v>https://twitter.com/Abdulwa09722526/status/1620682468356685824</v>
      </c>
      <c r="S525" t="s">
        <v>2257</v>
      </c>
      <c r="V525" s="77" t="str">
        <f>HYPERLINK("https://abs.twimg.com/sticky/default_profile_images/default_profile_normal.png")</f>
        <v>https://abs.twimg.com/sticky/default_profile_images/default_profile_normal.png</v>
      </c>
      <c r="W525" s="76">
        <v>44958.313796296294</v>
      </c>
      <c r="X525" s="80">
        <v>44958</v>
      </c>
      <c r="Y525" s="78" t="s">
        <v>2516</v>
      </c>
      <c r="Z525" s="77" t="str">
        <f>HYPERLINK("https://twitter.com/abdulwa09722526/status/1620686353116839937")</f>
        <v>https://twitter.com/abdulwa09722526/status/1620686353116839937</v>
      </c>
      <c r="AC525" s="78" t="s">
        <v>3531</v>
      </c>
      <c r="AE525" t="b">
        <v>0</v>
      </c>
      <c r="AF525">
        <v>0</v>
      </c>
      <c r="AG525" s="78" t="s">
        <v>4672</v>
      </c>
      <c r="AH525" t="b">
        <v>1</v>
      </c>
      <c r="AI525" t="s">
        <v>4829</v>
      </c>
      <c r="AK525" s="78" t="s">
        <v>3530</v>
      </c>
      <c r="AL525" t="b">
        <v>0</v>
      </c>
      <c r="AM525">
        <v>0</v>
      </c>
      <c r="AN525" s="78" t="s">
        <v>4640</v>
      </c>
      <c r="AO525" s="78" t="s">
        <v>4850</v>
      </c>
      <c r="AP525" t="b">
        <v>0</v>
      </c>
      <c r="AQ525" s="78" t="s">
        <v>3531</v>
      </c>
      <c r="AR525" t="s">
        <v>179</v>
      </c>
      <c r="AS525">
        <v>0</v>
      </c>
      <c r="AT525">
        <v>0</v>
      </c>
    </row>
    <row r="526" spans="1:54" x14ac:dyDescent="0.45">
      <c r="A526" s="62" t="s">
        <v>306</v>
      </c>
      <c r="B526" s="62" t="s">
        <v>1203</v>
      </c>
      <c r="C526" s="63"/>
      <c r="D526" s="64"/>
      <c r="E526" s="65"/>
      <c r="F526" s="66"/>
      <c r="G526" s="63"/>
      <c r="H526" s="67"/>
      <c r="I526" s="68"/>
      <c r="J526" s="68"/>
      <c r="K526" s="32"/>
      <c r="L526" s="75"/>
      <c r="M526" s="75"/>
      <c r="N526" s="70"/>
      <c r="O526" t="s">
        <v>1568</v>
      </c>
      <c r="P526" s="76">
        <v>44958.313796296294</v>
      </c>
      <c r="Q526" t="s">
        <v>1648</v>
      </c>
      <c r="R526" s="77" t="str">
        <f>HYPERLINK("https://twitter.com/Abdulwa09722526/status/1620682468356685824")</f>
        <v>https://twitter.com/Abdulwa09722526/status/1620682468356685824</v>
      </c>
      <c r="S526" t="s">
        <v>2257</v>
      </c>
      <c r="V526" s="77" t="str">
        <f>HYPERLINK("https://abs.twimg.com/sticky/default_profile_images/default_profile_normal.png")</f>
        <v>https://abs.twimg.com/sticky/default_profile_images/default_profile_normal.png</v>
      </c>
      <c r="W526" s="76">
        <v>44958.313796296294</v>
      </c>
      <c r="X526" s="80">
        <v>44958</v>
      </c>
      <c r="Y526" s="78" t="s">
        <v>2516</v>
      </c>
      <c r="Z526" s="77" t="str">
        <f>HYPERLINK("https://twitter.com/abdulwa09722526/status/1620686353116839937")</f>
        <v>https://twitter.com/abdulwa09722526/status/1620686353116839937</v>
      </c>
      <c r="AC526" s="78" t="s">
        <v>3531</v>
      </c>
      <c r="AE526" t="b">
        <v>0</v>
      </c>
      <c r="AF526">
        <v>0</v>
      </c>
      <c r="AG526" s="78" t="s">
        <v>4672</v>
      </c>
      <c r="AH526" t="b">
        <v>1</v>
      </c>
      <c r="AI526" t="s">
        <v>4829</v>
      </c>
      <c r="AK526" s="78" t="s">
        <v>3530</v>
      </c>
      <c r="AL526" t="b">
        <v>0</v>
      </c>
      <c r="AM526">
        <v>0</v>
      </c>
      <c r="AN526" s="78" t="s">
        <v>4640</v>
      </c>
      <c r="AO526" s="78" t="s">
        <v>4850</v>
      </c>
      <c r="AP526" t="b">
        <v>0</v>
      </c>
      <c r="AQ526" s="78" t="s">
        <v>3531</v>
      </c>
      <c r="AR526" t="s">
        <v>179</v>
      </c>
      <c r="AS526">
        <v>0</v>
      </c>
      <c r="AT526">
        <v>0</v>
      </c>
    </row>
    <row r="527" spans="1:54" x14ac:dyDescent="0.45">
      <c r="A527" s="62" t="s">
        <v>306</v>
      </c>
      <c r="B527" s="62" t="s">
        <v>1204</v>
      </c>
      <c r="C527" s="63"/>
      <c r="D527" s="64"/>
      <c r="E527" s="65"/>
      <c r="F527" s="66"/>
      <c r="G527" s="63"/>
      <c r="H527" s="67"/>
      <c r="I527" s="68"/>
      <c r="J527" s="68"/>
      <c r="K527" s="32"/>
      <c r="L527" s="75"/>
      <c r="M527" s="75"/>
      <c r="N527" s="70"/>
      <c r="O527" t="s">
        <v>1568</v>
      </c>
      <c r="P527" s="76">
        <v>44958.313796296294</v>
      </c>
      <c r="Q527" t="s">
        <v>1648</v>
      </c>
      <c r="R527" s="77" t="str">
        <f>HYPERLINK("https://twitter.com/Abdulwa09722526/status/1620682468356685824")</f>
        <v>https://twitter.com/Abdulwa09722526/status/1620682468356685824</v>
      </c>
      <c r="S527" t="s">
        <v>2257</v>
      </c>
      <c r="V527" s="77" t="str">
        <f>HYPERLINK("https://abs.twimg.com/sticky/default_profile_images/default_profile_normal.png")</f>
        <v>https://abs.twimg.com/sticky/default_profile_images/default_profile_normal.png</v>
      </c>
      <c r="W527" s="76">
        <v>44958.313796296294</v>
      </c>
      <c r="X527" s="80">
        <v>44958</v>
      </c>
      <c r="Y527" s="78" t="s">
        <v>2516</v>
      </c>
      <c r="Z527" s="77" t="str">
        <f>HYPERLINK("https://twitter.com/abdulwa09722526/status/1620686353116839937")</f>
        <v>https://twitter.com/abdulwa09722526/status/1620686353116839937</v>
      </c>
      <c r="AC527" s="78" t="s">
        <v>3531</v>
      </c>
      <c r="AE527" t="b">
        <v>0</v>
      </c>
      <c r="AF527">
        <v>0</v>
      </c>
      <c r="AG527" s="78" t="s">
        <v>4672</v>
      </c>
      <c r="AH527" t="b">
        <v>1</v>
      </c>
      <c r="AI527" t="s">
        <v>4829</v>
      </c>
      <c r="AK527" s="78" t="s">
        <v>3530</v>
      </c>
      <c r="AL527" t="b">
        <v>0</v>
      </c>
      <c r="AM527">
        <v>0</v>
      </c>
      <c r="AN527" s="78" t="s">
        <v>4640</v>
      </c>
      <c r="AO527" s="78" t="s">
        <v>4850</v>
      </c>
      <c r="AP527" t="b">
        <v>0</v>
      </c>
      <c r="AQ527" s="78" t="s">
        <v>3531</v>
      </c>
      <c r="AR527" t="s">
        <v>179</v>
      </c>
      <c r="AS527">
        <v>0</v>
      </c>
      <c r="AT527">
        <v>0</v>
      </c>
    </row>
    <row r="528" spans="1:54" x14ac:dyDescent="0.45">
      <c r="A528" s="62" t="s">
        <v>306</v>
      </c>
      <c r="B528" s="62" t="s">
        <v>1205</v>
      </c>
      <c r="C528" s="63"/>
      <c r="D528" s="64"/>
      <c r="E528" s="65"/>
      <c r="F528" s="66"/>
      <c r="G528" s="63"/>
      <c r="H528" s="67"/>
      <c r="I528" s="68"/>
      <c r="J528" s="68"/>
      <c r="K528" s="32"/>
      <c r="L528" s="75"/>
      <c r="M528" s="75"/>
      <c r="N528" s="70"/>
      <c r="O528" t="s">
        <v>1568</v>
      </c>
      <c r="P528" s="76">
        <v>44958.313796296294</v>
      </c>
      <c r="Q528" t="s">
        <v>1648</v>
      </c>
      <c r="R528" s="77" t="str">
        <f>HYPERLINK("https://twitter.com/Abdulwa09722526/status/1620682468356685824")</f>
        <v>https://twitter.com/Abdulwa09722526/status/1620682468356685824</v>
      </c>
      <c r="S528" t="s">
        <v>2257</v>
      </c>
      <c r="V528" s="77" t="str">
        <f>HYPERLINK("https://abs.twimg.com/sticky/default_profile_images/default_profile_normal.png")</f>
        <v>https://abs.twimg.com/sticky/default_profile_images/default_profile_normal.png</v>
      </c>
      <c r="W528" s="76">
        <v>44958.313796296294</v>
      </c>
      <c r="X528" s="80">
        <v>44958</v>
      </c>
      <c r="Y528" s="78" t="s">
        <v>2516</v>
      </c>
      <c r="Z528" s="77" t="str">
        <f>HYPERLINK("https://twitter.com/abdulwa09722526/status/1620686353116839937")</f>
        <v>https://twitter.com/abdulwa09722526/status/1620686353116839937</v>
      </c>
      <c r="AC528" s="78" t="s">
        <v>3531</v>
      </c>
      <c r="AE528" t="b">
        <v>0</v>
      </c>
      <c r="AF528">
        <v>0</v>
      </c>
      <c r="AG528" s="78" t="s">
        <v>4672</v>
      </c>
      <c r="AH528" t="b">
        <v>1</v>
      </c>
      <c r="AI528" t="s">
        <v>4829</v>
      </c>
      <c r="AK528" s="78" t="s">
        <v>3530</v>
      </c>
      <c r="AL528" t="b">
        <v>0</v>
      </c>
      <c r="AM528">
        <v>0</v>
      </c>
      <c r="AN528" s="78" t="s">
        <v>4640</v>
      </c>
      <c r="AO528" s="78" t="s">
        <v>4850</v>
      </c>
      <c r="AP528" t="b">
        <v>0</v>
      </c>
      <c r="AQ528" s="78" t="s">
        <v>3531</v>
      </c>
      <c r="AR528" t="s">
        <v>179</v>
      </c>
      <c r="AS528">
        <v>0</v>
      </c>
      <c r="AT528">
        <v>0</v>
      </c>
    </row>
    <row r="529" spans="1:46" x14ac:dyDescent="0.45">
      <c r="A529" s="62" t="s">
        <v>306</v>
      </c>
      <c r="B529" s="62" t="s">
        <v>242</v>
      </c>
      <c r="C529" s="63"/>
      <c r="D529" s="64"/>
      <c r="E529" s="65"/>
      <c r="F529" s="66"/>
      <c r="G529" s="63"/>
      <c r="H529" s="67"/>
      <c r="I529" s="68"/>
      <c r="J529" s="68"/>
      <c r="K529" s="32"/>
      <c r="L529" s="75"/>
      <c r="M529" s="75"/>
      <c r="N529" s="70"/>
      <c r="O529" t="s">
        <v>1568</v>
      </c>
      <c r="P529" s="76">
        <v>44958.313796296294</v>
      </c>
      <c r="Q529" t="s">
        <v>1648</v>
      </c>
      <c r="R529" s="77" t="str">
        <f>HYPERLINK("https://twitter.com/Abdulwa09722526/status/1620682468356685824")</f>
        <v>https://twitter.com/Abdulwa09722526/status/1620682468356685824</v>
      </c>
      <c r="S529" t="s">
        <v>2257</v>
      </c>
      <c r="V529" s="77" t="str">
        <f>HYPERLINK("https://abs.twimg.com/sticky/default_profile_images/default_profile_normal.png")</f>
        <v>https://abs.twimg.com/sticky/default_profile_images/default_profile_normal.png</v>
      </c>
      <c r="W529" s="76">
        <v>44958.313796296294</v>
      </c>
      <c r="X529" s="80">
        <v>44958</v>
      </c>
      <c r="Y529" s="78" t="s">
        <v>2516</v>
      </c>
      <c r="Z529" s="77" t="str">
        <f>HYPERLINK("https://twitter.com/abdulwa09722526/status/1620686353116839937")</f>
        <v>https://twitter.com/abdulwa09722526/status/1620686353116839937</v>
      </c>
      <c r="AC529" s="78" t="s">
        <v>3531</v>
      </c>
      <c r="AE529" t="b">
        <v>0</v>
      </c>
      <c r="AF529">
        <v>0</v>
      </c>
      <c r="AG529" s="78" t="s">
        <v>4672</v>
      </c>
      <c r="AH529" t="b">
        <v>1</v>
      </c>
      <c r="AI529" t="s">
        <v>4829</v>
      </c>
      <c r="AK529" s="78" t="s">
        <v>3530</v>
      </c>
      <c r="AL529" t="b">
        <v>0</v>
      </c>
      <c r="AM529">
        <v>0</v>
      </c>
      <c r="AN529" s="78" t="s">
        <v>4640</v>
      </c>
      <c r="AO529" s="78" t="s">
        <v>4850</v>
      </c>
      <c r="AP529" t="b">
        <v>0</v>
      </c>
      <c r="AQ529" s="78" t="s">
        <v>3531</v>
      </c>
      <c r="AR529" t="s">
        <v>179</v>
      </c>
      <c r="AS529">
        <v>0</v>
      </c>
      <c r="AT529">
        <v>0</v>
      </c>
    </row>
    <row r="530" spans="1:46" x14ac:dyDescent="0.45">
      <c r="A530" s="62" t="s">
        <v>306</v>
      </c>
      <c r="B530" s="62" t="s">
        <v>1110</v>
      </c>
      <c r="C530" s="63"/>
      <c r="D530" s="64"/>
      <c r="E530" s="65"/>
      <c r="F530" s="66"/>
      <c r="G530" s="63"/>
      <c r="H530" s="67"/>
      <c r="I530" s="68"/>
      <c r="J530" s="68"/>
      <c r="K530" s="32"/>
      <c r="L530" s="75"/>
      <c r="M530" s="75"/>
      <c r="N530" s="70"/>
      <c r="O530" t="s">
        <v>1568</v>
      </c>
      <c r="P530" s="76">
        <v>44958.313796296294</v>
      </c>
      <c r="Q530" t="s">
        <v>1648</v>
      </c>
      <c r="R530" s="77" t="str">
        <f>HYPERLINK("https://twitter.com/Abdulwa09722526/status/1620682468356685824")</f>
        <v>https://twitter.com/Abdulwa09722526/status/1620682468356685824</v>
      </c>
      <c r="S530" t="s">
        <v>2257</v>
      </c>
      <c r="V530" s="77" t="str">
        <f>HYPERLINK("https://abs.twimg.com/sticky/default_profile_images/default_profile_normal.png")</f>
        <v>https://abs.twimg.com/sticky/default_profile_images/default_profile_normal.png</v>
      </c>
      <c r="W530" s="76">
        <v>44958.313796296294</v>
      </c>
      <c r="X530" s="80">
        <v>44958</v>
      </c>
      <c r="Y530" s="78" t="s">
        <v>2516</v>
      </c>
      <c r="Z530" s="77" t="str">
        <f>HYPERLINK("https://twitter.com/abdulwa09722526/status/1620686353116839937")</f>
        <v>https://twitter.com/abdulwa09722526/status/1620686353116839937</v>
      </c>
      <c r="AC530" s="78" t="s">
        <v>3531</v>
      </c>
      <c r="AE530" t="b">
        <v>0</v>
      </c>
      <c r="AF530">
        <v>0</v>
      </c>
      <c r="AG530" s="78" t="s">
        <v>4672</v>
      </c>
      <c r="AH530" t="b">
        <v>1</v>
      </c>
      <c r="AI530" t="s">
        <v>4829</v>
      </c>
      <c r="AK530" s="78" t="s">
        <v>3530</v>
      </c>
      <c r="AL530" t="b">
        <v>0</v>
      </c>
      <c r="AM530">
        <v>0</v>
      </c>
      <c r="AN530" s="78" t="s">
        <v>4640</v>
      </c>
      <c r="AO530" s="78" t="s">
        <v>4850</v>
      </c>
      <c r="AP530" t="b">
        <v>0</v>
      </c>
      <c r="AQ530" s="78" t="s">
        <v>3531</v>
      </c>
      <c r="AR530" t="s">
        <v>179</v>
      </c>
      <c r="AS530">
        <v>0</v>
      </c>
      <c r="AT530">
        <v>0</v>
      </c>
    </row>
    <row r="531" spans="1:46" x14ac:dyDescent="0.45">
      <c r="A531" s="62" t="s">
        <v>306</v>
      </c>
      <c r="B531" s="62" t="s">
        <v>1109</v>
      </c>
      <c r="C531" s="63"/>
      <c r="D531" s="64"/>
      <c r="E531" s="65"/>
      <c r="F531" s="66"/>
      <c r="G531" s="63"/>
      <c r="H531" s="67"/>
      <c r="I531" s="68"/>
      <c r="J531" s="68"/>
      <c r="K531" s="32"/>
      <c r="L531" s="75"/>
      <c r="M531" s="75"/>
      <c r="N531" s="70"/>
      <c r="O531" t="s">
        <v>1567</v>
      </c>
      <c r="P531" s="76">
        <v>44958.313796296294</v>
      </c>
      <c r="Q531" t="s">
        <v>1648</v>
      </c>
      <c r="R531" s="77" t="str">
        <f>HYPERLINK("https://twitter.com/Abdulwa09722526/status/1620682468356685824")</f>
        <v>https://twitter.com/Abdulwa09722526/status/1620682468356685824</v>
      </c>
      <c r="S531" t="s">
        <v>2257</v>
      </c>
      <c r="V531" s="77" t="str">
        <f>HYPERLINK("https://abs.twimg.com/sticky/default_profile_images/default_profile_normal.png")</f>
        <v>https://abs.twimg.com/sticky/default_profile_images/default_profile_normal.png</v>
      </c>
      <c r="W531" s="76">
        <v>44958.313796296294</v>
      </c>
      <c r="X531" s="80">
        <v>44958</v>
      </c>
      <c r="Y531" s="78" t="s">
        <v>2516</v>
      </c>
      <c r="Z531" s="77" t="str">
        <f>HYPERLINK("https://twitter.com/abdulwa09722526/status/1620686353116839937")</f>
        <v>https://twitter.com/abdulwa09722526/status/1620686353116839937</v>
      </c>
      <c r="AC531" s="78" t="s">
        <v>3531</v>
      </c>
      <c r="AE531" t="b">
        <v>0</v>
      </c>
      <c r="AF531">
        <v>0</v>
      </c>
      <c r="AG531" s="78" t="s">
        <v>4672</v>
      </c>
      <c r="AH531" t="b">
        <v>1</v>
      </c>
      <c r="AI531" t="s">
        <v>4829</v>
      </c>
      <c r="AK531" s="78" t="s">
        <v>3530</v>
      </c>
      <c r="AL531" t="b">
        <v>0</v>
      </c>
      <c r="AM531">
        <v>0</v>
      </c>
      <c r="AN531" s="78" t="s">
        <v>4640</v>
      </c>
      <c r="AO531" s="78" t="s">
        <v>4850</v>
      </c>
      <c r="AP531" t="b">
        <v>0</v>
      </c>
      <c r="AQ531" s="78" t="s">
        <v>3531</v>
      </c>
      <c r="AR531" t="s">
        <v>179</v>
      </c>
      <c r="AS531">
        <v>0</v>
      </c>
      <c r="AT531">
        <v>0</v>
      </c>
    </row>
    <row r="532" spans="1:46" x14ac:dyDescent="0.45">
      <c r="A532" s="62" t="s">
        <v>306</v>
      </c>
      <c r="B532" s="62" t="s">
        <v>1202</v>
      </c>
      <c r="C532" s="63"/>
      <c r="D532" s="64"/>
      <c r="E532" s="65"/>
      <c r="F532" s="66"/>
      <c r="G532" s="63"/>
      <c r="H532" s="67"/>
      <c r="I532" s="68"/>
      <c r="J532" s="68"/>
      <c r="K532" s="32"/>
      <c r="L532" s="75"/>
      <c r="M532" s="75"/>
      <c r="N532" s="70"/>
      <c r="O532" t="s">
        <v>1568</v>
      </c>
      <c r="P532" s="76">
        <v>44958.432974537034</v>
      </c>
      <c r="Q532" t="s">
        <v>1649</v>
      </c>
      <c r="R532" s="77" t="str">
        <f>HYPERLINK("https://twitter.com/Abdulwa09722526/status/1620686353116839937")</f>
        <v>https://twitter.com/Abdulwa09722526/status/1620686353116839937</v>
      </c>
      <c r="S532" t="s">
        <v>2257</v>
      </c>
      <c r="V532" s="77" t="str">
        <f>HYPERLINK("https://abs.twimg.com/sticky/default_profile_images/default_profile_normal.png")</f>
        <v>https://abs.twimg.com/sticky/default_profile_images/default_profile_normal.png</v>
      </c>
      <c r="W532" s="76">
        <v>44958.432974537034</v>
      </c>
      <c r="X532" s="80">
        <v>44958</v>
      </c>
      <c r="Y532" s="78" t="s">
        <v>2517</v>
      </c>
      <c r="Z532" s="77" t="str">
        <f>HYPERLINK("https://twitter.com/abdulwa09722526/status/1620729542758498304")</f>
        <v>https://twitter.com/abdulwa09722526/status/1620729542758498304</v>
      </c>
      <c r="AC532" s="78" t="s">
        <v>3532</v>
      </c>
      <c r="AE532" t="b">
        <v>0</v>
      </c>
      <c r="AF532">
        <v>0</v>
      </c>
      <c r="AG532" s="78" t="s">
        <v>4672</v>
      </c>
      <c r="AH532" t="b">
        <v>1</v>
      </c>
      <c r="AI532" t="s">
        <v>4829</v>
      </c>
      <c r="AK532" s="78" t="s">
        <v>3531</v>
      </c>
      <c r="AL532" t="b">
        <v>0</v>
      </c>
      <c r="AM532">
        <v>0</v>
      </c>
      <c r="AN532" s="78" t="s">
        <v>4640</v>
      </c>
      <c r="AO532" s="78" t="s">
        <v>4850</v>
      </c>
      <c r="AP532" t="b">
        <v>0</v>
      </c>
      <c r="AQ532" s="78" t="s">
        <v>3532</v>
      </c>
      <c r="AR532" t="s">
        <v>179</v>
      </c>
      <c r="AS532">
        <v>0</v>
      </c>
      <c r="AT532">
        <v>0</v>
      </c>
    </row>
    <row r="533" spans="1:46" x14ac:dyDescent="0.45">
      <c r="A533" s="62" t="s">
        <v>306</v>
      </c>
      <c r="B533" s="62" t="s">
        <v>1203</v>
      </c>
      <c r="C533" s="63"/>
      <c r="D533" s="64"/>
      <c r="E533" s="65"/>
      <c r="F533" s="66"/>
      <c r="G533" s="63"/>
      <c r="H533" s="67"/>
      <c r="I533" s="68"/>
      <c r="J533" s="68"/>
      <c r="K533" s="32"/>
      <c r="L533" s="75"/>
      <c r="M533" s="75"/>
      <c r="N533" s="70"/>
      <c r="O533" t="s">
        <v>1568</v>
      </c>
      <c r="P533" s="76">
        <v>44958.432974537034</v>
      </c>
      <c r="Q533" t="s">
        <v>1649</v>
      </c>
      <c r="R533" s="77" t="str">
        <f>HYPERLINK("https://twitter.com/Abdulwa09722526/status/1620686353116839937")</f>
        <v>https://twitter.com/Abdulwa09722526/status/1620686353116839937</v>
      </c>
      <c r="S533" t="s">
        <v>2257</v>
      </c>
      <c r="V533" s="77" t="str">
        <f>HYPERLINK("https://abs.twimg.com/sticky/default_profile_images/default_profile_normal.png")</f>
        <v>https://abs.twimg.com/sticky/default_profile_images/default_profile_normal.png</v>
      </c>
      <c r="W533" s="76">
        <v>44958.432974537034</v>
      </c>
      <c r="X533" s="80">
        <v>44958</v>
      </c>
      <c r="Y533" s="78" t="s">
        <v>2517</v>
      </c>
      <c r="Z533" s="77" t="str">
        <f>HYPERLINK("https://twitter.com/abdulwa09722526/status/1620729542758498304")</f>
        <v>https://twitter.com/abdulwa09722526/status/1620729542758498304</v>
      </c>
      <c r="AC533" s="78" t="s">
        <v>3532</v>
      </c>
      <c r="AE533" t="b">
        <v>0</v>
      </c>
      <c r="AF533">
        <v>0</v>
      </c>
      <c r="AG533" s="78" t="s">
        <v>4672</v>
      </c>
      <c r="AH533" t="b">
        <v>1</v>
      </c>
      <c r="AI533" t="s">
        <v>4829</v>
      </c>
      <c r="AK533" s="78" t="s">
        <v>3531</v>
      </c>
      <c r="AL533" t="b">
        <v>0</v>
      </c>
      <c r="AM533">
        <v>0</v>
      </c>
      <c r="AN533" s="78" t="s">
        <v>4640</v>
      </c>
      <c r="AO533" s="78" t="s">
        <v>4850</v>
      </c>
      <c r="AP533" t="b">
        <v>0</v>
      </c>
      <c r="AQ533" s="78" t="s">
        <v>3532</v>
      </c>
      <c r="AR533" t="s">
        <v>179</v>
      </c>
      <c r="AS533">
        <v>0</v>
      </c>
      <c r="AT533">
        <v>0</v>
      </c>
    </row>
    <row r="534" spans="1:46" x14ac:dyDescent="0.45">
      <c r="A534" s="62" t="s">
        <v>306</v>
      </c>
      <c r="B534" s="62" t="s">
        <v>1204</v>
      </c>
      <c r="C534" s="63"/>
      <c r="D534" s="64"/>
      <c r="E534" s="65"/>
      <c r="F534" s="66"/>
      <c r="G534" s="63"/>
      <c r="H534" s="67"/>
      <c r="I534" s="68"/>
      <c r="J534" s="68"/>
      <c r="K534" s="32"/>
      <c r="L534" s="75"/>
      <c r="M534" s="75"/>
      <c r="N534" s="70"/>
      <c r="O534" t="s">
        <v>1568</v>
      </c>
      <c r="P534" s="76">
        <v>44958.432974537034</v>
      </c>
      <c r="Q534" t="s">
        <v>1649</v>
      </c>
      <c r="R534" s="77" t="str">
        <f>HYPERLINK("https://twitter.com/Abdulwa09722526/status/1620686353116839937")</f>
        <v>https://twitter.com/Abdulwa09722526/status/1620686353116839937</v>
      </c>
      <c r="S534" t="s">
        <v>2257</v>
      </c>
      <c r="V534" s="77" t="str">
        <f>HYPERLINK("https://abs.twimg.com/sticky/default_profile_images/default_profile_normal.png")</f>
        <v>https://abs.twimg.com/sticky/default_profile_images/default_profile_normal.png</v>
      </c>
      <c r="W534" s="76">
        <v>44958.432974537034</v>
      </c>
      <c r="X534" s="80">
        <v>44958</v>
      </c>
      <c r="Y534" s="78" t="s">
        <v>2517</v>
      </c>
      <c r="Z534" s="77" t="str">
        <f>HYPERLINK("https://twitter.com/abdulwa09722526/status/1620729542758498304")</f>
        <v>https://twitter.com/abdulwa09722526/status/1620729542758498304</v>
      </c>
      <c r="AC534" s="78" t="s">
        <v>3532</v>
      </c>
      <c r="AE534" t="b">
        <v>0</v>
      </c>
      <c r="AF534">
        <v>0</v>
      </c>
      <c r="AG534" s="78" t="s">
        <v>4672</v>
      </c>
      <c r="AH534" t="b">
        <v>1</v>
      </c>
      <c r="AI534" t="s">
        <v>4829</v>
      </c>
      <c r="AK534" s="78" t="s">
        <v>3531</v>
      </c>
      <c r="AL534" t="b">
        <v>0</v>
      </c>
      <c r="AM534">
        <v>0</v>
      </c>
      <c r="AN534" s="78" t="s">
        <v>4640</v>
      </c>
      <c r="AO534" s="78" t="s">
        <v>4850</v>
      </c>
      <c r="AP534" t="b">
        <v>0</v>
      </c>
      <c r="AQ534" s="78" t="s">
        <v>3532</v>
      </c>
      <c r="AR534" t="s">
        <v>179</v>
      </c>
      <c r="AS534">
        <v>0</v>
      </c>
      <c r="AT534">
        <v>0</v>
      </c>
    </row>
    <row r="535" spans="1:46" x14ac:dyDescent="0.45">
      <c r="A535" s="62" t="s">
        <v>306</v>
      </c>
      <c r="B535" s="62" t="s">
        <v>1205</v>
      </c>
      <c r="C535" s="63"/>
      <c r="D535" s="64"/>
      <c r="E535" s="65"/>
      <c r="F535" s="66"/>
      <c r="G535" s="63"/>
      <c r="H535" s="67"/>
      <c r="I535" s="68"/>
      <c r="J535" s="68"/>
      <c r="K535" s="32"/>
      <c r="L535" s="75"/>
      <c r="M535" s="75"/>
      <c r="N535" s="70"/>
      <c r="O535" t="s">
        <v>1568</v>
      </c>
      <c r="P535" s="76">
        <v>44958.432974537034</v>
      </c>
      <c r="Q535" t="s">
        <v>1649</v>
      </c>
      <c r="R535" s="77" t="str">
        <f>HYPERLINK("https://twitter.com/Abdulwa09722526/status/1620686353116839937")</f>
        <v>https://twitter.com/Abdulwa09722526/status/1620686353116839937</v>
      </c>
      <c r="S535" t="s">
        <v>2257</v>
      </c>
      <c r="V535" s="77" t="str">
        <f>HYPERLINK("https://abs.twimg.com/sticky/default_profile_images/default_profile_normal.png")</f>
        <v>https://abs.twimg.com/sticky/default_profile_images/default_profile_normal.png</v>
      </c>
      <c r="W535" s="76">
        <v>44958.432974537034</v>
      </c>
      <c r="X535" s="80">
        <v>44958</v>
      </c>
      <c r="Y535" s="78" t="s">
        <v>2517</v>
      </c>
      <c r="Z535" s="77" t="str">
        <f>HYPERLINK("https://twitter.com/abdulwa09722526/status/1620729542758498304")</f>
        <v>https://twitter.com/abdulwa09722526/status/1620729542758498304</v>
      </c>
      <c r="AC535" s="78" t="s">
        <v>3532</v>
      </c>
      <c r="AE535" t="b">
        <v>0</v>
      </c>
      <c r="AF535">
        <v>0</v>
      </c>
      <c r="AG535" s="78" t="s">
        <v>4672</v>
      </c>
      <c r="AH535" t="b">
        <v>1</v>
      </c>
      <c r="AI535" t="s">
        <v>4829</v>
      </c>
      <c r="AK535" s="78" t="s">
        <v>3531</v>
      </c>
      <c r="AL535" t="b">
        <v>0</v>
      </c>
      <c r="AM535">
        <v>0</v>
      </c>
      <c r="AN535" s="78" t="s">
        <v>4640</v>
      </c>
      <c r="AO535" s="78" t="s">
        <v>4850</v>
      </c>
      <c r="AP535" t="b">
        <v>0</v>
      </c>
      <c r="AQ535" s="78" t="s">
        <v>3532</v>
      </c>
      <c r="AR535" t="s">
        <v>179</v>
      </c>
      <c r="AS535">
        <v>0</v>
      </c>
      <c r="AT535">
        <v>0</v>
      </c>
    </row>
    <row r="536" spans="1:46" x14ac:dyDescent="0.45">
      <c r="A536" s="62" t="s">
        <v>306</v>
      </c>
      <c r="B536" s="62" t="s">
        <v>242</v>
      </c>
      <c r="C536" s="63"/>
      <c r="D536" s="64"/>
      <c r="E536" s="65"/>
      <c r="F536" s="66"/>
      <c r="G536" s="63"/>
      <c r="H536" s="67"/>
      <c r="I536" s="68"/>
      <c r="J536" s="68"/>
      <c r="K536" s="32"/>
      <c r="L536" s="75"/>
      <c r="M536" s="75"/>
      <c r="N536" s="70"/>
      <c r="O536" t="s">
        <v>1568</v>
      </c>
      <c r="P536" s="76">
        <v>44958.432974537034</v>
      </c>
      <c r="Q536" t="s">
        <v>1649</v>
      </c>
      <c r="R536" s="77" t="str">
        <f>HYPERLINK("https://twitter.com/Abdulwa09722526/status/1620686353116839937")</f>
        <v>https://twitter.com/Abdulwa09722526/status/1620686353116839937</v>
      </c>
      <c r="S536" t="s">
        <v>2257</v>
      </c>
      <c r="V536" s="77" t="str">
        <f>HYPERLINK("https://abs.twimg.com/sticky/default_profile_images/default_profile_normal.png")</f>
        <v>https://abs.twimg.com/sticky/default_profile_images/default_profile_normal.png</v>
      </c>
      <c r="W536" s="76">
        <v>44958.432974537034</v>
      </c>
      <c r="X536" s="80">
        <v>44958</v>
      </c>
      <c r="Y536" s="78" t="s">
        <v>2517</v>
      </c>
      <c r="Z536" s="77" t="str">
        <f>HYPERLINK("https://twitter.com/abdulwa09722526/status/1620729542758498304")</f>
        <v>https://twitter.com/abdulwa09722526/status/1620729542758498304</v>
      </c>
      <c r="AC536" s="78" t="s">
        <v>3532</v>
      </c>
      <c r="AE536" t="b">
        <v>0</v>
      </c>
      <c r="AF536">
        <v>0</v>
      </c>
      <c r="AG536" s="78" t="s">
        <v>4672</v>
      </c>
      <c r="AH536" t="b">
        <v>1</v>
      </c>
      <c r="AI536" t="s">
        <v>4829</v>
      </c>
      <c r="AK536" s="78" t="s">
        <v>3531</v>
      </c>
      <c r="AL536" t="b">
        <v>0</v>
      </c>
      <c r="AM536">
        <v>0</v>
      </c>
      <c r="AN536" s="78" t="s">
        <v>4640</v>
      </c>
      <c r="AO536" s="78" t="s">
        <v>4850</v>
      </c>
      <c r="AP536" t="b">
        <v>0</v>
      </c>
      <c r="AQ536" s="78" t="s">
        <v>3532</v>
      </c>
      <c r="AR536" t="s">
        <v>179</v>
      </c>
      <c r="AS536">
        <v>0</v>
      </c>
      <c r="AT536">
        <v>0</v>
      </c>
    </row>
    <row r="537" spans="1:46" x14ac:dyDescent="0.45">
      <c r="A537" s="62" t="s">
        <v>306</v>
      </c>
      <c r="B537" s="62" t="s">
        <v>1110</v>
      </c>
      <c r="C537" s="63"/>
      <c r="D537" s="64"/>
      <c r="E537" s="65"/>
      <c r="F537" s="66"/>
      <c r="G537" s="63"/>
      <c r="H537" s="67"/>
      <c r="I537" s="68"/>
      <c r="J537" s="68"/>
      <c r="K537" s="32"/>
      <c r="L537" s="75"/>
      <c r="M537" s="75"/>
      <c r="N537" s="70"/>
      <c r="O537" t="s">
        <v>1568</v>
      </c>
      <c r="P537" s="76">
        <v>44958.432974537034</v>
      </c>
      <c r="Q537" t="s">
        <v>1649</v>
      </c>
      <c r="R537" s="77" t="str">
        <f>HYPERLINK("https://twitter.com/Abdulwa09722526/status/1620686353116839937")</f>
        <v>https://twitter.com/Abdulwa09722526/status/1620686353116839937</v>
      </c>
      <c r="S537" t="s">
        <v>2257</v>
      </c>
      <c r="V537" s="77" t="str">
        <f>HYPERLINK("https://abs.twimg.com/sticky/default_profile_images/default_profile_normal.png")</f>
        <v>https://abs.twimg.com/sticky/default_profile_images/default_profile_normal.png</v>
      </c>
      <c r="W537" s="76">
        <v>44958.432974537034</v>
      </c>
      <c r="X537" s="80">
        <v>44958</v>
      </c>
      <c r="Y537" s="78" t="s">
        <v>2517</v>
      </c>
      <c r="Z537" s="77" t="str">
        <f>HYPERLINK("https://twitter.com/abdulwa09722526/status/1620729542758498304")</f>
        <v>https://twitter.com/abdulwa09722526/status/1620729542758498304</v>
      </c>
      <c r="AC537" s="78" t="s">
        <v>3532</v>
      </c>
      <c r="AE537" t="b">
        <v>0</v>
      </c>
      <c r="AF537">
        <v>0</v>
      </c>
      <c r="AG537" s="78" t="s">
        <v>4672</v>
      </c>
      <c r="AH537" t="b">
        <v>1</v>
      </c>
      <c r="AI537" t="s">
        <v>4829</v>
      </c>
      <c r="AK537" s="78" t="s">
        <v>3531</v>
      </c>
      <c r="AL537" t="b">
        <v>0</v>
      </c>
      <c r="AM537">
        <v>0</v>
      </c>
      <c r="AN537" s="78" t="s">
        <v>4640</v>
      </c>
      <c r="AO537" s="78" t="s">
        <v>4850</v>
      </c>
      <c r="AP537" t="b">
        <v>0</v>
      </c>
      <c r="AQ537" s="78" t="s">
        <v>3532</v>
      </c>
      <c r="AR537" t="s">
        <v>179</v>
      </c>
      <c r="AS537">
        <v>0</v>
      </c>
      <c r="AT537">
        <v>0</v>
      </c>
    </row>
    <row r="538" spans="1:46" x14ac:dyDescent="0.45">
      <c r="A538" s="62" t="s">
        <v>306</v>
      </c>
      <c r="B538" s="62" t="s">
        <v>1109</v>
      </c>
      <c r="C538" s="63"/>
      <c r="D538" s="64"/>
      <c r="E538" s="65"/>
      <c r="F538" s="66"/>
      <c r="G538" s="63"/>
      <c r="H538" s="67"/>
      <c r="I538" s="68"/>
      <c r="J538" s="68"/>
      <c r="K538" s="32"/>
      <c r="L538" s="75"/>
      <c r="M538" s="75"/>
      <c r="N538" s="70"/>
      <c r="O538" t="s">
        <v>1567</v>
      </c>
      <c r="P538" s="76">
        <v>44958.432974537034</v>
      </c>
      <c r="Q538" t="s">
        <v>1649</v>
      </c>
      <c r="R538" s="77" t="str">
        <f>HYPERLINK("https://twitter.com/Abdulwa09722526/status/1620686353116839937")</f>
        <v>https://twitter.com/Abdulwa09722526/status/1620686353116839937</v>
      </c>
      <c r="S538" t="s">
        <v>2257</v>
      </c>
      <c r="V538" s="77" t="str">
        <f>HYPERLINK("https://abs.twimg.com/sticky/default_profile_images/default_profile_normal.png")</f>
        <v>https://abs.twimg.com/sticky/default_profile_images/default_profile_normal.png</v>
      </c>
      <c r="W538" s="76">
        <v>44958.432974537034</v>
      </c>
      <c r="X538" s="80">
        <v>44958</v>
      </c>
      <c r="Y538" s="78" t="s">
        <v>2517</v>
      </c>
      <c r="Z538" s="77" t="str">
        <f>HYPERLINK("https://twitter.com/abdulwa09722526/status/1620729542758498304")</f>
        <v>https://twitter.com/abdulwa09722526/status/1620729542758498304</v>
      </c>
      <c r="AC538" s="78" t="s">
        <v>3532</v>
      </c>
      <c r="AE538" t="b">
        <v>0</v>
      </c>
      <c r="AF538">
        <v>0</v>
      </c>
      <c r="AG538" s="78" t="s">
        <v>4672</v>
      </c>
      <c r="AH538" t="b">
        <v>1</v>
      </c>
      <c r="AI538" t="s">
        <v>4829</v>
      </c>
      <c r="AK538" s="78" t="s">
        <v>3531</v>
      </c>
      <c r="AL538" t="b">
        <v>0</v>
      </c>
      <c r="AM538">
        <v>0</v>
      </c>
      <c r="AN538" s="78" t="s">
        <v>4640</v>
      </c>
      <c r="AO538" s="78" t="s">
        <v>4850</v>
      </c>
      <c r="AP538" t="b">
        <v>0</v>
      </c>
      <c r="AQ538" s="78" t="s">
        <v>3532</v>
      </c>
      <c r="AR538" t="s">
        <v>179</v>
      </c>
      <c r="AS538">
        <v>0</v>
      </c>
      <c r="AT538">
        <v>0</v>
      </c>
    </row>
    <row r="539" spans="1:46" x14ac:dyDescent="0.45">
      <c r="A539" s="62" t="s">
        <v>364</v>
      </c>
      <c r="B539" s="62" t="s">
        <v>242</v>
      </c>
      <c r="C539" s="63"/>
      <c r="D539" s="64"/>
      <c r="E539" s="65"/>
      <c r="F539" s="66"/>
      <c r="G539" s="63"/>
      <c r="H539" s="67"/>
      <c r="I539" s="68"/>
      <c r="J539" s="68"/>
      <c r="K539" s="32"/>
      <c r="L539" s="75"/>
      <c r="M539" s="75"/>
      <c r="N539" s="70"/>
      <c r="O539" t="s">
        <v>1568</v>
      </c>
      <c r="P539" s="76">
        <v>44958.68141203704</v>
      </c>
      <c r="Q539" t="s">
        <v>1703</v>
      </c>
      <c r="R539" s="77" t="str">
        <f>HYPERLINK("https://twitter.com/viclombardi/status/1620809761821437952")</f>
        <v>https://twitter.com/viclombardi/status/1620809761821437952</v>
      </c>
      <c r="S539" t="s">
        <v>2257</v>
      </c>
      <c r="V539" s="77" t="str">
        <f>HYPERLINK("https://pbs.twimg.com/profile_images/1545581931080843264/OyO0IEl8_normal.jpg")</f>
        <v>https://pbs.twimg.com/profile_images/1545581931080843264/OyO0IEl8_normal.jpg</v>
      </c>
      <c r="W539" s="76">
        <v>44958.68141203704</v>
      </c>
      <c r="X539" s="80">
        <v>44958</v>
      </c>
      <c r="Y539" s="78" t="s">
        <v>2586</v>
      </c>
      <c r="Z539" s="77" t="str">
        <f>HYPERLINK("https://twitter.com/espnchrislarsen/status/1620819573552578560")</f>
        <v>https://twitter.com/espnchrislarsen/status/1620819573552578560</v>
      </c>
      <c r="AC539" s="78" t="s">
        <v>3603</v>
      </c>
      <c r="AE539" t="b">
        <v>0</v>
      </c>
      <c r="AF539">
        <v>0</v>
      </c>
      <c r="AG539" s="78" t="s">
        <v>4640</v>
      </c>
      <c r="AH539" t="b">
        <v>1</v>
      </c>
      <c r="AI539" t="s">
        <v>4829</v>
      </c>
      <c r="AK539" s="78" t="s">
        <v>4837</v>
      </c>
      <c r="AL539" t="b">
        <v>0</v>
      </c>
      <c r="AM539">
        <v>0</v>
      </c>
      <c r="AN539" s="78" t="s">
        <v>4640</v>
      </c>
      <c r="AO539" s="78" t="s">
        <v>4849</v>
      </c>
      <c r="AP539" t="b">
        <v>0</v>
      </c>
      <c r="AQ539" s="78" t="s">
        <v>3603</v>
      </c>
      <c r="AR539" t="s">
        <v>179</v>
      </c>
      <c r="AS539">
        <v>0</v>
      </c>
      <c r="AT539">
        <v>0</v>
      </c>
    </row>
    <row r="540" spans="1:46" x14ac:dyDescent="0.45">
      <c r="A540" s="62" t="s">
        <v>639</v>
      </c>
      <c r="B540" s="62" t="s">
        <v>242</v>
      </c>
      <c r="C540" s="63"/>
      <c r="D540" s="64"/>
      <c r="E540" s="65"/>
      <c r="F540" s="66"/>
      <c r="G540" s="63"/>
      <c r="H540" s="67"/>
      <c r="I540" s="68"/>
      <c r="J540" s="68"/>
      <c r="K540" s="32"/>
      <c r="L540" s="75"/>
      <c r="M540" s="75"/>
      <c r="N540" s="70"/>
      <c r="O540" t="s">
        <v>1568</v>
      </c>
      <c r="P540" s="76">
        <v>44958.843576388892</v>
      </c>
      <c r="Q540" t="s">
        <v>1841</v>
      </c>
      <c r="R540" s="77" t="str">
        <f>HYPERLINK("https://twitter.com/sexyspoonie/status/1620496301896134657")</f>
        <v>https://twitter.com/sexyspoonie/status/1620496301896134657</v>
      </c>
      <c r="S540" t="s">
        <v>2257</v>
      </c>
      <c r="V540" s="77" t="str">
        <f>HYPERLINK("https://pbs.twimg.com/profile_images/1373864874170839049/U9vWcaCP_normal.jpg")</f>
        <v>https://pbs.twimg.com/profile_images/1373864874170839049/U9vWcaCP_normal.jpg</v>
      </c>
      <c r="W540" s="76">
        <v>44958.843576388892</v>
      </c>
      <c r="X540" s="80">
        <v>44958</v>
      </c>
      <c r="Y540" s="78" t="s">
        <v>2840</v>
      </c>
      <c r="Z540" s="77" t="str">
        <f>HYPERLINK("https://twitter.com/lauraknitstoys/status/1620878340663164928")</f>
        <v>https://twitter.com/lauraknitstoys/status/1620878340663164928</v>
      </c>
      <c r="AC540" s="78" t="s">
        <v>3904</v>
      </c>
      <c r="AE540" t="b">
        <v>0</v>
      </c>
      <c r="AF540">
        <v>0</v>
      </c>
      <c r="AG540" s="78" t="s">
        <v>4640</v>
      </c>
      <c r="AH540" t="b">
        <v>1</v>
      </c>
      <c r="AI540" t="s">
        <v>4829</v>
      </c>
      <c r="AK540" s="78" t="s">
        <v>4838</v>
      </c>
      <c r="AL540" t="b">
        <v>0</v>
      </c>
      <c r="AM540">
        <v>0</v>
      </c>
      <c r="AN540" s="78" t="s">
        <v>4640</v>
      </c>
      <c r="AO540" s="78" t="s">
        <v>4850</v>
      </c>
      <c r="AP540" t="b">
        <v>0</v>
      </c>
      <c r="AQ540" s="78" t="s">
        <v>3904</v>
      </c>
      <c r="AR540" t="s">
        <v>179</v>
      </c>
      <c r="AS540">
        <v>0</v>
      </c>
      <c r="AT540">
        <v>0</v>
      </c>
    </row>
    <row r="541" spans="1:46" x14ac:dyDescent="0.45">
      <c r="A541" s="62" t="s">
        <v>731</v>
      </c>
      <c r="B541" s="62" t="s">
        <v>1111</v>
      </c>
      <c r="C541" s="63"/>
      <c r="D541" s="64"/>
      <c r="E541" s="65"/>
      <c r="F541" s="66"/>
      <c r="G541" s="63"/>
      <c r="H541" s="67"/>
      <c r="I541" s="68"/>
      <c r="J541" s="68"/>
      <c r="K541" s="32"/>
      <c r="L541" s="75"/>
      <c r="M541" s="75"/>
      <c r="N541" s="70"/>
      <c r="O541" t="s">
        <v>1568</v>
      </c>
      <c r="P541" s="76">
        <v>44958.927060185182</v>
      </c>
      <c r="Q541" t="s">
        <v>1918</v>
      </c>
      <c r="R541" s="77" t="str">
        <f>HYPERLINK("https://twitter.com/ClownWorld_/status/1620589278458974208")</f>
        <v>https://twitter.com/ClownWorld_/status/1620589278458974208</v>
      </c>
      <c r="S541" t="s">
        <v>2257</v>
      </c>
      <c r="V541" s="77" t="str">
        <f>HYPERLINK("https://abs.twimg.com/sticky/default_profile_images/default_profile_normal.png")</f>
        <v>https://abs.twimg.com/sticky/default_profile_images/default_profile_normal.png</v>
      </c>
      <c r="W541" s="76">
        <v>44958.927060185182</v>
      </c>
      <c r="X541" s="80">
        <v>44958</v>
      </c>
      <c r="Y541" s="78" t="s">
        <v>2950</v>
      </c>
      <c r="Z541" s="77" t="str">
        <f>HYPERLINK("https://twitter.com/juangota44/status/1620908595557842952")</f>
        <v>https://twitter.com/juangota44/status/1620908595557842952</v>
      </c>
      <c r="AC541" s="78" t="s">
        <v>4015</v>
      </c>
      <c r="AE541" t="b">
        <v>0</v>
      </c>
      <c r="AF541">
        <v>0</v>
      </c>
      <c r="AG541" s="78" t="s">
        <v>4639</v>
      </c>
      <c r="AH541" t="b">
        <v>1</v>
      </c>
      <c r="AI541" t="s">
        <v>4829</v>
      </c>
      <c r="AK541" s="78" t="s">
        <v>4511</v>
      </c>
      <c r="AL541" t="b">
        <v>0</v>
      </c>
      <c r="AM541">
        <v>0</v>
      </c>
      <c r="AN541" s="78" t="s">
        <v>4640</v>
      </c>
      <c r="AO541" s="78" t="s">
        <v>4850</v>
      </c>
      <c r="AP541" t="b">
        <v>0</v>
      </c>
      <c r="AQ541" s="78" t="s">
        <v>4015</v>
      </c>
      <c r="AR541" t="s">
        <v>179</v>
      </c>
      <c r="AS541">
        <v>0</v>
      </c>
      <c r="AT541">
        <v>0</v>
      </c>
    </row>
    <row r="542" spans="1:46" x14ac:dyDescent="0.45">
      <c r="A542" s="62" t="s">
        <v>731</v>
      </c>
      <c r="B542" s="62" t="s">
        <v>242</v>
      </c>
      <c r="C542" s="63"/>
      <c r="D542" s="64"/>
      <c r="E542" s="65"/>
      <c r="F542" s="66"/>
      <c r="G542" s="63"/>
      <c r="H542" s="67"/>
      <c r="I542" s="68"/>
      <c r="J542" s="68"/>
      <c r="K542" s="32"/>
      <c r="L542" s="75"/>
      <c r="M542" s="75"/>
      <c r="N542" s="70"/>
      <c r="O542" t="s">
        <v>1567</v>
      </c>
      <c r="P542" s="76">
        <v>44958.927060185182</v>
      </c>
      <c r="Q542" t="s">
        <v>1918</v>
      </c>
      <c r="R542" s="77" t="str">
        <f>HYPERLINK("https://twitter.com/ClownWorld_/status/1620589278458974208")</f>
        <v>https://twitter.com/ClownWorld_/status/1620589278458974208</v>
      </c>
      <c r="S542" t="s">
        <v>2257</v>
      </c>
      <c r="V542" s="77" t="str">
        <f>HYPERLINK("https://abs.twimg.com/sticky/default_profile_images/default_profile_normal.png")</f>
        <v>https://abs.twimg.com/sticky/default_profile_images/default_profile_normal.png</v>
      </c>
      <c r="W542" s="76">
        <v>44958.927060185182</v>
      </c>
      <c r="X542" s="80">
        <v>44958</v>
      </c>
      <c r="Y542" s="78" t="s">
        <v>2950</v>
      </c>
      <c r="Z542" s="77" t="str">
        <f>HYPERLINK("https://twitter.com/juangota44/status/1620908595557842952")</f>
        <v>https://twitter.com/juangota44/status/1620908595557842952</v>
      </c>
      <c r="AC542" s="78" t="s">
        <v>4015</v>
      </c>
      <c r="AE542" t="b">
        <v>0</v>
      </c>
      <c r="AF542">
        <v>0</v>
      </c>
      <c r="AG542" s="78" t="s">
        <v>4639</v>
      </c>
      <c r="AH542" t="b">
        <v>1</v>
      </c>
      <c r="AI542" t="s">
        <v>4829</v>
      </c>
      <c r="AK542" s="78" t="s">
        <v>4511</v>
      </c>
      <c r="AL542" t="b">
        <v>0</v>
      </c>
      <c r="AM542">
        <v>0</v>
      </c>
      <c r="AN542" s="78" t="s">
        <v>4640</v>
      </c>
      <c r="AO542" s="78" t="s">
        <v>4850</v>
      </c>
      <c r="AP542" t="b">
        <v>0</v>
      </c>
      <c r="AQ542" s="78" t="s">
        <v>4015</v>
      </c>
      <c r="AR542" t="s">
        <v>179</v>
      </c>
      <c r="AS542">
        <v>0</v>
      </c>
      <c r="AT542">
        <v>0</v>
      </c>
    </row>
    <row r="543" spans="1:46" x14ac:dyDescent="0.45">
      <c r="A543" s="62" t="s">
        <v>735</v>
      </c>
      <c r="B543" s="62" t="s">
        <v>242</v>
      </c>
      <c r="C543" s="63"/>
      <c r="D543" s="64"/>
      <c r="E543" s="65"/>
      <c r="F543" s="66"/>
      <c r="G543" s="63"/>
      <c r="H543" s="67"/>
      <c r="I543" s="68"/>
      <c r="J543" s="68"/>
      <c r="K543" s="32"/>
      <c r="L543" s="75"/>
      <c r="M543" s="75"/>
      <c r="N543" s="70"/>
      <c r="O543" t="s">
        <v>1568</v>
      </c>
      <c r="P543" s="76">
        <v>44958.931585648148</v>
      </c>
      <c r="Q543" t="s">
        <v>1921</v>
      </c>
      <c r="R543" s="77" t="str">
        <f>HYPERLINK("https://twitter.com/potus/status/1620891197186220039")</f>
        <v>https://twitter.com/potus/status/1620891197186220039</v>
      </c>
      <c r="S543" t="s">
        <v>2257</v>
      </c>
      <c r="V543" s="77" t="str">
        <f>HYPERLINK("https://pbs.twimg.com/profile_images/1616584401835655168/YwXLpgdb_normal.jpg")</f>
        <v>https://pbs.twimg.com/profile_images/1616584401835655168/YwXLpgdb_normal.jpg</v>
      </c>
      <c r="W543" s="76">
        <v>44958.931585648148</v>
      </c>
      <c r="X543" s="80">
        <v>44958</v>
      </c>
      <c r="Y543" s="78" t="s">
        <v>2954</v>
      </c>
      <c r="Z543" s="77" t="str">
        <f>HYPERLINK("https://twitter.com/gisellebaumet/status/1620910233072844801")</f>
        <v>https://twitter.com/gisellebaumet/status/1620910233072844801</v>
      </c>
      <c r="AC543" s="78" t="s">
        <v>4019</v>
      </c>
      <c r="AE543" t="b">
        <v>0</v>
      </c>
      <c r="AF543">
        <v>0</v>
      </c>
      <c r="AG543" s="78" t="s">
        <v>4640</v>
      </c>
      <c r="AH543" t="b">
        <v>1</v>
      </c>
      <c r="AI543" t="s">
        <v>4829</v>
      </c>
      <c r="AK543" s="78" t="s">
        <v>4613</v>
      </c>
      <c r="AL543" t="b">
        <v>0</v>
      </c>
      <c r="AM543">
        <v>0</v>
      </c>
      <c r="AN543" s="78" t="s">
        <v>4640</v>
      </c>
      <c r="AO543" s="78" t="s">
        <v>4849</v>
      </c>
      <c r="AP543" t="b">
        <v>0</v>
      </c>
      <c r="AQ543" s="78" t="s">
        <v>4019</v>
      </c>
      <c r="AR543" t="s">
        <v>179</v>
      </c>
      <c r="AS543">
        <v>0</v>
      </c>
      <c r="AT543">
        <v>0</v>
      </c>
    </row>
    <row r="544" spans="1:46" x14ac:dyDescent="0.45">
      <c r="A544" s="62" t="s">
        <v>742</v>
      </c>
      <c r="B544" s="62" t="s">
        <v>1356</v>
      </c>
      <c r="C544" s="63"/>
      <c r="D544" s="64"/>
      <c r="E544" s="65"/>
      <c r="F544" s="66"/>
      <c r="G544" s="63"/>
      <c r="H544" s="67"/>
      <c r="I544" s="68"/>
      <c r="J544" s="68"/>
      <c r="K544" s="32"/>
      <c r="L544" s="75"/>
      <c r="M544" s="75"/>
      <c r="N544" s="70"/>
      <c r="O544" t="s">
        <v>1568</v>
      </c>
      <c r="P544" s="76">
        <v>44958.937962962962</v>
      </c>
      <c r="Q544" t="s">
        <v>1927</v>
      </c>
      <c r="R544" s="77" t="str">
        <f>HYPERLINK("https://twitter.com/megmandy/status/1620515377930469377")</f>
        <v>https://twitter.com/megmandy/status/1620515377930469377</v>
      </c>
      <c r="S544" t="s">
        <v>2257</v>
      </c>
      <c r="V544" s="77" t="str">
        <f>HYPERLINK("https://pbs.twimg.com/profile_images/1605545117007642624/J9Kt8UEf_normal.jpg")</f>
        <v>https://pbs.twimg.com/profile_images/1605545117007642624/J9Kt8UEf_normal.jpg</v>
      </c>
      <c r="W544" s="76">
        <v>44958.937962962962</v>
      </c>
      <c r="X544" s="80">
        <v>44958</v>
      </c>
      <c r="Y544" s="78" t="s">
        <v>2961</v>
      </c>
      <c r="Z544" s="77" t="str">
        <f>HYPERLINK("https://twitter.com/elonscumstain/status/1620912545396834310")</f>
        <v>https://twitter.com/elonscumstain/status/1620912545396834310</v>
      </c>
      <c r="AC544" s="78" t="s">
        <v>4026</v>
      </c>
      <c r="AE544" t="b">
        <v>0</v>
      </c>
      <c r="AF544">
        <v>0</v>
      </c>
      <c r="AG544" s="78" t="s">
        <v>4640</v>
      </c>
      <c r="AH544" t="b">
        <v>1</v>
      </c>
      <c r="AI544" t="s">
        <v>4829</v>
      </c>
      <c r="AK544" s="78" t="s">
        <v>4839</v>
      </c>
      <c r="AL544" t="b">
        <v>0</v>
      </c>
      <c r="AM544">
        <v>0</v>
      </c>
      <c r="AN544" s="78" t="s">
        <v>4640</v>
      </c>
      <c r="AO544" s="78" t="s">
        <v>4851</v>
      </c>
      <c r="AP544" t="b">
        <v>0</v>
      </c>
      <c r="AQ544" s="78" t="s">
        <v>4026</v>
      </c>
      <c r="AR544" t="s">
        <v>179</v>
      </c>
      <c r="AS544">
        <v>0</v>
      </c>
      <c r="AT544">
        <v>0</v>
      </c>
    </row>
    <row r="545" spans="1:54" x14ac:dyDescent="0.45">
      <c r="A545" s="62" t="s">
        <v>742</v>
      </c>
      <c r="B545" s="62" t="s">
        <v>242</v>
      </c>
      <c r="C545" s="63"/>
      <c r="D545" s="64"/>
      <c r="E545" s="65"/>
      <c r="F545" s="66"/>
      <c r="G545" s="63"/>
      <c r="H545" s="67"/>
      <c r="I545" s="68"/>
      <c r="J545" s="68"/>
      <c r="K545" s="32"/>
      <c r="L545" s="75"/>
      <c r="M545" s="75"/>
      <c r="N545" s="70"/>
      <c r="O545" t="s">
        <v>1568</v>
      </c>
      <c r="P545" s="76">
        <v>44958.937962962962</v>
      </c>
      <c r="Q545" t="s">
        <v>1927</v>
      </c>
      <c r="R545" s="77" t="str">
        <f>HYPERLINK("https://twitter.com/megmandy/status/1620515377930469377")</f>
        <v>https://twitter.com/megmandy/status/1620515377930469377</v>
      </c>
      <c r="S545" t="s">
        <v>2257</v>
      </c>
      <c r="V545" s="77" t="str">
        <f>HYPERLINK("https://pbs.twimg.com/profile_images/1605545117007642624/J9Kt8UEf_normal.jpg")</f>
        <v>https://pbs.twimg.com/profile_images/1605545117007642624/J9Kt8UEf_normal.jpg</v>
      </c>
      <c r="W545" s="76">
        <v>44958.937962962962</v>
      </c>
      <c r="X545" s="80">
        <v>44958</v>
      </c>
      <c r="Y545" s="78" t="s">
        <v>2961</v>
      </c>
      <c r="Z545" s="77" t="str">
        <f>HYPERLINK("https://twitter.com/elonscumstain/status/1620912545396834310")</f>
        <v>https://twitter.com/elonscumstain/status/1620912545396834310</v>
      </c>
      <c r="AC545" s="78" t="s">
        <v>4026</v>
      </c>
      <c r="AE545" t="b">
        <v>0</v>
      </c>
      <c r="AF545">
        <v>0</v>
      </c>
      <c r="AG545" s="78" t="s">
        <v>4640</v>
      </c>
      <c r="AH545" t="b">
        <v>1</v>
      </c>
      <c r="AI545" t="s">
        <v>4829</v>
      </c>
      <c r="AK545" s="78" t="s">
        <v>4839</v>
      </c>
      <c r="AL545" t="b">
        <v>0</v>
      </c>
      <c r="AM545">
        <v>0</v>
      </c>
      <c r="AN545" s="78" t="s">
        <v>4640</v>
      </c>
      <c r="AO545" s="78" t="s">
        <v>4851</v>
      </c>
      <c r="AP545" t="b">
        <v>0</v>
      </c>
      <c r="AQ545" s="78" t="s">
        <v>4026</v>
      </c>
      <c r="AR545" t="s">
        <v>179</v>
      </c>
      <c r="AS545">
        <v>0</v>
      </c>
      <c r="AT545">
        <v>0</v>
      </c>
    </row>
    <row r="546" spans="1:54" x14ac:dyDescent="0.45">
      <c r="A546" s="62" t="s">
        <v>742</v>
      </c>
      <c r="B546" s="62" t="s">
        <v>1181</v>
      </c>
      <c r="C546" s="63"/>
      <c r="D546" s="64"/>
      <c r="E546" s="65"/>
      <c r="F546" s="66"/>
      <c r="G546" s="63"/>
      <c r="H546" s="67"/>
      <c r="I546" s="68"/>
      <c r="J546" s="68"/>
      <c r="K546" s="32"/>
      <c r="L546" s="75"/>
      <c r="M546" s="75"/>
      <c r="N546" s="70"/>
      <c r="O546" t="s">
        <v>1568</v>
      </c>
      <c r="P546" s="76">
        <v>44958.937962962962</v>
      </c>
      <c r="Q546" t="s">
        <v>1927</v>
      </c>
      <c r="R546" s="77" t="str">
        <f>HYPERLINK("https://twitter.com/megmandy/status/1620515377930469377")</f>
        <v>https://twitter.com/megmandy/status/1620515377930469377</v>
      </c>
      <c r="S546" t="s">
        <v>2257</v>
      </c>
      <c r="V546" s="77" t="str">
        <f>HYPERLINK("https://pbs.twimg.com/profile_images/1605545117007642624/J9Kt8UEf_normal.jpg")</f>
        <v>https://pbs.twimg.com/profile_images/1605545117007642624/J9Kt8UEf_normal.jpg</v>
      </c>
      <c r="W546" s="76">
        <v>44958.937962962962</v>
      </c>
      <c r="X546" s="80">
        <v>44958</v>
      </c>
      <c r="Y546" s="78" t="s">
        <v>2961</v>
      </c>
      <c r="Z546" s="77" t="str">
        <f>HYPERLINK("https://twitter.com/elonscumstain/status/1620912545396834310")</f>
        <v>https://twitter.com/elonscumstain/status/1620912545396834310</v>
      </c>
      <c r="AC546" s="78" t="s">
        <v>4026</v>
      </c>
      <c r="AE546" t="b">
        <v>0</v>
      </c>
      <c r="AF546">
        <v>0</v>
      </c>
      <c r="AG546" s="78" t="s">
        <v>4640</v>
      </c>
      <c r="AH546" t="b">
        <v>1</v>
      </c>
      <c r="AI546" t="s">
        <v>4829</v>
      </c>
      <c r="AK546" s="78" t="s">
        <v>4839</v>
      </c>
      <c r="AL546" t="b">
        <v>0</v>
      </c>
      <c r="AM546">
        <v>0</v>
      </c>
      <c r="AN546" s="78" t="s">
        <v>4640</v>
      </c>
      <c r="AO546" s="78" t="s">
        <v>4851</v>
      </c>
      <c r="AP546" t="b">
        <v>0</v>
      </c>
      <c r="AQ546" s="78" t="s">
        <v>4026</v>
      </c>
      <c r="AR546" t="s">
        <v>179</v>
      </c>
      <c r="AS546">
        <v>0</v>
      </c>
      <c r="AT546">
        <v>0</v>
      </c>
    </row>
    <row r="547" spans="1:54" x14ac:dyDescent="0.45">
      <c r="A547" s="62" t="s">
        <v>811</v>
      </c>
      <c r="B547" s="62" t="s">
        <v>242</v>
      </c>
      <c r="C547" s="63"/>
      <c r="D547" s="64"/>
      <c r="E547" s="65"/>
      <c r="F547" s="66"/>
      <c r="G547" s="63"/>
      <c r="H547" s="67"/>
      <c r="I547" s="68"/>
      <c r="J547" s="68"/>
      <c r="K547" s="32"/>
      <c r="L547" s="75"/>
      <c r="M547" s="75"/>
      <c r="N547" s="70"/>
      <c r="O547" t="s">
        <v>1568</v>
      </c>
      <c r="P547" s="76">
        <v>44958.972083333334</v>
      </c>
      <c r="Q547" t="s">
        <v>1989</v>
      </c>
      <c r="R547" s="77" t="str">
        <f>HYPERLINK("https://twitter.com/Walmart/status/1620873979719258135")</f>
        <v>https://twitter.com/Walmart/status/1620873979719258135</v>
      </c>
      <c r="S547" t="s">
        <v>2257</v>
      </c>
      <c r="U547" s="77" t="str">
        <f>HYPERLINK("https://pbs.twimg.com/tweet_video_thumb/Fn6unIwXEAEDnzC.jpg")</f>
        <v>https://pbs.twimg.com/tweet_video_thumb/Fn6unIwXEAEDnzC.jpg</v>
      </c>
      <c r="V547" s="77" t="str">
        <f>HYPERLINK("https://pbs.twimg.com/tweet_video_thumb/Fn6unIwXEAEDnzC.jpg")</f>
        <v>https://pbs.twimg.com/tweet_video_thumb/Fn6unIwXEAEDnzC.jpg</v>
      </c>
      <c r="W547" s="76">
        <v>44958.972083333334</v>
      </c>
      <c r="X547" s="80">
        <v>44958</v>
      </c>
      <c r="Y547" s="78" t="s">
        <v>3046</v>
      </c>
      <c r="Z547" s="77" t="str">
        <f>HYPERLINK("https://twitter.com/donrull/status/1620924911308120065")</f>
        <v>https://twitter.com/donrull/status/1620924911308120065</v>
      </c>
      <c r="AC547" s="78" t="s">
        <v>4111</v>
      </c>
      <c r="AE547" t="b">
        <v>0</v>
      </c>
      <c r="AF547">
        <v>0</v>
      </c>
      <c r="AG547" s="78" t="s">
        <v>4640</v>
      </c>
      <c r="AH547" t="b">
        <v>1</v>
      </c>
      <c r="AI547" t="s">
        <v>4829</v>
      </c>
      <c r="AK547" s="78" t="s">
        <v>4495</v>
      </c>
      <c r="AL547" t="b">
        <v>0</v>
      </c>
      <c r="AM547">
        <v>0</v>
      </c>
      <c r="AN547" s="78" t="s">
        <v>4640</v>
      </c>
      <c r="AO547" s="78" t="s">
        <v>4850</v>
      </c>
      <c r="AP547" t="b">
        <v>0</v>
      </c>
      <c r="AQ547" s="78" t="s">
        <v>4111</v>
      </c>
      <c r="AR547" t="s">
        <v>179</v>
      </c>
      <c r="AS547">
        <v>0</v>
      </c>
      <c r="AT547">
        <v>0</v>
      </c>
      <c r="AU547" t="s">
        <v>4888</v>
      </c>
      <c r="AV547" t="s">
        <v>4899</v>
      </c>
      <c r="AW547" t="s">
        <v>4901</v>
      </c>
      <c r="AX547" t="s">
        <v>4917</v>
      </c>
      <c r="AY547" t="s">
        <v>4942</v>
      </c>
      <c r="AZ547" t="s">
        <v>4967</v>
      </c>
      <c r="BA547" t="s">
        <v>4976</v>
      </c>
      <c r="BB547" s="77" t="str">
        <f>HYPERLINK("https://api.twitter.com/1.1/geo/id/4ec01c9dbc693497.json")</f>
        <v>https://api.twitter.com/1.1/geo/id/4ec01c9dbc693497.json</v>
      </c>
    </row>
    <row r="548" spans="1:54" x14ac:dyDescent="0.45">
      <c r="A548" s="62" t="s">
        <v>811</v>
      </c>
      <c r="B548" s="62" t="s">
        <v>242</v>
      </c>
      <c r="C548" s="63"/>
      <c r="D548" s="64"/>
      <c r="E548" s="65"/>
      <c r="F548" s="66"/>
      <c r="G548" s="63"/>
      <c r="H548" s="67"/>
      <c r="I548" s="68"/>
      <c r="J548" s="68"/>
      <c r="K548" s="32"/>
      <c r="L548" s="75"/>
      <c r="M548" s="75"/>
      <c r="N548" s="70"/>
      <c r="O548" t="s">
        <v>1567</v>
      </c>
      <c r="P548" s="76">
        <v>44958.973599537036</v>
      </c>
      <c r="Q548" t="s">
        <v>1990</v>
      </c>
      <c r="R548" s="77" t="str">
        <f>HYPERLINK("https://twitter.com/Walmart/status/1620533889574780928")</f>
        <v>https://twitter.com/Walmart/status/1620533889574780928</v>
      </c>
      <c r="S548" t="s">
        <v>2257</v>
      </c>
      <c r="U548" s="77" t="str">
        <f>HYPERLINK("https://pbs.twimg.com/tweet_video_thumb/Fn6vHA8XEAU6QDW.jpg")</f>
        <v>https://pbs.twimg.com/tweet_video_thumb/Fn6vHA8XEAU6QDW.jpg</v>
      </c>
      <c r="V548" s="77" t="str">
        <f>HYPERLINK("https://pbs.twimg.com/tweet_video_thumb/Fn6vHA8XEAU6QDW.jpg")</f>
        <v>https://pbs.twimg.com/tweet_video_thumb/Fn6vHA8XEAU6QDW.jpg</v>
      </c>
      <c r="W548" s="76">
        <v>44958.973599537036</v>
      </c>
      <c r="X548" s="80">
        <v>44958</v>
      </c>
      <c r="Y548" s="78" t="s">
        <v>3047</v>
      </c>
      <c r="Z548" s="77" t="str">
        <f>HYPERLINK("https://twitter.com/donrull/status/1620925460254437376")</f>
        <v>https://twitter.com/donrull/status/1620925460254437376</v>
      </c>
      <c r="AC548" s="78" t="s">
        <v>4112</v>
      </c>
      <c r="AE548" t="b">
        <v>0</v>
      </c>
      <c r="AF548">
        <v>0</v>
      </c>
      <c r="AG548" s="78" t="s">
        <v>4639</v>
      </c>
      <c r="AH548" t="b">
        <v>1</v>
      </c>
      <c r="AI548" t="s">
        <v>4829</v>
      </c>
      <c r="AK548" s="78" t="s">
        <v>4498</v>
      </c>
      <c r="AL548" t="b">
        <v>0</v>
      </c>
      <c r="AM548">
        <v>0</v>
      </c>
      <c r="AN548" s="78" t="s">
        <v>4640</v>
      </c>
      <c r="AO548" s="78" t="s">
        <v>4850</v>
      </c>
      <c r="AP548" t="b">
        <v>0</v>
      </c>
      <c r="AQ548" s="78" t="s">
        <v>4112</v>
      </c>
      <c r="AR548" t="s">
        <v>179</v>
      </c>
      <c r="AS548">
        <v>0</v>
      </c>
      <c r="AT548">
        <v>0</v>
      </c>
      <c r="AU548" t="s">
        <v>4888</v>
      </c>
      <c r="AV548" t="s">
        <v>4899</v>
      </c>
      <c r="AW548" t="s">
        <v>4901</v>
      </c>
      <c r="AX548" t="s">
        <v>4917</v>
      </c>
      <c r="AY548" t="s">
        <v>4942</v>
      </c>
      <c r="AZ548" t="s">
        <v>4967</v>
      </c>
      <c r="BA548" t="s">
        <v>4976</v>
      </c>
      <c r="BB548" s="77" t="str">
        <f>HYPERLINK("https://api.twitter.com/1.1/geo/id/4ec01c9dbc693497.json")</f>
        <v>https://api.twitter.com/1.1/geo/id/4ec01c9dbc693497.json</v>
      </c>
    </row>
    <row r="549" spans="1:54" x14ac:dyDescent="0.45">
      <c r="A549" s="62" t="s">
        <v>811</v>
      </c>
      <c r="B549" s="62" t="s">
        <v>242</v>
      </c>
      <c r="C549" s="63"/>
      <c r="D549" s="64"/>
      <c r="E549" s="65"/>
      <c r="F549" s="66"/>
      <c r="G549" s="63"/>
      <c r="H549" s="67"/>
      <c r="I549" s="68"/>
      <c r="J549" s="68"/>
      <c r="K549" s="32"/>
      <c r="L549" s="75"/>
      <c r="M549" s="75"/>
      <c r="N549" s="70"/>
      <c r="O549" t="s">
        <v>1567</v>
      </c>
      <c r="P549" s="76">
        <v>44958.974305555559</v>
      </c>
      <c r="Q549" t="s">
        <v>1991</v>
      </c>
      <c r="R549" s="77" t="str">
        <f>HYPERLINK("https://twitter.com/Walmart/status/1615379740935831554")</f>
        <v>https://twitter.com/Walmart/status/1615379740935831554</v>
      </c>
      <c r="S549" t="s">
        <v>2257</v>
      </c>
      <c r="U549" s="77" t="str">
        <f>HYPERLINK("https://pbs.twimg.com/tweet_video_thumb/Fn6vWCDXoAUfSrI.jpg")</f>
        <v>https://pbs.twimg.com/tweet_video_thumb/Fn6vWCDXoAUfSrI.jpg</v>
      </c>
      <c r="V549" s="77" t="str">
        <f>HYPERLINK("https://pbs.twimg.com/tweet_video_thumb/Fn6vWCDXoAUfSrI.jpg")</f>
        <v>https://pbs.twimg.com/tweet_video_thumb/Fn6vWCDXoAUfSrI.jpg</v>
      </c>
      <c r="W549" s="76">
        <v>44958.974305555559</v>
      </c>
      <c r="X549" s="80">
        <v>44958</v>
      </c>
      <c r="Y549" s="78" t="s">
        <v>3048</v>
      </c>
      <c r="Z549" s="77" t="str">
        <f>HYPERLINK("https://twitter.com/donrull/status/1620925717247840257")</f>
        <v>https://twitter.com/donrull/status/1620925717247840257</v>
      </c>
      <c r="AC549" s="78" t="s">
        <v>4113</v>
      </c>
      <c r="AE549" t="b">
        <v>0</v>
      </c>
      <c r="AF549">
        <v>0</v>
      </c>
      <c r="AG549" s="78" t="s">
        <v>4639</v>
      </c>
      <c r="AH549" t="b">
        <v>1</v>
      </c>
      <c r="AI549" t="s">
        <v>4829</v>
      </c>
      <c r="AK549" s="78" t="s">
        <v>4493</v>
      </c>
      <c r="AL549" t="b">
        <v>0</v>
      </c>
      <c r="AM549">
        <v>0</v>
      </c>
      <c r="AN549" s="78" t="s">
        <v>4640</v>
      </c>
      <c r="AO549" s="78" t="s">
        <v>4850</v>
      </c>
      <c r="AP549" t="b">
        <v>0</v>
      </c>
      <c r="AQ549" s="78" t="s">
        <v>4113</v>
      </c>
      <c r="AR549" t="s">
        <v>179</v>
      </c>
      <c r="AS549">
        <v>0</v>
      </c>
      <c r="AT549">
        <v>0</v>
      </c>
      <c r="AU549" t="s">
        <v>4888</v>
      </c>
      <c r="AV549" t="s">
        <v>4899</v>
      </c>
      <c r="AW549" t="s">
        <v>4901</v>
      </c>
      <c r="AX549" t="s">
        <v>4917</v>
      </c>
      <c r="AY549" t="s">
        <v>4942</v>
      </c>
      <c r="AZ549" t="s">
        <v>4967</v>
      </c>
      <c r="BA549" t="s">
        <v>4976</v>
      </c>
      <c r="BB549" s="77" t="str">
        <f>HYPERLINK("https://api.twitter.com/1.1/geo/id/4ec01c9dbc693497.json")</f>
        <v>https://api.twitter.com/1.1/geo/id/4ec01c9dbc693497.json</v>
      </c>
    </row>
    <row r="550" spans="1:54" x14ac:dyDescent="0.45">
      <c r="A550" s="62" t="s">
        <v>811</v>
      </c>
      <c r="B550" s="62" t="s">
        <v>242</v>
      </c>
      <c r="C550" s="63"/>
      <c r="D550" s="64"/>
      <c r="E550" s="65"/>
      <c r="F550" s="66"/>
      <c r="G550" s="63"/>
      <c r="H550" s="67"/>
      <c r="I550" s="68"/>
      <c r="J550" s="68"/>
      <c r="K550" s="32"/>
      <c r="L550" s="75"/>
      <c r="M550" s="75"/>
      <c r="N550" s="70"/>
      <c r="O550" t="s">
        <v>1568</v>
      </c>
      <c r="P550" s="76">
        <v>44958.975173611114</v>
      </c>
      <c r="Q550" t="s">
        <v>1992</v>
      </c>
      <c r="R550" s="77" t="str">
        <f>HYPERLINK("https://twitter.com/Walmart/status/1609222786463207426")</f>
        <v>https://twitter.com/Walmart/status/1609222786463207426</v>
      </c>
      <c r="S550" t="s">
        <v>2257</v>
      </c>
      <c r="U550" s="77" t="str">
        <f>HYPERLINK("https://pbs.twimg.com/tweet_video_thumb/Fn6voOgXoAAMUSw.jpg")</f>
        <v>https://pbs.twimg.com/tweet_video_thumb/Fn6voOgXoAAMUSw.jpg</v>
      </c>
      <c r="V550" s="77" t="str">
        <f>HYPERLINK("https://pbs.twimg.com/tweet_video_thumb/Fn6voOgXoAAMUSw.jpg")</f>
        <v>https://pbs.twimg.com/tweet_video_thumb/Fn6voOgXoAAMUSw.jpg</v>
      </c>
      <c r="W550" s="76">
        <v>44958.975173611114</v>
      </c>
      <c r="X550" s="80">
        <v>44958</v>
      </c>
      <c r="Y550" s="78" t="s">
        <v>3049</v>
      </c>
      <c r="Z550" s="77" t="str">
        <f>HYPERLINK("https://twitter.com/donrull/status/1620926029144506369")</f>
        <v>https://twitter.com/donrull/status/1620926029144506369</v>
      </c>
      <c r="AC550" s="78" t="s">
        <v>4114</v>
      </c>
      <c r="AE550" t="b">
        <v>0</v>
      </c>
      <c r="AF550">
        <v>0</v>
      </c>
      <c r="AG550" s="78" t="s">
        <v>4640</v>
      </c>
      <c r="AH550" t="b">
        <v>1</v>
      </c>
      <c r="AI550" t="s">
        <v>4829</v>
      </c>
      <c r="AK550" s="78" t="s">
        <v>4840</v>
      </c>
      <c r="AL550" t="b">
        <v>0</v>
      </c>
      <c r="AM550">
        <v>0</v>
      </c>
      <c r="AN550" s="78" t="s">
        <v>4640</v>
      </c>
      <c r="AO550" s="78" t="s">
        <v>4850</v>
      </c>
      <c r="AP550" t="b">
        <v>0</v>
      </c>
      <c r="AQ550" s="78" t="s">
        <v>4114</v>
      </c>
      <c r="AR550" t="s">
        <v>179</v>
      </c>
      <c r="AS550">
        <v>0</v>
      </c>
      <c r="AT550">
        <v>0</v>
      </c>
      <c r="AU550" t="s">
        <v>4888</v>
      </c>
      <c r="AV550" t="s">
        <v>4899</v>
      </c>
      <c r="AW550" t="s">
        <v>4901</v>
      </c>
      <c r="AX550" t="s">
        <v>4917</v>
      </c>
      <c r="AY550" t="s">
        <v>4942</v>
      </c>
      <c r="AZ550" t="s">
        <v>4967</v>
      </c>
      <c r="BA550" t="s">
        <v>4976</v>
      </c>
      <c r="BB550" s="77" t="str">
        <f>HYPERLINK("https://api.twitter.com/1.1/geo/id/4ec01c9dbc693497.json")</f>
        <v>https://api.twitter.com/1.1/geo/id/4ec01c9dbc693497.json</v>
      </c>
    </row>
    <row r="551" spans="1:54" x14ac:dyDescent="0.45">
      <c r="A551" s="62" t="s">
        <v>811</v>
      </c>
      <c r="B551" s="62" t="s">
        <v>242</v>
      </c>
      <c r="C551" s="63"/>
      <c r="D551" s="64"/>
      <c r="E551" s="65"/>
      <c r="F551" s="66"/>
      <c r="G551" s="63"/>
      <c r="H551" s="67"/>
      <c r="I551" s="68"/>
      <c r="J551" s="68"/>
      <c r="K551" s="32"/>
      <c r="L551" s="75"/>
      <c r="M551" s="75"/>
      <c r="N551" s="70"/>
      <c r="O551" t="s">
        <v>1567</v>
      </c>
      <c r="P551" s="76">
        <v>44958.990902777776</v>
      </c>
      <c r="Q551" t="s">
        <v>1993</v>
      </c>
      <c r="R551" s="77" t="str">
        <f>HYPERLINK("https://twitter.com/Walmart/status/1620927779348058114")</f>
        <v>https://twitter.com/Walmart/status/1620927779348058114</v>
      </c>
      <c r="S551" t="s">
        <v>2257</v>
      </c>
      <c r="U551" s="77" t="str">
        <f>HYPERLINK("https://pbs.twimg.com/tweet_video_thumb/Fn600FzXwAEsi_i.jpg")</f>
        <v>https://pbs.twimg.com/tweet_video_thumb/Fn600FzXwAEsi_i.jpg</v>
      </c>
      <c r="V551" s="77" t="str">
        <f>HYPERLINK("https://pbs.twimg.com/tweet_video_thumb/Fn600FzXwAEsi_i.jpg")</f>
        <v>https://pbs.twimg.com/tweet_video_thumb/Fn600FzXwAEsi_i.jpg</v>
      </c>
      <c r="W551" s="76">
        <v>44958.990902777776</v>
      </c>
      <c r="X551" s="80">
        <v>44958</v>
      </c>
      <c r="Y551" s="78" t="s">
        <v>3050</v>
      </c>
      <c r="Z551" s="77" t="str">
        <f>HYPERLINK("https://twitter.com/donrull/status/1620931731347087360")</f>
        <v>https://twitter.com/donrull/status/1620931731347087360</v>
      </c>
      <c r="AC551" s="78" t="s">
        <v>4115</v>
      </c>
      <c r="AE551" t="b">
        <v>0</v>
      </c>
      <c r="AF551">
        <v>0</v>
      </c>
      <c r="AG551" s="78" t="s">
        <v>4639</v>
      </c>
      <c r="AH551" t="b">
        <v>1</v>
      </c>
      <c r="AI551" t="s">
        <v>4829</v>
      </c>
      <c r="AK551" s="78" t="s">
        <v>4497</v>
      </c>
      <c r="AL551" t="b">
        <v>0</v>
      </c>
      <c r="AM551">
        <v>0</v>
      </c>
      <c r="AN551" s="78" t="s">
        <v>4640</v>
      </c>
      <c r="AO551" s="78" t="s">
        <v>4850</v>
      </c>
      <c r="AP551" t="b">
        <v>0</v>
      </c>
      <c r="AQ551" s="78" t="s">
        <v>4115</v>
      </c>
      <c r="AR551" t="s">
        <v>179</v>
      </c>
      <c r="AS551">
        <v>0</v>
      </c>
      <c r="AT551">
        <v>0</v>
      </c>
      <c r="AU551" t="s">
        <v>4888</v>
      </c>
      <c r="AV551" t="s">
        <v>4899</v>
      </c>
      <c r="AW551" t="s">
        <v>4901</v>
      </c>
      <c r="AX551" t="s">
        <v>4917</v>
      </c>
      <c r="AY551" t="s">
        <v>4942</v>
      </c>
      <c r="AZ551" t="s">
        <v>4967</v>
      </c>
      <c r="BA551" t="s">
        <v>4976</v>
      </c>
      <c r="BB551" s="77" t="str">
        <f>HYPERLINK("https://api.twitter.com/1.1/geo/id/4ec01c9dbc693497.json")</f>
        <v>https://api.twitter.com/1.1/geo/id/4ec01c9dbc693497.json</v>
      </c>
    </row>
    <row r="552" spans="1:54" x14ac:dyDescent="0.45">
      <c r="A552" s="62" t="s">
        <v>830</v>
      </c>
      <c r="B552" s="62" t="s">
        <v>788</v>
      </c>
      <c r="C552" s="63"/>
      <c r="D552" s="64"/>
      <c r="E552" s="65"/>
      <c r="F552" s="66"/>
      <c r="G552" s="63"/>
      <c r="H552" s="67"/>
      <c r="I552" s="68"/>
      <c r="J552" s="68"/>
      <c r="K552" s="32"/>
      <c r="L552" s="75"/>
      <c r="M552" s="75"/>
      <c r="N552" s="70"/>
      <c r="O552" t="s">
        <v>1569</v>
      </c>
      <c r="P552" s="76">
        <v>44959.005798611113</v>
      </c>
      <c r="Q552" t="s">
        <v>2012</v>
      </c>
      <c r="R552" s="77" t="str">
        <f>HYPERLINK("https://twitter.com/tristecoach/status/1620856892066238464")</f>
        <v>https://twitter.com/tristecoach/status/1620856892066238464</v>
      </c>
      <c r="S552" t="s">
        <v>2257</v>
      </c>
      <c r="V552" s="77" t="str">
        <f>HYPERLINK("https://pbs.twimg.com/profile_images/789162453837807616/vqgexgQn_normal.jpg")</f>
        <v>https://pbs.twimg.com/profile_images/789162453837807616/vqgexgQn_normal.jpg</v>
      </c>
      <c r="W552" s="76">
        <v>44959.005798611113</v>
      </c>
      <c r="X552" s="80">
        <v>44959</v>
      </c>
      <c r="Y552" s="78" t="s">
        <v>3079</v>
      </c>
      <c r="Z552" s="77" t="str">
        <f>HYPERLINK("https://twitter.com/ctwpanthers/status/1620937127566647296")</f>
        <v>https://twitter.com/ctwpanthers/status/1620937127566647296</v>
      </c>
      <c r="AC552" s="78" t="s">
        <v>4144</v>
      </c>
      <c r="AE552" t="b">
        <v>0</v>
      </c>
      <c r="AF552">
        <v>0</v>
      </c>
      <c r="AG552" s="78" t="s">
        <v>4640</v>
      </c>
      <c r="AH552" t="b">
        <v>1</v>
      </c>
      <c r="AI552" t="s">
        <v>4829</v>
      </c>
      <c r="AK552" s="78" t="s">
        <v>4841</v>
      </c>
      <c r="AL552" t="b">
        <v>0</v>
      </c>
      <c r="AM552">
        <v>1</v>
      </c>
      <c r="AN552" s="78" t="s">
        <v>4143</v>
      </c>
      <c r="AO552" s="78" t="s">
        <v>4849</v>
      </c>
      <c r="AP552" t="b">
        <v>0</v>
      </c>
      <c r="AQ552" s="78" t="s">
        <v>4143</v>
      </c>
      <c r="AR552" t="s">
        <v>179</v>
      </c>
      <c r="AS552">
        <v>0</v>
      </c>
      <c r="AT552">
        <v>0</v>
      </c>
    </row>
    <row r="553" spans="1:54" x14ac:dyDescent="0.45">
      <c r="A553" s="62" t="s">
        <v>830</v>
      </c>
      <c r="B553" s="62" t="s">
        <v>242</v>
      </c>
      <c r="C553" s="63"/>
      <c r="D553" s="64"/>
      <c r="E553" s="65"/>
      <c r="F553" s="66"/>
      <c r="G553" s="63"/>
      <c r="H553" s="67"/>
      <c r="I553" s="68"/>
      <c r="J553" s="68"/>
      <c r="K553" s="32"/>
      <c r="L553" s="75"/>
      <c r="M553" s="75"/>
      <c r="N553" s="70"/>
      <c r="O553" t="s">
        <v>1570</v>
      </c>
      <c r="P553" s="76">
        <v>44959.005798611113</v>
      </c>
      <c r="Q553" t="s">
        <v>2012</v>
      </c>
      <c r="R553" s="77" t="str">
        <f>HYPERLINK("https://twitter.com/tristecoach/status/1620856892066238464")</f>
        <v>https://twitter.com/tristecoach/status/1620856892066238464</v>
      </c>
      <c r="S553" t="s">
        <v>2257</v>
      </c>
      <c r="V553" s="77" t="str">
        <f>HYPERLINK("https://pbs.twimg.com/profile_images/789162453837807616/vqgexgQn_normal.jpg")</f>
        <v>https://pbs.twimg.com/profile_images/789162453837807616/vqgexgQn_normal.jpg</v>
      </c>
      <c r="W553" s="76">
        <v>44959.005798611113</v>
      </c>
      <c r="X553" s="80">
        <v>44959</v>
      </c>
      <c r="Y553" s="78" t="s">
        <v>3079</v>
      </c>
      <c r="Z553" s="77" t="str">
        <f>HYPERLINK("https://twitter.com/ctwpanthers/status/1620937127566647296")</f>
        <v>https://twitter.com/ctwpanthers/status/1620937127566647296</v>
      </c>
      <c r="AC553" s="78" t="s">
        <v>4144</v>
      </c>
      <c r="AE553" t="b">
        <v>0</v>
      </c>
      <c r="AF553">
        <v>0</v>
      </c>
      <c r="AG553" s="78" t="s">
        <v>4640</v>
      </c>
      <c r="AH553" t="b">
        <v>1</v>
      </c>
      <c r="AI553" t="s">
        <v>4829</v>
      </c>
      <c r="AK553" s="78" t="s">
        <v>4841</v>
      </c>
      <c r="AL553" t="b">
        <v>0</v>
      </c>
      <c r="AM553">
        <v>1</v>
      </c>
      <c r="AN553" s="78" t="s">
        <v>4143</v>
      </c>
      <c r="AO553" s="78" t="s">
        <v>4849</v>
      </c>
      <c r="AP553" t="b">
        <v>0</v>
      </c>
      <c r="AQ553" s="78" t="s">
        <v>4143</v>
      </c>
      <c r="AR553" t="s">
        <v>179</v>
      </c>
      <c r="AS553">
        <v>0</v>
      </c>
      <c r="AT553">
        <v>0</v>
      </c>
    </row>
    <row r="554" spans="1:54" x14ac:dyDescent="0.45">
      <c r="A554" s="62" t="s">
        <v>836</v>
      </c>
      <c r="B554" s="62" t="s">
        <v>1230</v>
      </c>
      <c r="C554" s="63"/>
      <c r="D554" s="64"/>
      <c r="E554" s="65"/>
      <c r="F554" s="66"/>
      <c r="G554" s="63"/>
      <c r="H554" s="67"/>
      <c r="I554" s="68"/>
      <c r="J554" s="68"/>
      <c r="K554" s="32"/>
      <c r="L554" s="75"/>
      <c r="M554" s="75"/>
      <c r="N554" s="70"/>
      <c r="O554" t="s">
        <v>1570</v>
      </c>
      <c r="P554" s="76">
        <v>44959.010312500002</v>
      </c>
      <c r="Q554" t="s">
        <v>2022</v>
      </c>
      <c r="R554" s="77" t="str">
        <f>HYPERLINK("https://twitter.com/mileycyrus/status/1164595246241603584?s=46&amp;t=mJoHKRFsrneZLdTnw4e3LQ")</f>
        <v>https://twitter.com/mileycyrus/status/1164595246241603584?s=46&amp;t=mJoHKRFsrneZLdTnw4e3LQ</v>
      </c>
      <c r="S554" t="s">
        <v>2257</v>
      </c>
      <c r="V554" s="77" t="str">
        <f>HYPERLINK("https://pbs.twimg.com/profile_images/1618408202596491264/G3hzrb_e_normal.jpg")</f>
        <v>https://pbs.twimg.com/profile_images/1618408202596491264/G3hzrb_e_normal.jpg</v>
      </c>
      <c r="W554" s="76">
        <v>44959.010312500002</v>
      </c>
      <c r="X554" s="80">
        <v>44959</v>
      </c>
      <c r="Y554" s="78" t="s">
        <v>3100</v>
      </c>
      <c r="Z554" s="77" t="str">
        <f>HYPERLINK("https://twitter.com/asmilersince06/status/1620938763961778176")</f>
        <v>https://twitter.com/asmilersince06/status/1620938763961778176</v>
      </c>
      <c r="AC554" s="78" t="s">
        <v>4165</v>
      </c>
      <c r="AE554" t="b">
        <v>0</v>
      </c>
      <c r="AF554">
        <v>0</v>
      </c>
      <c r="AG554" s="78" t="s">
        <v>4640</v>
      </c>
      <c r="AH554" t="b">
        <v>1</v>
      </c>
      <c r="AI554" t="s">
        <v>4829</v>
      </c>
      <c r="AK554" s="78" t="s">
        <v>4842</v>
      </c>
      <c r="AL554" t="b">
        <v>0</v>
      </c>
      <c r="AM554">
        <v>2</v>
      </c>
      <c r="AN554" s="78" t="s">
        <v>4449</v>
      </c>
      <c r="AO554" s="78" t="s">
        <v>4849</v>
      </c>
      <c r="AP554" t="b">
        <v>0</v>
      </c>
      <c r="AQ554" s="78" t="s">
        <v>4449</v>
      </c>
      <c r="AR554" t="s">
        <v>179</v>
      </c>
      <c r="AS554">
        <v>0</v>
      </c>
      <c r="AT554">
        <v>0</v>
      </c>
    </row>
    <row r="555" spans="1:54" x14ac:dyDescent="0.45">
      <c r="A555" s="62" t="s">
        <v>836</v>
      </c>
      <c r="B555" s="62" t="s">
        <v>1070</v>
      </c>
      <c r="C555" s="63"/>
      <c r="D555" s="64"/>
      <c r="E555" s="65"/>
      <c r="F555" s="66"/>
      <c r="G555" s="63"/>
      <c r="H555" s="67"/>
      <c r="I555" s="68"/>
      <c r="J555" s="68"/>
      <c r="K555" s="32"/>
      <c r="L555" s="75"/>
      <c r="M555" s="75"/>
      <c r="N555" s="70"/>
      <c r="O555" t="s">
        <v>1569</v>
      </c>
      <c r="P555" s="76">
        <v>44959.010312500002</v>
      </c>
      <c r="Q555" t="s">
        <v>2022</v>
      </c>
      <c r="R555" s="77" t="str">
        <f>HYPERLINK("https://twitter.com/mileycyrus/status/1164595246241603584?s=46&amp;t=mJoHKRFsrneZLdTnw4e3LQ")</f>
        <v>https://twitter.com/mileycyrus/status/1164595246241603584?s=46&amp;t=mJoHKRFsrneZLdTnw4e3LQ</v>
      </c>
      <c r="S555" t="s">
        <v>2257</v>
      </c>
      <c r="V555" s="77" t="str">
        <f>HYPERLINK("https://pbs.twimg.com/profile_images/1618408202596491264/G3hzrb_e_normal.jpg")</f>
        <v>https://pbs.twimg.com/profile_images/1618408202596491264/G3hzrb_e_normal.jpg</v>
      </c>
      <c r="W555" s="76">
        <v>44959.010312500002</v>
      </c>
      <c r="X555" s="80">
        <v>44959</v>
      </c>
      <c r="Y555" s="78" t="s">
        <v>3100</v>
      </c>
      <c r="Z555" s="77" t="str">
        <f>HYPERLINK("https://twitter.com/asmilersince06/status/1620938763961778176")</f>
        <v>https://twitter.com/asmilersince06/status/1620938763961778176</v>
      </c>
      <c r="AC555" s="78" t="s">
        <v>4165</v>
      </c>
      <c r="AE555" t="b">
        <v>0</v>
      </c>
      <c r="AF555">
        <v>0</v>
      </c>
      <c r="AG555" s="78" t="s">
        <v>4640</v>
      </c>
      <c r="AH555" t="b">
        <v>1</v>
      </c>
      <c r="AI555" t="s">
        <v>4829</v>
      </c>
      <c r="AK555" s="78" t="s">
        <v>4842</v>
      </c>
      <c r="AL555" t="b">
        <v>0</v>
      </c>
      <c r="AM555">
        <v>2</v>
      </c>
      <c r="AN555" s="78" t="s">
        <v>4449</v>
      </c>
      <c r="AO555" s="78" t="s">
        <v>4849</v>
      </c>
      <c r="AP555" t="b">
        <v>0</v>
      </c>
      <c r="AQ555" s="78" t="s">
        <v>4449</v>
      </c>
      <c r="AR555" t="s">
        <v>179</v>
      </c>
      <c r="AS555">
        <v>0</v>
      </c>
      <c r="AT555">
        <v>0</v>
      </c>
    </row>
    <row r="556" spans="1:54" x14ac:dyDescent="0.45">
      <c r="A556" s="62" t="s">
        <v>836</v>
      </c>
      <c r="B556" s="62" t="s">
        <v>242</v>
      </c>
      <c r="C556" s="63"/>
      <c r="D556" s="64"/>
      <c r="E556" s="65"/>
      <c r="F556" s="66"/>
      <c r="G556" s="63"/>
      <c r="H556" s="67"/>
      <c r="I556" s="68"/>
      <c r="J556" s="68"/>
      <c r="K556" s="32"/>
      <c r="L556" s="75"/>
      <c r="M556" s="75"/>
      <c r="N556" s="70"/>
      <c r="O556" t="s">
        <v>1567</v>
      </c>
      <c r="P556" s="76">
        <v>44959.010312500002</v>
      </c>
      <c r="Q556" t="s">
        <v>2022</v>
      </c>
      <c r="R556" s="77" t="str">
        <f>HYPERLINK("https://twitter.com/mileycyrus/status/1164595246241603584?s=46&amp;t=mJoHKRFsrneZLdTnw4e3LQ")</f>
        <v>https://twitter.com/mileycyrus/status/1164595246241603584?s=46&amp;t=mJoHKRFsrneZLdTnw4e3LQ</v>
      </c>
      <c r="S556" t="s">
        <v>2257</v>
      </c>
      <c r="V556" s="77" t="str">
        <f>HYPERLINK("https://pbs.twimg.com/profile_images/1618408202596491264/G3hzrb_e_normal.jpg")</f>
        <v>https://pbs.twimg.com/profile_images/1618408202596491264/G3hzrb_e_normal.jpg</v>
      </c>
      <c r="W556" s="76">
        <v>44959.010312500002</v>
      </c>
      <c r="X556" s="80">
        <v>44959</v>
      </c>
      <c r="Y556" s="78" t="s">
        <v>3100</v>
      </c>
      <c r="Z556" s="77" t="str">
        <f>HYPERLINK("https://twitter.com/asmilersince06/status/1620938763961778176")</f>
        <v>https://twitter.com/asmilersince06/status/1620938763961778176</v>
      </c>
      <c r="AC556" s="78" t="s">
        <v>4165</v>
      </c>
      <c r="AE556" t="b">
        <v>0</v>
      </c>
      <c r="AF556">
        <v>0</v>
      </c>
      <c r="AG556" s="78" t="s">
        <v>4640</v>
      </c>
      <c r="AH556" t="b">
        <v>1</v>
      </c>
      <c r="AI556" t="s">
        <v>4829</v>
      </c>
      <c r="AK556" s="78" t="s">
        <v>4842</v>
      </c>
      <c r="AL556" t="b">
        <v>0</v>
      </c>
      <c r="AM556">
        <v>2</v>
      </c>
      <c r="AN556" s="78" t="s">
        <v>4449</v>
      </c>
      <c r="AO556" s="78" t="s">
        <v>4849</v>
      </c>
      <c r="AP556" t="b">
        <v>0</v>
      </c>
      <c r="AQ556" s="78" t="s">
        <v>4449</v>
      </c>
      <c r="AR556" t="s">
        <v>179</v>
      </c>
      <c r="AS556">
        <v>0</v>
      </c>
      <c r="AT556">
        <v>0</v>
      </c>
    </row>
    <row r="557" spans="1:54" x14ac:dyDescent="0.45">
      <c r="A557" s="62" t="s">
        <v>952</v>
      </c>
      <c r="B557" s="62" t="s">
        <v>1462</v>
      </c>
      <c r="C557" s="63"/>
      <c r="D557" s="64"/>
      <c r="E557" s="65"/>
      <c r="F557" s="66"/>
      <c r="G557" s="63"/>
      <c r="H557" s="67"/>
      <c r="I557" s="68"/>
      <c r="J557" s="68"/>
      <c r="K557" s="32"/>
      <c r="L557" s="75"/>
      <c r="M557" s="75"/>
      <c r="N557" s="70"/>
      <c r="O557" t="s">
        <v>1568</v>
      </c>
      <c r="P557" s="76">
        <v>44958.922384259262</v>
      </c>
      <c r="Q557" t="s">
        <v>2109</v>
      </c>
      <c r="R557" s="77" t="str">
        <f>HYPERLINK("https://twitter.com/Sourabhcjain/status/1620900833612410881")</f>
        <v>https://twitter.com/Sourabhcjain/status/1620900833612410881</v>
      </c>
      <c r="S557" t="s">
        <v>2257</v>
      </c>
      <c r="U557" s="77" t="str">
        <f>HYPERLINK("https://pbs.twimg.com/media/Fn6eN1yaMAAljGU.jpg")</f>
        <v>https://pbs.twimg.com/media/Fn6eN1yaMAAljGU.jpg</v>
      </c>
      <c r="V557" s="77" t="str">
        <f>HYPERLINK("https://pbs.twimg.com/media/Fn6eN1yaMAAljGU.jpg")</f>
        <v>https://pbs.twimg.com/media/Fn6eN1yaMAAljGU.jpg</v>
      </c>
      <c r="W557" s="76">
        <v>44958.922384259262</v>
      </c>
      <c r="X557" s="80">
        <v>44958</v>
      </c>
      <c r="Y557" s="78" t="s">
        <v>3225</v>
      </c>
      <c r="Z557" s="77" t="str">
        <f>HYPERLINK("https://twitter.com/sourabhcjain/status/1620906898659885057")</f>
        <v>https://twitter.com/sourabhcjain/status/1620906898659885057</v>
      </c>
      <c r="AC557" s="78" t="s">
        <v>4290</v>
      </c>
      <c r="AE557" t="b">
        <v>0</v>
      </c>
      <c r="AF557">
        <v>0</v>
      </c>
      <c r="AG557" s="78" t="s">
        <v>4640</v>
      </c>
      <c r="AH557" t="b">
        <v>1</v>
      </c>
      <c r="AI557" t="s">
        <v>4829</v>
      </c>
      <c r="AK557" s="78" t="s">
        <v>4843</v>
      </c>
      <c r="AL557" t="b">
        <v>0</v>
      </c>
      <c r="AM557">
        <v>0</v>
      </c>
      <c r="AN557" s="78" t="s">
        <v>4640</v>
      </c>
      <c r="AO557" s="78" t="s">
        <v>4850</v>
      </c>
      <c r="AP557" t="b">
        <v>0</v>
      </c>
      <c r="AQ557" s="78" t="s">
        <v>4290</v>
      </c>
      <c r="AR557" t="s">
        <v>179</v>
      </c>
      <c r="AS557">
        <v>0</v>
      </c>
      <c r="AT557">
        <v>0</v>
      </c>
    </row>
    <row r="558" spans="1:54" x14ac:dyDescent="0.45">
      <c r="A558" s="62" t="s">
        <v>952</v>
      </c>
      <c r="B558" s="62" t="s">
        <v>1462</v>
      </c>
      <c r="C558" s="63"/>
      <c r="D558" s="64"/>
      <c r="E558" s="65"/>
      <c r="F558" s="66"/>
      <c r="G558" s="63"/>
      <c r="H558" s="67"/>
      <c r="I558" s="68"/>
      <c r="J558" s="68"/>
      <c r="K558" s="32"/>
      <c r="L558" s="75"/>
      <c r="M558" s="75"/>
      <c r="N558" s="70"/>
      <c r="O558" t="s">
        <v>1568</v>
      </c>
      <c r="P558" s="76">
        <v>44958.927083333336</v>
      </c>
      <c r="Q558" t="s">
        <v>2110</v>
      </c>
      <c r="R558" s="77" t="str">
        <f>HYPERLINK("https://twitter.com/Sourabhcjain/status/1620906898659885057")</f>
        <v>https://twitter.com/Sourabhcjain/status/1620906898659885057</v>
      </c>
      <c r="S558" t="s">
        <v>2257</v>
      </c>
      <c r="U558" s="77" t="str">
        <f>HYPERLINK("https://pbs.twimg.com/media/Fn6fxMmaQAcLNkZ.jpg")</f>
        <v>https://pbs.twimg.com/media/Fn6fxMmaQAcLNkZ.jpg</v>
      </c>
      <c r="V558" s="77" t="str">
        <f>HYPERLINK("https://pbs.twimg.com/media/Fn6fxMmaQAcLNkZ.jpg")</f>
        <v>https://pbs.twimg.com/media/Fn6fxMmaQAcLNkZ.jpg</v>
      </c>
      <c r="W558" s="76">
        <v>44958.927083333336</v>
      </c>
      <c r="X558" s="80">
        <v>44958</v>
      </c>
      <c r="Y558" s="78" t="s">
        <v>3226</v>
      </c>
      <c r="Z558" s="77" t="str">
        <f>HYPERLINK("https://twitter.com/sourabhcjain/status/1620908603107590144")</f>
        <v>https://twitter.com/sourabhcjain/status/1620908603107590144</v>
      </c>
      <c r="AC558" s="78" t="s">
        <v>4291</v>
      </c>
      <c r="AE558" t="b">
        <v>0</v>
      </c>
      <c r="AF558">
        <v>0</v>
      </c>
      <c r="AG558" s="78" t="s">
        <v>4640</v>
      </c>
      <c r="AH558" t="b">
        <v>1</v>
      </c>
      <c r="AI558" t="s">
        <v>4829</v>
      </c>
      <c r="AK558" s="78" t="s">
        <v>4290</v>
      </c>
      <c r="AL558" t="b">
        <v>0</v>
      </c>
      <c r="AM558">
        <v>0</v>
      </c>
      <c r="AN558" s="78" t="s">
        <v>4640</v>
      </c>
      <c r="AO558" s="78" t="s">
        <v>4850</v>
      </c>
      <c r="AP558" t="b">
        <v>0</v>
      </c>
      <c r="AQ558" s="78" t="s">
        <v>4291</v>
      </c>
      <c r="AR558" t="s">
        <v>179</v>
      </c>
      <c r="AS558">
        <v>0</v>
      </c>
      <c r="AT558">
        <v>0</v>
      </c>
    </row>
    <row r="559" spans="1:54" x14ac:dyDescent="0.45">
      <c r="A559" s="62" t="s">
        <v>952</v>
      </c>
      <c r="B559" s="62" t="s">
        <v>1202</v>
      </c>
      <c r="C559" s="63"/>
      <c r="D559" s="64"/>
      <c r="E559" s="65"/>
      <c r="F559" s="66"/>
      <c r="G559" s="63"/>
      <c r="H559" s="67"/>
      <c r="I559" s="68"/>
      <c r="J559" s="68"/>
      <c r="K559" s="32"/>
      <c r="L559" s="75"/>
      <c r="M559" s="75"/>
      <c r="N559" s="70"/>
      <c r="O559" t="s">
        <v>1568</v>
      </c>
      <c r="P559" s="76">
        <v>44958.922384259262</v>
      </c>
      <c r="Q559" t="s">
        <v>2109</v>
      </c>
      <c r="R559" s="77" t="str">
        <f>HYPERLINK("https://twitter.com/Sourabhcjain/status/1620900833612410881")</f>
        <v>https://twitter.com/Sourabhcjain/status/1620900833612410881</v>
      </c>
      <c r="S559" t="s">
        <v>2257</v>
      </c>
      <c r="U559" s="77" t="str">
        <f>HYPERLINK("https://pbs.twimg.com/media/Fn6eN1yaMAAljGU.jpg")</f>
        <v>https://pbs.twimg.com/media/Fn6eN1yaMAAljGU.jpg</v>
      </c>
      <c r="V559" s="77" t="str">
        <f>HYPERLINK("https://pbs.twimg.com/media/Fn6eN1yaMAAljGU.jpg")</f>
        <v>https://pbs.twimg.com/media/Fn6eN1yaMAAljGU.jpg</v>
      </c>
      <c r="W559" s="76">
        <v>44958.922384259262</v>
      </c>
      <c r="X559" s="80">
        <v>44958</v>
      </c>
      <c r="Y559" s="78" t="s">
        <v>3225</v>
      </c>
      <c r="Z559" s="77" t="str">
        <f>HYPERLINK("https://twitter.com/sourabhcjain/status/1620906898659885057")</f>
        <v>https://twitter.com/sourabhcjain/status/1620906898659885057</v>
      </c>
      <c r="AC559" s="78" t="s">
        <v>4290</v>
      </c>
      <c r="AE559" t="b">
        <v>0</v>
      </c>
      <c r="AF559">
        <v>0</v>
      </c>
      <c r="AG559" s="78" t="s">
        <v>4640</v>
      </c>
      <c r="AH559" t="b">
        <v>1</v>
      </c>
      <c r="AI559" t="s">
        <v>4829</v>
      </c>
      <c r="AK559" s="78" t="s">
        <v>4843</v>
      </c>
      <c r="AL559" t="b">
        <v>0</v>
      </c>
      <c r="AM559">
        <v>0</v>
      </c>
      <c r="AN559" s="78" t="s">
        <v>4640</v>
      </c>
      <c r="AO559" s="78" t="s">
        <v>4850</v>
      </c>
      <c r="AP559" t="b">
        <v>0</v>
      </c>
      <c r="AQ559" s="78" t="s">
        <v>4290</v>
      </c>
      <c r="AR559" t="s">
        <v>179</v>
      </c>
      <c r="AS559">
        <v>0</v>
      </c>
      <c r="AT559">
        <v>0</v>
      </c>
    </row>
    <row r="560" spans="1:54" x14ac:dyDescent="0.45">
      <c r="A560" s="62" t="s">
        <v>952</v>
      </c>
      <c r="B560" s="62" t="s">
        <v>1110</v>
      </c>
      <c r="C560" s="63"/>
      <c r="D560" s="64"/>
      <c r="E560" s="65"/>
      <c r="F560" s="66"/>
      <c r="G560" s="63"/>
      <c r="H560" s="67"/>
      <c r="I560" s="68"/>
      <c r="J560" s="68"/>
      <c r="K560" s="32"/>
      <c r="L560" s="75"/>
      <c r="M560" s="75"/>
      <c r="N560" s="70"/>
      <c r="O560" t="s">
        <v>1568</v>
      </c>
      <c r="P560" s="76">
        <v>44958.922384259262</v>
      </c>
      <c r="Q560" t="s">
        <v>2109</v>
      </c>
      <c r="R560" s="77" t="str">
        <f>HYPERLINK("https://twitter.com/Sourabhcjain/status/1620900833612410881")</f>
        <v>https://twitter.com/Sourabhcjain/status/1620900833612410881</v>
      </c>
      <c r="S560" t="s">
        <v>2257</v>
      </c>
      <c r="U560" s="77" t="str">
        <f>HYPERLINK("https://pbs.twimg.com/media/Fn6eN1yaMAAljGU.jpg")</f>
        <v>https://pbs.twimg.com/media/Fn6eN1yaMAAljGU.jpg</v>
      </c>
      <c r="V560" s="77" t="str">
        <f>HYPERLINK("https://pbs.twimg.com/media/Fn6eN1yaMAAljGU.jpg")</f>
        <v>https://pbs.twimg.com/media/Fn6eN1yaMAAljGU.jpg</v>
      </c>
      <c r="W560" s="76">
        <v>44958.922384259262</v>
      </c>
      <c r="X560" s="80">
        <v>44958</v>
      </c>
      <c r="Y560" s="78" t="s">
        <v>3225</v>
      </c>
      <c r="Z560" s="77" t="str">
        <f>HYPERLINK("https://twitter.com/sourabhcjain/status/1620906898659885057")</f>
        <v>https://twitter.com/sourabhcjain/status/1620906898659885057</v>
      </c>
      <c r="AC560" s="78" t="s">
        <v>4290</v>
      </c>
      <c r="AE560" t="b">
        <v>0</v>
      </c>
      <c r="AF560">
        <v>0</v>
      </c>
      <c r="AG560" s="78" t="s">
        <v>4640</v>
      </c>
      <c r="AH560" t="b">
        <v>1</v>
      </c>
      <c r="AI560" t="s">
        <v>4829</v>
      </c>
      <c r="AK560" s="78" t="s">
        <v>4843</v>
      </c>
      <c r="AL560" t="b">
        <v>0</v>
      </c>
      <c r="AM560">
        <v>0</v>
      </c>
      <c r="AN560" s="78" t="s">
        <v>4640</v>
      </c>
      <c r="AO560" s="78" t="s">
        <v>4850</v>
      </c>
      <c r="AP560" t="b">
        <v>0</v>
      </c>
      <c r="AQ560" s="78" t="s">
        <v>4290</v>
      </c>
      <c r="AR560" t="s">
        <v>179</v>
      </c>
      <c r="AS560">
        <v>0</v>
      </c>
      <c r="AT560">
        <v>0</v>
      </c>
    </row>
    <row r="561" spans="1:46" x14ac:dyDescent="0.45">
      <c r="A561" s="62" t="s">
        <v>952</v>
      </c>
      <c r="B561" s="62" t="s">
        <v>1109</v>
      </c>
      <c r="C561" s="63"/>
      <c r="D561" s="64"/>
      <c r="E561" s="65"/>
      <c r="F561" s="66"/>
      <c r="G561" s="63"/>
      <c r="H561" s="67"/>
      <c r="I561" s="68"/>
      <c r="J561" s="68"/>
      <c r="K561" s="32"/>
      <c r="L561" s="75"/>
      <c r="M561" s="75"/>
      <c r="N561" s="70"/>
      <c r="O561" t="s">
        <v>1568</v>
      </c>
      <c r="P561" s="76">
        <v>44958.922384259262</v>
      </c>
      <c r="Q561" t="s">
        <v>2109</v>
      </c>
      <c r="R561" s="77" t="str">
        <f>HYPERLINK("https://twitter.com/Sourabhcjain/status/1620900833612410881")</f>
        <v>https://twitter.com/Sourabhcjain/status/1620900833612410881</v>
      </c>
      <c r="S561" t="s">
        <v>2257</v>
      </c>
      <c r="U561" s="77" t="str">
        <f>HYPERLINK("https://pbs.twimg.com/media/Fn6eN1yaMAAljGU.jpg")</f>
        <v>https://pbs.twimg.com/media/Fn6eN1yaMAAljGU.jpg</v>
      </c>
      <c r="V561" s="77" t="str">
        <f>HYPERLINK("https://pbs.twimg.com/media/Fn6eN1yaMAAljGU.jpg")</f>
        <v>https://pbs.twimg.com/media/Fn6eN1yaMAAljGU.jpg</v>
      </c>
      <c r="W561" s="76">
        <v>44958.922384259262</v>
      </c>
      <c r="X561" s="80">
        <v>44958</v>
      </c>
      <c r="Y561" s="78" t="s">
        <v>3225</v>
      </c>
      <c r="Z561" s="77" t="str">
        <f>HYPERLINK("https://twitter.com/sourabhcjain/status/1620906898659885057")</f>
        <v>https://twitter.com/sourabhcjain/status/1620906898659885057</v>
      </c>
      <c r="AC561" s="78" t="s">
        <v>4290</v>
      </c>
      <c r="AE561" t="b">
        <v>0</v>
      </c>
      <c r="AF561">
        <v>0</v>
      </c>
      <c r="AG561" s="78" t="s">
        <v>4640</v>
      </c>
      <c r="AH561" t="b">
        <v>1</v>
      </c>
      <c r="AI561" t="s">
        <v>4829</v>
      </c>
      <c r="AK561" s="78" t="s">
        <v>4843</v>
      </c>
      <c r="AL561" t="b">
        <v>0</v>
      </c>
      <c r="AM561">
        <v>0</v>
      </c>
      <c r="AN561" s="78" t="s">
        <v>4640</v>
      </c>
      <c r="AO561" s="78" t="s">
        <v>4850</v>
      </c>
      <c r="AP561" t="b">
        <v>0</v>
      </c>
      <c r="AQ561" s="78" t="s">
        <v>4290</v>
      </c>
      <c r="AR561" t="s">
        <v>179</v>
      </c>
      <c r="AS561">
        <v>0</v>
      </c>
      <c r="AT561">
        <v>0</v>
      </c>
    </row>
    <row r="562" spans="1:46" x14ac:dyDescent="0.45">
      <c r="A562" s="62" t="s">
        <v>952</v>
      </c>
      <c r="B562" s="62" t="s">
        <v>1204</v>
      </c>
      <c r="C562" s="63"/>
      <c r="D562" s="64"/>
      <c r="E562" s="65"/>
      <c r="F562" s="66"/>
      <c r="G562" s="63"/>
      <c r="H562" s="67"/>
      <c r="I562" s="68"/>
      <c r="J562" s="68"/>
      <c r="K562" s="32"/>
      <c r="L562" s="75"/>
      <c r="M562" s="75"/>
      <c r="N562" s="70"/>
      <c r="O562" t="s">
        <v>1568</v>
      </c>
      <c r="P562" s="76">
        <v>44958.922384259262</v>
      </c>
      <c r="Q562" t="s">
        <v>2109</v>
      </c>
      <c r="R562" s="77" t="str">
        <f>HYPERLINK("https://twitter.com/Sourabhcjain/status/1620900833612410881")</f>
        <v>https://twitter.com/Sourabhcjain/status/1620900833612410881</v>
      </c>
      <c r="S562" t="s">
        <v>2257</v>
      </c>
      <c r="U562" s="77" t="str">
        <f>HYPERLINK("https://pbs.twimg.com/media/Fn6eN1yaMAAljGU.jpg")</f>
        <v>https://pbs.twimg.com/media/Fn6eN1yaMAAljGU.jpg</v>
      </c>
      <c r="V562" s="77" t="str">
        <f>HYPERLINK("https://pbs.twimg.com/media/Fn6eN1yaMAAljGU.jpg")</f>
        <v>https://pbs.twimg.com/media/Fn6eN1yaMAAljGU.jpg</v>
      </c>
      <c r="W562" s="76">
        <v>44958.922384259262</v>
      </c>
      <c r="X562" s="80">
        <v>44958</v>
      </c>
      <c r="Y562" s="78" t="s">
        <v>3225</v>
      </c>
      <c r="Z562" s="77" t="str">
        <f>HYPERLINK("https://twitter.com/sourabhcjain/status/1620906898659885057")</f>
        <v>https://twitter.com/sourabhcjain/status/1620906898659885057</v>
      </c>
      <c r="AC562" s="78" t="s">
        <v>4290</v>
      </c>
      <c r="AE562" t="b">
        <v>0</v>
      </c>
      <c r="AF562">
        <v>0</v>
      </c>
      <c r="AG562" s="78" t="s">
        <v>4640</v>
      </c>
      <c r="AH562" t="b">
        <v>1</v>
      </c>
      <c r="AI562" t="s">
        <v>4829</v>
      </c>
      <c r="AK562" s="78" t="s">
        <v>4843</v>
      </c>
      <c r="AL562" t="b">
        <v>0</v>
      </c>
      <c r="AM562">
        <v>0</v>
      </c>
      <c r="AN562" s="78" t="s">
        <v>4640</v>
      </c>
      <c r="AO562" s="78" t="s">
        <v>4850</v>
      </c>
      <c r="AP562" t="b">
        <v>0</v>
      </c>
      <c r="AQ562" s="78" t="s">
        <v>4290</v>
      </c>
      <c r="AR562" t="s">
        <v>179</v>
      </c>
      <c r="AS562">
        <v>0</v>
      </c>
      <c r="AT562">
        <v>0</v>
      </c>
    </row>
    <row r="563" spans="1:46" x14ac:dyDescent="0.45">
      <c r="A563" s="62" t="s">
        <v>952</v>
      </c>
      <c r="B563" s="62" t="s">
        <v>242</v>
      </c>
      <c r="C563" s="63"/>
      <c r="D563" s="64"/>
      <c r="E563" s="65"/>
      <c r="F563" s="66"/>
      <c r="G563" s="63"/>
      <c r="H563" s="67"/>
      <c r="I563" s="68"/>
      <c r="J563" s="68"/>
      <c r="K563" s="32"/>
      <c r="L563" s="75"/>
      <c r="M563" s="75"/>
      <c r="N563" s="70"/>
      <c r="O563" t="s">
        <v>1568</v>
      </c>
      <c r="P563" s="76">
        <v>44958.922384259262</v>
      </c>
      <c r="Q563" t="s">
        <v>2109</v>
      </c>
      <c r="R563" s="77" t="str">
        <f>HYPERLINK("https://twitter.com/Sourabhcjain/status/1620900833612410881")</f>
        <v>https://twitter.com/Sourabhcjain/status/1620900833612410881</v>
      </c>
      <c r="S563" t="s">
        <v>2257</v>
      </c>
      <c r="U563" s="77" t="str">
        <f>HYPERLINK("https://pbs.twimg.com/media/Fn6eN1yaMAAljGU.jpg")</f>
        <v>https://pbs.twimg.com/media/Fn6eN1yaMAAljGU.jpg</v>
      </c>
      <c r="V563" s="77" t="str">
        <f>HYPERLINK("https://pbs.twimg.com/media/Fn6eN1yaMAAljGU.jpg")</f>
        <v>https://pbs.twimg.com/media/Fn6eN1yaMAAljGU.jpg</v>
      </c>
      <c r="W563" s="76">
        <v>44958.922384259262</v>
      </c>
      <c r="X563" s="80">
        <v>44958</v>
      </c>
      <c r="Y563" s="78" t="s">
        <v>3225</v>
      </c>
      <c r="Z563" s="77" t="str">
        <f>HYPERLINK("https://twitter.com/sourabhcjain/status/1620906898659885057")</f>
        <v>https://twitter.com/sourabhcjain/status/1620906898659885057</v>
      </c>
      <c r="AC563" s="78" t="s">
        <v>4290</v>
      </c>
      <c r="AE563" t="b">
        <v>0</v>
      </c>
      <c r="AF563">
        <v>0</v>
      </c>
      <c r="AG563" s="78" t="s">
        <v>4640</v>
      </c>
      <c r="AH563" t="b">
        <v>1</v>
      </c>
      <c r="AI563" t="s">
        <v>4829</v>
      </c>
      <c r="AK563" s="78" t="s">
        <v>4843</v>
      </c>
      <c r="AL563" t="b">
        <v>0</v>
      </c>
      <c r="AM563">
        <v>0</v>
      </c>
      <c r="AN563" s="78" t="s">
        <v>4640</v>
      </c>
      <c r="AO563" s="78" t="s">
        <v>4850</v>
      </c>
      <c r="AP563" t="b">
        <v>0</v>
      </c>
      <c r="AQ563" s="78" t="s">
        <v>4290</v>
      </c>
      <c r="AR563" t="s">
        <v>179</v>
      </c>
      <c r="AS563">
        <v>0</v>
      </c>
      <c r="AT563">
        <v>0</v>
      </c>
    </row>
    <row r="564" spans="1:46" x14ac:dyDescent="0.45">
      <c r="A564" s="62" t="s">
        <v>952</v>
      </c>
      <c r="B564" s="62" t="s">
        <v>1202</v>
      </c>
      <c r="C564" s="63"/>
      <c r="D564" s="64"/>
      <c r="E564" s="65"/>
      <c r="F564" s="66"/>
      <c r="G564" s="63"/>
      <c r="H564" s="67"/>
      <c r="I564" s="68"/>
      <c r="J564" s="68"/>
      <c r="K564" s="32"/>
      <c r="L564" s="75"/>
      <c r="M564" s="75"/>
      <c r="N564" s="70"/>
      <c r="O564" t="s">
        <v>1568</v>
      </c>
      <c r="P564" s="76">
        <v>44958.927083333336</v>
      </c>
      <c r="Q564" t="s">
        <v>2110</v>
      </c>
      <c r="R564" s="77" t="str">
        <f>HYPERLINK("https://twitter.com/Sourabhcjain/status/1620906898659885057")</f>
        <v>https://twitter.com/Sourabhcjain/status/1620906898659885057</v>
      </c>
      <c r="S564" t="s">
        <v>2257</v>
      </c>
      <c r="U564" s="77" t="str">
        <f>HYPERLINK("https://pbs.twimg.com/media/Fn6fxMmaQAcLNkZ.jpg")</f>
        <v>https://pbs.twimg.com/media/Fn6fxMmaQAcLNkZ.jpg</v>
      </c>
      <c r="V564" s="77" t="str">
        <f>HYPERLINK("https://pbs.twimg.com/media/Fn6fxMmaQAcLNkZ.jpg")</f>
        <v>https://pbs.twimg.com/media/Fn6fxMmaQAcLNkZ.jpg</v>
      </c>
      <c r="W564" s="76">
        <v>44958.927083333336</v>
      </c>
      <c r="X564" s="80">
        <v>44958</v>
      </c>
      <c r="Y564" s="78" t="s">
        <v>3226</v>
      </c>
      <c r="Z564" s="77" t="str">
        <f>HYPERLINK("https://twitter.com/sourabhcjain/status/1620908603107590144")</f>
        <v>https://twitter.com/sourabhcjain/status/1620908603107590144</v>
      </c>
      <c r="AC564" s="78" t="s">
        <v>4291</v>
      </c>
      <c r="AE564" t="b">
        <v>0</v>
      </c>
      <c r="AF564">
        <v>0</v>
      </c>
      <c r="AG564" s="78" t="s">
        <v>4640</v>
      </c>
      <c r="AH564" t="b">
        <v>1</v>
      </c>
      <c r="AI564" t="s">
        <v>4829</v>
      </c>
      <c r="AK564" s="78" t="s">
        <v>4290</v>
      </c>
      <c r="AL564" t="b">
        <v>0</v>
      </c>
      <c r="AM564">
        <v>0</v>
      </c>
      <c r="AN564" s="78" t="s">
        <v>4640</v>
      </c>
      <c r="AO564" s="78" t="s">
        <v>4850</v>
      </c>
      <c r="AP564" t="b">
        <v>0</v>
      </c>
      <c r="AQ564" s="78" t="s">
        <v>4291</v>
      </c>
      <c r="AR564" t="s">
        <v>179</v>
      </c>
      <c r="AS564">
        <v>0</v>
      </c>
      <c r="AT564">
        <v>0</v>
      </c>
    </row>
    <row r="565" spans="1:46" x14ac:dyDescent="0.45">
      <c r="A565" s="62" t="s">
        <v>952</v>
      </c>
      <c r="B565" s="62" t="s">
        <v>1110</v>
      </c>
      <c r="C565" s="63"/>
      <c r="D565" s="64"/>
      <c r="E565" s="65"/>
      <c r="F565" s="66"/>
      <c r="G565" s="63"/>
      <c r="H565" s="67"/>
      <c r="I565" s="68"/>
      <c r="J565" s="68"/>
      <c r="K565" s="32"/>
      <c r="L565" s="75"/>
      <c r="M565" s="75"/>
      <c r="N565" s="70"/>
      <c r="O565" t="s">
        <v>1568</v>
      </c>
      <c r="P565" s="76">
        <v>44958.927083333336</v>
      </c>
      <c r="Q565" t="s">
        <v>2110</v>
      </c>
      <c r="R565" s="77" t="str">
        <f>HYPERLINK("https://twitter.com/Sourabhcjain/status/1620906898659885057")</f>
        <v>https://twitter.com/Sourabhcjain/status/1620906898659885057</v>
      </c>
      <c r="S565" t="s">
        <v>2257</v>
      </c>
      <c r="U565" s="77" t="str">
        <f>HYPERLINK("https://pbs.twimg.com/media/Fn6fxMmaQAcLNkZ.jpg")</f>
        <v>https://pbs.twimg.com/media/Fn6fxMmaQAcLNkZ.jpg</v>
      </c>
      <c r="V565" s="77" t="str">
        <f>HYPERLINK("https://pbs.twimg.com/media/Fn6fxMmaQAcLNkZ.jpg")</f>
        <v>https://pbs.twimg.com/media/Fn6fxMmaQAcLNkZ.jpg</v>
      </c>
      <c r="W565" s="76">
        <v>44958.927083333336</v>
      </c>
      <c r="X565" s="80">
        <v>44958</v>
      </c>
      <c r="Y565" s="78" t="s">
        <v>3226</v>
      </c>
      <c r="Z565" s="77" t="str">
        <f>HYPERLINK("https://twitter.com/sourabhcjain/status/1620908603107590144")</f>
        <v>https://twitter.com/sourabhcjain/status/1620908603107590144</v>
      </c>
      <c r="AC565" s="78" t="s">
        <v>4291</v>
      </c>
      <c r="AE565" t="b">
        <v>0</v>
      </c>
      <c r="AF565">
        <v>0</v>
      </c>
      <c r="AG565" s="78" t="s">
        <v>4640</v>
      </c>
      <c r="AH565" t="b">
        <v>1</v>
      </c>
      <c r="AI565" t="s">
        <v>4829</v>
      </c>
      <c r="AK565" s="78" t="s">
        <v>4290</v>
      </c>
      <c r="AL565" t="b">
        <v>0</v>
      </c>
      <c r="AM565">
        <v>0</v>
      </c>
      <c r="AN565" s="78" t="s">
        <v>4640</v>
      </c>
      <c r="AO565" s="78" t="s">
        <v>4850</v>
      </c>
      <c r="AP565" t="b">
        <v>0</v>
      </c>
      <c r="AQ565" s="78" t="s">
        <v>4291</v>
      </c>
      <c r="AR565" t="s">
        <v>179</v>
      </c>
      <c r="AS565">
        <v>0</v>
      </c>
      <c r="AT565">
        <v>0</v>
      </c>
    </row>
    <row r="566" spans="1:46" x14ac:dyDescent="0.45">
      <c r="A566" s="62" t="s">
        <v>952</v>
      </c>
      <c r="B566" s="62" t="s">
        <v>1109</v>
      </c>
      <c r="C566" s="63"/>
      <c r="D566" s="64"/>
      <c r="E566" s="65"/>
      <c r="F566" s="66"/>
      <c r="G566" s="63"/>
      <c r="H566" s="67"/>
      <c r="I566" s="68"/>
      <c r="J566" s="68"/>
      <c r="K566" s="32"/>
      <c r="L566" s="75"/>
      <c r="M566" s="75"/>
      <c r="N566" s="70"/>
      <c r="O566" t="s">
        <v>1568</v>
      </c>
      <c r="P566" s="76">
        <v>44958.927083333336</v>
      </c>
      <c r="Q566" t="s">
        <v>2110</v>
      </c>
      <c r="R566" s="77" t="str">
        <f>HYPERLINK("https://twitter.com/Sourabhcjain/status/1620906898659885057")</f>
        <v>https://twitter.com/Sourabhcjain/status/1620906898659885057</v>
      </c>
      <c r="S566" t="s">
        <v>2257</v>
      </c>
      <c r="U566" s="77" t="str">
        <f>HYPERLINK("https://pbs.twimg.com/media/Fn6fxMmaQAcLNkZ.jpg")</f>
        <v>https://pbs.twimg.com/media/Fn6fxMmaQAcLNkZ.jpg</v>
      </c>
      <c r="V566" s="77" t="str">
        <f>HYPERLINK("https://pbs.twimg.com/media/Fn6fxMmaQAcLNkZ.jpg")</f>
        <v>https://pbs.twimg.com/media/Fn6fxMmaQAcLNkZ.jpg</v>
      </c>
      <c r="W566" s="76">
        <v>44958.927083333336</v>
      </c>
      <c r="X566" s="80">
        <v>44958</v>
      </c>
      <c r="Y566" s="78" t="s">
        <v>3226</v>
      </c>
      <c r="Z566" s="77" t="str">
        <f>HYPERLINK("https://twitter.com/sourabhcjain/status/1620908603107590144")</f>
        <v>https://twitter.com/sourabhcjain/status/1620908603107590144</v>
      </c>
      <c r="AC566" s="78" t="s">
        <v>4291</v>
      </c>
      <c r="AE566" t="b">
        <v>0</v>
      </c>
      <c r="AF566">
        <v>0</v>
      </c>
      <c r="AG566" s="78" t="s">
        <v>4640</v>
      </c>
      <c r="AH566" t="b">
        <v>1</v>
      </c>
      <c r="AI566" t="s">
        <v>4829</v>
      </c>
      <c r="AK566" s="78" t="s">
        <v>4290</v>
      </c>
      <c r="AL566" t="b">
        <v>0</v>
      </c>
      <c r="AM566">
        <v>0</v>
      </c>
      <c r="AN566" s="78" t="s">
        <v>4640</v>
      </c>
      <c r="AO566" s="78" t="s">
        <v>4850</v>
      </c>
      <c r="AP566" t="b">
        <v>0</v>
      </c>
      <c r="AQ566" s="78" t="s">
        <v>4291</v>
      </c>
      <c r="AR566" t="s">
        <v>179</v>
      </c>
      <c r="AS566">
        <v>0</v>
      </c>
      <c r="AT566">
        <v>0</v>
      </c>
    </row>
    <row r="567" spans="1:46" x14ac:dyDescent="0.45">
      <c r="A567" s="62" t="s">
        <v>952</v>
      </c>
      <c r="B567" s="62" t="s">
        <v>1204</v>
      </c>
      <c r="C567" s="63"/>
      <c r="D567" s="64"/>
      <c r="E567" s="65"/>
      <c r="F567" s="66"/>
      <c r="G567" s="63"/>
      <c r="H567" s="67"/>
      <c r="I567" s="68"/>
      <c r="J567" s="68"/>
      <c r="K567" s="32"/>
      <c r="L567" s="75"/>
      <c r="M567" s="75"/>
      <c r="N567" s="70"/>
      <c r="O567" t="s">
        <v>1568</v>
      </c>
      <c r="P567" s="76">
        <v>44958.927083333336</v>
      </c>
      <c r="Q567" t="s">
        <v>2110</v>
      </c>
      <c r="R567" s="77" t="str">
        <f>HYPERLINK("https://twitter.com/Sourabhcjain/status/1620906898659885057")</f>
        <v>https://twitter.com/Sourabhcjain/status/1620906898659885057</v>
      </c>
      <c r="S567" t="s">
        <v>2257</v>
      </c>
      <c r="U567" s="77" t="str">
        <f>HYPERLINK("https://pbs.twimg.com/media/Fn6fxMmaQAcLNkZ.jpg")</f>
        <v>https://pbs.twimg.com/media/Fn6fxMmaQAcLNkZ.jpg</v>
      </c>
      <c r="V567" s="77" t="str">
        <f>HYPERLINK("https://pbs.twimg.com/media/Fn6fxMmaQAcLNkZ.jpg")</f>
        <v>https://pbs.twimg.com/media/Fn6fxMmaQAcLNkZ.jpg</v>
      </c>
      <c r="W567" s="76">
        <v>44958.927083333336</v>
      </c>
      <c r="X567" s="80">
        <v>44958</v>
      </c>
      <c r="Y567" s="78" t="s">
        <v>3226</v>
      </c>
      <c r="Z567" s="77" t="str">
        <f>HYPERLINK("https://twitter.com/sourabhcjain/status/1620908603107590144")</f>
        <v>https://twitter.com/sourabhcjain/status/1620908603107590144</v>
      </c>
      <c r="AC567" s="78" t="s">
        <v>4291</v>
      </c>
      <c r="AE567" t="b">
        <v>0</v>
      </c>
      <c r="AF567">
        <v>0</v>
      </c>
      <c r="AG567" s="78" t="s">
        <v>4640</v>
      </c>
      <c r="AH567" t="b">
        <v>1</v>
      </c>
      <c r="AI567" t="s">
        <v>4829</v>
      </c>
      <c r="AK567" s="78" t="s">
        <v>4290</v>
      </c>
      <c r="AL567" t="b">
        <v>0</v>
      </c>
      <c r="AM567">
        <v>0</v>
      </c>
      <c r="AN567" s="78" t="s">
        <v>4640</v>
      </c>
      <c r="AO567" s="78" t="s">
        <v>4850</v>
      </c>
      <c r="AP567" t="b">
        <v>0</v>
      </c>
      <c r="AQ567" s="78" t="s">
        <v>4291</v>
      </c>
      <c r="AR567" t="s">
        <v>179</v>
      </c>
      <c r="AS567">
        <v>0</v>
      </c>
      <c r="AT567">
        <v>0</v>
      </c>
    </row>
    <row r="568" spans="1:46" x14ac:dyDescent="0.45">
      <c r="A568" s="62" t="s">
        <v>952</v>
      </c>
      <c r="B568" s="62" t="s">
        <v>242</v>
      </c>
      <c r="C568" s="63"/>
      <c r="D568" s="64"/>
      <c r="E568" s="65"/>
      <c r="F568" s="66"/>
      <c r="G568" s="63"/>
      <c r="H568" s="67"/>
      <c r="I568" s="68"/>
      <c r="J568" s="68"/>
      <c r="K568" s="32"/>
      <c r="L568" s="75"/>
      <c r="M568" s="75"/>
      <c r="N568" s="70"/>
      <c r="O568" t="s">
        <v>1568</v>
      </c>
      <c r="P568" s="76">
        <v>44958.927083333336</v>
      </c>
      <c r="Q568" t="s">
        <v>2110</v>
      </c>
      <c r="R568" s="77" t="str">
        <f>HYPERLINK("https://twitter.com/Sourabhcjain/status/1620906898659885057")</f>
        <v>https://twitter.com/Sourabhcjain/status/1620906898659885057</v>
      </c>
      <c r="S568" t="s">
        <v>2257</v>
      </c>
      <c r="U568" s="77" t="str">
        <f>HYPERLINK("https://pbs.twimg.com/media/Fn6fxMmaQAcLNkZ.jpg")</f>
        <v>https://pbs.twimg.com/media/Fn6fxMmaQAcLNkZ.jpg</v>
      </c>
      <c r="V568" s="77" t="str">
        <f>HYPERLINK("https://pbs.twimg.com/media/Fn6fxMmaQAcLNkZ.jpg")</f>
        <v>https://pbs.twimg.com/media/Fn6fxMmaQAcLNkZ.jpg</v>
      </c>
      <c r="W568" s="76">
        <v>44958.927083333336</v>
      </c>
      <c r="X568" s="80">
        <v>44958</v>
      </c>
      <c r="Y568" s="78" t="s">
        <v>3226</v>
      </c>
      <c r="Z568" s="77" t="str">
        <f>HYPERLINK("https://twitter.com/sourabhcjain/status/1620908603107590144")</f>
        <v>https://twitter.com/sourabhcjain/status/1620908603107590144</v>
      </c>
      <c r="AC568" s="78" t="s">
        <v>4291</v>
      </c>
      <c r="AE568" t="b">
        <v>0</v>
      </c>
      <c r="AF568">
        <v>0</v>
      </c>
      <c r="AG568" s="78" t="s">
        <v>4640</v>
      </c>
      <c r="AH568" t="b">
        <v>1</v>
      </c>
      <c r="AI568" t="s">
        <v>4829</v>
      </c>
      <c r="AK568" s="78" t="s">
        <v>4290</v>
      </c>
      <c r="AL568" t="b">
        <v>0</v>
      </c>
      <c r="AM568">
        <v>0</v>
      </c>
      <c r="AN568" s="78" t="s">
        <v>4640</v>
      </c>
      <c r="AO568" s="78" t="s">
        <v>4850</v>
      </c>
      <c r="AP568" t="b">
        <v>0</v>
      </c>
      <c r="AQ568" s="78" t="s">
        <v>4291</v>
      </c>
      <c r="AR568" t="s">
        <v>179</v>
      </c>
      <c r="AS568">
        <v>0</v>
      </c>
      <c r="AT568">
        <v>0</v>
      </c>
    </row>
    <row r="569" spans="1:46" x14ac:dyDescent="0.45">
      <c r="A569" s="62" t="s">
        <v>983</v>
      </c>
      <c r="B569" s="62" t="s">
        <v>1230</v>
      </c>
      <c r="C569" s="63"/>
      <c r="D569" s="64"/>
      <c r="E569" s="65"/>
      <c r="F569" s="66"/>
      <c r="G569" s="63"/>
      <c r="H569" s="67"/>
      <c r="I569" s="68"/>
      <c r="J569" s="68"/>
      <c r="K569" s="32"/>
      <c r="L569" s="75"/>
      <c r="M569" s="75"/>
      <c r="N569" s="70"/>
      <c r="O569" t="s">
        <v>1570</v>
      </c>
      <c r="P569" s="76">
        <v>44959.234814814816</v>
      </c>
      <c r="Q569" t="s">
        <v>2022</v>
      </c>
      <c r="R569" s="77" t="str">
        <f>HYPERLINK("https://twitter.com/mileycyrus/status/1164595246241603584?s=46&amp;t=mJoHKRFsrneZLdTnw4e3LQ")</f>
        <v>https://twitter.com/mileycyrus/status/1164595246241603584?s=46&amp;t=mJoHKRFsrneZLdTnw4e3LQ</v>
      </c>
      <c r="S569" t="s">
        <v>2257</v>
      </c>
      <c r="V569" s="77" t="str">
        <f>HYPERLINK("https://pbs.twimg.com/profile_images/1577026305069023246/Y03x9NiQ_normal.jpg")</f>
        <v>https://pbs.twimg.com/profile_images/1577026305069023246/Y03x9NiQ_normal.jpg</v>
      </c>
      <c r="W569" s="76">
        <v>44959.234814814816</v>
      </c>
      <c r="X569" s="80">
        <v>44959</v>
      </c>
      <c r="Y569" s="78" t="s">
        <v>3267</v>
      </c>
      <c r="Z569" s="77" t="str">
        <f>HYPERLINK("https://twitter.com/danielshire05/status/1621020119848869888")</f>
        <v>https://twitter.com/danielshire05/status/1621020119848869888</v>
      </c>
      <c r="AC569" s="78" t="s">
        <v>4332</v>
      </c>
      <c r="AE569" t="b">
        <v>0</v>
      </c>
      <c r="AF569">
        <v>0</v>
      </c>
      <c r="AG569" s="78" t="s">
        <v>4640</v>
      </c>
      <c r="AH569" t="b">
        <v>1</v>
      </c>
      <c r="AI569" t="s">
        <v>4829</v>
      </c>
      <c r="AK569" s="78" t="s">
        <v>4842</v>
      </c>
      <c r="AL569" t="b">
        <v>0</v>
      </c>
      <c r="AM569">
        <v>2</v>
      </c>
      <c r="AN569" s="78" t="s">
        <v>4449</v>
      </c>
      <c r="AO569" s="78" t="s">
        <v>4850</v>
      </c>
      <c r="AP569" t="b">
        <v>0</v>
      </c>
      <c r="AQ569" s="78" t="s">
        <v>4449</v>
      </c>
      <c r="AR569" t="s">
        <v>179</v>
      </c>
      <c r="AS569">
        <v>0</v>
      </c>
      <c r="AT569">
        <v>0</v>
      </c>
    </row>
    <row r="570" spans="1:46" x14ac:dyDescent="0.45">
      <c r="A570" s="62" t="s">
        <v>983</v>
      </c>
      <c r="B570" s="62" t="s">
        <v>1070</v>
      </c>
      <c r="C570" s="63"/>
      <c r="D570" s="64"/>
      <c r="E570" s="65"/>
      <c r="F570" s="66"/>
      <c r="G570" s="63"/>
      <c r="H570" s="67"/>
      <c r="I570" s="68"/>
      <c r="J570" s="68"/>
      <c r="K570" s="32"/>
      <c r="L570" s="75"/>
      <c r="M570" s="75"/>
      <c r="N570" s="70"/>
      <c r="O570" t="s">
        <v>1569</v>
      </c>
      <c r="P570" s="76">
        <v>44959.234814814816</v>
      </c>
      <c r="Q570" t="s">
        <v>2022</v>
      </c>
      <c r="R570" s="77" t="str">
        <f>HYPERLINK("https://twitter.com/mileycyrus/status/1164595246241603584?s=46&amp;t=mJoHKRFsrneZLdTnw4e3LQ")</f>
        <v>https://twitter.com/mileycyrus/status/1164595246241603584?s=46&amp;t=mJoHKRFsrneZLdTnw4e3LQ</v>
      </c>
      <c r="S570" t="s">
        <v>2257</v>
      </c>
      <c r="V570" s="77" t="str">
        <f>HYPERLINK("https://pbs.twimg.com/profile_images/1577026305069023246/Y03x9NiQ_normal.jpg")</f>
        <v>https://pbs.twimg.com/profile_images/1577026305069023246/Y03x9NiQ_normal.jpg</v>
      </c>
      <c r="W570" s="76">
        <v>44959.234814814816</v>
      </c>
      <c r="X570" s="80">
        <v>44959</v>
      </c>
      <c r="Y570" s="78" t="s">
        <v>3267</v>
      </c>
      <c r="Z570" s="77" t="str">
        <f>HYPERLINK("https://twitter.com/danielshire05/status/1621020119848869888")</f>
        <v>https://twitter.com/danielshire05/status/1621020119848869888</v>
      </c>
      <c r="AC570" s="78" t="s">
        <v>4332</v>
      </c>
      <c r="AE570" t="b">
        <v>0</v>
      </c>
      <c r="AF570">
        <v>0</v>
      </c>
      <c r="AG570" s="78" t="s">
        <v>4640</v>
      </c>
      <c r="AH570" t="b">
        <v>1</v>
      </c>
      <c r="AI570" t="s">
        <v>4829</v>
      </c>
      <c r="AK570" s="78" t="s">
        <v>4842</v>
      </c>
      <c r="AL570" t="b">
        <v>0</v>
      </c>
      <c r="AM570">
        <v>2</v>
      </c>
      <c r="AN570" s="78" t="s">
        <v>4449</v>
      </c>
      <c r="AO570" s="78" t="s">
        <v>4850</v>
      </c>
      <c r="AP570" t="b">
        <v>0</v>
      </c>
      <c r="AQ570" s="78" t="s">
        <v>4449</v>
      </c>
      <c r="AR570" t="s">
        <v>179</v>
      </c>
      <c r="AS570">
        <v>0</v>
      </c>
      <c r="AT570">
        <v>0</v>
      </c>
    </row>
    <row r="571" spans="1:46" x14ac:dyDescent="0.45">
      <c r="A571" s="62" t="s">
        <v>983</v>
      </c>
      <c r="B571" s="62" t="s">
        <v>242</v>
      </c>
      <c r="C571" s="63"/>
      <c r="D571" s="64"/>
      <c r="E571" s="65"/>
      <c r="F571" s="66"/>
      <c r="G571" s="63"/>
      <c r="H571" s="67"/>
      <c r="I571" s="68"/>
      <c r="J571" s="68"/>
      <c r="K571" s="32"/>
      <c r="L571" s="75"/>
      <c r="M571" s="75"/>
      <c r="N571" s="70"/>
      <c r="O571" t="s">
        <v>1567</v>
      </c>
      <c r="P571" s="76">
        <v>44959.234814814816</v>
      </c>
      <c r="Q571" t="s">
        <v>2022</v>
      </c>
      <c r="R571" s="77" t="str">
        <f>HYPERLINK("https://twitter.com/mileycyrus/status/1164595246241603584?s=46&amp;t=mJoHKRFsrneZLdTnw4e3LQ")</f>
        <v>https://twitter.com/mileycyrus/status/1164595246241603584?s=46&amp;t=mJoHKRFsrneZLdTnw4e3LQ</v>
      </c>
      <c r="S571" t="s">
        <v>2257</v>
      </c>
      <c r="V571" s="77" t="str">
        <f>HYPERLINK("https://pbs.twimg.com/profile_images/1577026305069023246/Y03x9NiQ_normal.jpg")</f>
        <v>https://pbs.twimg.com/profile_images/1577026305069023246/Y03x9NiQ_normal.jpg</v>
      </c>
      <c r="W571" s="76">
        <v>44959.234814814816</v>
      </c>
      <c r="X571" s="80">
        <v>44959</v>
      </c>
      <c r="Y571" s="78" t="s">
        <v>3267</v>
      </c>
      <c r="Z571" s="77" t="str">
        <f>HYPERLINK("https://twitter.com/danielshire05/status/1621020119848869888")</f>
        <v>https://twitter.com/danielshire05/status/1621020119848869888</v>
      </c>
      <c r="AC571" s="78" t="s">
        <v>4332</v>
      </c>
      <c r="AE571" t="b">
        <v>0</v>
      </c>
      <c r="AF571">
        <v>0</v>
      </c>
      <c r="AG571" s="78" t="s">
        <v>4640</v>
      </c>
      <c r="AH571" t="b">
        <v>1</v>
      </c>
      <c r="AI571" t="s">
        <v>4829</v>
      </c>
      <c r="AK571" s="78" t="s">
        <v>4842</v>
      </c>
      <c r="AL571" t="b">
        <v>0</v>
      </c>
      <c r="AM571">
        <v>2</v>
      </c>
      <c r="AN571" s="78" t="s">
        <v>4449</v>
      </c>
      <c r="AO571" s="78" t="s">
        <v>4850</v>
      </c>
      <c r="AP571" t="b">
        <v>0</v>
      </c>
      <c r="AQ571" s="78" t="s">
        <v>4449</v>
      </c>
      <c r="AR571" t="s">
        <v>179</v>
      </c>
      <c r="AS571">
        <v>0</v>
      </c>
      <c r="AT571">
        <v>0</v>
      </c>
    </row>
    <row r="572" spans="1:46" x14ac:dyDescent="0.45">
      <c r="A572" s="62" t="s">
        <v>989</v>
      </c>
      <c r="B572" s="62" t="s">
        <v>242</v>
      </c>
      <c r="C572" s="63"/>
      <c r="D572" s="64"/>
      <c r="E572" s="65"/>
      <c r="F572" s="66"/>
      <c r="G572" s="63"/>
      <c r="H572" s="67"/>
      <c r="I572" s="68"/>
      <c r="J572" s="68"/>
      <c r="K572" s="32"/>
      <c r="L572" s="75"/>
      <c r="M572" s="75"/>
      <c r="N572" s="70"/>
      <c r="O572" t="s">
        <v>1568</v>
      </c>
      <c r="P572" s="76">
        <v>44959.259074074071</v>
      </c>
      <c r="Q572" t="s">
        <v>2149</v>
      </c>
      <c r="R572" s="77" t="str">
        <f>HYPERLINK("https://twitter.com/NoContextBrits/status/1620462377748795392")</f>
        <v>https://twitter.com/NoContextBrits/status/1620462377748795392</v>
      </c>
      <c r="S572" t="s">
        <v>2257</v>
      </c>
      <c r="U572" s="77" t="str">
        <f>HYPERLINK("https://pbs.twimg.com/tweet_video_thumb/Fn8NMvKXoAE1AY8.jpg")</f>
        <v>https://pbs.twimg.com/tweet_video_thumb/Fn8NMvKXoAE1AY8.jpg</v>
      </c>
      <c r="V572" s="77" t="str">
        <f>HYPERLINK("https://pbs.twimg.com/tweet_video_thumb/Fn8NMvKXoAE1AY8.jpg")</f>
        <v>https://pbs.twimg.com/tweet_video_thumb/Fn8NMvKXoAE1AY8.jpg</v>
      </c>
      <c r="W572" s="76">
        <v>44959.259074074071</v>
      </c>
      <c r="X572" s="80">
        <v>44959</v>
      </c>
      <c r="Y572" s="78" t="s">
        <v>3274</v>
      </c>
      <c r="Z572" s="77" t="str">
        <f>HYPERLINK("https://twitter.com/ellieburlton/status/1621028909746900993")</f>
        <v>https://twitter.com/ellieburlton/status/1621028909746900993</v>
      </c>
      <c r="AC572" s="78" t="s">
        <v>4339</v>
      </c>
      <c r="AE572" t="b">
        <v>0</v>
      </c>
      <c r="AF572">
        <v>0</v>
      </c>
      <c r="AG572" s="78" t="s">
        <v>4640</v>
      </c>
      <c r="AH572" t="b">
        <v>1</v>
      </c>
      <c r="AI572" t="s">
        <v>4829</v>
      </c>
      <c r="AK572" s="78" t="s">
        <v>4844</v>
      </c>
      <c r="AL572" t="b">
        <v>0</v>
      </c>
      <c r="AM572">
        <v>0</v>
      </c>
      <c r="AN572" s="78" t="s">
        <v>4640</v>
      </c>
      <c r="AO572" s="78" t="s">
        <v>4851</v>
      </c>
      <c r="AP572" t="b">
        <v>0</v>
      </c>
      <c r="AQ572" s="78" t="s">
        <v>4339</v>
      </c>
      <c r="AR572" t="s">
        <v>179</v>
      </c>
      <c r="AS572">
        <v>0</v>
      </c>
      <c r="AT572">
        <v>0</v>
      </c>
    </row>
    <row r="573" spans="1:46" x14ac:dyDescent="0.45">
      <c r="A573" s="62" t="s">
        <v>1001</v>
      </c>
      <c r="B573" s="62" t="s">
        <v>242</v>
      </c>
      <c r="C573" s="63"/>
      <c r="D573" s="64"/>
      <c r="E573" s="65"/>
      <c r="F573" s="66"/>
      <c r="G573" s="63"/>
      <c r="H573" s="67"/>
      <c r="I573" s="68"/>
      <c r="J573" s="68"/>
      <c r="K573" s="32"/>
      <c r="L573" s="75"/>
      <c r="M573" s="75"/>
      <c r="N573" s="70"/>
      <c r="O573" t="s">
        <v>1567</v>
      </c>
      <c r="P573" s="76">
        <v>44958.746747685182</v>
      </c>
      <c r="Q573" t="s">
        <v>2159</v>
      </c>
      <c r="R573" s="77" t="str">
        <f>HYPERLINK("https://twitter.com/Walmart/status/1620815549319069697")</f>
        <v>https://twitter.com/Walmart/status/1620815549319069697</v>
      </c>
      <c r="S573" t="s">
        <v>2257</v>
      </c>
      <c r="V573" s="77" t="str">
        <f>HYPERLINK("https://pbs.twimg.com/profile_images/1145053271989587968/HNc78V2Z_normal.jpg")</f>
        <v>https://pbs.twimg.com/profile_images/1145053271989587968/HNc78V2Z_normal.jpg</v>
      </c>
      <c r="W573" s="76">
        <v>44958.746747685182</v>
      </c>
      <c r="X573" s="80">
        <v>44958</v>
      </c>
      <c r="Y573" s="78" t="s">
        <v>3289</v>
      </c>
      <c r="Z573" s="77" t="str">
        <f>HYPERLINK("https://twitter.com/eugivola/status/1620843250369314816")</f>
        <v>https://twitter.com/eugivola/status/1620843250369314816</v>
      </c>
      <c r="AC573" s="78" t="s">
        <v>4354</v>
      </c>
      <c r="AE573" t="b">
        <v>0</v>
      </c>
      <c r="AF573">
        <v>0</v>
      </c>
      <c r="AG573" s="78" t="s">
        <v>4639</v>
      </c>
      <c r="AH573" t="b">
        <v>1</v>
      </c>
      <c r="AI573" t="s">
        <v>4829</v>
      </c>
      <c r="AK573" s="78" t="s">
        <v>4473</v>
      </c>
      <c r="AL573" t="b">
        <v>0</v>
      </c>
      <c r="AM573">
        <v>0</v>
      </c>
      <c r="AN573" s="78" t="s">
        <v>4640</v>
      </c>
      <c r="AO573" s="78" t="s">
        <v>4849</v>
      </c>
      <c r="AP573" t="b">
        <v>0</v>
      </c>
      <c r="AQ573" s="78" t="s">
        <v>4354</v>
      </c>
      <c r="AR573" t="s">
        <v>179</v>
      </c>
      <c r="AS573">
        <v>0</v>
      </c>
      <c r="AT573">
        <v>0</v>
      </c>
    </row>
    <row r="574" spans="1:46" x14ac:dyDescent="0.45">
      <c r="A574" s="62" t="s">
        <v>1029</v>
      </c>
      <c r="B574" s="62" t="s">
        <v>1199</v>
      </c>
      <c r="C574" s="63"/>
      <c r="D574" s="64"/>
      <c r="E574" s="65"/>
      <c r="F574" s="66"/>
      <c r="G574" s="63"/>
      <c r="H574" s="67"/>
      <c r="I574" s="68"/>
      <c r="J574" s="68"/>
      <c r="K574" s="32"/>
      <c r="L574" s="75"/>
      <c r="M574" s="75"/>
      <c r="N574" s="70"/>
      <c r="O574" t="s">
        <v>1570</v>
      </c>
      <c r="P574" s="76">
        <v>44959.420474537037</v>
      </c>
      <c r="Q574" t="s">
        <v>2183</v>
      </c>
      <c r="R574" s="77" t="str">
        <f>HYPERLINK("https://twitter.com/KellyClarksonTV/status/1613902561978863616")</f>
        <v>https://twitter.com/KellyClarksonTV/status/1613902561978863616</v>
      </c>
      <c r="S574" t="s">
        <v>2257</v>
      </c>
      <c r="V574" s="77" t="str">
        <f>HYPERLINK("https://pbs.twimg.com/profile_images/1294846081503813632/AhmDuqja_normal.jpg")</f>
        <v>https://pbs.twimg.com/profile_images/1294846081503813632/AhmDuqja_normal.jpg</v>
      </c>
      <c r="W574" s="76">
        <v>44959.420474537037</v>
      </c>
      <c r="X574" s="80">
        <v>44959</v>
      </c>
      <c r="Y574" s="78" t="s">
        <v>3327</v>
      </c>
      <c r="Z574" s="77" t="str">
        <f>HYPERLINK("https://twitter.com/jobrosfanwis/status/1621087399496536066")</f>
        <v>https://twitter.com/jobrosfanwis/status/1621087399496536066</v>
      </c>
      <c r="AC574" s="78" t="s">
        <v>4392</v>
      </c>
      <c r="AE574" t="b">
        <v>0</v>
      </c>
      <c r="AF574">
        <v>0</v>
      </c>
      <c r="AG574" s="78" t="s">
        <v>4640</v>
      </c>
      <c r="AH574" t="b">
        <v>1</v>
      </c>
      <c r="AI574" t="s">
        <v>4829</v>
      </c>
      <c r="AK574" s="78" t="s">
        <v>4846</v>
      </c>
      <c r="AL574" t="b">
        <v>0</v>
      </c>
      <c r="AM574">
        <v>184</v>
      </c>
      <c r="AN574" s="78" t="s">
        <v>4391</v>
      </c>
      <c r="AO574" s="78" t="s">
        <v>4850</v>
      </c>
      <c r="AP574" t="b">
        <v>0</v>
      </c>
      <c r="AQ574" s="78" t="s">
        <v>4391</v>
      </c>
      <c r="AR574" t="s">
        <v>179</v>
      </c>
      <c r="AS574">
        <v>0</v>
      </c>
      <c r="AT574">
        <v>0</v>
      </c>
    </row>
    <row r="575" spans="1:46" x14ac:dyDescent="0.45">
      <c r="A575" s="62" t="s">
        <v>1029</v>
      </c>
      <c r="B575" s="62" t="s">
        <v>1502</v>
      </c>
      <c r="C575" s="63"/>
      <c r="D575" s="64"/>
      <c r="E575" s="65"/>
      <c r="F575" s="66"/>
      <c r="G575" s="63"/>
      <c r="H575" s="67"/>
      <c r="I575" s="68"/>
      <c r="J575" s="68"/>
      <c r="K575" s="32"/>
      <c r="L575" s="75"/>
      <c r="M575" s="75"/>
      <c r="N575" s="70"/>
      <c r="O575" t="s">
        <v>1570</v>
      </c>
      <c r="P575" s="76">
        <v>44959.420474537037</v>
      </c>
      <c r="Q575" t="s">
        <v>2183</v>
      </c>
      <c r="R575" s="77" t="str">
        <f>HYPERLINK("https://twitter.com/KellyClarksonTV/status/1613902561978863616")</f>
        <v>https://twitter.com/KellyClarksonTV/status/1613902561978863616</v>
      </c>
      <c r="S575" t="s">
        <v>2257</v>
      </c>
      <c r="V575" s="77" t="str">
        <f>HYPERLINK("https://pbs.twimg.com/profile_images/1294846081503813632/AhmDuqja_normal.jpg")</f>
        <v>https://pbs.twimg.com/profile_images/1294846081503813632/AhmDuqja_normal.jpg</v>
      </c>
      <c r="W575" s="76">
        <v>44959.420474537037</v>
      </c>
      <c r="X575" s="80">
        <v>44959</v>
      </c>
      <c r="Y575" s="78" t="s">
        <v>3327</v>
      </c>
      <c r="Z575" s="77" t="str">
        <f>HYPERLINK("https://twitter.com/jobrosfanwis/status/1621087399496536066")</f>
        <v>https://twitter.com/jobrosfanwis/status/1621087399496536066</v>
      </c>
      <c r="AC575" s="78" t="s">
        <v>4392</v>
      </c>
      <c r="AE575" t="b">
        <v>0</v>
      </c>
      <c r="AF575">
        <v>0</v>
      </c>
      <c r="AG575" s="78" t="s">
        <v>4640</v>
      </c>
      <c r="AH575" t="b">
        <v>1</v>
      </c>
      <c r="AI575" t="s">
        <v>4829</v>
      </c>
      <c r="AK575" s="78" t="s">
        <v>4846</v>
      </c>
      <c r="AL575" t="b">
        <v>0</v>
      </c>
      <c r="AM575">
        <v>184</v>
      </c>
      <c r="AN575" s="78" t="s">
        <v>4391</v>
      </c>
      <c r="AO575" s="78" t="s">
        <v>4850</v>
      </c>
      <c r="AP575" t="b">
        <v>0</v>
      </c>
      <c r="AQ575" s="78" t="s">
        <v>4391</v>
      </c>
      <c r="AR575" t="s">
        <v>179</v>
      </c>
      <c r="AS575">
        <v>0</v>
      </c>
      <c r="AT575">
        <v>0</v>
      </c>
    </row>
    <row r="576" spans="1:46" x14ac:dyDescent="0.45">
      <c r="A576" s="62" t="s">
        <v>1029</v>
      </c>
      <c r="B576" s="62" t="s">
        <v>1503</v>
      </c>
      <c r="C576" s="63"/>
      <c r="D576" s="64"/>
      <c r="E576" s="65"/>
      <c r="F576" s="66"/>
      <c r="G576" s="63"/>
      <c r="H576" s="67"/>
      <c r="I576" s="68"/>
      <c r="J576" s="68"/>
      <c r="K576" s="32"/>
      <c r="L576" s="75"/>
      <c r="M576" s="75"/>
      <c r="N576" s="70"/>
      <c r="O576" t="s">
        <v>1570</v>
      </c>
      <c r="P576" s="76">
        <v>44959.420474537037</v>
      </c>
      <c r="Q576" t="s">
        <v>2183</v>
      </c>
      <c r="R576" s="77" t="str">
        <f>HYPERLINK("https://twitter.com/KellyClarksonTV/status/1613902561978863616")</f>
        <v>https://twitter.com/KellyClarksonTV/status/1613902561978863616</v>
      </c>
      <c r="S576" t="s">
        <v>2257</v>
      </c>
      <c r="V576" s="77" t="str">
        <f>HYPERLINK("https://pbs.twimg.com/profile_images/1294846081503813632/AhmDuqja_normal.jpg")</f>
        <v>https://pbs.twimg.com/profile_images/1294846081503813632/AhmDuqja_normal.jpg</v>
      </c>
      <c r="W576" s="76">
        <v>44959.420474537037</v>
      </c>
      <c r="X576" s="80">
        <v>44959</v>
      </c>
      <c r="Y576" s="78" t="s">
        <v>3327</v>
      </c>
      <c r="Z576" s="77" t="str">
        <f>HYPERLINK("https://twitter.com/jobrosfanwis/status/1621087399496536066")</f>
        <v>https://twitter.com/jobrosfanwis/status/1621087399496536066</v>
      </c>
      <c r="AC576" s="78" t="s">
        <v>4392</v>
      </c>
      <c r="AE576" t="b">
        <v>0</v>
      </c>
      <c r="AF576">
        <v>0</v>
      </c>
      <c r="AG576" s="78" t="s">
        <v>4640</v>
      </c>
      <c r="AH576" t="b">
        <v>1</v>
      </c>
      <c r="AI576" t="s">
        <v>4829</v>
      </c>
      <c r="AK576" s="78" t="s">
        <v>4846</v>
      </c>
      <c r="AL576" t="b">
        <v>0</v>
      </c>
      <c r="AM576">
        <v>184</v>
      </c>
      <c r="AN576" s="78" t="s">
        <v>4391</v>
      </c>
      <c r="AO576" s="78" t="s">
        <v>4850</v>
      </c>
      <c r="AP576" t="b">
        <v>0</v>
      </c>
      <c r="AQ576" s="78" t="s">
        <v>4391</v>
      </c>
      <c r="AR576" t="s">
        <v>179</v>
      </c>
      <c r="AS576">
        <v>0</v>
      </c>
      <c r="AT576">
        <v>0</v>
      </c>
    </row>
    <row r="577" spans="1:46" x14ac:dyDescent="0.45">
      <c r="A577" s="62" t="s">
        <v>1029</v>
      </c>
      <c r="B577" s="62" t="s">
        <v>1028</v>
      </c>
      <c r="C577" s="63"/>
      <c r="D577" s="64"/>
      <c r="E577" s="65"/>
      <c r="F577" s="66"/>
      <c r="G577" s="63"/>
      <c r="H577" s="67"/>
      <c r="I577" s="68"/>
      <c r="J577" s="68"/>
      <c r="K577" s="32"/>
      <c r="L577" s="75"/>
      <c r="M577" s="75"/>
      <c r="N577" s="70"/>
      <c r="O577" t="s">
        <v>1569</v>
      </c>
      <c r="P577" s="76">
        <v>44959.420474537037</v>
      </c>
      <c r="Q577" t="s">
        <v>2183</v>
      </c>
      <c r="R577" s="77" t="str">
        <f>HYPERLINK("https://twitter.com/KellyClarksonTV/status/1613902561978863616")</f>
        <v>https://twitter.com/KellyClarksonTV/status/1613902561978863616</v>
      </c>
      <c r="S577" t="s">
        <v>2257</v>
      </c>
      <c r="V577" s="77" t="str">
        <f>HYPERLINK("https://pbs.twimg.com/profile_images/1294846081503813632/AhmDuqja_normal.jpg")</f>
        <v>https://pbs.twimg.com/profile_images/1294846081503813632/AhmDuqja_normal.jpg</v>
      </c>
      <c r="W577" s="76">
        <v>44959.420474537037</v>
      </c>
      <c r="X577" s="80">
        <v>44959</v>
      </c>
      <c r="Y577" s="78" t="s">
        <v>3327</v>
      </c>
      <c r="Z577" s="77" t="str">
        <f>HYPERLINK("https://twitter.com/jobrosfanwis/status/1621087399496536066")</f>
        <v>https://twitter.com/jobrosfanwis/status/1621087399496536066</v>
      </c>
      <c r="AC577" s="78" t="s">
        <v>4392</v>
      </c>
      <c r="AE577" t="b">
        <v>0</v>
      </c>
      <c r="AF577">
        <v>0</v>
      </c>
      <c r="AG577" s="78" t="s">
        <v>4640</v>
      </c>
      <c r="AH577" t="b">
        <v>1</v>
      </c>
      <c r="AI577" t="s">
        <v>4829</v>
      </c>
      <c r="AK577" s="78" t="s">
        <v>4846</v>
      </c>
      <c r="AL577" t="b">
        <v>0</v>
      </c>
      <c r="AM577">
        <v>184</v>
      </c>
      <c r="AN577" s="78" t="s">
        <v>4391</v>
      </c>
      <c r="AO577" s="78" t="s">
        <v>4850</v>
      </c>
      <c r="AP577" t="b">
        <v>0</v>
      </c>
      <c r="AQ577" s="78" t="s">
        <v>4391</v>
      </c>
      <c r="AR577" t="s">
        <v>179</v>
      </c>
      <c r="AS577">
        <v>0</v>
      </c>
      <c r="AT577">
        <v>0</v>
      </c>
    </row>
    <row r="578" spans="1:46" x14ac:dyDescent="0.45">
      <c r="A578" s="62" t="s">
        <v>1029</v>
      </c>
      <c r="B578" s="62" t="s">
        <v>242</v>
      </c>
      <c r="C578" s="63"/>
      <c r="D578" s="64"/>
      <c r="E578" s="65"/>
      <c r="F578" s="66"/>
      <c r="G578" s="63"/>
      <c r="H578" s="67"/>
      <c r="I578" s="68"/>
      <c r="J578" s="68"/>
      <c r="K578" s="32"/>
      <c r="L578" s="75"/>
      <c r="M578" s="75"/>
      <c r="N578" s="70"/>
      <c r="O578" t="s">
        <v>1570</v>
      </c>
      <c r="P578" s="76">
        <v>44959.420474537037</v>
      </c>
      <c r="Q578" t="s">
        <v>2183</v>
      </c>
      <c r="R578" s="77" t="str">
        <f>HYPERLINK("https://twitter.com/KellyClarksonTV/status/1613902561978863616")</f>
        <v>https://twitter.com/KellyClarksonTV/status/1613902561978863616</v>
      </c>
      <c r="S578" t="s">
        <v>2257</v>
      </c>
      <c r="V578" s="77" t="str">
        <f>HYPERLINK("https://pbs.twimg.com/profile_images/1294846081503813632/AhmDuqja_normal.jpg")</f>
        <v>https://pbs.twimg.com/profile_images/1294846081503813632/AhmDuqja_normal.jpg</v>
      </c>
      <c r="W578" s="76">
        <v>44959.420474537037</v>
      </c>
      <c r="X578" s="80">
        <v>44959</v>
      </c>
      <c r="Y578" s="78" t="s">
        <v>3327</v>
      </c>
      <c r="Z578" s="77" t="str">
        <f>HYPERLINK("https://twitter.com/jobrosfanwis/status/1621087399496536066")</f>
        <v>https://twitter.com/jobrosfanwis/status/1621087399496536066</v>
      </c>
      <c r="AC578" s="78" t="s">
        <v>4392</v>
      </c>
      <c r="AE578" t="b">
        <v>0</v>
      </c>
      <c r="AF578">
        <v>0</v>
      </c>
      <c r="AG578" s="78" t="s">
        <v>4640</v>
      </c>
      <c r="AH578" t="b">
        <v>1</v>
      </c>
      <c r="AI578" t="s">
        <v>4829</v>
      </c>
      <c r="AK578" s="78" t="s">
        <v>4846</v>
      </c>
      <c r="AL578" t="b">
        <v>0</v>
      </c>
      <c r="AM578">
        <v>184</v>
      </c>
      <c r="AN578" s="78" t="s">
        <v>4391</v>
      </c>
      <c r="AO578" s="78" t="s">
        <v>4850</v>
      </c>
      <c r="AP578" t="b">
        <v>0</v>
      </c>
      <c r="AQ578" s="78" t="s">
        <v>4391</v>
      </c>
      <c r="AR578" t="s">
        <v>179</v>
      </c>
      <c r="AS578">
        <v>0</v>
      </c>
      <c r="AT578">
        <v>0</v>
      </c>
    </row>
    <row r="579" spans="1:46" x14ac:dyDescent="0.45">
      <c r="A579" s="62" t="s">
        <v>1033</v>
      </c>
      <c r="B579" s="62" t="s">
        <v>1508</v>
      </c>
      <c r="C579" s="63"/>
      <c r="D579" s="64"/>
      <c r="E579" s="65"/>
      <c r="F579" s="66"/>
      <c r="G579" s="63"/>
      <c r="H579" s="67"/>
      <c r="I579" s="68"/>
      <c r="J579" s="68"/>
      <c r="K579" s="32"/>
      <c r="L579" s="75"/>
      <c r="M579" s="75"/>
      <c r="N579" s="70"/>
      <c r="O579" t="s">
        <v>1568</v>
      </c>
      <c r="P579" s="76">
        <v>44959.199745370373</v>
      </c>
      <c r="Q579" t="s">
        <v>2187</v>
      </c>
      <c r="R579" s="77" t="str">
        <f>HYPERLINK("https://twitter.com/magupta03/status/1615244469405908993")</f>
        <v>https://twitter.com/magupta03/status/1615244469405908993</v>
      </c>
      <c r="S579" t="s">
        <v>2257</v>
      </c>
      <c r="U579" s="77" t="str">
        <f>HYPERLINK("https://pbs.twimg.com/media/Fn75pafaAAAUfNo.jpg")</f>
        <v>https://pbs.twimg.com/media/Fn75pafaAAAUfNo.jpg</v>
      </c>
      <c r="V579" s="77" t="str">
        <f>HYPERLINK("https://pbs.twimg.com/media/Fn75pafaAAAUfNo.jpg")</f>
        <v>https://pbs.twimg.com/media/Fn75pafaAAAUfNo.jpg</v>
      </c>
      <c r="W579" s="76">
        <v>44959.199745370373</v>
      </c>
      <c r="X579" s="80">
        <v>44959</v>
      </c>
      <c r="Y579" s="78" t="s">
        <v>3335</v>
      </c>
      <c r="Z579" s="77" t="str">
        <f>HYPERLINK("https://twitter.com/aagupta88/status/1621007410604421120")</f>
        <v>https://twitter.com/aagupta88/status/1621007410604421120</v>
      </c>
      <c r="AC579" s="78" t="s">
        <v>4400</v>
      </c>
      <c r="AE579" t="b">
        <v>0</v>
      </c>
      <c r="AF579">
        <v>0</v>
      </c>
      <c r="AG579" s="78" t="s">
        <v>4802</v>
      </c>
      <c r="AH579" t="b">
        <v>1</v>
      </c>
      <c r="AI579" t="s">
        <v>4829</v>
      </c>
      <c r="AK579" s="78" t="s">
        <v>4847</v>
      </c>
      <c r="AL579" t="b">
        <v>0</v>
      </c>
      <c r="AM579">
        <v>2</v>
      </c>
      <c r="AN579" s="78" t="s">
        <v>4640</v>
      </c>
      <c r="AO579" s="78" t="s">
        <v>4850</v>
      </c>
      <c r="AP579" t="b">
        <v>0</v>
      </c>
      <c r="AQ579" s="78" t="s">
        <v>4400</v>
      </c>
      <c r="AR579" t="s">
        <v>179</v>
      </c>
      <c r="AS579">
        <v>0</v>
      </c>
      <c r="AT579">
        <v>0</v>
      </c>
    </row>
    <row r="580" spans="1:46" x14ac:dyDescent="0.45">
      <c r="A580" s="62" t="s">
        <v>1033</v>
      </c>
      <c r="B580" s="62" t="s">
        <v>1508</v>
      </c>
      <c r="C580" s="63"/>
      <c r="D580" s="64"/>
      <c r="E580" s="65"/>
      <c r="F580" s="66"/>
      <c r="G580" s="63"/>
      <c r="H580" s="67"/>
      <c r="I580" s="68"/>
      <c r="J580" s="68"/>
      <c r="K580" s="32"/>
      <c r="L580" s="75"/>
      <c r="M580" s="75"/>
      <c r="N580" s="70"/>
      <c r="O580" t="s">
        <v>1568</v>
      </c>
      <c r="P580" s="76">
        <v>44959.200613425928</v>
      </c>
      <c r="Q580" t="s">
        <v>2188</v>
      </c>
      <c r="R580" s="77" t="str">
        <f>HYPERLINK("https://twitter.com/aagupta88/status/1621007410604421120")</f>
        <v>https://twitter.com/aagupta88/status/1621007410604421120</v>
      </c>
      <c r="S580" t="s">
        <v>2257</v>
      </c>
      <c r="V580" s="77" t="str">
        <f>HYPERLINK("https://pbs.twimg.com/profile_images/1476392114074238978/_mBfkJs6_normal.jpg")</f>
        <v>https://pbs.twimg.com/profile_images/1476392114074238978/_mBfkJs6_normal.jpg</v>
      </c>
      <c r="W580" s="76">
        <v>44959.200613425928</v>
      </c>
      <c r="X580" s="80">
        <v>44959</v>
      </c>
      <c r="Y580" s="78" t="s">
        <v>3336</v>
      </c>
      <c r="Z580" s="77" t="str">
        <f>HYPERLINK("https://twitter.com/aagupta88/status/1621007725265309698")</f>
        <v>https://twitter.com/aagupta88/status/1621007725265309698</v>
      </c>
      <c r="AC580" s="78" t="s">
        <v>4401</v>
      </c>
      <c r="AE580" t="b">
        <v>0</v>
      </c>
      <c r="AF580">
        <v>0</v>
      </c>
      <c r="AG580" s="78" t="s">
        <v>4802</v>
      </c>
      <c r="AH580" t="b">
        <v>1</v>
      </c>
      <c r="AI580" t="s">
        <v>4829</v>
      </c>
      <c r="AK580" s="78" t="s">
        <v>4400</v>
      </c>
      <c r="AL580" t="b">
        <v>0</v>
      </c>
      <c r="AM580">
        <v>2</v>
      </c>
      <c r="AN580" s="78" t="s">
        <v>4640</v>
      </c>
      <c r="AO580" s="78" t="s">
        <v>4850</v>
      </c>
      <c r="AP580" t="b">
        <v>0</v>
      </c>
      <c r="AQ580" s="78" t="s">
        <v>4401</v>
      </c>
      <c r="AR580" t="s">
        <v>179</v>
      </c>
      <c r="AS580">
        <v>0</v>
      </c>
      <c r="AT580">
        <v>0</v>
      </c>
    </row>
    <row r="581" spans="1:46" x14ac:dyDescent="0.45">
      <c r="A581" s="62" t="s">
        <v>1031</v>
      </c>
      <c r="B581" s="62" t="s">
        <v>1508</v>
      </c>
      <c r="C581" s="63"/>
      <c r="D581" s="64"/>
      <c r="E581" s="65"/>
      <c r="F581" s="66"/>
      <c r="G581" s="63"/>
      <c r="H581" s="67"/>
      <c r="I581" s="68"/>
      <c r="J581" s="68"/>
      <c r="K581" s="32"/>
      <c r="L581" s="75"/>
      <c r="M581" s="75"/>
      <c r="N581" s="70"/>
      <c r="O581" t="s">
        <v>1570</v>
      </c>
      <c r="P581" s="76">
        <v>44959.342789351853</v>
      </c>
      <c r="Q581" t="s">
        <v>2188</v>
      </c>
      <c r="R581" s="77" t="str">
        <f>HYPERLINK("https://twitter.com/aagupta88/status/1621007410604421120")</f>
        <v>https://twitter.com/aagupta88/status/1621007410604421120</v>
      </c>
      <c r="S581" t="s">
        <v>2257</v>
      </c>
      <c r="V581" s="77" t="str">
        <f>HYPERLINK("https://pbs.twimg.com/profile_images/1601109073226711041/s7ytUwoo_normal.jpg")</f>
        <v>https://pbs.twimg.com/profile_images/1601109073226711041/s7ytUwoo_normal.jpg</v>
      </c>
      <c r="W581" s="76">
        <v>44959.342789351853</v>
      </c>
      <c r="X581" s="80">
        <v>44959</v>
      </c>
      <c r="Y581" s="78" t="s">
        <v>3337</v>
      </c>
      <c r="Z581" s="77" t="str">
        <f>HYPERLINK("https://twitter.com/bandbajaateraho/status/1621059248728993792")</f>
        <v>https://twitter.com/bandbajaateraho/status/1621059248728993792</v>
      </c>
      <c r="AC581" s="78" t="s">
        <v>4402</v>
      </c>
      <c r="AE581" t="b">
        <v>0</v>
      </c>
      <c r="AF581">
        <v>0</v>
      </c>
      <c r="AG581" s="78" t="s">
        <v>4640</v>
      </c>
      <c r="AH581" t="b">
        <v>1</v>
      </c>
      <c r="AI581" t="s">
        <v>4829</v>
      </c>
      <c r="AK581" s="78" t="s">
        <v>4400</v>
      </c>
      <c r="AL581" t="b">
        <v>0</v>
      </c>
      <c r="AM581">
        <v>2</v>
      </c>
      <c r="AN581" s="78" t="s">
        <v>4401</v>
      </c>
      <c r="AO581" s="78" t="s">
        <v>4856</v>
      </c>
      <c r="AP581" t="b">
        <v>0</v>
      </c>
      <c r="AQ581" s="78" t="s">
        <v>4401</v>
      </c>
      <c r="AR581" t="s">
        <v>179</v>
      </c>
      <c r="AS581">
        <v>0</v>
      </c>
      <c r="AT581">
        <v>0</v>
      </c>
    </row>
    <row r="582" spans="1:46" x14ac:dyDescent="0.45">
      <c r="A582" s="62" t="s">
        <v>1031</v>
      </c>
      <c r="B582" s="62" t="s">
        <v>1508</v>
      </c>
      <c r="C582" s="63"/>
      <c r="D582" s="64"/>
      <c r="E582" s="65"/>
      <c r="F582" s="66"/>
      <c r="G582" s="63"/>
      <c r="H582" s="67"/>
      <c r="I582" s="68"/>
      <c r="J582" s="68"/>
      <c r="K582" s="32"/>
      <c r="L582" s="75"/>
      <c r="M582" s="75"/>
      <c r="N582" s="70"/>
      <c r="O582" t="s">
        <v>1570</v>
      </c>
      <c r="P582" s="76">
        <v>44959.342824074076</v>
      </c>
      <c r="Q582" t="s">
        <v>2187</v>
      </c>
      <c r="R582" s="77" t="str">
        <f>HYPERLINK("https://twitter.com/magupta03/status/1615244469405908993")</f>
        <v>https://twitter.com/magupta03/status/1615244469405908993</v>
      </c>
      <c r="S582" t="s">
        <v>2257</v>
      </c>
      <c r="U582" s="77" t="str">
        <f>HYPERLINK("https://pbs.twimg.com/media/Fn75pafaAAAUfNo.jpg")</f>
        <v>https://pbs.twimg.com/media/Fn75pafaAAAUfNo.jpg</v>
      </c>
      <c r="V582" s="77" t="str">
        <f>HYPERLINK("https://pbs.twimg.com/media/Fn75pafaAAAUfNo.jpg")</f>
        <v>https://pbs.twimg.com/media/Fn75pafaAAAUfNo.jpg</v>
      </c>
      <c r="W582" s="76">
        <v>44959.342824074076</v>
      </c>
      <c r="X582" s="80">
        <v>44959</v>
      </c>
      <c r="Y582" s="78" t="s">
        <v>3338</v>
      </c>
      <c r="Z582" s="77" t="str">
        <f>HYPERLINK("https://twitter.com/bandbajaateraho/status/1621059263740383234")</f>
        <v>https://twitter.com/bandbajaateraho/status/1621059263740383234</v>
      </c>
      <c r="AC582" s="78" t="s">
        <v>4403</v>
      </c>
      <c r="AE582" t="b">
        <v>0</v>
      </c>
      <c r="AF582">
        <v>0</v>
      </c>
      <c r="AG582" s="78" t="s">
        <v>4640</v>
      </c>
      <c r="AH582" t="b">
        <v>1</v>
      </c>
      <c r="AI582" t="s">
        <v>4829</v>
      </c>
      <c r="AK582" s="78" t="s">
        <v>4847</v>
      </c>
      <c r="AL582" t="b">
        <v>0</v>
      </c>
      <c r="AM582">
        <v>2</v>
      </c>
      <c r="AN582" s="78" t="s">
        <v>4400</v>
      </c>
      <c r="AO582" s="78" t="s">
        <v>4856</v>
      </c>
      <c r="AP582" t="b">
        <v>0</v>
      </c>
      <c r="AQ582" s="78" t="s">
        <v>4400</v>
      </c>
      <c r="AR582" t="s">
        <v>179</v>
      </c>
      <c r="AS582">
        <v>0</v>
      </c>
      <c r="AT582">
        <v>0</v>
      </c>
    </row>
    <row r="583" spans="1:46" x14ac:dyDescent="0.45">
      <c r="A583" s="62" t="s">
        <v>1032</v>
      </c>
      <c r="B583" s="62" t="s">
        <v>1508</v>
      </c>
      <c r="C583" s="63"/>
      <c r="D583" s="64"/>
      <c r="E583" s="65"/>
      <c r="F583" s="66"/>
      <c r="G583" s="63"/>
      <c r="H583" s="67"/>
      <c r="I583" s="68"/>
      <c r="J583" s="68"/>
      <c r="K583" s="32"/>
      <c r="L583" s="75"/>
      <c r="M583" s="75"/>
      <c r="N583" s="70"/>
      <c r="O583" t="s">
        <v>1570</v>
      </c>
      <c r="P583" s="76">
        <v>44959.422777777778</v>
      </c>
      <c r="Q583" t="s">
        <v>2187</v>
      </c>
      <c r="R583" s="77" t="str">
        <f>HYPERLINK("https://twitter.com/magupta03/status/1615244469405908993")</f>
        <v>https://twitter.com/magupta03/status/1615244469405908993</v>
      </c>
      <c r="S583" t="s">
        <v>2257</v>
      </c>
      <c r="U583" s="77" t="str">
        <f>HYPERLINK("https://pbs.twimg.com/media/Fn75pafaAAAUfNo.jpg")</f>
        <v>https://pbs.twimg.com/media/Fn75pafaAAAUfNo.jpg</v>
      </c>
      <c r="V583" s="77" t="str">
        <f>HYPERLINK("https://pbs.twimg.com/media/Fn75pafaAAAUfNo.jpg")</f>
        <v>https://pbs.twimg.com/media/Fn75pafaAAAUfNo.jpg</v>
      </c>
      <c r="W583" s="76">
        <v>44959.422777777778</v>
      </c>
      <c r="X583" s="80">
        <v>44959</v>
      </c>
      <c r="Y583" s="78" t="s">
        <v>3339</v>
      </c>
      <c r="Z583" s="77" t="str">
        <f>HYPERLINK("https://twitter.com/aapkiawaaz_rk/status/1621088236398592001")</f>
        <v>https://twitter.com/aapkiawaaz_rk/status/1621088236398592001</v>
      </c>
      <c r="AC583" s="78" t="s">
        <v>4404</v>
      </c>
      <c r="AE583" t="b">
        <v>0</v>
      </c>
      <c r="AF583">
        <v>0</v>
      </c>
      <c r="AG583" s="78" t="s">
        <v>4640</v>
      </c>
      <c r="AH583" t="b">
        <v>1</v>
      </c>
      <c r="AI583" t="s">
        <v>4829</v>
      </c>
      <c r="AK583" s="78" t="s">
        <v>4847</v>
      </c>
      <c r="AL583" t="b">
        <v>0</v>
      </c>
      <c r="AM583">
        <v>2</v>
      </c>
      <c r="AN583" s="78" t="s">
        <v>4400</v>
      </c>
      <c r="AO583" s="78" t="s">
        <v>4849</v>
      </c>
      <c r="AP583" t="b">
        <v>0</v>
      </c>
      <c r="AQ583" s="78" t="s">
        <v>4400</v>
      </c>
      <c r="AR583" t="s">
        <v>179</v>
      </c>
      <c r="AS583">
        <v>0</v>
      </c>
      <c r="AT583">
        <v>0</v>
      </c>
    </row>
    <row r="584" spans="1:46" x14ac:dyDescent="0.45">
      <c r="A584" s="62" t="s">
        <v>1033</v>
      </c>
      <c r="B584" s="62" t="s">
        <v>1509</v>
      </c>
      <c r="C584" s="63"/>
      <c r="D584" s="64"/>
      <c r="E584" s="65"/>
      <c r="F584" s="66"/>
      <c r="G584" s="63"/>
      <c r="H584" s="67"/>
      <c r="I584" s="68"/>
      <c r="J584" s="68"/>
      <c r="K584" s="32"/>
      <c r="L584" s="75"/>
      <c r="M584" s="75"/>
      <c r="N584" s="70"/>
      <c r="O584" t="s">
        <v>1568</v>
      </c>
      <c r="P584" s="76">
        <v>44959.199745370373</v>
      </c>
      <c r="Q584" t="s">
        <v>2187</v>
      </c>
      <c r="R584" s="77" t="str">
        <f>HYPERLINK("https://twitter.com/magupta03/status/1615244469405908993")</f>
        <v>https://twitter.com/magupta03/status/1615244469405908993</v>
      </c>
      <c r="S584" t="s">
        <v>2257</v>
      </c>
      <c r="U584" s="77" t="str">
        <f>HYPERLINK("https://pbs.twimg.com/media/Fn75pafaAAAUfNo.jpg")</f>
        <v>https://pbs.twimg.com/media/Fn75pafaAAAUfNo.jpg</v>
      </c>
      <c r="V584" s="77" t="str">
        <f>HYPERLINK("https://pbs.twimg.com/media/Fn75pafaAAAUfNo.jpg")</f>
        <v>https://pbs.twimg.com/media/Fn75pafaAAAUfNo.jpg</v>
      </c>
      <c r="W584" s="76">
        <v>44959.199745370373</v>
      </c>
      <c r="X584" s="80">
        <v>44959</v>
      </c>
      <c r="Y584" s="78" t="s">
        <v>3335</v>
      </c>
      <c r="Z584" s="77" t="str">
        <f>HYPERLINK("https://twitter.com/aagupta88/status/1621007410604421120")</f>
        <v>https://twitter.com/aagupta88/status/1621007410604421120</v>
      </c>
      <c r="AC584" s="78" t="s">
        <v>4400</v>
      </c>
      <c r="AE584" t="b">
        <v>0</v>
      </c>
      <c r="AF584">
        <v>0</v>
      </c>
      <c r="AG584" s="78" t="s">
        <v>4802</v>
      </c>
      <c r="AH584" t="b">
        <v>1</v>
      </c>
      <c r="AI584" t="s">
        <v>4829</v>
      </c>
      <c r="AK584" s="78" t="s">
        <v>4847</v>
      </c>
      <c r="AL584" t="b">
        <v>0</v>
      </c>
      <c r="AM584">
        <v>2</v>
      </c>
      <c r="AN584" s="78" t="s">
        <v>4640</v>
      </c>
      <c r="AO584" s="78" t="s">
        <v>4850</v>
      </c>
      <c r="AP584" t="b">
        <v>0</v>
      </c>
      <c r="AQ584" s="78" t="s">
        <v>4400</v>
      </c>
      <c r="AR584" t="s">
        <v>179</v>
      </c>
      <c r="AS584">
        <v>0</v>
      </c>
      <c r="AT584">
        <v>0</v>
      </c>
    </row>
    <row r="585" spans="1:46" x14ac:dyDescent="0.45">
      <c r="A585" s="62" t="s">
        <v>1033</v>
      </c>
      <c r="B585" s="62" t="s">
        <v>1509</v>
      </c>
      <c r="C585" s="63"/>
      <c r="D585" s="64"/>
      <c r="E585" s="65"/>
      <c r="F585" s="66"/>
      <c r="G585" s="63"/>
      <c r="H585" s="67"/>
      <c r="I585" s="68"/>
      <c r="J585" s="68"/>
      <c r="K585" s="32"/>
      <c r="L585" s="75"/>
      <c r="M585" s="75"/>
      <c r="N585" s="70"/>
      <c r="O585" t="s">
        <v>1568</v>
      </c>
      <c r="P585" s="76">
        <v>44959.200613425928</v>
      </c>
      <c r="Q585" t="s">
        <v>2188</v>
      </c>
      <c r="R585" s="77" t="str">
        <f>HYPERLINK("https://twitter.com/aagupta88/status/1621007410604421120")</f>
        <v>https://twitter.com/aagupta88/status/1621007410604421120</v>
      </c>
      <c r="S585" t="s">
        <v>2257</v>
      </c>
      <c r="V585" s="77" t="str">
        <f>HYPERLINK("https://pbs.twimg.com/profile_images/1476392114074238978/_mBfkJs6_normal.jpg")</f>
        <v>https://pbs.twimg.com/profile_images/1476392114074238978/_mBfkJs6_normal.jpg</v>
      </c>
      <c r="W585" s="76">
        <v>44959.200613425928</v>
      </c>
      <c r="X585" s="80">
        <v>44959</v>
      </c>
      <c r="Y585" s="78" t="s">
        <v>3336</v>
      </c>
      <c r="Z585" s="77" t="str">
        <f>HYPERLINK("https://twitter.com/aagupta88/status/1621007725265309698")</f>
        <v>https://twitter.com/aagupta88/status/1621007725265309698</v>
      </c>
      <c r="AC585" s="78" t="s">
        <v>4401</v>
      </c>
      <c r="AE585" t="b">
        <v>0</v>
      </c>
      <c r="AF585">
        <v>0</v>
      </c>
      <c r="AG585" s="78" t="s">
        <v>4802</v>
      </c>
      <c r="AH585" t="b">
        <v>1</v>
      </c>
      <c r="AI585" t="s">
        <v>4829</v>
      </c>
      <c r="AK585" s="78" t="s">
        <v>4400</v>
      </c>
      <c r="AL585" t="b">
        <v>0</v>
      </c>
      <c r="AM585">
        <v>2</v>
      </c>
      <c r="AN585" s="78" t="s">
        <v>4640</v>
      </c>
      <c r="AO585" s="78" t="s">
        <v>4850</v>
      </c>
      <c r="AP585" t="b">
        <v>0</v>
      </c>
      <c r="AQ585" s="78" t="s">
        <v>4401</v>
      </c>
      <c r="AR585" t="s">
        <v>179</v>
      </c>
      <c r="AS585">
        <v>0</v>
      </c>
      <c r="AT585">
        <v>0</v>
      </c>
    </row>
    <row r="586" spans="1:46" x14ac:dyDescent="0.45">
      <c r="A586" s="62" t="s">
        <v>1031</v>
      </c>
      <c r="B586" s="62" t="s">
        <v>1509</v>
      </c>
      <c r="C586" s="63"/>
      <c r="D586" s="64"/>
      <c r="E586" s="65"/>
      <c r="F586" s="66"/>
      <c r="G586" s="63"/>
      <c r="H586" s="67"/>
      <c r="I586" s="68"/>
      <c r="J586" s="68"/>
      <c r="K586" s="32"/>
      <c r="L586" s="75"/>
      <c r="M586" s="75"/>
      <c r="N586" s="70"/>
      <c r="O586" t="s">
        <v>1570</v>
      </c>
      <c r="P586" s="76">
        <v>44959.342789351853</v>
      </c>
      <c r="Q586" t="s">
        <v>2188</v>
      </c>
      <c r="R586" s="77" t="str">
        <f>HYPERLINK("https://twitter.com/aagupta88/status/1621007410604421120")</f>
        <v>https://twitter.com/aagupta88/status/1621007410604421120</v>
      </c>
      <c r="S586" t="s">
        <v>2257</v>
      </c>
      <c r="V586" s="77" t="str">
        <f>HYPERLINK("https://pbs.twimg.com/profile_images/1601109073226711041/s7ytUwoo_normal.jpg")</f>
        <v>https://pbs.twimg.com/profile_images/1601109073226711041/s7ytUwoo_normal.jpg</v>
      </c>
      <c r="W586" s="76">
        <v>44959.342789351853</v>
      </c>
      <c r="X586" s="80">
        <v>44959</v>
      </c>
      <c r="Y586" s="78" t="s">
        <v>3337</v>
      </c>
      <c r="Z586" s="77" t="str">
        <f>HYPERLINK("https://twitter.com/bandbajaateraho/status/1621059248728993792")</f>
        <v>https://twitter.com/bandbajaateraho/status/1621059248728993792</v>
      </c>
      <c r="AC586" s="78" t="s">
        <v>4402</v>
      </c>
      <c r="AE586" t="b">
        <v>0</v>
      </c>
      <c r="AF586">
        <v>0</v>
      </c>
      <c r="AG586" s="78" t="s">
        <v>4640</v>
      </c>
      <c r="AH586" t="b">
        <v>1</v>
      </c>
      <c r="AI586" t="s">
        <v>4829</v>
      </c>
      <c r="AK586" s="78" t="s">
        <v>4400</v>
      </c>
      <c r="AL586" t="b">
        <v>0</v>
      </c>
      <c r="AM586">
        <v>2</v>
      </c>
      <c r="AN586" s="78" t="s">
        <v>4401</v>
      </c>
      <c r="AO586" s="78" t="s">
        <v>4856</v>
      </c>
      <c r="AP586" t="b">
        <v>0</v>
      </c>
      <c r="AQ586" s="78" t="s">
        <v>4401</v>
      </c>
      <c r="AR586" t="s">
        <v>179</v>
      </c>
      <c r="AS586">
        <v>0</v>
      </c>
      <c r="AT586">
        <v>0</v>
      </c>
    </row>
    <row r="587" spans="1:46" x14ac:dyDescent="0.45">
      <c r="A587" s="62" t="s">
        <v>1031</v>
      </c>
      <c r="B587" s="62" t="s">
        <v>1509</v>
      </c>
      <c r="C587" s="63"/>
      <c r="D587" s="64"/>
      <c r="E587" s="65"/>
      <c r="F587" s="66"/>
      <c r="G587" s="63"/>
      <c r="H587" s="67"/>
      <c r="I587" s="68"/>
      <c r="J587" s="68"/>
      <c r="K587" s="32"/>
      <c r="L587" s="75"/>
      <c r="M587" s="75"/>
      <c r="N587" s="70"/>
      <c r="O587" t="s">
        <v>1570</v>
      </c>
      <c r="P587" s="76">
        <v>44959.342824074076</v>
      </c>
      <c r="Q587" t="s">
        <v>2187</v>
      </c>
      <c r="R587" s="77" t="str">
        <f>HYPERLINK("https://twitter.com/magupta03/status/1615244469405908993")</f>
        <v>https://twitter.com/magupta03/status/1615244469405908993</v>
      </c>
      <c r="S587" t="s">
        <v>2257</v>
      </c>
      <c r="U587" s="77" t="str">
        <f>HYPERLINK("https://pbs.twimg.com/media/Fn75pafaAAAUfNo.jpg")</f>
        <v>https://pbs.twimg.com/media/Fn75pafaAAAUfNo.jpg</v>
      </c>
      <c r="V587" s="77" t="str">
        <f>HYPERLINK("https://pbs.twimg.com/media/Fn75pafaAAAUfNo.jpg")</f>
        <v>https://pbs.twimg.com/media/Fn75pafaAAAUfNo.jpg</v>
      </c>
      <c r="W587" s="76">
        <v>44959.342824074076</v>
      </c>
      <c r="X587" s="80">
        <v>44959</v>
      </c>
      <c r="Y587" s="78" t="s">
        <v>3338</v>
      </c>
      <c r="Z587" s="77" t="str">
        <f>HYPERLINK("https://twitter.com/bandbajaateraho/status/1621059263740383234")</f>
        <v>https://twitter.com/bandbajaateraho/status/1621059263740383234</v>
      </c>
      <c r="AC587" s="78" t="s">
        <v>4403</v>
      </c>
      <c r="AE587" t="b">
        <v>0</v>
      </c>
      <c r="AF587">
        <v>0</v>
      </c>
      <c r="AG587" s="78" t="s">
        <v>4640</v>
      </c>
      <c r="AH587" t="b">
        <v>1</v>
      </c>
      <c r="AI587" t="s">
        <v>4829</v>
      </c>
      <c r="AK587" s="78" t="s">
        <v>4847</v>
      </c>
      <c r="AL587" t="b">
        <v>0</v>
      </c>
      <c r="AM587">
        <v>2</v>
      </c>
      <c r="AN587" s="78" t="s">
        <v>4400</v>
      </c>
      <c r="AO587" s="78" t="s">
        <v>4856</v>
      </c>
      <c r="AP587" t="b">
        <v>0</v>
      </c>
      <c r="AQ587" s="78" t="s">
        <v>4400</v>
      </c>
      <c r="AR587" t="s">
        <v>179</v>
      </c>
      <c r="AS587">
        <v>0</v>
      </c>
      <c r="AT587">
        <v>0</v>
      </c>
    </row>
    <row r="588" spans="1:46" x14ac:dyDescent="0.45">
      <c r="A588" s="62" t="s">
        <v>1032</v>
      </c>
      <c r="B588" s="62" t="s">
        <v>1509</v>
      </c>
      <c r="C588" s="63"/>
      <c r="D588" s="64"/>
      <c r="E588" s="65"/>
      <c r="F588" s="66"/>
      <c r="G588" s="63"/>
      <c r="H588" s="67"/>
      <c r="I588" s="68"/>
      <c r="J588" s="68"/>
      <c r="K588" s="32"/>
      <c r="L588" s="75"/>
      <c r="M588" s="75"/>
      <c r="N588" s="70"/>
      <c r="O588" t="s">
        <v>1570</v>
      </c>
      <c r="P588" s="76">
        <v>44959.422777777778</v>
      </c>
      <c r="Q588" t="s">
        <v>2187</v>
      </c>
      <c r="R588" s="77" t="str">
        <f>HYPERLINK("https://twitter.com/magupta03/status/1615244469405908993")</f>
        <v>https://twitter.com/magupta03/status/1615244469405908993</v>
      </c>
      <c r="S588" t="s">
        <v>2257</v>
      </c>
      <c r="U588" s="77" t="str">
        <f>HYPERLINK("https://pbs.twimg.com/media/Fn75pafaAAAUfNo.jpg")</f>
        <v>https://pbs.twimg.com/media/Fn75pafaAAAUfNo.jpg</v>
      </c>
      <c r="V588" s="77" t="str">
        <f>HYPERLINK("https://pbs.twimg.com/media/Fn75pafaAAAUfNo.jpg")</f>
        <v>https://pbs.twimg.com/media/Fn75pafaAAAUfNo.jpg</v>
      </c>
      <c r="W588" s="76">
        <v>44959.422777777778</v>
      </c>
      <c r="X588" s="80">
        <v>44959</v>
      </c>
      <c r="Y588" s="78" t="s">
        <v>3339</v>
      </c>
      <c r="Z588" s="77" t="str">
        <f>HYPERLINK("https://twitter.com/aapkiawaaz_rk/status/1621088236398592001")</f>
        <v>https://twitter.com/aapkiawaaz_rk/status/1621088236398592001</v>
      </c>
      <c r="AC588" s="78" t="s">
        <v>4404</v>
      </c>
      <c r="AE588" t="b">
        <v>0</v>
      </c>
      <c r="AF588">
        <v>0</v>
      </c>
      <c r="AG588" s="78" t="s">
        <v>4640</v>
      </c>
      <c r="AH588" t="b">
        <v>1</v>
      </c>
      <c r="AI588" t="s">
        <v>4829</v>
      </c>
      <c r="AK588" s="78" t="s">
        <v>4847</v>
      </c>
      <c r="AL588" t="b">
        <v>0</v>
      </c>
      <c r="AM588">
        <v>2</v>
      </c>
      <c r="AN588" s="78" t="s">
        <v>4400</v>
      </c>
      <c r="AO588" s="78" t="s">
        <v>4849</v>
      </c>
      <c r="AP588" t="b">
        <v>0</v>
      </c>
      <c r="AQ588" s="78" t="s">
        <v>4400</v>
      </c>
      <c r="AR588" t="s">
        <v>179</v>
      </c>
      <c r="AS588">
        <v>0</v>
      </c>
      <c r="AT588">
        <v>0</v>
      </c>
    </row>
    <row r="589" spans="1:46" x14ac:dyDescent="0.45">
      <c r="A589" s="62" t="s">
        <v>1033</v>
      </c>
      <c r="B589" s="62" t="s">
        <v>1510</v>
      </c>
      <c r="C589" s="63"/>
      <c r="D589" s="64"/>
      <c r="E589" s="65"/>
      <c r="F589" s="66"/>
      <c r="G589" s="63"/>
      <c r="H589" s="67"/>
      <c r="I589" s="68"/>
      <c r="J589" s="68"/>
      <c r="K589" s="32"/>
      <c r="L589" s="75"/>
      <c r="M589" s="75"/>
      <c r="N589" s="70"/>
      <c r="O589" t="s">
        <v>1568</v>
      </c>
      <c r="P589" s="76">
        <v>44959.199745370373</v>
      </c>
      <c r="Q589" t="s">
        <v>2187</v>
      </c>
      <c r="R589" s="77" t="str">
        <f>HYPERLINK("https://twitter.com/magupta03/status/1615244469405908993")</f>
        <v>https://twitter.com/magupta03/status/1615244469405908993</v>
      </c>
      <c r="S589" t="s">
        <v>2257</v>
      </c>
      <c r="U589" s="77" t="str">
        <f>HYPERLINK("https://pbs.twimg.com/media/Fn75pafaAAAUfNo.jpg")</f>
        <v>https://pbs.twimg.com/media/Fn75pafaAAAUfNo.jpg</v>
      </c>
      <c r="V589" s="77" t="str">
        <f>HYPERLINK("https://pbs.twimg.com/media/Fn75pafaAAAUfNo.jpg")</f>
        <v>https://pbs.twimg.com/media/Fn75pafaAAAUfNo.jpg</v>
      </c>
      <c r="W589" s="76">
        <v>44959.199745370373</v>
      </c>
      <c r="X589" s="80">
        <v>44959</v>
      </c>
      <c r="Y589" s="78" t="s">
        <v>3335</v>
      </c>
      <c r="Z589" s="77" t="str">
        <f>HYPERLINK("https://twitter.com/aagupta88/status/1621007410604421120")</f>
        <v>https://twitter.com/aagupta88/status/1621007410604421120</v>
      </c>
      <c r="AC589" s="78" t="s">
        <v>4400</v>
      </c>
      <c r="AE589" t="b">
        <v>0</v>
      </c>
      <c r="AF589">
        <v>0</v>
      </c>
      <c r="AG589" s="78" t="s">
        <v>4802</v>
      </c>
      <c r="AH589" t="b">
        <v>1</v>
      </c>
      <c r="AI589" t="s">
        <v>4829</v>
      </c>
      <c r="AK589" s="78" t="s">
        <v>4847</v>
      </c>
      <c r="AL589" t="b">
        <v>0</v>
      </c>
      <c r="AM589">
        <v>2</v>
      </c>
      <c r="AN589" s="78" t="s">
        <v>4640</v>
      </c>
      <c r="AO589" s="78" t="s">
        <v>4850</v>
      </c>
      <c r="AP589" t="b">
        <v>0</v>
      </c>
      <c r="AQ589" s="78" t="s">
        <v>4400</v>
      </c>
      <c r="AR589" t="s">
        <v>179</v>
      </c>
      <c r="AS589">
        <v>0</v>
      </c>
      <c r="AT589">
        <v>0</v>
      </c>
    </row>
    <row r="590" spans="1:46" x14ac:dyDescent="0.45">
      <c r="A590" s="62" t="s">
        <v>1033</v>
      </c>
      <c r="B590" s="62" t="s">
        <v>1510</v>
      </c>
      <c r="C590" s="63"/>
      <c r="D590" s="64"/>
      <c r="E590" s="65"/>
      <c r="F590" s="66"/>
      <c r="G590" s="63"/>
      <c r="H590" s="67"/>
      <c r="I590" s="68"/>
      <c r="J590" s="68"/>
      <c r="K590" s="32"/>
      <c r="L590" s="75"/>
      <c r="M590" s="75"/>
      <c r="N590" s="70"/>
      <c r="O590" t="s">
        <v>1568</v>
      </c>
      <c r="P590" s="76">
        <v>44959.200613425928</v>
      </c>
      <c r="Q590" t="s">
        <v>2188</v>
      </c>
      <c r="R590" s="77" t="str">
        <f>HYPERLINK("https://twitter.com/aagupta88/status/1621007410604421120")</f>
        <v>https://twitter.com/aagupta88/status/1621007410604421120</v>
      </c>
      <c r="S590" t="s">
        <v>2257</v>
      </c>
      <c r="V590" s="77" t="str">
        <f>HYPERLINK("https://pbs.twimg.com/profile_images/1476392114074238978/_mBfkJs6_normal.jpg")</f>
        <v>https://pbs.twimg.com/profile_images/1476392114074238978/_mBfkJs6_normal.jpg</v>
      </c>
      <c r="W590" s="76">
        <v>44959.200613425928</v>
      </c>
      <c r="X590" s="80">
        <v>44959</v>
      </c>
      <c r="Y590" s="78" t="s">
        <v>3336</v>
      </c>
      <c r="Z590" s="77" t="str">
        <f>HYPERLINK("https://twitter.com/aagupta88/status/1621007725265309698")</f>
        <v>https://twitter.com/aagupta88/status/1621007725265309698</v>
      </c>
      <c r="AC590" s="78" t="s">
        <v>4401</v>
      </c>
      <c r="AE590" t="b">
        <v>0</v>
      </c>
      <c r="AF590">
        <v>0</v>
      </c>
      <c r="AG590" s="78" t="s">
        <v>4802</v>
      </c>
      <c r="AH590" t="b">
        <v>1</v>
      </c>
      <c r="AI590" t="s">
        <v>4829</v>
      </c>
      <c r="AK590" s="78" t="s">
        <v>4400</v>
      </c>
      <c r="AL590" t="b">
        <v>0</v>
      </c>
      <c r="AM590">
        <v>2</v>
      </c>
      <c r="AN590" s="78" t="s">
        <v>4640</v>
      </c>
      <c r="AO590" s="78" t="s">
        <v>4850</v>
      </c>
      <c r="AP590" t="b">
        <v>0</v>
      </c>
      <c r="AQ590" s="78" t="s">
        <v>4401</v>
      </c>
      <c r="AR590" t="s">
        <v>179</v>
      </c>
      <c r="AS590">
        <v>0</v>
      </c>
      <c r="AT590">
        <v>0</v>
      </c>
    </row>
    <row r="591" spans="1:46" x14ac:dyDescent="0.45">
      <c r="A591" s="62" t="s">
        <v>1031</v>
      </c>
      <c r="B591" s="62" t="s">
        <v>1510</v>
      </c>
      <c r="C591" s="63"/>
      <c r="D591" s="64"/>
      <c r="E591" s="65"/>
      <c r="F591" s="66"/>
      <c r="G591" s="63"/>
      <c r="H591" s="67"/>
      <c r="I591" s="68"/>
      <c r="J591" s="68"/>
      <c r="K591" s="32"/>
      <c r="L591" s="75"/>
      <c r="M591" s="75"/>
      <c r="N591" s="70"/>
      <c r="O591" t="s">
        <v>1570</v>
      </c>
      <c r="P591" s="76">
        <v>44959.342789351853</v>
      </c>
      <c r="Q591" t="s">
        <v>2188</v>
      </c>
      <c r="R591" s="77" t="str">
        <f>HYPERLINK("https://twitter.com/aagupta88/status/1621007410604421120")</f>
        <v>https://twitter.com/aagupta88/status/1621007410604421120</v>
      </c>
      <c r="S591" t="s">
        <v>2257</v>
      </c>
      <c r="V591" s="77" t="str">
        <f>HYPERLINK("https://pbs.twimg.com/profile_images/1601109073226711041/s7ytUwoo_normal.jpg")</f>
        <v>https://pbs.twimg.com/profile_images/1601109073226711041/s7ytUwoo_normal.jpg</v>
      </c>
      <c r="W591" s="76">
        <v>44959.342789351853</v>
      </c>
      <c r="X591" s="80">
        <v>44959</v>
      </c>
      <c r="Y591" s="78" t="s">
        <v>3337</v>
      </c>
      <c r="Z591" s="77" t="str">
        <f>HYPERLINK("https://twitter.com/bandbajaateraho/status/1621059248728993792")</f>
        <v>https://twitter.com/bandbajaateraho/status/1621059248728993792</v>
      </c>
      <c r="AC591" s="78" t="s">
        <v>4402</v>
      </c>
      <c r="AE591" t="b">
        <v>0</v>
      </c>
      <c r="AF591">
        <v>0</v>
      </c>
      <c r="AG591" s="78" t="s">
        <v>4640</v>
      </c>
      <c r="AH591" t="b">
        <v>1</v>
      </c>
      <c r="AI591" t="s">
        <v>4829</v>
      </c>
      <c r="AK591" s="78" t="s">
        <v>4400</v>
      </c>
      <c r="AL591" t="b">
        <v>0</v>
      </c>
      <c r="AM591">
        <v>2</v>
      </c>
      <c r="AN591" s="78" t="s">
        <v>4401</v>
      </c>
      <c r="AO591" s="78" t="s">
        <v>4856</v>
      </c>
      <c r="AP591" t="b">
        <v>0</v>
      </c>
      <c r="AQ591" s="78" t="s">
        <v>4401</v>
      </c>
      <c r="AR591" t="s">
        <v>179</v>
      </c>
      <c r="AS591">
        <v>0</v>
      </c>
      <c r="AT591">
        <v>0</v>
      </c>
    </row>
    <row r="592" spans="1:46" x14ac:dyDescent="0.45">
      <c r="A592" s="62" t="s">
        <v>1031</v>
      </c>
      <c r="B592" s="62" t="s">
        <v>1510</v>
      </c>
      <c r="C592" s="63"/>
      <c r="D592" s="64"/>
      <c r="E592" s="65"/>
      <c r="F592" s="66"/>
      <c r="G592" s="63"/>
      <c r="H592" s="67"/>
      <c r="I592" s="68"/>
      <c r="J592" s="68"/>
      <c r="K592" s="32"/>
      <c r="L592" s="75"/>
      <c r="M592" s="75"/>
      <c r="N592" s="70"/>
      <c r="O592" t="s">
        <v>1570</v>
      </c>
      <c r="P592" s="76">
        <v>44959.342824074076</v>
      </c>
      <c r="Q592" t="s">
        <v>2187</v>
      </c>
      <c r="R592" s="77" t="str">
        <f>HYPERLINK("https://twitter.com/magupta03/status/1615244469405908993")</f>
        <v>https://twitter.com/magupta03/status/1615244469405908993</v>
      </c>
      <c r="S592" t="s">
        <v>2257</v>
      </c>
      <c r="U592" s="77" t="str">
        <f>HYPERLINK("https://pbs.twimg.com/media/Fn75pafaAAAUfNo.jpg")</f>
        <v>https://pbs.twimg.com/media/Fn75pafaAAAUfNo.jpg</v>
      </c>
      <c r="V592" s="77" t="str">
        <f>HYPERLINK("https://pbs.twimg.com/media/Fn75pafaAAAUfNo.jpg")</f>
        <v>https://pbs.twimg.com/media/Fn75pafaAAAUfNo.jpg</v>
      </c>
      <c r="W592" s="76">
        <v>44959.342824074076</v>
      </c>
      <c r="X592" s="80">
        <v>44959</v>
      </c>
      <c r="Y592" s="78" t="s">
        <v>3338</v>
      </c>
      <c r="Z592" s="77" t="str">
        <f>HYPERLINK("https://twitter.com/bandbajaateraho/status/1621059263740383234")</f>
        <v>https://twitter.com/bandbajaateraho/status/1621059263740383234</v>
      </c>
      <c r="AC592" s="78" t="s">
        <v>4403</v>
      </c>
      <c r="AE592" t="b">
        <v>0</v>
      </c>
      <c r="AF592">
        <v>0</v>
      </c>
      <c r="AG592" s="78" t="s">
        <v>4640</v>
      </c>
      <c r="AH592" t="b">
        <v>1</v>
      </c>
      <c r="AI592" t="s">
        <v>4829</v>
      </c>
      <c r="AK592" s="78" t="s">
        <v>4847</v>
      </c>
      <c r="AL592" t="b">
        <v>0</v>
      </c>
      <c r="AM592">
        <v>2</v>
      </c>
      <c r="AN592" s="78" t="s">
        <v>4400</v>
      </c>
      <c r="AO592" s="78" t="s">
        <v>4856</v>
      </c>
      <c r="AP592" t="b">
        <v>0</v>
      </c>
      <c r="AQ592" s="78" t="s">
        <v>4400</v>
      </c>
      <c r="AR592" t="s">
        <v>179</v>
      </c>
      <c r="AS592">
        <v>0</v>
      </c>
      <c r="AT592">
        <v>0</v>
      </c>
    </row>
    <row r="593" spans="1:46" x14ac:dyDescent="0.45">
      <c r="A593" s="62" t="s">
        <v>1032</v>
      </c>
      <c r="B593" s="62" t="s">
        <v>1510</v>
      </c>
      <c r="C593" s="63"/>
      <c r="D593" s="64"/>
      <c r="E593" s="65"/>
      <c r="F593" s="66"/>
      <c r="G593" s="63"/>
      <c r="H593" s="67"/>
      <c r="I593" s="68"/>
      <c r="J593" s="68"/>
      <c r="K593" s="32"/>
      <c r="L593" s="75"/>
      <c r="M593" s="75"/>
      <c r="N593" s="70"/>
      <c r="O593" t="s">
        <v>1570</v>
      </c>
      <c r="P593" s="76">
        <v>44959.422777777778</v>
      </c>
      <c r="Q593" t="s">
        <v>2187</v>
      </c>
      <c r="R593" s="77" t="str">
        <f>HYPERLINK("https://twitter.com/magupta03/status/1615244469405908993")</f>
        <v>https://twitter.com/magupta03/status/1615244469405908993</v>
      </c>
      <c r="S593" t="s">
        <v>2257</v>
      </c>
      <c r="U593" s="77" t="str">
        <f>HYPERLINK("https://pbs.twimg.com/media/Fn75pafaAAAUfNo.jpg")</f>
        <v>https://pbs.twimg.com/media/Fn75pafaAAAUfNo.jpg</v>
      </c>
      <c r="V593" s="77" t="str">
        <f>HYPERLINK("https://pbs.twimg.com/media/Fn75pafaAAAUfNo.jpg")</f>
        <v>https://pbs.twimg.com/media/Fn75pafaAAAUfNo.jpg</v>
      </c>
      <c r="W593" s="76">
        <v>44959.422777777778</v>
      </c>
      <c r="X593" s="80">
        <v>44959</v>
      </c>
      <c r="Y593" s="78" t="s">
        <v>3339</v>
      </c>
      <c r="Z593" s="77" t="str">
        <f>HYPERLINK("https://twitter.com/aapkiawaaz_rk/status/1621088236398592001")</f>
        <v>https://twitter.com/aapkiawaaz_rk/status/1621088236398592001</v>
      </c>
      <c r="AC593" s="78" t="s">
        <v>4404</v>
      </c>
      <c r="AE593" t="b">
        <v>0</v>
      </c>
      <c r="AF593">
        <v>0</v>
      </c>
      <c r="AG593" s="78" t="s">
        <v>4640</v>
      </c>
      <c r="AH593" t="b">
        <v>1</v>
      </c>
      <c r="AI593" t="s">
        <v>4829</v>
      </c>
      <c r="AK593" s="78" t="s">
        <v>4847</v>
      </c>
      <c r="AL593" t="b">
        <v>0</v>
      </c>
      <c r="AM593">
        <v>2</v>
      </c>
      <c r="AN593" s="78" t="s">
        <v>4400</v>
      </c>
      <c r="AO593" s="78" t="s">
        <v>4849</v>
      </c>
      <c r="AP593" t="b">
        <v>0</v>
      </c>
      <c r="AQ593" s="78" t="s">
        <v>4400</v>
      </c>
      <c r="AR593" t="s">
        <v>179</v>
      </c>
      <c r="AS593">
        <v>0</v>
      </c>
      <c r="AT593">
        <v>0</v>
      </c>
    </row>
    <row r="594" spans="1:46" x14ac:dyDescent="0.45">
      <c r="A594" s="62" t="s">
        <v>1033</v>
      </c>
      <c r="B594" s="62" t="s">
        <v>1511</v>
      </c>
      <c r="C594" s="63"/>
      <c r="D594" s="64"/>
      <c r="E594" s="65"/>
      <c r="F594" s="66"/>
      <c r="G594" s="63"/>
      <c r="H594" s="67"/>
      <c r="I594" s="68"/>
      <c r="J594" s="68"/>
      <c r="K594" s="32"/>
      <c r="L594" s="75"/>
      <c r="M594" s="75"/>
      <c r="N594" s="70"/>
      <c r="O594" t="s">
        <v>1568</v>
      </c>
      <c r="P594" s="76">
        <v>44959.199745370373</v>
      </c>
      <c r="Q594" t="s">
        <v>2187</v>
      </c>
      <c r="R594" s="77" t="str">
        <f>HYPERLINK("https://twitter.com/magupta03/status/1615244469405908993")</f>
        <v>https://twitter.com/magupta03/status/1615244469405908993</v>
      </c>
      <c r="S594" t="s">
        <v>2257</v>
      </c>
      <c r="U594" s="77" t="str">
        <f>HYPERLINK("https://pbs.twimg.com/media/Fn75pafaAAAUfNo.jpg")</f>
        <v>https://pbs.twimg.com/media/Fn75pafaAAAUfNo.jpg</v>
      </c>
      <c r="V594" s="77" t="str">
        <f>HYPERLINK("https://pbs.twimg.com/media/Fn75pafaAAAUfNo.jpg")</f>
        <v>https://pbs.twimg.com/media/Fn75pafaAAAUfNo.jpg</v>
      </c>
      <c r="W594" s="76">
        <v>44959.199745370373</v>
      </c>
      <c r="X594" s="80">
        <v>44959</v>
      </c>
      <c r="Y594" s="78" t="s">
        <v>3335</v>
      </c>
      <c r="Z594" s="77" t="str">
        <f>HYPERLINK("https://twitter.com/aagupta88/status/1621007410604421120")</f>
        <v>https://twitter.com/aagupta88/status/1621007410604421120</v>
      </c>
      <c r="AC594" s="78" t="s">
        <v>4400</v>
      </c>
      <c r="AE594" t="b">
        <v>0</v>
      </c>
      <c r="AF594">
        <v>0</v>
      </c>
      <c r="AG594" s="78" t="s">
        <v>4802</v>
      </c>
      <c r="AH594" t="b">
        <v>1</v>
      </c>
      <c r="AI594" t="s">
        <v>4829</v>
      </c>
      <c r="AK594" s="78" t="s">
        <v>4847</v>
      </c>
      <c r="AL594" t="b">
        <v>0</v>
      </c>
      <c r="AM594">
        <v>2</v>
      </c>
      <c r="AN594" s="78" t="s">
        <v>4640</v>
      </c>
      <c r="AO594" s="78" t="s">
        <v>4850</v>
      </c>
      <c r="AP594" t="b">
        <v>0</v>
      </c>
      <c r="AQ594" s="78" t="s">
        <v>4400</v>
      </c>
      <c r="AR594" t="s">
        <v>179</v>
      </c>
      <c r="AS594">
        <v>0</v>
      </c>
      <c r="AT594">
        <v>0</v>
      </c>
    </row>
    <row r="595" spans="1:46" x14ac:dyDescent="0.45">
      <c r="A595" s="62" t="s">
        <v>1033</v>
      </c>
      <c r="B595" s="62" t="s">
        <v>1511</v>
      </c>
      <c r="C595" s="63"/>
      <c r="D595" s="64"/>
      <c r="E595" s="65"/>
      <c r="F595" s="66"/>
      <c r="G595" s="63"/>
      <c r="H595" s="67"/>
      <c r="I595" s="68"/>
      <c r="J595" s="68"/>
      <c r="K595" s="32"/>
      <c r="L595" s="75"/>
      <c r="M595" s="75"/>
      <c r="N595" s="70"/>
      <c r="O595" t="s">
        <v>1568</v>
      </c>
      <c r="P595" s="76">
        <v>44959.200613425928</v>
      </c>
      <c r="Q595" t="s">
        <v>2188</v>
      </c>
      <c r="R595" s="77" t="str">
        <f>HYPERLINK("https://twitter.com/aagupta88/status/1621007410604421120")</f>
        <v>https://twitter.com/aagupta88/status/1621007410604421120</v>
      </c>
      <c r="S595" t="s">
        <v>2257</v>
      </c>
      <c r="V595" s="77" t="str">
        <f>HYPERLINK("https://pbs.twimg.com/profile_images/1476392114074238978/_mBfkJs6_normal.jpg")</f>
        <v>https://pbs.twimg.com/profile_images/1476392114074238978/_mBfkJs6_normal.jpg</v>
      </c>
      <c r="W595" s="76">
        <v>44959.200613425928</v>
      </c>
      <c r="X595" s="80">
        <v>44959</v>
      </c>
      <c r="Y595" s="78" t="s">
        <v>3336</v>
      </c>
      <c r="Z595" s="77" t="str">
        <f>HYPERLINK("https://twitter.com/aagupta88/status/1621007725265309698")</f>
        <v>https://twitter.com/aagupta88/status/1621007725265309698</v>
      </c>
      <c r="AC595" s="78" t="s">
        <v>4401</v>
      </c>
      <c r="AE595" t="b">
        <v>0</v>
      </c>
      <c r="AF595">
        <v>0</v>
      </c>
      <c r="AG595" s="78" t="s">
        <v>4802</v>
      </c>
      <c r="AH595" t="b">
        <v>1</v>
      </c>
      <c r="AI595" t="s">
        <v>4829</v>
      </c>
      <c r="AK595" s="78" t="s">
        <v>4400</v>
      </c>
      <c r="AL595" t="b">
        <v>0</v>
      </c>
      <c r="AM595">
        <v>2</v>
      </c>
      <c r="AN595" s="78" t="s">
        <v>4640</v>
      </c>
      <c r="AO595" s="78" t="s">
        <v>4850</v>
      </c>
      <c r="AP595" t="b">
        <v>0</v>
      </c>
      <c r="AQ595" s="78" t="s">
        <v>4401</v>
      </c>
      <c r="AR595" t="s">
        <v>179</v>
      </c>
      <c r="AS595">
        <v>0</v>
      </c>
      <c r="AT595">
        <v>0</v>
      </c>
    </row>
    <row r="596" spans="1:46" x14ac:dyDescent="0.45">
      <c r="A596" s="62" t="s">
        <v>1031</v>
      </c>
      <c r="B596" s="62" t="s">
        <v>1511</v>
      </c>
      <c r="C596" s="63"/>
      <c r="D596" s="64"/>
      <c r="E596" s="65"/>
      <c r="F596" s="66"/>
      <c r="G596" s="63"/>
      <c r="H596" s="67"/>
      <c r="I596" s="68"/>
      <c r="J596" s="68"/>
      <c r="K596" s="32"/>
      <c r="L596" s="75"/>
      <c r="M596" s="75"/>
      <c r="N596" s="70"/>
      <c r="O596" t="s">
        <v>1570</v>
      </c>
      <c r="P596" s="76">
        <v>44959.342789351853</v>
      </c>
      <c r="Q596" t="s">
        <v>2188</v>
      </c>
      <c r="R596" s="77" t="str">
        <f>HYPERLINK("https://twitter.com/aagupta88/status/1621007410604421120")</f>
        <v>https://twitter.com/aagupta88/status/1621007410604421120</v>
      </c>
      <c r="S596" t="s">
        <v>2257</v>
      </c>
      <c r="V596" s="77" t="str">
        <f>HYPERLINK("https://pbs.twimg.com/profile_images/1601109073226711041/s7ytUwoo_normal.jpg")</f>
        <v>https://pbs.twimg.com/profile_images/1601109073226711041/s7ytUwoo_normal.jpg</v>
      </c>
      <c r="W596" s="76">
        <v>44959.342789351853</v>
      </c>
      <c r="X596" s="80">
        <v>44959</v>
      </c>
      <c r="Y596" s="78" t="s">
        <v>3337</v>
      </c>
      <c r="Z596" s="77" t="str">
        <f>HYPERLINK("https://twitter.com/bandbajaateraho/status/1621059248728993792")</f>
        <v>https://twitter.com/bandbajaateraho/status/1621059248728993792</v>
      </c>
      <c r="AC596" s="78" t="s">
        <v>4402</v>
      </c>
      <c r="AE596" t="b">
        <v>0</v>
      </c>
      <c r="AF596">
        <v>0</v>
      </c>
      <c r="AG596" s="78" t="s">
        <v>4640</v>
      </c>
      <c r="AH596" t="b">
        <v>1</v>
      </c>
      <c r="AI596" t="s">
        <v>4829</v>
      </c>
      <c r="AK596" s="78" t="s">
        <v>4400</v>
      </c>
      <c r="AL596" t="b">
        <v>0</v>
      </c>
      <c r="AM596">
        <v>2</v>
      </c>
      <c r="AN596" s="78" t="s">
        <v>4401</v>
      </c>
      <c r="AO596" s="78" t="s">
        <v>4856</v>
      </c>
      <c r="AP596" t="b">
        <v>0</v>
      </c>
      <c r="AQ596" s="78" t="s">
        <v>4401</v>
      </c>
      <c r="AR596" t="s">
        <v>179</v>
      </c>
      <c r="AS596">
        <v>0</v>
      </c>
      <c r="AT596">
        <v>0</v>
      </c>
    </row>
    <row r="597" spans="1:46" x14ac:dyDescent="0.45">
      <c r="A597" s="62" t="s">
        <v>1031</v>
      </c>
      <c r="B597" s="62" t="s">
        <v>1511</v>
      </c>
      <c r="C597" s="63"/>
      <c r="D597" s="64"/>
      <c r="E597" s="65"/>
      <c r="F597" s="66"/>
      <c r="G597" s="63"/>
      <c r="H597" s="67"/>
      <c r="I597" s="68"/>
      <c r="J597" s="68"/>
      <c r="K597" s="32"/>
      <c r="L597" s="75"/>
      <c r="M597" s="75"/>
      <c r="N597" s="70"/>
      <c r="O597" t="s">
        <v>1570</v>
      </c>
      <c r="P597" s="76">
        <v>44959.342824074076</v>
      </c>
      <c r="Q597" t="s">
        <v>2187</v>
      </c>
      <c r="R597" s="77" t="str">
        <f>HYPERLINK("https://twitter.com/magupta03/status/1615244469405908993")</f>
        <v>https://twitter.com/magupta03/status/1615244469405908993</v>
      </c>
      <c r="S597" t="s">
        <v>2257</v>
      </c>
      <c r="U597" s="77" t="str">
        <f>HYPERLINK("https://pbs.twimg.com/media/Fn75pafaAAAUfNo.jpg")</f>
        <v>https://pbs.twimg.com/media/Fn75pafaAAAUfNo.jpg</v>
      </c>
      <c r="V597" s="77" t="str">
        <f>HYPERLINK("https://pbs.twimg.com/media/Fn75pafaAAAUfNo.jpg")</f>
        <v>https://pbs.twimg.com/media/Fn75pafaAAAUfNo.jpg</v>
      </c>
      <c r="W597" s="76">
        <v>44959.342824074076</v>
      </c>
      <c r="X597" s="80">
        <v>44959</v>
      </c>
      <c r="Y597" s="78" t="s">
        <v>3338</v>
      </c>
      <c r="Z597" s="77" t="str">
        <f>HYPERLINK("https://twitter.com/bandbajaateraho/status/1621059263740383234")</f>
        <v>https://twitter.com/bandbajaateraho/status/1621059263740383234</v>
      </c>
      <c r="AC597" s="78" t="s">
        <v>4403</v>
      </c>
      <c r="AE597" t="b">
        <v>0</v>
      </c>
      <c r="AF597">
        <v>0</v>
      </c>
      <c r="AG597" s="78" t="s">
        <v>4640</v>
      </c>
      <c r="AH597" t="b">
        <v>1</v>
      </c>
      <c r="AI597" t="s">
        <v>4829</v>
      </c>
      <c r="AK597" s="78" t="s">
        <v>4847</v>
      </c>
      <c r="AL597" t="b">
        <v>0</v>
      </c>
      <c r="AM597">
        <v>2</v>
      </c>
      <c r="AN597" s="78" t="s">
        <v>4400</v>
      </c>
      <c r="AO597" s="78" t="s">
        <v>4856</v>
      </c>
      <c r="AP597" t="b">
        <v>0</v>
      </c>
      <c r="AQ597" s="78" t="s">
        <v>4400</v>
      </c>
      <c r="AR597" t="s">
        <v>179</v>
      </c>
      <c r="AS597">
        <v>0</v>
      </c>
      <c r="AT597">
        <v>0</v>
      </c>
    </row>
    <row r="598" spans="1:46" x14ac:dyDescent="0.45">
      <c r="A598" s="62" t="s">
        <v>1032</v>
      </c>
      <c r="B598" s="62" t="s">
        <v>1511</v>
      </c>
      <c r="C598" s="63"/>
      <c r="D598" s="64"/>
      <c r="E598" s="65"/>
      <c r="F598" s="66"/>
      <c r="G598" s="63"/>
      <c r="H598" s="67"/>
      <c r="I598" s="68"/>
      <c r="J598" s="68"/>
      <c r="K598" s="32"/>
      <c r="L598" s="75"/>
      <c r="M598" s="75"/>
      <c r="N598" s="70"/>
      <c r="O598" t="s">
        <v>1570</v>
      </c>
      <c r="P598" s="76">
        <v>44959.422777777778</v>
      </c>
      <c r="Q598" t="s">
        <v>2187</v>
      </c>
      <c r="R598" s="77" t="str">
        <f>HYPERLINK("https://twitter.com/magupta03/status/1615244469405908993")</f>
        <v>https://twitter.com/magupta03/status/1615244469405908993</v>
      </c>
      <c r="S598" t="s">
        <v>2257</v>
      </c>
      <c r="U598" s="77" t="str">
        <f>HYPERLINK("https://pbs.twimg.com/media/Fn75pafaAAAUfNo.jpg")</f>
        <v>https://pbs.twimg.com/media/Fn75pafaAAAUfNo.jpg</v>
      </c>
      <c r="V598" s="77" t="str">
        <f>HYPERLINK("https://pbs.twimg.com/media/Fn75pafaAAAUfNo.jpg")</f>
        <v>https://pbs.twimg.com/media/Fn75pafaAAAUfNo.jpg</v>
      </c>
      <c r="W598" s="76">
        <v>44959.422777777778</v>
      </c>
      <c r="X598" s="80">
        <v>44959</v>
      </c>
      <c r="Y598" s="78" t="s">
        <v>3339</v>
      </c>
      <c r="Z598" s="77" t="str">
        <f>HYPERLINK("https://twitter.com/aapkiawaaz_rk/status/1621088236398592001")</f>
        <v>https://twitter.com/aapkiawaaz_rk/status/1621088236398592001</v>
      </c>
      <c r="AC598" s="78" t="s">
        <v>4404</v>
      </c>
      <c r="AE598" t="b">
        <v>0</v>
      </c>
      <c r="AF598">
        <v>0</v>
      </c>
      <c r="AG598" s="78" t="s">
        <v>4640</v>
      </c>
      <c r="AH598" t="b">
        <v>1</v>
      </c>
      <c r="AI598" t="s">
        <v>4829</v>
      </c>
      <c r="AK598" s="78" t="s">
        <v>4847</v>
      </c>
      <c r="AL598" t="b">
        <v>0</v>
      </c>
      <c r="AM598">
        <v>2</v>
      </c>
      <c r="AN598" s="78" t="s">
        <v>4400</v>
      </c>
      <c r="AO598" s="78" t="s">
        <v>4849</v>
      </c>
      <c r="AP598" t="b">
        <v>0</v>
      </c>
      <c r="AQ598" s="78" t="s">
        <v>4400</v>
      </c>
      <c r="AR598" t="s">
        <v>179</v>
      </c>
      <c r="AS598">
        <v>0</v>
      </c>
      <c r="AT598">
        <v>0</v>
      </c>
    </row>
    <row r="599" spans="1:46" x14ac:dyDescent="0.45">
      <c r="A599" s="62" t="s">
        <v>1033</v>
      </c>
      <c r="B599" s="62" t="s">
        <v>1512</v>
      </c>
      <c r="C599" s="63"/>
      <c r="D599" s="64"/>
      <c r="E599" s="65"/>
      <c r="F599" s="66"/>
      <c r="G599" s="63"/>
      <c r="H599" s="67"/>
      <c r="I599" s="68"/>
      <c r="J599" s="68"/>
      <c r="K599" s="32"/>
      <c r="L599" s="75"/>
      <c r="M599" s="75"/>
      <c r="N599" s="70"/>
      <c r="O599" t="s">
        <v>1568</v>
      </c>
      <c r="P599" s="76">
        <v>44959.199745370373</v>
      </c>
      <c r="Q599" t="s">
        <v>2187</v>
      </c>
      <c r="R599" s="77" t="str">
        <f>HYPERLINK("https://twitter.com/magupta03/status/1615244469405908993")</f>
        <v>https://twitter.com/magupta03/status/1615244469405908993</v>
      </c>
      <c r="S599" t="s">
        <v>2257</v>
      </c>
      <c r="U599" s="77" t="str">
        <f>HYPERLINK("https://pbs.twimg.com/media/Fn75pafaAAAUfNo.jpg")</f>
        <v>https://pbs.twimg.com/media/Fn75pafaAAAUfNo.jpg</v>
      </c>
      <c r="V599" s="77" t="str">
        <f>HYPERLINK("https://pbs.twimg.com/media/Fn75pafaAAAUfNo.jpg")</f>
        <v>https://pbs.twimg.com/media/Fn75pafaAAAUfNo.jpg</v>
      </c>
      <c r="W599" s="76">
        <v>44959.199745370373</v>
      </c>
      <c r="X599" s="80">
        <v>44959</v>
      </c>
      <c r="Y599" s="78" t="s">
        <v>3335</v>
      </c>
      <c r="Z599" s="77" t="str">
        <f>HYPERLINK("https://twitter.com/aagupta88/status/1621007410604421120")</f>
        <v>https://twitter.com/aagupta88/status/1621007410604421120</v>
      </c>
      <c r="AC599" s="78" t="s">
        <v>4400</v>
      </c>
      <c r="AE599" t="b">
        <v>0</v>
      </c>
      <c r="AF599">
        <v>0</v>
      </c>
      <c r="AG599" s="78" t="s">
        <v>4802</v>
      </c>
      <c r="AH599" t="b">
        <v>1</v>
      </c>
      <c r="AI599" t="s">
        <v>4829</v>
      </c>
      <c r="AK599" s="78" t="s">
        <v>4847</v>
      </c>
      <c r="AL599" t="b">
        <v>0</v>
      </c>
      <c r="AM599">
        <v>2</v>
      </c>
      <c r="AN599" s="78" t="s">
        <v>4640</v>
      </c>
      <c r="AO599" s="78" t="s">
        <v>4850</v>
      </c>
      <c r="AP599" t="b">
        <v>0</v>
      </c>
      <c r="AQ599" s="78" t="s">
        <v>4400</v>
      </c>
      <c r="AR599" t="s">
        <v>179</v>
      </c>
      <c r="AS599">
        <v>0</v>
      </c>
      <c r="AT599">
        <v>0</v>
      </c>
    </row>
    <row r="600" spans="1:46" x14ac:dyDescent="0.45">
      <c r="A600" s="62" t="s">
        <v>1033</v>
      </c>
      <c r="B600" s="62" t="s">
        <v>1512</v>
      </c>
      <c r="C600" s="63"/>
      <c r="D600" s="64"/>
      <c r="E600" s="65"/>
      <c r="F600" s="66"/>
      <c r="G600" s="63"/>
      <c r="H600" s="67"/>
      <c r="I600" s="68"/>
      <c r="J600" s="68"/>
      <c r="K600" s="32"/>
      <c r="L600" s="75"/>
      <c r="M600" s="75"/>
      <c r="N600" s="70"/>
      <c r="O600" t="s">
        <v>1568</v>
      </c>
      <c r="P600" s="76">
        <v>44959.200613425928</v>
      </c>
      <c r="Q600" t="s">
        <v>2188</v>
      </c>
      <c r="R600" s="77" t="str">
        <f>HYPERLINK("https://twitter.com/aagupta88/status/1621007410604421120")</f>
        <v>https://twitter.com/aagupta88/status/1621007410604421120</v>
      </c>
      <c r="S600" t="s">
        <v>2257</v>
      </c>
      <c r="V600" s="77" t="str">
        <f>HYPERLINK("https://pbs.twimg.com/profile_images/1476392114074238978/_mBfkJs6_normal.jpg")</f>
        <v>https://pbs.twimg.com/profile_images/1476392114074238978/_mBfkJs6_normal.jpg</v>
      </c>
      <c r="W600" s="76">
        <v>44959.200613425928</v>
      </c>
      <c r="X600" s="80">
        <v>44959</v>
      </c>
      <c r="Y600" s="78" t="s">
        <v>3336</v>
      </c>
      <c r="Z600" s="77" t="str">
        <f>HYPERLINK("https://twitter.com/aagupta88/status/1621007725265309698")</f>
        <v>https://twitter.com/aagupta88/status/1621007725265309698</v>
      </c>
      <c r="AC600" s="78" t="s">
        <v>4401</v>
      </c>
      <c r="AE600" t="b">
        <v>0</v>
      </c>
      <c r="AF600">
        <v>0</v>
      </c>
      <c r="AG600" s="78" t="s">
        <v>4802</v>
      </c>
      <c r="AH600" t="b">
        <v>1</v>
      </c>
      <c r="AI600" t="s">
        <v>4829</v>
      </c>
      <c r="AK600" s="78" t="s">
        <v>4400</v>
      </c>
      <c r="AL600" t="b">
        <v>0</v>
      </c>
      <c r="AM600">
        <v>2</v>
      </c>
      <c r="AN600" s="78" t="s">
        <v>4640</v>
      </c>
      <c r="AO600" s="78" t="s">
        <v>4850</v>
      </c>
      <c r="AP600" t="b">
        <v>0</v>
      </c>
      <c r="AQ600" s="78" t="s">
        <v>4401</v>
      </c>
      <c r="AR600" t="s">
        <v>179</v>
      </c>
      <c r="AS600">
        <v>0</v>
      </c>
      <c r="AT600">
        <v>0</v>
      </c>
    </row>
    <row r="601" spans="1:46" x14ac:dyDescent="0.45">
      <c r="A601" s="62" t="s">
        <v>1031</v>
      </c>
      <c r="B601" s="62" t="s">
        <v>1512</v>
      </c>
      <c r="C601" s="63"/>
      <c r="D601" s="64"/>
      <c r="E601" s="65"/>
      <c r="F601" s="66"/>
      <c r="G601" s="63"/>
      <c r="H601" s="67"/>
      <c r="I601" s="68"/>
      <c r="J601" s="68"/>
      <c r="K601" s="32"/>
      <c r="L601" s="75"/>
      <c r="M601" s="75"/>
      <c r="N601" s="70"/>
      <c r="O601" t="s">
        <v>1570</v>
      </c>
      <c r="P601" s="76">
        <v>44959.342789351853</v>
      </c>
      <c r="Q601" t="s">
        <v>2188</v>
      </c>
      <c r="R601" s="77" t="str">
        <f>HYPERLINK("https://twitter.com/aagupta88/status/1621007410604421120")</f>
        <v>https://twitter.com/aagupta88/status/1621007410604421120</v>
      </c>
      <c r="S601" t="s">
        <v>2257</v>
      </c>
      <c r="V601" s="77" t="str">
        <f>HYPERLINK("https://pbs.twimg.com/profile_images/1601109073226711041/s7ytUwoo_normal.jpg")</f>
        <v>https://pbs.twimg.com/profile_images/1601109073226711041/s7ytUwoo_normal.jpg</v>
      </c>
      <c r="W601" s="76">
        <v>44959.342789351853</v>
      </c>
      <c r="X601" s="80">
        <v>44959</v>
      </c>
      <c r="Y601" s="78" t="s">
        <v>3337</v>
      </c>
      <c r="Z601" s="77" t="str">
        <f>HYPERLINK("https://twitter.com/bandbajaateraho/status/1621059248728993792")</f>
        <v>https://twitter.com/bandbajaateraho/status/1621059248728993792</v>
      </c>
      <c r="AC601" s="78" t="s">
        <v>4402</v>
      </c>
      <c r="AE601" t="b">
        <v>0</v>
      </c>
      <c r="AF601">
        <v>0</v>
      </c>
      <c r="AG601" s="78" t="s">
        <v>4640</v>
      </c>
      <c r="AH601" t="b">
        <v>1</v>
      </c>
      <c r="AI601" t="s">
        <v>4829</v>
      </c>
      <c r="AK601" s="78" t="s">
        <v>4400</v>
      </c>
      <c r="AL601" t="b">
        <v>0</v>
      </c>
      <c r="AM601">
        <v>2</v>
      </c>
      <c r="AN601" s="78" t="s">
        <v>4401</v>
      </c>
      <c r="AO601" s="78" t="s">
        <v>4856</v>
      </c>
      <c r="AP601" t="b">
        <v>0</v>
      </c>
      <c r="AQ601" s="78" t="s">
        <v>4401</v>
      </c>
      <c r="AR601" t="s">
        <v>179</v>
      </c>
      <c r="AS601">
        <v>0</v>
      </c>
      <c r="AT601">
        <v>0</v>
      </c>
    </row>
    <row r="602" spans="1:46" x14ac:dyDescent="0.45">
      <c r="A602" s="62" t="s">
        <v>1031</v>
      </c>
      <c r="B602" s="62" t="s">
        <v>1512</v>
      </c>
      <c r="C602" s="63"/>
      <c r="D602" s="64"/>
      <c r="E602" s="65"/>
      <c r="F602" s="66"/>
      <c r="G602" s="63"/>
      <c r="H602" s="67"/>
      <c r="I602" s="68"/>
      <c r="J602" s="68"/>
      <c r="K602" s="32"/>
      <c r="L602" s="75"/>
      <c r="M602" s="75"/>
      <c r="N602" s="70"/>
      <c r="O602" t="s">
        <v>1570</v>
      </c>
      <c r="P602" s="76">
        <v>44959.342824074076</v>
      </c>
      <c r="Q602" t="s">
        <v>2187</v>
      </c>
      <c r="R602" s="77" t="str">
        <f>HYPERLINK("https://twitter.com/magupta03/status/1615244469405908993")</f>
        <v>https://twitter.com/magupta03/status/1615244469405908993</v>
      </c>
      <c r="S602" t="s">
        <v>2257</v>
      </c>
      <c r="U602" s="77" t="str">
        <f>HYPERLINK("https://pbs.twimg.com/media/Fn75pafaAAAUfNo.jpg")</f>
        <v>https://pbs.twimg.com/media/Fn75pafaAAAUfNo.jpg</v>
      </c>
      <c r="V602" s="77" t="str">
        <f>HYPERLINK("https://pbs.twimg.com/media/Fn75pafaAAAUfNo.jpg")</f>
        <v>https://pbs.twimg.com/media/Fn75pafaAAAUfNo.jpg</v>
      </c>
      <c r="W602" s="76">
        <v>44959.342824074076</v>
      </c>
      <c r="X602" s="80">
        <v>44959</v>
      </c>
      <c r="Y602" s="78" t="s">
        <v>3338</v>
      </c>
      <c r="Z602" s="77" t="str">
        <f>HYPERLINK("https://twitter.com/bandbajaateraho/status/1621059263740383234")</f>
        <v>https://twitter.com/bandbajaateraho/status/1621059263740383234</v>
      </c>
      <c r="AC602" s="78" t="s">
        <v>4403</v>
      </c>
      <c r="AE602" t="b">
        <v>0</v>
      </c>
      <c r="AF602">
        <v>0</v>
      </c>
      <c r="AG602" s="78" t="s">
        <v>4640</v>
      </c>
      <c r="AH602" t="b">
        <v>1</v>
      </c>
      <c r="AI602" t="s">
        <v>4829</v>
      </c>
      <c r="AK602" s="78" t="s">
        <v>4847</v>
      </c>
      <c r="AL602" t="b">
        <v>0</v>
      </c>
      <c r="AM602">
        <v>2</v>
      </c>
      <c r="AN602" s="78" t="s">
        <v>4400</v>
      </c>
      <c r="AO602" s="78" t="s">
        <v>4856</v>
      </c>
      <c r="AP602" t="b">
        <v>0</v>
      </c>
      <c r="AQ602" s="78" t="s">
        <v>4400</v>
      </c>
      <c r="AR602" t="s">
        <v>179</v>
      </c>
      <c r="AS602">
        <v>0</v>
      </c>
      <c r="AT602">
        <v>0</v>
      </c>
    </row>
    <row r="603" spans="1:46" x14ac:dyDescent="0.45">
      <c r="A603" s="62" t="s">
        <v>1032</v>
      </c>
      <c r="B603" s="62" t="s">
        <v>1512</v>
      </c>
      <c r="C603" s="63"/>
      <c r="D603" s="64"/>
      <c r="E603" s="65"/>
      <c r="F603" s="66"/>
      <c r="G603" s="63"/>
      <c r="H603" s="67"/>
      <c r="I603" s="68"/>
      <c r="J603" s="68"/>
      <c r="K603" s="32"/>
      <c r="L603" s="75"/>
      <c r="M603" s="75"/>
      <c r="N603" s="70"/>
      <c r="O603" t="s">
        <v>1570</v>
      </c>
      <c r="P603" s="76">
        <v>44959.422777777778</v>
      </c>
      <c r="Q603" t="s">
        <v>2187</v>
      </c>
      <c r="R603" s="77" t="str">
        <f>HYPERLINK("https://twitter.com/magupta03/status/1615244469405908993")</f>
        <v>https://twitter.com/magupta03/status/1615244469405908993</v>
      </c>
      <c r="S603" t="s">
        <v>2257</v>
      </c>
      <c r="U603" s="77" t="str">
        <f>HYPERLINK("https://pbs.twimg.com/media/Fn75pafaAAAUfNo.jpg")</f>
        <v>https://pbs.twimg.com/media/Fn75pafaAAAUfNo.jpg</v>
      </c>
      <c r="V603" s="77" t="str">
        <f>HYPERLINK("https://pbs.twimg.com/media/Fn75pafaAAAUfNo.jpg")</f>
        <v>https://pbs.twimg.com/media/Fn75pafaAAAUfNo.jpg</v>
      </c>
      <c r="W603" s="76">
        <v>44959.422777777778</v>
      </c>
      <c r="X603" s="80">
        <v>44959</v>
      </c>
      <c r="Y603" s="78" t="s">
        <v>3339</v>
      </c>
      <c r="Z603" s="77" t="str">
        <f>HYPERLINK("https://twitter.com/aapkiawaaz_rk/status/1621088236398592001")</f>
        <v>https://twitter.com/aapkiawaaz_rk/status/1621088236398592001</v>
      </c>
      <c r="AC603" s="78" t="s">
        <v>4404</v>
      </c>
      <c r="AE603" t="b">
        <v>0</v>
      </c>
      <c r="AF603">
        <v>0</v>
      </c>
      <c r="AG603" s="78" t="s">
        <v>4640</v>
      </c>
      <c r="AH603" t="b">
        <v>1</v>
      </c>
      <c r="AI603" t="s">
        <v>4829</v>
      </c>
      <c r="AK603" s="78" t="s">
        <v>4847</v>
      </c>
      <c r="AL603" t="b">
        <v>0</v>
      </c>
      <c r="AM603">
        <v>2</v>
      </c>
      <c r="AN603" s="78" t="s">
        <v>4400</v>
      </c>
      <c r="AO603" s="78" t="s">
        <v>4849</v>
      </c>
      <c r="AP603" t="b">
        <v>0</v>
      </c>
      <c r="AQ603" s="78" t="s">
        <v>4400</v>
      </c>
      <c r="AR603" t="s">
        <v>179</v>
      </c>
      <c r="AS603">
        <v>0</v>
      </c>
      <c r="AT603">
        <v>0</v>
      </c>
    </row>
    <row r="604" spans="1:46" x14ac:dyDescent="0.45">
      <c r="A604" s="62" t="s">
        <v>1033</v>
      </c>
      <c r="B604" s="62" t="s">
        <v>1031</v>
      </c>
      <c r="C604" s="63"/>
      <c r="D604" s="64"/>
      <c r="E604" s="65"/>
      <c r="F604" s="66"/>
      <c r="G604" s="63"/>
      <c r="H604" s="67"/>
      <c r="I604" s="68"/>
      <c r="J604" s="68"/>
      <c r="K604" s="32"/>
      <c r="L604" s="75"/>
      <c r="M604" s="75"/>
      <c r="N604" s="70"/>
      <c r="O604" t="s">
        <v>1568</v>
      </c>
      <c r="P604" s="76">
        <v>44959.199745370373</v>
      </c>
      <c r="Q604" t="s">
        <v>2187</v>
      </c>
      <c r="R604" s="77" t="str">
        <f>HYPERLINK("https://twitter.com/magupta03/status/1615244469405908993")</f>
        <v>https://twitter.com/magupta03/status/1615244469405908993</v>
      </c>
      <c r="S604" t="s">
        <v>2257</v>
      </c>
      <c r="U604" s="77" t="str">
        <f>HYPERLINK("https://pbs.twimg.com/media/Fn75pafaAAAUfNo.jpg")</f>
        <v>https://pbs.twimg.com/media/Fn75pafaAAAUfNo.jpg</v>
      </c>
      <c r="V604" s="77" t="str">
        <f>HYPERLINK("https://pbs.twimg.com/media/Fn75pafaAAAUfNo.jpg")</f>
        <v>https://pbs.twimg.com/media/Fn75pafaAAAUfNo.jpg</v>
      </c>
      <c r="W604" s="76">
        <v>44959.199745370373</v>
      </c>
      <c r="X604" s="80">
        <v>44959</v>
      </c>
      <c r="Y604" s="78" t="s">
        <v>3335</v>
      </c>
      <c r="Z604" s="77" t="str">
        <f>HYPERLINK("https://twitter.com/aagupta88/status/1621007410604421120")</f>
        <v>https://twitter.com/aagupta88/status/1621007410604421120</v>
      </c>
      <c r="AC604" s="78" t="s">
        <v>4400</v>
      </c>
      <c r="AE604" t="b">
        <v>0</v>
      </c>
      <c r="AF604">
        <v>0</v>
      </c>
      <c r="AG604" s="78" t="s">
        <v>4802</v>
      </c>
      <c r="AH604" t="b">
        <v>1</v>
      </c>
      <c r="AI604" t="s">
        <v>4829</v>
      </c>
      <c r="AK604" s="78" t="s">
        <v>4847</v>
      </c>
      <c r="AL604" t="b">
        <v>0</v>
      </c>
      <c r="AM604">
        <v>2</v>
      </c>
      <c r="AN604" s="78" t="s">
        <v>4640</v>
      </c>
      <c r="AO604" s="78" t="s">
        <v>4850</v>
      </c>
      <c r="AP604" t="b">
        <v>0</v>
      </c>
      <c r="AQ604" s="78" t="s">
        <v>4400</v>
      </c>
      <c r="AR604" t="s">
        <v>179</v>
      </c>
      <c r="AS604">
        <v>0</v>
      </c>
      <c r="AT604">
        <v>0</v>
      </c>
    </row>
    <row r="605" spans="1:46" x14ac:dyDescent="0.45">
      <c r="A605" s="62" t="s">
        <v>1033</v>
      </c>
      <c r="B605" s="62" t="s">
        <v>1031</v>
      </c>
      <c r="C605" s="63"/>
      <c r="D605" s="64"/>
      <c r="E605" s="65"/>
      <c r="F605" s="66"/>
      <c r="G605" s="63"/>
      <c r="H605" s="67"/>
      <c r="I605" s="68"/>
      <c r="J605" s="68"/>
      <c r="K605" s="32"/>
      <c r="L605" s="75"/>
      <c r="M605" s="75"/>
      <c r="N605" s="70"/>
      <c r="O605" t="s">
        <v>1568</v>
      </c>
      <c r="P605" s="76">
        <v>44959.200613425928</v>
      </c>
      <c r="Q605" t="s">
        <v>2188</v>
      </c>
      <c r="R605" s="77" t="str">
        <f>HYPERLINK("https://twitter.com/aagupta88/status/1621007410604421120")</f>
        <v>https://twitter.com/aagupta88/status/1621007410604421120</v>
      </c>
      <c r="S605" t="s">
        <v>2257</v>
      </c>
      <c r="V605" s="77" t="str">
        <f>HYPERLINK("https://pbs.twimg.com/profile_images/1476392114074238978/_mBfkJs6_normal.jpg")</f>
        <v>https://pbs.twimg.com/profile_images/1476392114074238978/_mBfkJs6_normal.jpg</v>
      </c>
      <c r="W605" s="76">
        <v>44959.200613425928</v>
      </c>
      <c r="X605" s="80">
        <v>44959</v>
      </c>
      <c r="Y605" s="78" t="s">
        <v>3336</v>
      </c>
      <c r="Z605" s="77" t="str">
        <f>HYPERLINK("https://twitter.com/aagupta88/status/1621007725265309698")</f>
        <v>https://twitter.com/aagupta88/status/1621007725265309698</v>
      </c>
      <c r="AC605" s="78" t="s">
        <v>4401</v>
      </c>
      <c r="AE605" t="b">
        <v>0</v>
      </c>
      <c r="AF605">
        <v>0</v>
      </c>
      <c r="AG605" s="78" t="s">
        <v>4802</v>
      </c>
      <c r="AH605" t="b">
        <v>1</v>
      </c>
      <c r="AI605" t="s">
        <v>4829</v>
      </c>
      <c r="AK605" s="78" t="s">
        <v>4400</v>
      </c>
      <c r="AL605" t="b">
        <v>0</v>
      </c>
      <c r="AM605">
        <v>2</v>
      </c>
      <c r="AN605" s="78" t="s">
        <v>4640</v>
      </c>
      <c r="AO605" s="78" t="s">
        <v>4850</v>
      </c>
      <c r="AP605" t="b">
        <v>0</v>
      </c>
      <c r="AQ605" s="78" t="s">
        <v>4401</v>
      </c>
      <c r="AR605" t="s">
        <v>179</v>
      </c>
      <c r="AS605">
        <v>0</v>
      </c>
      <c r="AT605">
        <v>0</v>
      </c>
    </row>
    <row r="606" spans="1:46" x14ac:dyDescent="0.45">
      <c r="A606" s="62" t="s">
        <v>1031</v>
      </c>
      <c r="B606" s="62" t="s">
        <v>242</v>
      </c>
      <c r="C606" s="63"/>
      <c r="D606" s="64"/>
      <c r="E606" s="65"/>
      <c r="F606" s="66"/>
      <c r="G606" s="63"/>
      <c r="H606" s="67"/>
      <c r="I606" s="68"/>
      <c r="J606" s="68"/>
      <c r="K606" s="32"/>
      <c r="L606" s="75"/>
      <c r="M606" s="75"/>
      <c r="N606" s="70"/>
      <c r="O606" t="s">
        <v>1570</v>
      </c>
      <c r="P606" s="76">
        <v>44959.342789351853</v>
      </c>
      <c r="Q606" t="s">
        <v>2188</v>
      </c>
      <c r="R606" s="77" t="str">
        <f>HYPERLINK("https://twitter.com/aagupta88/status/1621007410604421120")</f>
        <v>https://twitter.com/aagupta88/status/1621007410604421120</v>
      </c>
      <c r="S606" t="s">
        <v>2257</v>
      </c>
      <c r="V606" s="77" t="str">
        <f>HYPERLINK("https://pbs.twimg.com/profile_images/1601109073226711041/s7ytUwoo_normal.jpg")</f>
        <v>https://pbs.twimg.com/profile_images/1601109073226711041/s7ytUwoo_normal.jpg</v>
      </c>
      <c r="W606" s="76">
        <v>44959.342789351853</v>
      </c>
      <c r="X606" s="80">
        <v>44959</v>
      </c>
      <c r="Y606" s="78" t="s">
        <v>3337</v>
      </c>
      <c r="Z606" s="77" t="str">
        <f>HYPERLINK("https://twitter.com/bandbajaateraho/status/1621059248728993792")</f>
        <v>https://twitter.com/bandbajaateraho/status/1621059248728993792</v>
      </c>
      <c r="AC606" s="78" t="s">
        <v>4402</v>
      </c>
      <c r="AE606" t="b">
        <v>0</v>
      </c>
      <c r="AF606">
        <v>0</v>
      </c>
      <c r="AG606" s="78" t="s">
        <v>4640</v>
      </c>
      <c r="AH606" t="b">
        <v>1</v>
      </c>
      <c r="AI606" t="s">
        <v>4829</v>
      </c>
      <c r="AK606" s="78" t="s">
        <v>4400</v>
      </c>
      <c r="AL606" t="b">
        <v>0</v>
      </c>
      <c r="AM606">
        <v>2</v>
      </c>
      <c r="AN606" s="78" t="s">
        <v>4401</v>
      </c>
      <c r="AO606" s="78" t="s">
        <v>4856</v>
      </c>
      <c r="AP606" t="b">
        <v>0</v>
      </c>
      <c r="AQ606" s="78" t="s">
        <v>4401</v>
      </c>
      <c r="AR606" t="s">
        <v>179</v>
      </c>
      <c r="AS606">
        <v>0</v>
      </c>
      <c r="AT606">
        <v>0</v>
      </c>
    </row>
    <row r="607" spans="1:46" x14ac:dyDescent="0.45">
      <c r="A607" s="62" t="s">
        <v>1031</v>
      </c>
      <c r="B607" s="62" t="s">
        <v>1506</v>
      </c>
      <c r="C607" s="63"/>
      <c r="D607" s="64"/>
      <c r="E607" s="65"/>
      <c r="F607" s="66"/>
      <c r="G607" s="63"/>
      <c r="H607" s="67"/>
      <c r="I607" s="68"/>
      <c r="J607" s="68"/>
      <c r="K607" s="32"/>
      <c r="L607" s="75"/>
      <c r="M607" s="75"/>
      <c r="N607" s="70"/>
      <c r="O607" t="s">
        <v>1570</v>
      </c>
      <c r="P607" s="76">
        <v>44959.342789351853</v>
      </c>
      <c r="Q607" t="s">
        <v>2188</v>
      </c>
      <c r="R607" s="77" t="str">
        <f>HYPERLINK("https://twitter.com/aagupta88/status/1621007410604421120")</f>
        <v>https://twitter.com/aagupta88/status/1621007410604421120</v>
      </c>
      <c r="S607" t="s">
        <v>2257</v>
      </c>
      <c r="V607" s="77" t="str">
        <f>HYPERLINK("https://pbs.twimg.com/profile_images/1601109073226711041/s7ytUwoo_normal.jpg")</f>
        <v>https://pbs.twimg.com/profile_images/1601109073226711041/s7ytUwoo_normal.jpg</v>
      </c>
      <c r="W607" s="76">
        <v>44959.342789351853</v>
      </c>
      <c r="X607" s="80">
        <v>44959</v>
      </c>
      <c r="Y607" s="78" t="s">
        <v>3337</v>
      </c>
      <c r="Z607" s="77" t="str">
        <f>HYPERLINK("https://twitter.com/bandbajaateraho/status/1621059248728993792")</f>
        <v>https://twitter.com/bandbajaateraho/status/1621059248728993792</v>
      </c>
      <c r="AC607" s="78" t="s">
        <v>4402</v>
      </c>
      <c r="AE607" t="b">
        <v>0</v>
      </c>
      <c r="AF607">
        <v>0</v>
      </c>
      <c r="AG607" s="78" t="s">
        <v>4640</v>
      </c>
      <c r="AH607" t="b">
        <v>1</v>
      </c>
      <c r="AI607" t="s">
        <v>4829</v>
      </c>
      <c r="AK607" s="78" t="s">
        <v>4400</v>
      </c>
      <c r="AL607" t="b">
        <v>0</v>
      </c>
      <c r="AM607">
        <v>2</v>
      </c>
      <c r="AN607" s="78" t="s">
        <v>4401</v>
      </c>
      <c r="AO607" s="78" t="s">
        <v>4856</v>
      </c>
      <c r="AP607" t="b">
        <v>0</v>
      </c>
      <c r="AQ607" s="78" t="s">
        <v>4401</v>
      </c>
      <c r="AR607" t="s">
        <v>179</v>
      </c>
      <c r="AS607">
        <v>0</v>
      </c>
      <c r="AT607">
        <v>0</v>
      </c>
    </row>
    <row r="608" spans="1:46" x14ac:dyDescent="0.45">
      <c r="A608" s="62" t="s">
        <v>1031</v>
      </c>
      <c r="B608" s="62" t="s">
        <v>1513</v>
      </c>
      <c r="C608" s="63"/>
      <c r="D608" s="64"/>
      <c r="E608" s="65"/>
      <c r="F608" s="66"/>
      <c r="G608" s="63"/>
      <c r="H608" s="67"/>
      <c r="I608" s="68"/>
      <c r="J608" s="68"/>
      <c r="K608" s="32"/>
      <c r="L608" s="75"/>
      <c r="M608" s="75"/>
      <c r="N608" s="70"/>
      <c r="O608" t="s">
        <v>1570</v>
      </c>
      <c r="P608" s="76">
        <v>44959.342789351853</v>
      </c>
      <c r="Q608" t="s">
        <v>2188</v>
      </c>
      <c r="R608" s="77" t="str">
        <f>HYPERLINK("https://twitter.com/aagupta88/status/1621007410604421120")</f>
        <v>https://twitter.com/aagupta88/status/1621007410604421120</v>
      </c>
      <c r="S608" t="s">
        <v>2257</v>
      </c>
      <c r="V608" s="77" t="str">
        <f>HYPERLINK("https://pbs.twimg.com/profile_images/1601109073226711041/s7ytUwoo_normal.jpg")</f>
        <v>https://pbs.twimg.com/profile_images/1601109073226711041/s7ytUwoo_normal.jpg</v>
      </c>
      <c r="W608" s="76">
        <v>44959.342789351853</v>
      </c>
      <c r="X608" s="80">
        <v>44959</v>
      </c>
      <c r="Y608" s="78" t="s">
        <v>3337</v>
      </c>
      <c r="Z608" s="77" t="str">
        <f>HYPERLINK("https://twitter.com/bandbajaateraho/status/1621059248728993792")</f>
        <v>https://twitter.com/bandbajaateraho/status/1621059248728993792</v>
      </c>
      <c r="AC608" s="78" t="s">
        <v>4402</v>
      </c>
      <c r="AE608" t="b">
        <v>0</v>
      </c>
      <c r="AF608">
        <v>0</v>
      </c>
      <c r="AG608" s="78" t="s">
        <v>4640</v>
      </c>
      <c r="AH608" t="b">
        <v>1</v>
      </c>
      <c r="AI608" t="s">
        <v>4829</v>
      </c>
      <c r="AK608" s="78" t="s">
        <v>4400</v>
      </c>
      <c r="AL608" t="b">
        <v>0</v>
      </c>
      <c r="AM608">
        <v>2</v>
      </c>
      <c r="AN608" s="78" t="s">
        <v>4401</v>
      </c>
      <c r="AO608" s="78" t="s">
        <v>4856</v>
      </c>
      <c r="AP608" t="b">
        <v>0</v>
      </c>
      <c r="AQ608" s="78" t="s">
        <v>4401</v>
      </c>
      <c r="AR608" t="s">
        <v>179</v>
      </c>
      <c r="AS608">
        <v>0</v>
      </c>
      <c r="AT608">
        <v>0</v>
      </c>
    </row>
    <row r="609" spans="1:46" x14ac:dyDescent="0.45">
      <c r="A609" s="62" t="s">
        <v>1031</v>
      </c>
      <c r="B609" s="62" t="s">
        <v>1109</v>
      </c>
      <c r="C609" s="63"/>
      <c r="D609" s="64"/>
      <c r="E609" s="65"/>
      <c r="F609" s="66"/>
      <c r="G609" s="63"/>
      <c r="H609" s="67"/>
      <c r="I609" s="68"/>
      <c r="J609" s="68"/>
      <c r="K609" s="32"/>
      <c r="L609" s="75"/>
      <c r="M609" s="75"/>
      <c r="N609" s="70"/>
      <c r="O609" t="s">
        <v>1570</v>
      </c>
      <c r="P609" s="76">
        <v>44959.342789351853</v>
      </c>
      <c r="Q609" t="s">
        <v>2188</v>
      </c>
      <c r="R609" s="77" t="str">
        <f>HYPERLINK("https://twitter.com/aagupta88/status/1621007410604421120")</f>
        <v>https://twitter.com/aagupta88/status/1621007410604421120</v>
      </c>
      <c r="S609" t="s">
        <v>2257</v>
      </c>
      <c r="V609" s="77" t="str">
        <f>HYPERLINK("https://pbs.twimg.com/profile_images/1601109073226711041/s7ytUwoo_normal.jpg")</f>
        <v>https://pbs.twimg.com/profile_images/1601109073226711041/s7ytUwoo_normal.jpg</v>
      </c>
      <c r="W609" s="76">
        <v>44959.342789351853</v>
      </c>
      <c r="X609" s="80">
        <v>44959</v>
      </c>
      <c r="Y609" s="78" t="s">
        <v>3337</v>
      </c>
      <c r="Z609" s="77" t="str">
        <f>HYPERLINK("https://twitter.com/bandbajaateraho/status/1621059248728993792")</f>
        <v>https://twitter.com/bandbajaateraho/status/1621059248728993792</v>
      </c>
      <c r="AC609" s="78" t="s">
        <v>4402</v>
      </c>
      <c r="AE609" t="b">
        <v>0</v>
      </c>
      <c r="AF609">
        <v>0</v>
      </c>
      <c r="AG609" s="78" t="s">
        <v>4640</v>
      </c>
      <c r="AH609" t="b">
        <v>1</v>
      </c>
      <c r="AI609" t="s">
        <v>4829</v>
      </c>
      <c r="AK609" s="78" t="s">
        <v>4400</v>
      </c>
      <c r="AL609" t="b">
        <v>0</v>
      </c>
      <c r="AM609">
        <v>2</v>
      </c>
      <c r="AN609" s="78" t="s">
        <v>4401</v>
      </c>
      <c r="AO609" s="78" t="s">
        <v>4856</v>
      </c>
      <c r="AP609" t="b">
        <v>0</v>
      </c>
      <c r="AQ609" s="78" t="s">
        <v>4401</v>
      </c>
      <c r="AR609" t="s">
        <v>179</v>
      </c>
      <c r="AS609">
        <v>0</v>
      </c>
      <c r="AT609">
        <v>0</v>
      </c>
    </row>
    <row r="610" spans="1:46" x14ac:dyDescent="0.45">
      <c r="A610" s="62" t="s">
        <v>1031</v>
      </c>
      <c r="B610" s="62" t="s">
        <v>1514</v>
      </c>
      <c r="C610" s="63"/>
      <c r="D610" s="64"/>
      <c r="E610" s="65"/>
      <c r="F610" s="66"/>
      <c r="G610" s="63"/>
      <c r="H610" s="67"/>
      <c r="I610" s="68"/>
      <c r="J610" s="68"/>
      <c r="K610" s="32"/>
      <c r="L610" s="75"/>
      <c r="M610" s="75"/>
      <c r="N610" s="70"/>
      <c r="O610" t="s">
        <v>1570</v>
      </c>
      <c r="P610" s="76">
        <v>44959.342789351853</v>
      </c>
      <c r="Q610" t="s">
        <v>2188</v>
      </c>
      <c r="R610" s="77" t="str">
        <f>HYPERLINK("https://twitter.com/aagupta88/status/1621007410604421120")</f>
        <v>https://twitter.com/aagupta88/status/1621007410604421120</v>
      </c>
      <c r="S610" t="s">
        <v>2257</v>
      </c>
      <c r="V610" s="77" t="str">
        <f>HYPERLINK("https://pbs.twimg.com/profile_images/1601109073226711041/s7ytUwoo_normal.jpg")</f>
        <v>https://pbs.twimg.com/profile_images/1601109073226711041/s7ytUwoo_normal.jpg</v>
      </c>
      <c r="W610" s="76">
        <v>44959.342789351853</v>
      </c>
      <c r="X610" s="80">
        <v>44959</v>
      </c>
      <c r="Y610" s="78" t="s">
        <v>3337</v>
      </c>
      <c r="Z610" s="77" t="str">
        <f>HYPERLINK("https://twitter.com/bandbajaateraho/status/1621059248728993792")</f>
        <v>https://twitter.com/bandbajaateraho/status/1621059248728993792</v>
      </c>
      <c r="AC610" s="78" t="s">
        <v>4402</v>
      </c>
      <c r="AE610" t="b">
        <v>0</v>
      </c>
      <c r="AF610">
        <v>0</v>
      </c>
      <c r="AG610" s="78" t="s">
        <v>4640</v>
      </c>
      <c r="AH610" t="b">
        <v>1</v>
      </c>
      <c r="AI610" t="s">
        <v>4829</v>
      </c>
      <c r="AK610" s="78" t="s">
        <v>4400</v>
      </c>
      <c r="AL610" t="b">
        <v>0</v>
      </c>
      <c r="AM610">
        <v>2</v>
      </c>
      <c r="AN610" s="78" t="s">
        <v>4401</v>
      </c>
      <c r="AO610" s="78" t="s">
        <v>4856</v>
      </c>
      <c r="AP610" t="b">
        <v>0</v>
      </c>
      <c r="AQ610" s="78" t="s">
        <v>4401</v>
      </c>
      <c r="AR610" t="s">
        <v>179</v>
      </c>
      <c r="AS610">
        <v>0</v>
      </c>
      <c r="AT610">
        <v>0</v>
      </c>
    </row>
    <row r="611" spans="1:46" x14ac:dyDescent="0.45">
      <c r="A611" s="62" t="s">
        <v>1031</v>
      </c>
      <c r="B611" s="62" t="s">
        <v>1108</v>
      </c>
      <c r="C611" s="63"/>
      <c r="D611" s="64"/>
      <c r="E611" s="65"/>
      <c r="F611" s="66"/>
      <c r="G611" s="63"/>
      <c r="H611" s="67"/>
      <c r="I611" s="68"/>
      <c r="J611" s="68"/>
      <c r="K611" s="32"/>
      <c r="L611" s="75"/>
      <c r="M611" s="75"/>
      <c r="N611" s="70"/>
      <c r="O611" t="s">
        <v>1570</v>
      </c>
      <c r="P611" s="76">
        <v>44959.342789351853</v>
      </c>
      <c r="Q611" t="s">
        <v>2188</v>
      </c>
      <c r="R611" s="77" t="str">
        <f>HYPERLINK("https://twitter.com/aagupta88/status/1621007410604421120")</f>
        <v>https://twitter.com/aagupta88/status/1621007410604421120</v>
      </c>
      <c r="S611" t="s">
        <v>2257</v>
      </c>
      <c r="V611" s="77" t="str">
        <f>HYPERLINK("https://pbs.twimg.com/profile_images/1601109073226711041/s7ytUwoo_normal.jpg")</f>
        <v>https://pbs.twimg.com/profile_images/1601109073226711041/s7ytUwoo_normal.jpg</v>
      </c>
      <c r="W611" s="76">
        <v>44959.342789351853</v>
      </c>
      <c r="X611" s="80">
        <v>44959</v>
      </c>
      <c r="Y611" s="78" t="s">
        <v>3337</v>
      </c>
      <c r="Z611" s="77" t="str">
        <f>HYPERLINK("https://twitter.com/bandbajaateraho/status/1621059248728993792")</f>
        <v>https://twitter.com/bandbajaateraho/status/1621059248728993792</v>
      </c>
      <c r="AC611" s="78" t="s">
        <v>4402</v>
      </c>
      <c r="AE611" t="b">
        <v>0</v>
      </c>
      <c r="AF611">
        <v>0</v>
      </c>
      <c r="AG611" s="78" t="s">
        <v>4640</v>
      </c>
      <c r="AH611" t="b">
        <v>1</v>
      </c>
      <c r="AI611" t="s">
        <v>4829</v>
      </c>
      <c r="AK611" s="78" t="s">
        <v>4400</v>
      </c>
      <c r="AL611" t="b">
        <v>0</v>
      </c>
      <c r="AM611">
        <v>2</v>
      </c>
      <c r="AN611" s="78" t="s">
        <v>4401</v>
      </c>
      <c r="AO611" s="78" t="s">
        <v>4856</v>
      </c>
      <c r="AP611" t="b">
        <v>0</v>
      </c>
      <c r="AQ611" s="78" t="s">
        <v>4401</v>
      </c>
      <c r="AR611" t="s">
        <v>179</v>
      </c>
      <c r="AS611">
        <v>0</v>
      </c>
      <c r="AT611">
        <v>0</v>
      </c>
    </row>
    <row r="612" spans="1:46" x14ac:dyDescent="0.45">
      <c r="A612" s="62" t="s">
        <v>1031</v>
      </c>
      <c r="B612" s="62" t="s">
        <v>1033</v>
      </c>
      <c r="C612" s="63"/>
      <c r="D612" s="64"/>
      <c r="E612" s="65"/>
      <c r="F612" s="66"/>
      <c r="G612" s="63"/>
      <c r="H612" s="67"/>
      <c r="I612" s="68"/>
      <c r="J612" s="68"/>
      <c r="K612" s="32"/>
      <c r="L612" s="75"/>
      <c r="M612" s="75"/>
      <c r="N612" s="70"/>
      <c r="O612" t="s">
        <v>1569</v>
      </c>
      <c r="P612" s="76">
        <v>44959.342789351853</v>
      </c>
      <c r="Q612" t="s">
        <v>2188</v>
      </c>
      <c r="R612" s="77" t="str">
        <f>HYPERLINK("https://twitter.com/aagupta88/status/1621007410604421120")</f>
        <v>https://twitter.com/aagupta88/status/1621007410604421120</v>
      </c>
      <c r="S612" t="s">
        <v>2257</v>
      </c>
      <c r="V612" s="77" t="str">
        <f>HYPERLINK("https://pbs.twimg.com/profile_images/1601109073226711041/s7ytUwoo_normal.jpg")</f>
        <v>https://pbs.twimg.com/profile_images/1601109073226711041/s7ytUwoo_normal.jpg</v>
      </c>
      <c r="W612" s="76">
        <v>44959.342789351853</v>
      </c>
      <c r="X612" s="80">
        <v>44959</v>
      </c>
      <c r="Y612" s="78" t="s">
        <v>3337</v>
      </c>
      <c r="Z612" s="77" t="str">
        <f>HYPERLINK("https://twitter.com/bandbajaateraho/status/1621059248728993792")</f>
        <v>https://twitter.com/bandbajaateraho/status/1621059248728993792</v>
      </c>
      <c r="AC612" s="78" t="s">
        <v>4402</v>
      </c>
      <c r="AE612" t="b">
        <v>0</v>
      </c>
      <c r="AF612">
        <v>0</v>
      </c>
      <c r="AG612" s="78" t="s">
        <v>4640</v>
      </c>
      <c r="AH612" t="b">
        <v>1</v>
      </c>
      <c r="AI612" t="s">
        <v>4829</v>
      </c>
      <c r="AK612" s="78" t="s">
        <v>4400</v>
      </c>
      <c r="AL612" t="b">
        <v>0</v>
      </c>
      <c r="AM612">
        <v>2</v>
      </c>
      <c r="AN612" s="78" t="s">
        <v>4401</v>
      </c>
      <c r="AO612" s="78" t="s">
        <v>4856</v>
      </c>
      <c r="AP612" t="b">
        <v>0</v>
      </c>
      <c r="AQ612" s="78" t="s">
        <v>4401</v>
      </c>
      <c r="AR612" t="s">
        <v>179</v>
      </c>
      <c r="AS612">
        <v>0</v>
      </c>
      <c r="AT612">
        <v>0</v>
      </c>
    </row>
    <row r="613" spans="1:46" x14ac:dyDescent="0.45">
      <c r="A613" s="62" t="s">
        <v>1031</v>
      </c>
      <c r="B613" s="62" t="s">
        <v>1515</v>
      </c>
      <c r="C613" s="63"/>
      <c r="D613" s="64"/>
      <c r="E613" s="65"/>
      <c r="F613" s="66"/>
      <c r="G613" s="63"/>
      <c r="H613" s="67"/>
      <c r="I613" s="68"/>
      <c r="J613" s="68"/>
      <c r="K613" s="32"/>
      <c r="L613" s="75"/>
      <c r="M613" s="75"/>
      <c r="N613" s="70"/>
      <c r="O613" t="s">
        <v>1567</v>
      </c>
      <c r="P613" s="76">
        <v>44959.342789351853</v>
      </c>
      <c r="Q613" t="s">
        <v>2188</v>
      </c>
      <c r="R613" s="77" t="str">
        <f>HYPERLINK("https://twitter.com/aagupta88/status/1621007410604421120")</f>
        <v>https://twitter.com/aagupta88/status/1621007410604421120</v>
      </c>
      <c r="S613" t="s">
        <v>2257</v>
      </c>
      <c r="V613" s="77" t="str">
        <f>HYPERLINK("https://pbs.twimg.com/profile_images/1601109073226711041/s7ytUwoo_normal.jpg")</f>
        <v>https://pbs.twimg.com/profile_images/1601109073226711041/s7ytUwoo_normal.jpg</v>
      </c>
      <c r="W613" s="76">
        <v>44959.342789351853</v>
      </c>
      <c r="X613" s="80">
        <v>44959</v>
      </c>
      <c r="Y613" s="78" t="s">
        <v>3337</v>
      </c>
      <c r="Z613" s="77" t="str">
        <f>HYPERLINK("https://twitter.com/bandbajaateraho/status/1621059248728993792")</f>
        <v>https://twitter.com/bandbajaateraho/status/1621059248728993792</v>
      </c>
      <c r="AC613" s="78" t="s">
        <v>4402</v>
      </c>
      <c r="AE613" t="b">
        <v>0</v>
      </c>
      <c r="AF613">
        <v>0</v>
      </c>
      <c r="AG613" s="78" t="s">
        <v>4640</v>
      </c>
      <c r="AH613" t="b">
        <v>1</v>
      </c>
      <c r="AI613" t="s">
        <v>4829</v>
      </c>
      <c r="AK613" s="78" t="s">
        <v>4400</v>
      </c>
      <c r="AL613" t="b">
        <v>0</v>
      </c>
      <c r="AM613">
        <v>2</v>
      </c>
      <c r="AN613" s="78" t="s">
        <v>4401</v>
      </c>
      <c r="AO613" s="78" t="s">
        <v>4856</v>
      </c>
      <c r="AP613" t="b">
        <v>0</v>
      </c>
      <c r="AQ613" s="78" t="s">
        <v>4401</v>
      </c>
      <c r="AR613" t="s">
        <v>179</v>
      </c>
      <c r="AS613">
        <v>0</v>
      </c>
      <c r="AT613">
        <v>0</v>
      </c>
    </row>
    <row r="614" spans="1:46" x14ac:dyDescent="0.45">
      <c r="A614" s="62" t="s">
        <v>1031</v>
      </c>
      <c r="B614" s="62" t="s">
        <v>242</v>
      </c>
      <c r="C614" s="63"/>
      <c r="D614" s="64"/>
      <c r="E614" s="65"/>
      <c r="F614" s="66"/>
      <c r="G614" s="63"/>
      <c r="H614" s="67"/>
      <c r="I614" s="68"/>
      <c r="J614" s="68"/>
      <c r="K614" s="32"/>
      <c r="L614" s="75"/>
      <c r="M614" s="75"/>
      <c r="N614" s="70"/>
      <c r="O614" t="s">
        <v>1570</v>
      </c>
      <c r="P614" s="76">
        <v>44959.342824074076</v>
      </c>
      <c r="Q614" t="s">
        <v>2187</v>
      </c>
      <c r="R614" s="77" t="str">
        <f>HYPERLINK("https://twitter.com/magupta03/status/1615244469405908993")</f>
        <v>https://twitter.com/magupta03/status/1615244469405908993</v>
      </c>
      <c r="S614" t="s">
        <v>2257</v>
      </c>
      <c r="U614" s="77" t="str">
        <f>HYPERLINK("https://pbs.twimg.com/media/Fn75pafaAAAUfNo.jpg")</f>
        <v>https://pbs.twimg.com/media/Fn75pafaAAAUfNo.jpg</v>
      </c>
      <c r="V614" s="77" t="str">
        <f>HYPERLINK("https://pbs.twimg.com/media/Fn75pafaAAAUfNo.jpg")</f>
        <v>https://pbs.twimg.com/media/Fn75pafaAAAUfNo.jpg</v>
      </c>
      <c r="W614" s="76">
        <v>44959.342824074076</v>
      </c>
      <c r="X614" s="80">
        <v>44959</v>
      </c>
      <c r="Y614" s="78" t="s">
        <v>3338</v>
      </c>
      <c r="Z614" s="77" t="str">
        <f>HYPERLINK("https://twitter.com/bandbajaateraho/status/1621059263740383234")</f>
        <v>https://twitter.com/bandbajaateraho/status/1621059263740383234</v>
      </c>
      <c r="AC614" s="78" t="s">
        <v>4403</v>
      </c>
      <c r="AE614" t="b">
        <v>0</v>
      </c>
      <c r="AF614">
        <v>0</v>
      </c>
      <c r="AG614" s="78" t="s">
        <v>4640</v>
      </c>
      <c r="AH614" t="b">
        <v>1</v>
      </c>
      <c r="AI614" t="s">
        <v>4829</v>
      </c>
      <c r="AK614" s="78" t="s">
        <v>4847</v>
      </c>
      <c r="AL614" t="b">
        <v>0</v>
      </c>
      <c r="AM614">
        <v>2</v>
      </c>
      <c r="AN614" s="78" t="s">
        <v>4400</v>
      </c>
      <c r="AO614" s="78" t="s">
        <v>4856</v>
      </c>
      <c r="AP614" t="b">
        <v>0</v>
      </c>
      <c r="AQ614" s="78" t="s">
        <v>4400</v>
      </c>
      <c r="AR614" t="s">
        <v>179</v>
      </c>
      <c r="AS614">
        <v>0</v>
      </c>
      <c r="AT614">
        <v>0</v>
      </c>
    </row>
    <row r="615" spans="1:46" x14ac:dyDescent="0.45">
      <c r="A615" s="62" t="s">
        <v>1031</v>
      </c>
      <c r="B615" s="62" t="s">
        <v>1506</v>
      </c>
      <c r="C615" s="63"/>
      <c r="D615" s="64"/>
      <c r="E615" s="65"/>
      <c r="F615" s="66"/>
      <c r="G615" s="63"/>
      <c r="H615" s="67"/>
      <c r="I615" s="68"/>
      <c r="J615" s="68"/>
      <c r="K615" s="32"/>
      <c r="L615" s="75"/>
      <c r="M615" s="75"/>
      <c r="N615" s="70"/>
      <c r="O615" t="s">
        <v>1570</v>
      </c>
      <c r="P615" s="76">
        <v>44959.342824074076</v>
      </c>
      <c r="Q615" t="s">
        <v>2187</v>
      </c>
      <c r="R615" s="77" t="str">
        <f>HYPERLINK("https://twitter.com/magupta03/status/1615244469405908993")</f>
        <v>https://twitter.com/magupta03/status/1615244469405908993</v>
      </c>
      <c r="S615" t="s">
        <v>2257</v>
      </c>
      <c r="U615" s="77" t="str">
        <f>HYPERLINK("https://pbs.twimg.com/media/Fn75pafaAAAUfNo.jpg")</f>
        <v>https://pbs.twimg.com/media/Fn75pafaAAAUfNo.jpg</v>
      </c>
      <c r="V615" s="77" t="str">
        <f>HYPERLINK("https://pbs.twimg.com/media/Fn75pafaAAAUfNo.jpg")</f>
        <v>https://pbs.twimg.com/media/Fn75pafaAAAUfNo.jpg</v>
      </c>
      <c r="W615" s="76">
        <v>44959.342824074076</v>
      </c>
      <c r="X615" s="80">
        <v>44959</v>
      </c>
      <c r="Y615" s="78" t="s">
        <v>3338</v>
      </c>
      <c r="Z615" s="77" t="str">
        <f>HYPERLINK("https://twitter.com/bandbajaateraho/status/1621059263740383234")</f>
        <v>https://twitter.com/bandbajaateraho/status/1621059263740383234</v>
      </c>
      <c r="AC615" s="78" t="s">
        <v>4403</v>
      </c>
      <c r="AE615" t="b">
        <v>0</v>
      </c>
      <c r="AF615">
        <v>0</v>
      </c>
      <c r="AG615" s="78" t="s">
        <v>4640</v>
      </c>
      <c r="AH615" t="b">
        <v>1</v>
      </c>
      <c r="AI615" t="s">
        <v>4829</v>
      </c>
      <c r="AK615" s="78" t="s">
        <v>4847</v>
      </c>
      <c r="AL615" t="b">
        <v>0</v>
      </c>
      <c r="AM615">
        <v>2</v>
      </c>
      <c r="AN615" s="78" t="s">
        <v>4400</v>
      </c>
      <c r="AO615" s="78" t="s">
        <v>4856</v>
      </c>
      <c r="AP615" t="b">
        <v>0</v>
      </c>
      <c r="AQ615" s="78" t="s">
        <v>4400</v>
      </c>
      <c r="AR615" t="s">
        <v>179</v>
      </c>
      <c r="AS615">
        <v>0</v>
      </c>
      <c r="AT615">
        <v>0</v>
      </c>
    </row>
    <row r="616" spans="1:46" x14ac:dyDescent="0.45">
      <c r="A616" s="62" t="s">
        <v>1031</v>
      </c>
      <c r="B616" s="62" t="s">
        <v>1513</v>
      </c>
      <c r="C616" s="63"/>
      <c r="D616" s="64"/>
      <c r="E616" s="65"/>
      <c r="F616" s="66"/>
      <c r="G616" s="63"/>
      <c r="H616" s="67"/>
      <c r="I616" s="68"/>
      <c r="J616" s="68"/>
      <c r="K616" s="32"/>
      <c r="L616" s="75"/>
      <c r="M616" s="75"/>
      <c r="N616" s="70"/>
      <c r="O616" t="s">
        <v>1570</v>
      </c>
      <c r="P616" s="76">
        <v>44959.342824074076</v>
      </c>
      <c r="Q616" t="s">
        <v>2187</v>
      </c>
      <c r="R616" s="77" t="str">
        <f>HYPERLINK("https://twitter.com/magupta03/status/1615244469405908993")</f>
        <v>https://twitter.com/magupta03/status/1615244469405908993</v>
      </c>
      <c r="S616" t="s">
        <v>2257</v>
      </c>
      <c r="U616" s="77" t="str">
        <f>HYPERLINK("https://pbs.twimg.com/media/Fn75pafaAAAUfNo.jpg")</f>
        <v>https://pbs.twimg.com/media/Fn75pafaAAAUfNo.jpg</v>
      </c>
      <c r="V616" s="77" t="str">
        <f>HYPERLINK("https://pbs.twimg.com/media/Fn75pafaAAAUfNo.jpg")</f>
        <v>https://pbs.twimg.com/media/Fn75pafaAAAUfNo.jpg</v>
      </c>
      <c r="W616" s="76">
        <v>44959.342824074076</v>
      </c>
      <c r="X616" s="80">
        <v>44959</v>
      </c>
      <c r="Y616" s="78" t="s">
        <v>3338</v>
      </c>
      <c r="Z616" s="77" t="str">
        <f>HYPERLINK("https://twitter.com/bandbajaateraho/status/1621059263740383234")</f>
        <v>https://twitter.com/bandbajaateraho/status/1621059263740383234</v>
      </c>
      <c r="AC616" s="78" t="s">
        <v>4403</v>
      </c>
      <c r="AE616" t="b">
        <v>0</v>
      </c>
      <c r="AF616">
        <v>0</v>
      </c>
      <c r="AG616" s="78" t="s">
        <v>4640</v>
      </c>
      <c r="AH616" t="b">
        <v>1</v>
      </c>
      <c r="AI616" t="s">
        <v>4829</v>
      </c>
      <c r="AK616" s="78" t="s">
        <v>4847</v>
      </c>
      <c r="AL616" t="b">
        <v>0</v>
      </c>
      <c r="AM616">
        <v>2</v>
      </c>
      <c r="AN616" s="78" t="s">
        <v>4400</v>
      </c>
      <c r="AO616" s="78" t="s">
        <v>4856</v>
      </c>
      <c r="AP616" t="b">
        <v>0</v>
      </c>
      <c r="AQ616" s="78" t="s">
        <v>4400</v>
      </c>
      <c r="AR616" t="s">
        <v>179</v>
      </c>
      <c r="AS616">
        <v>0</v>
      </c>
      <c r="AT616">
        <v>0</v>
      </c>
    </row>
    <row r="617" spans="1:46" x14ac:dyDescent="0.45">
      <c r="A617" s="62" t="s">
        <v>1031</v>
      </c>
      <c r="B617" s="62" t="s">
        <v>1109</v>
      </c>
      <c r="C617" s="63"/>
      <c r="D617" s="64"/>
      <c r="E617" s="65"/>
      <c r="F617" s="66"/>
      <c r="G617" s="63"/>
      <c r="H617" s="67"/>
      <c r="I617" s="68"/>
      <c r="J617" s="68"/>
      <c r="K617" s="32"/>
      <c r="L617" s="75"/>
      <c r="M617" s="75"/>
      <c r="N617" s="70"/>
      <c r="O617" t="s">
        <v>1570</v>
      </c>
      <c r="P617" s="76">
        <v>44959.342824074076</v>
      </c>
      <c r="Q617" t="s">
        <v>2187</v>
      </c>
      <c r="R617" s="77" t="str">
        <f>HYPERLINK("https://twitter.com/magupta03/status/1615244469405908993")</f>
        <v>https://twitter.com/magupta03/status/1615244469405908993</v>
      </c>
      <c r="S617" t="s">
        <v>2257</v>
      </c>
      <c r="U617" s="77" t="str">
        <f>HYPERLINK("https://pbs.twimg.com/media/Fn75pafaAAAUfNo.jpg")</f>
        <v>https://pbs.twimg.com/media/Fn75pafaAAAUfNo.jpg</v>
      </c>
      <c r="V617" s="77" t="str">
        <f>HYPERLINK("https://pbs.twimg.com/media/Fn75pafaAAAUfNo.jpg")</f>
        <v>https://pbs.twimg.com/media/Fn75pafaAAAUfNo.jpg</v>
      </c>
      <c r="W617" s="76">
        <v>44959.342824074076</v>
      </c>
      <c r="X617" s="80">
        <v>44959</v>
      </c>
      <c r="Y617" s="78" t="s">
        <v>3338</v>
      </c>
      <c r="Z617" s="77" t="str">
        <f>HYPERLINK("https://twitter.com/bandbajaateraho/status/1621059263740383234")</f>
        <v>https://twitter.com/bandbajaateraho/status/1621059263740383234</v>
      </c>
      <c r="AC617" s="78" t="s">
        <v>4403</v>
      </c>
      <c r="AE617" t="b">
        <v>0</v>
      </c>
      <c r="AF617">
        <v>0</v>
      </c>
      <c r="AG617" s="78" t="s">
        <v>4640</v>
      </c>
      <c r="AH617" t="b">
        <v>1</v>
      </c>
      <c r="AI617" t="s">
        <v>4829</v>
      </c>
      <c r="AK617" s="78" t="s">
        <v>4847</v>
      </c>
      <c r="AL617" t="b">
        <v>0</v>
      </c>
      <c r="AM617">
        <v>2</v>
      </c>
      <c r="AN617" s="78" t="s">
        <v>4400</v>
      </c>
      <c r="AO617" s="78" t="s">
        <v>4856</v>
      </c>
      <c r="AP617" t="b">
        <v>0</v>
      </c>
      <c r="AQ617" s="78" t="s">
        <v>4400</v>
      </c>
      <c r="AR617" t="s">
        <v>179</v>
      </c>
      <c r="AS617">
        <v>0</v>
      </c>
      <c r="AT617">
        <v>0</v>
      </c>
    </row>
    <row r="618" spans="1:46" x14ac:dyDescent="0.45">
      <c r="A618" s="62" t="s">
        <v>1031</v>
      </c>
      <c r="B618" s="62" t="s">
        <v>1514</v>
      </c>
      <c r="C618" s="63"/>
      <c r="D618" s="64"/>
      <c r="E618" s="65"/>
      <c r="F618" s="66"/>
      <c r="G618" s="63"/>
      <c r="H618" s="67"/>
      <c r="I618" s="68"/>
      <c r="J618" s="68"/>
      <c r="K618" s="32"/>
      <c r="L618" s="75"/>
      <c r="M618" s="75"/>
      <c r="N618" s="70"/>
      <c r="O618" t="s">
        <v>1570</v>
      </c>
      <c r="P618" s="76">
        <v>44959.342824074076</v>
      </c>
      <c r="Q618" t="s">
        <v>2187</v>
      </c>
      <c r="R618" s="77" t="str">
        <f>HYPERLINK("https://twitter.com/magupta03/status/1615244469405908993")</f>
        <v>https://twitter.com/magupta03/status/1615244469405908993</v>
      </c>
      <c r="S618" t="s">
        <v>2257</v>
      </c>
      <c r="U618" s="77" t="str">
        <f>HYPERLINK("https://pbs.twimg.com/media/Fn75pafaAAAUfNo.jpg")</f>
        <v>https://pbs.twimg.com/media/Fn75pafaAAAUfNo.jpg</v>
      </c>
      <c r="V618" s="77" t="str">
        <f>HYPERLINK("https://pbs.twimg.com/media/Fn75pafaAAAUfNo.jpg")</f>
        <v>https://pbs.twimg.com/media/Fn75pafaAAAUfNo.jpg</v>
      </c>
      <c r="W618" s="76">
        <v>44959.342824074076</v>
      </c>
      <c r="X618" s="80">
        <v>44959</v>
      </c>
      <c r="Y618" s="78" t="s">
        <v>3338</v>
      </c>
      <c r="Z618" s="77" t="str">
        <f>HYPERLINK("https://twitter.com/bandbajaateraho/status/1621059263740383234")</f>
        <v>https://twitter.com/bandbajaateraho/status/1621059263740383234</v>
      </c>
      <c r="AC618" s="78" t="s">
        <v>4403</v>
      </c>
      <c r="AE618" t="b">
        <v>0</v>
      </c>
      <c r="AF618">
        <v>0</v>
      </c>
      <c r="AG618" s="78" t="s">
        <v>4640</v>
      </c>
      <c r="AH618" t="b">
        <v>1</v>
      </c>
      <c r="AI618" t="s">
        <v>4829</v>
      </c>
      <c r="AK618" s="78" t="s">
        <v>4847</v>
      </c>
      <c r="AL618" t="b">
        <v>0</v>
      </c>
      <c r="AM618">
        <v>2</v>
      </c>
      <c r="AN618" s="78" t="s">
        <v>4400</v>
      </c>
      <c r="AO618" s="78" t="s">
        <v>4856</v>
      </c>
      <c r="AP618" t="b">
        <v>0</v>
      </c>
      <c r="AQ618" s="78" t="s">
        <v>4400</v>
      </c>
      <c r="AR618" t="s">
        <v>179</v>
      </c>
      <c r="AS618">
        <v>0</v>
      </c>
      <c r="AT618">
        <v>0</v>
      </c>
    </row>
    <row r="619" spans="1:46" x14ac:dyDescent="0.45">
      <c r="A619" s="62" t="s">
        <v>1031</v>
      </c>
      <c r="B619" s="62" t="s">
        <v>1108</v>
      </c>
      <c r="C619" s="63"/>
      <c r="D619" s="64"/>
      <c r="E619" s="65"/>
      <c r="F619" s="66"/>
      <c r="G619" s="63"/>
      <c r="H619" s="67"/>
      <c r="I619" s="68"/>
      <c r="J619" s="68"/>
      <c r="K619" s="32"/>
      <c r="L619" s="75"/>
      <c r="M619" s="75"/>
      <c r="N619" s="70"/>
      <c r="O619" t="s">
        <v>1570</v>
      </c>
      <c r="P619" s="76">
        <v>44959.342824074076</v>
      </c>
      <c r="Q619" t="s">
        <v>2187</v>
      </c>
      <c r="R619" s="77" t="str">
        <f>HYPERLINK("https://twitter.com/magupta03/status/1615244469405908993")</f>
        <v>https://twitter.com/magupta03/status/1615244469405908993</v>
      </c>
      <c r="S619" t="s">
        <v>2257</v>
      </c>
      <c r="U619" s="77" t="str">
        <f>HYPERLINK("https://pbs.twimg.com/media/Fn75pafaAAAUfNo.jpg")</f>
        <v>https://pbs.twimg.com/media/Fn75pafaAAAUfNo.jpg</v>
      </c>
      <c r="V619" s="77" t="str">
        <f>HYPERLINK("https://pbs.twimg.com/media/Fn75pafaAAAUfNo.jpg")</f>
        <v>https://pbs.twimg.com/media/Fn75pafaAAAUfNo.jpg</v>
      </c>
      <c r="W619" s="76">
        <v>44959.342824074076</v>
      </c>
      <c r="X619" s="80">
        <v>44959</v>
      </c>
      <c r="Y619" s="78" t="s">
        <v>3338</v>
      </c>
      <c r="Z619" s="77" t="str">
        <f>HYPERLINK("https://twitter.com/bandbajaateraho/status/1621059263740383234")</f>
        <v>https://twitter.com/bandbajaateraho/status/1621059263740383234</v>
      </c>
      <c r="AC619" s="78" t="s">
        <v>4403</v>
      </c>
      <c r="AE619" t="b">
        <v>0</v>
      </c>
      <c r="AF619">
        <v>0</v>
      </c>
      <c r="AG619" s="78" t="s">
        <v>4640</v>
      </c>
      <c r="AH619" t="b">
        <v>1</v>
      </c>
      <c r="AI619" t="s">
        <v>4829</v>
      </c>
      <c r="AK619" s="78" t="s">
        <v>4847</v>
      </c>
      <c r="AL619" t="b">
        <v>0</v>
      </c>
      <c r="AM619">
        <v>2</v>
      </c>
      <c r="AN619" s="78" t="s">
        <v>4400</v>
      </c>
      <c r="AO619" s="78" t="s">
        <v>4856</v>
      </c>
      <c r="AP619" t="b">
        <v>0</v>
      </c>
      <c r="AQ619" s="78" t="s">
        <v>4400</v>
      </c>
      <c r="AR619" t="s">
        <v>179</v>
      </c>
      <c r="AS619">
        <v>0</v>
      </c>
      <c r="AT619">
        <v>0</v>
      </c>
    </row>
    <row r="620" spans="1:46" x14ac:dyDescent="0.45">
      <c r="A620" s="62" t="s">
        <v>1031</v>
      </c>
      <c r="B620" s="62" t="s">
        <v>1033</v>
      </c>
      <c r="C620" s="63"/>
      <c r="D620" s="64"/>
      <c r="E620" s="65"/>
      <c r="F620" s="66"/>
      <c r="G620" s="63"/>
      <c r="H620" s="67"/>
      <c r="I620" s="68"/>
      <c r="J620" s="68"/>
      <c r="K620" s="32"/>
      <c r="L620" s="75"/>
      <c r="M620" s="75"/>
      <c r="N620" s="70"/>
      <c r="O620" t="s">
        <v>1569</v>
      </c>
      <c r="P620" s="76">
        <v>44959.342824074076</v>
      </c>
      <c r="Q620" t="s">
        <v>2187</v>
      </c>
      <c r="R620" s="77" t="str">
        <f>HYPERLINK("https://twitter.com/magupta03/status/1615244469405908993")</f>
        <v>https://twitter.com/magupta03/status/1615244469405908993</v>
      </c>
      <c r="S620" t="s">
        <v>2257</v>
      </c>
      <c r="U620" s="77" t="str">
        <f>HYPERLINK("https://pbs.twimg.com/media/Fn75pafaAAAUfNo.jpg")</f>
        <v>https://pbs.twimg.com/media/Fn75pafaAAAUfNo.jpg</v>
      </c>
      <c r="V620" s="77" t="str">
        <f>HYPERLINK("https://pbs.twimg.com/media/Fn75pafaAAAUfNo.jpg")</f>
        <v>https://pbs.twimg.com/media/Fn75pafaAAAUfNo.jpg</v>
      </c>
      <c r="W620" s="76">
        <v>44959.342824074076</v>
      </c>
      <c r="X620" s="80">
        <v>44959</v>
      </c>
      <c r="Y620" s="78" t="s">
        <v>3338</v>
      </c>
      <c r="Z620" s="77" t="str">
        <f>HYPERLINK("https://twitter.com/bandbajaateraho/status/1621059263740383234")</f>
        <v>https://twitter.com/bandbajaateraho/status/1621059263740383234</v>
      </c>
      <c r="AC620" s="78" t="s">
        <v>4403</v>
      </c>
      <c r="AE620" t="b">
        <v>0</v>
      </c>
      <c r="AF620">
        <v>0</v>
      </c>
      <c r="AG620" s="78" t="s">
        <v>4640</v>
      </c>
      <c r="AH620" t="b">
        <v>1</v>
      </c>
      <c r="AI620" t="s">
        <v>4829</v>
      </c>
      <c r="AK620" s="78" t="s">
        <v>4847</v>
      </c>
      <c r="AL620" t="b">
        <v>0</v>
      </c>
      <c r="AM620">
        <v>2</v>
      </c>
      <c r="AN620" s="78" t="s">
        <v>4400</v>
      </c>
      <c r="AO620" s="78" t="s">
        <v>4856</v>
      </c>
      <c r="AP620" t="b">
        <v>0</v>
      </c>
      <c r="AQ620" s="78" t="s">
        <v>4400</v>
      </c>
      <c r="AR620" t="s">
        <v>179</v>
      </c>
      <c r="AS620">
        <v>0</v>
      </c>
      <c r="AT620">
        <v>0</v>
      </c>
    </row>
    <row r="621" spans="1:46" x14ac:dyDescent="0.45">
      <c r="A621" s="62" t="s">
        <v>1031</v>
      </c>
      <c r="B621" s="62" t="s">
        <v>1515</v>
      </c>
      <c r="C621" s="63"/>
      <c r="D621" s="64"/>
      <c r="E621" s="65"/>
      <c r="F621" s="66"/>
      <c r="G621" s="63"/>
      <c r="H621" s="67"/>
      <c r="I621" s="68"/>
      <c r="J621" s="68"/>
      <c r="K621" s="32"/>
      <c r="L621" s="75"/>
      <c r="M621" s="75"/>
      <c r="N621" s="70"/>
      <c r="O621" t="s">
        <v>1567</v>
      </c>
      <c r="P621" s="76">
        <v>44959.342824074076</v>
      </c>
      <c r="Q621" t="s">
        <v>2187</v>
      </c>
      <c r="R621" s="77" t="str">
        <f>HYPERLINK("https://twitter.com/magupta03/status/1615244469405908993")</f>
        <v>https://twitter.com/magupta03/status/1615244469405908993</v>
      </c>
      <c r="S621" t="s">
        <v>2257</v>
      </c>
      <c r="U621" s="77" t="str">
        <f>HYPERLINK("https://pbs.twimg.com/media/Fn75pafaAAAUfNo.jpg")</f>
        <v>https://pbs.twimg.com/media/Fn75pafaAAAUfNo.jpg</v>
      </c>
      <c r="V621" s="77" t="str">
        <f>HYPERLINK("https://pbs.twimg.com/media/Fn75pafaAAAUfNo.jpg")</f>
        <v>https://pbs.twimg.com/media/Fn75pafaAAAUfNo.jpg</v>
      </c>
      <c r="W621" s="76">
        <v>44959.342824074076</v>
      </c>
      <c r="X621" s="80">
        <v>44959</v>
      </c>
      <c r="Y621" s="78" t="s">
        <v>3338</v>
      </c>
      <c r="Z621" s="77" t="str">
        <f>HYPERLINK("https://twitter.com/bandbajaateraho/status/1621059263740383234")</f>
        <v>https://twitter.com/bandbajaateraho/status/1621059263740383234</v>
      </c>
      <c r="AC621" s="78" t="s">
        <v>4403</v>
      </c>
      <c r="AE621" t="b">
        <v>0</v>
      </c>
      <c r="AF621">
        <v>0</v>
      </c>
      <c r="AG621" s="78" t="s">
        <v>4640</v>
      </c>
      <c r="AH621" t="b">
        <v>1</v>
      </c>
      <c r="AI621" t="s">
        <v>4829</v>
      </c>
      <c r="AK621" s="78" t="s">
        <v>4847</v>
      </c>
      <c r="AL621" t="b">
        <v>0</v>
      </c>
      <c r="AM621">
        <v>2</v>
      </c>
      <c r="AN621" s="78" t="s">
        <v>4400</v>
      </c>
      <c r="AO621" s="78" t="s">
        <v>4856</v>
      </c>
      <c r="AP621" t="b">
        <v>0</v>
      </c>
      <c r="AQ621" s="78" t="s">
        <v>4400</v>
      </c>
      <c r="AR621" t="s">
        <v>179</v>
      </c>
      <c r="AS621">
        <v>0</v>
      </c>
      <c r="AT621">
        <v>0</v>
      </c>
    </row>
    <row r="622" spans="1:46" x14ac:dyDescent="0.45">
      <c r="A622" s="62" t="s">
        <v>1032</v>
      </c>
      <c r="B622" s="62" t="s">
        <v>1031</v>
      </c>
      <c r="C622" s="63"/>
      <c r="D622" s="64"/>
      <c r="E622" s="65"/>
      <c r="F622" s="66"/>
      <c r="G622" s="63"/>
      <c r="H622" s="67"/>
      <c r="I622" s="68"/>
      <c r="J622" s="68"/>
      <c r="K622" s="32"/>
      <c r="L622" s="75"/>
      <c r="M622" s="75"/>
      <c r="N622" s="70"/>
      <c r="O622" t="s">
        <v>1570</v>
      </c>
      <c r="P622" s="76">
        <v>44959.422777777778</v>
      </c>
      <c r="Q622" t="s">
        <v>2187</v>
      </c>
      <c r="R622" s="77" t="str">
        <f>HYPERLINK("https://twitter.com/magupta03/status/1615244469405908993")</f>
        <v>https://twitter.com/magupta03/status/1615244469405908993</v>
      </c>
      <c r="S622" t="s">
        <v>2257</v>
      </c>
      <c r="U622" s="77" t="str">
        <f>HYPERLINK("https://pbs.twimg.com/media/Fn75pafaAAAUfNo.jpg")</f>
        <v>https://pbs.twimg.com/media/Fn75pafaAAAUfNo.jpg</v>
      </c>
      <c r="V622" s="77" t="str">
        <f>HYPERLINK("https://pbs.twimg.com/media/Fn75pafaAAAUfNo.jpg")</f>
        <v>https://pbs.twimg.com/media/Fn75pafaAAAUfNo.jpg</v>
      </c>
      <c r="W622" s="76">
        <v>44959.422777777778</v>
      </c>
      <c r="X622" s="80">
        <v>44959</v>
      </c>
      <c r="Y622" s="78" t="s">
        <v>3339</v>
      </c>
      <c r="Z622" s="77" t="str">
        <f>HYPERLINK("https://twitter.com/aapkiawaaz_rk/status/1621088236398592001")</f>
        <v>https://twitter.com/aapkiawaaz_rk/status/1621088236398592001</v>
      </c>
      <c r="AC622" s="78" t="s">
        <v>4404</v>
      </c>
      <c r="AE622" t="b">
        <v>0</v>
      </c>
      <c r="AF622">
        <v>0</v>
      </c>
      <c r="AG622" s="78" t="s">
        <v>4640</v>
      </c>
      <c r="AH622" t="b">
        <v>1</v>
      </c>
      <c r="AI622" t="s">
        <v>4829</v>
      </c>
      <c r="AK622" s="78" t="s">
        <v>4847</v>
      </c>
      <c r="AL622" t="b">
        <v>0</v>
      </c>
      <c r="AM622">
        <v>2</v>
      </c>
      <c r="AN622" s="78" t="s">
        <v>4400</v>
      </c>
      <c r="AO622" s="78" t="s">
        <v>4849</v>
      </c>
      <c r="AP622" t="b">
        <v>0</v>
      </c>
      <c r="AQ622" s="78" t="s">
        <v>4400</v>
      </c>
      <c r="AR622" t="s">
        <v>179</v>
      </c>
      <c r="AS622">
        <v>0</v>
      </c>
      <c r="AT622">
        <v>0</v>
      </c>
    </row>
    <row r="623" spans="1:46" x14ac:dyDescent="0.45">
      <c r="A623" s="62" t="s">
        <v>1033</v>
      </c>
      <c r="B623" s="62" t="s">
        <v>1506</v>
      </c>
      <c r="C623" s="63"/>
      <c r="D623" s="64"/>
      <c r="E623" s="65"/>
      <c r="F623" s="66"/>
      <c r="G623" s="63"/>
      <c r="H623" s="67"/>
      <c r="I623" s="68"/>
      <c r="J623" s="68"/>
      <c r="K623" s="32"/>
      <c r="L623" s="75"/>
      <c r="M623" s="75"/>
      <c r="N623" s="70"/>
      <c r="O623" t="s">
        <v>1568</v>
      </c>
      <c r="P623" s="76">
        <v>44959.199745370373</v>
      </c>
      <c r="Q623" t="s">
        <v>2187</v>
      </c>
      <c r="R623" s="77" t="str">
        <f>HYPERLINK("https://twitter.com/magupta03/status/1615244469405908993")</f>
        <v>https://twitter.com/magupta03/status/1615244469405908993</v>
      </c>
      <c r="S623" t="s">
        <v>2257</v>
      </c>
      <c r="U623" s="77" t="str">
        <f>HYPERLINK("https://pbs.twimg.com/media/Fn75pafaAAAUfNo.jpg")</f>
        <v>https://pbs.twimg.com/media/Fn75pafaAAAUfNo.jpg</v>
      </c>
      <c r="V623" s="77" t="str">
        <f>HYPERLINK("https://pbs.twimg.com/media/Fn75pafaAAAUfNo.jpg")</f>
        <v>https://pbs.twimg.com/media/Fn75pafaAAAUfNo.jpg</v>
      </c>
      <c r="W623" s="76">
        <v>44959.199745370373</v>
      </c>
      <c r="X623" s="80">
        <v>44959</v>
      </c>
      <c r="Y623" s="78" t="s">
        <v>3335</v>
      </c>
      <c r="Z623" s="77" t="str">
        <f>HYPERLINK("https://twitter.com/aagupta88/status/1621007410604421120")</f>
        <v>https://twitter.com/aagupta88/status/1621007410604421120</v>
      </c>
      <c r="AC623" s="78" t="s">
        <v>4400</v>
      </c>
      <c r="AE623" t="b">
        <v>0</v>
      </c>
      <c r="AF623">
        <v>0</v>
      </c>
      <c r="AG623" s="78" t="s">
        <v>4802</v>
      </c>
      <c r="AH623" t="b">
        <v>1</v>
      </c>
      <c r="AI623" t="s">
        <v>4829</v>
      </c>
      <c r="AK623" s="78" t="s">
        <v>4847</v>
      </c>
      <c r="AL623" t="b">
        <v>0</v>
      </c>
      <c r="AM623">
        <v>2</v>
      </c>
      <c r="AN623" s="78" t="s">
        <v>4640</v>
      </c>
      <c r="AO623" s="78" t="s">
        <v>4850</v>
      </c>
      <c r="AP623" t="b">
        <v>0</v>
      </c>
      <c r="AQ623" s="78" t="s">
        <v>4400</v>
      </c>
      <c r="AR623" t="s">
        <v>179</v>
      </c>
      <c r="AS623">
        <v>0</v>
      </c>
      <c r="AT623">
        <v>0</v>
      </c>
    </row>
    <row r="624" spans="1:46" x14ac:dyDescent="0.45">
      <c r="A624" s="62" t="s">
        <v>1033</v>
      </c>
      <c r="B624" s="62" t="s">
        <v>1506</v>
      </c>
      <c r="C624" s="63"/>
      <c r="D624" s="64"/>
      <c r="E624" s="65"/>
      <c r="F624" s="66"/>
      <c r="G624" s="63"/>
      <c r="H624" s="67"/>
      <c r="I624" s="68"/>
      <c r="J624" s="68"/>
      <c r="K624" s="32"/>
      <c r="L624" s="75"/>
      <c r="M624" s="75"/>
      <c r="N624" s="70"/>
      <c r="O624" t="s">
        <v>1568</v>
      </c>
      <c r="P624" s="76">
        <v>44959.200613425928</v>
      </c>
      <c r="Q624" t="s">
        <v>2188</v>
      </c>
      <c r="R624" s="77" t="str">
        <f>HYPERLINK("https://twitter.com/aagupta88/status/1621007410604421120")</f>
        <v>https://twitter.com/aagupta88/status/1621007410604421120</v>
      </c>
      <c r="S624" t="s">
        <v>2257</v>
      </c>
      <c r="V624" s="77" t="str">
        <f>HYPERLINK("https://pbs.twimg.com/profile_images/1476392114074238978/_mBfkJs6_normal.jpg")</f>
        <v>https://pbs.twimg.com/profile_images/1476392114074238978/_mBfkJs6_normal.jpg</v>
      </c>
      <c r="W624" s="76">
        <v>44959.200613425928</v>
      </c>
      <c r="X624" s="80">
        <v>44959</v>
      </c>
      <c r="Y624" s="78" t="s">
        <v>3336</v>
      </c>
      <c r="Z624" s="77" t="str">
        <f>HYPERLINK("https://twitter.com/aagupta88/status/1621007725265309698")</f>
        <v>https://twitter.com/aagupta88/status/1621007725265309698</v>
      </c>
      <c r="AC624" s="78" t="s">
        <v>4401</v>
      </c>
      <c r="AE624" t="b">
        <v>0</v>
      </c>
      <c r="AF624">
        <v>0</v>
      </c>
      <c r="AG624" s="78" t="s">
        <v>4802</v>
      </c>
      <c r="AH624" t="b">
        <v>1</v>
      </c>
      <c r="AI624" t="s">
        <v>4829</v>
      </c>
      <c r="AK624" s="78" t="s">
        <v>4400</v>
      </c>
      <c r="AL624" t="b">
        <v>0</v>
      </c>
      <c r="AM624">
        <v>2</v>
      </c>
      <c r="AN624" s="78" t="s">
        <v>4640</v>
      </c>
      <c r="AO624" s="78" t="s">
        <v>4850</v>
      </c>
      <c r="AP624" t="b">
        <v>0</v>
      </c>
      <c r="AQ624" s="78" t="s">
        <v>4401</v>
      </c>
      <c r="AR624" t="s">
        <v>179</v>
      </c>
      <c r="AS624">
        <v>0</v>
      </c>
      <c r="AT624">
        <v>0</v>
      </c>
    </row>
    <row r="625" spans="1:46" x14ac:dyDescent="0.45">
      <c r="A625" s="62" t="s">
        <v>1032</v>
      </c>
      <c r="B625" s="62" t="s">
        <v>1506</v>
      </c>
      <c r="C625" s="63"/>
      <c r="D625" s="64"/>
      <c r="E625" s="65"/>
      <c r="F625" s="66"/>
      <c r="G625" s="63"/>
      <c r="H625" s="67"/>
      <c r="I625" s="68"/>
      <c r="J625" s="68"/>
      <c r="K625" s="32"/>
      <c r="L625" s="75"/>
      <c r="M625" s="75"/>
      <c r="N625" s="70"/>
      <c r="O625" t="s">
        <v>1570</v>
      </c>
      <c r="P625" s="76">
        <v>44959.422777777778</v>
      </c>
      <c r="Q625" t="s">
        <v>2187</v>
      </c>
      <c r="R625" s="77" t="str">
        <f>HYPERLINK("https://twitter.com/magupta03/status/1615244469405908993")</f>
        <v>https://twitter.com/magupta03/status/1615244469405908993</v>
      </c>
      <c r="S625" t="s">
        <v>2257</v>
      </c>
      <c r="U625" s="77" t="str">
        <f>HYPERLINK("https://pbs.twimg.com/media/Fn75pafaAAAUfNo.jpg")</f>
        <v>https://pbs.twimg.com/media/Fn75pafaAAAUfNo.jpg</v>
      </c>
      <c r="V625" s="77" t="str">
        <f>HYPERLINK("https://pbs.twimg.com/media/Fn75pafaAAAUfNo.jpg")</f>
        <v>https://pbs.twimg.com/media/Fn75pafaAAAUfNo.jpg</v>
      </c>
      <c r="W625" s="76">
        <v>44959.422777777778</v>
      </c>
      <c r="X625" s="80">
        <v>44959</v>
      </c>
      <c r="Y625" s="78" t="s">
        <v>3339</v>
      </c>
      <c r="Z625" s="77" t="str">
        <f>HYPERLINK("https://twitter.com/aapkiawaaz_rk/status/1621088236398592001")</f>
        <v>https://twitter.com/aapkiawaaz_rk/status/1621088236398592001</v>
      </c>
      <c r="AC625" s="78" t="s">
        <v>4404</v>
      </c>
      <c r="AE625" t="b">
        <v>0</v>
      </c>
      <c r="AF625">
        <v>0</v>
      </c>
      <c r="AG625" s="78" t="s">
        <v>4640</v>
      </c>
      <c r="AH625" t="b">
        <v>1</v>
      </c>
      <c r="AI625" t="s">
        <v>4829</v>
      </c>
      <c r="AK625" s="78" t="s">
        <v>4847</v>
      </c>
      <c r="AL625" t="b">
        <v>0</v>
      </c>
      <c r="AM625">
        <v>2</v>
      </c>
      <c r="AN625" s="78" t="s">
        <v>4400</v>
      </c>
      <c r="AO625" s="78" t="s">
        <v>4849</v>
      </c>
      <c r="AP625" t="b">
        <v>0</v>
      </c>
      <c r="AQ625" s="78" t="s">
        <v>4400</v>
      </c>
      <c r="AR625" t="s">
        <v>179</v>
      </c>
      <c r="AS625">
        <v>0</v>
      </c>
      <c r="AT625">
        <v>0</v>
      </c>
    </row>
    <row r="626" spans="1:46" x14ac:dyDescent="0.45">
      <c r="A626" s="62" t="s">
        <v>1033</v>
      </c>
      <c r="B626" s="62" t="s">
        <v>1513</v>
      </c>
      <c r="C626" s="63"/>
      <c r="D626" s="64"/>
      <c r="E626" s="65"/>
      <c r="F626" s="66"/>
      <c r="G626" s="63"/>
      <c r="H626" s="67"/>
      <c r="I626" s="68"/>
      <c r="J626" s="68"/>
      <c r="K626" s="32"/>
      <c r="L626" s="75"/>
      <c r="M626" s="75"/>
      <c r="N626" s="70"/>
      <c r="O626" t="s">
        <v>1568</v>
      </c>
      <c r="P626" s="76">
        <v>44959.199745370373</v>
      </c>
      <c r="Q626" t="s">
        <v>2187</v>
      </c>
      <c r="R626" s="77" t="str">
        <f>HYPERLINK("https://twitter.com/magupta03/status/1615244469405908993")</f>
        <v>https://twitter.com/magupta03/status/1615244469405908993</v>
      </c>
      <c r="S626" t="s">
        <v>2257</v>
      </c>
      <c r="U626" s="77" t="str">
        <f>HYPERLINK("https://pbs.twimg.com/media/Fn75pafaAAAUfNo.jpg")</f>
        <v>https://pbs.twimg.com/media/Fn75pafaAAAUfNo.jpg</v>
      </c>
      <c r="V626" s="77" t="str">
        <f>HYPERLINK("https://pbs.twimg.com/media/Fn75pafaAAAUfNo.jpg")</f>
        <v>https://pbs.twimg.com/media/Fn75pafaAAAUfNo.jpg</v>
      </c>
      <c r="W626" s="76">
        <v>44959.199745370373</v>
      </c>
      <c r="X626" s="80">
        <v>44959</v>
      </c>
      <c r="Y626" s="78" t="s">
        <v>3335</v>
      </c>
      <c r="Z626" s="77" t="str">
        <f>HYPERLINK("https://twitter.com/aagupta88/status/1621007410604421120")</f>
        <v>https://twitter.com/aagupta88/status/1621007410604421120</v>
      </c>
      <c r="AC626" s="78" t="s">
        <v>4400</v>
      </c>
      <c r="AE626" t="b">
        <v>0</v>
      </c>
      <c r="AF626">
        <v>0</v>
      </c>
      <c r="AG626" s="78" t="s">
        <v>4802</v>
      </c>
      <c r="AH626" t="b">
        <v>1</v>
      </c>
      <c r="AI626" t="s">
        <v>4829</v>
      </c>
      <c r="AK626" s="78" t="s">
        <v>4847</v>
      </c>
      <c r="AL626" t="b">
        <v>0</v>
      </c>
      <c r="AM626">
        <v>2</v>
      </c>
      <c r="AN626" s="78" t="s">
        <v>4640</v>
      </c>
      <c r="AO626" s="78" t="s">
        <v>4850</v>
      </c>
      <c r="AP626" t="b">
        <v>0</v>
      </c>
      <c r="AQ626" s="78" t="s">
        <v>4400</v>
      </c>
      <c r="AR626" t="s">
        <v>179</v>
      </c>
      <c r="AS626">
        <v>0</v>
      </c>
      <c r="AT626">
        <v>0</v>
      </c>
    </row>
    <row r="627" spans="1:46" x14ac:dyDescent="0.45">
      <c r="A627" s="62" t="s">
        <v>1033</v>
      </c>
      <c r="B627" s="62" t="s">
        <v>1513</v>
      </c>
      <c r="C627" s="63"/>
      <c r="D627" s="64"/>
      <c r="E627" s="65"/>
      <c r="F627" s="66"/>
      <c r="G627" s="63"/>
      <c r="H627" s="67"/>
      <c r="I627" s="68"/>
      <c r="J627" s="68"/>
      <c r="K627" s="32"/>
      <c r="L627" s="75"/>
      <c r="M627" s="75"/>
      <c r="N627" s="70"/>
      <c r="O627" t="s">
        <v>1568</v>
      </c>
      <c r="P627" s="76">
        <v>44959.200613425928</v>
      </c>
      <c r="Q627" t="s">
        <v>2188</v>
      </c>
      <c r="R627" s="77" t="str">
        <f>HYPERLINK("https://twitter.com/aagupta88/status/1621007410604421120")</f>
        <v>https://twitter.com/aagupta88/status/1621007410604421120</v>
      </c>
      <c r="S627" t="s">
        <v>2257</v>
      </c>
      <c r="V627" s="77" t="str">
        <f>HYPERLINK("https://pbs.twimg.com/profile_images/1476392114074238978/_mBfkJs6_normal.jpg")</f>
        <v>https://pbs.twimg.com/profile_images/1476392114074238978/_mBfkJs6_normal.jpg</v>
      </c>
      <c r="W627" s="76">
        <v>44959.200613425928</v>
      </c>
      <c r="X627" s="80">
        <v>44959</v>
      </c>
      <c r="Y627" s="78" t="s">
        <v>3336</v>
      </c>
      <c r="Z627" s="77" t="str">
        <f>HYPERLINK("https://twitter.com/aagupta88/status/1621007725265309698")</f>
        <v>https://twitter.com/aagupta88/status/1621007725265309698</v>
      </c>
      <c r="AC627" s="78" t="s">
        <v>4401</v>
      </c>
      <c r="AE627" t="b">
        <v>0</v>
      </c>
      <c r="AF627">
        <v>0</v>
      </c>
      <c r="AG627" s="78" t="s">
        <v>4802</v>
      </c>
      <c r="AH627" t="b">
        <v>1</v>
      </c>
      <c r="AI627" t="s">
        <v>4829</v>
      </c>
      <c r="AK627" s="78" t="s">
        <v>4400</v>
      </c>
      <c r="AL627" t="b">
        <v>0</v>
      </c>
      <c r="AM627">
        <v>2</v>
      </c>
      <c r="AN627" s="78" t="s">
        <v>4640</v>
      </c>
      <c r="AO627" s="78" t="s">
        <v>4850</v>
      </c>
      <c r="AP627" t="b">
        <v>0</v>
      </c>
      <c r="AQ627" s="78" t="s">
        <v>4401</v>
      </c>
      <c r="AR627" t="s">
        <v>179</v>
      </c>
      <c r="AS627">
        <v>0</v>
      </c>
      <c r="AT627">
        <v>0</v>
      </c>
    </row>
    <row r="628" spans="1:46" x14ac:dyDescent="0.45">
      <c r="A628" s="62" t="s">
        <v>1032</v>
      </c>
      <c r="B628" s="62" t="s">
        <v>1513</v>
      </c>
      <c r="C628" s="63"/>
      <c r="D628" s="64"/>
      <c r="E628" s="65"/>
      <c r="F628" s="66"/>
      <c r="G628" s="63"/>
      <c r="H628" s="67"/>
      <c r="I628" s="68"/>
      <c r="J628" s="68"/>
      <c r="K628" s="32"/>
      <c r="L628" s="75"/>
      <c r="M628" s="75"/>
      <c r="N628" s="70"/>
      <c r="O628" t="s">
        <v>1570</v>
      </c>
      <c r="P628" s="76">
        <v>44959.422777777778</v>
      </c>
      <c r="Q628" t="s">
        <v>2187</v>
      </c>
      <c r="R628" s="77" t="str">
        <f>HYPERLINK("https://twitter.com/magupta03/status/1615244469405908993")</f>
        <v>https://twitter.com/magupta03/status/1615244469405908993</v>
      </c>
      <c r="S628" t="s">
        <v>2257</v>
      </c>
      <c r="U628" s="77" t="str">
        <f>HYPERLINK("https://pbs.twimg.com/media/Fn75pafaAAAUfNo.jpg")</f>
        <v>https://pbs.twimg.com/media/Fn75pafaAAAUfNo.jpg</v>
      </c>
      <c r="V628" s="77" t="str">
        <f>HYPERLINK("https://pbs.twimg.com/media/Fn75pafaAAAUfNo.jpg")</f>
        <v>https://pbs.twimg.com/media/Fn75pafaAAAUfNo.jpg</v>
      </c>
      <c r="W628" s="76">
        <v>44959.422777777778</v>
      </c>
      <c r="X628" s="80">
        <v>44959</v>
      </c>
      <c r="Y628" s="78" t="s">
        <v>3339</v>
      </c>
      <c r="Z628" s="77" t="str">
        <f>HYPERLINK("https://twitter.com/aapkiawaaz_rk/status/1621088236398592001")</f>
        <v>https://twitter.com/aapkiawaaz_rk/status/1621088236398592001</v>
      </c>
      <c r="AC628" s="78" t="s">
        <v>4404</v>
      </c>
      <c r="AE628" t="b">
        <v>0</v>
      </c>
      <c r="AF628">
        <v>0</v>
      </c>
      <c r="AG628" s="78" t="s">
        <v>4640</v>
      </c>
      <c r="AH628" t="b">
        <v>1</v>
      </c>
      <c r="AI628" t="s">
        <v>4829</v>
      </c>
      <c r="AK628" s="78" t="s">
        <v>4847</v>
      </c>
      <c r="AL628" t="b">
        <v>0</v>
      </c>
      <c r="AM628">
        <v>2</v>
      </c>
      <c r="AN628" s="78" t="s">
        <v>4400</v>
      </c>
      <c r="AO628" s="78" t="s">
        <v>4849</v>
      </c>
      <c r="AP628" t="b">
        <v>0</v>
      </c>
      <c r="AQ628" s="78" t="s">
        <v>4400</v>
      </c>
      <c r="AR628" t="s">
        <v>179</v>
      </c>
      <c r="AS628">
        <v>0</v>
      </c>
      <c r="AT628">
        <v>0</v>
      </c>
    </row>
    <row r="629" spans="1:46" x14ac:dyDescent="0.45">
      <c r="A629" s="62" t="s">
        <v>1033</v>
      </c>
      <c r="B629" s="62" t="s">
        <v>1514</v>
      </c>
      <c r="C629" s="63"/>
      <c r="D629" s="64"/>
      <c r="E629" s="65"/>
      <c r="F629" s="66"/>
      <c r="G629" s="63"/>
      <c r="H629" s="67"/>
      <c r="I629" s="68"/>
      <c r="J629" s="68"/>
      <c r="K629" s="32"/>
      <c r="L629" s="75"/>
      <c r="M629" s="75"/>
      <c r="N629" s="70"/>
      <c r="O629" t="s">
        <v>1568</v>
      </c>
      <c r="P629" s="76">
        <v>44959.199745370373</v>
      </c>
      <c r="Q629" t="s">
        <v>2187</v>
      </c>
      <c r="R629" s="77" t="str">
        <f>HYPERLINK("https://twitter.com/magupta03/status/1615244469405908993")</f>
        <v>https://twitter.com/magupta03/status/1615244469405908993</v>
      </c>
      <c r="S629" t="s">
        <v>2257</v>
      </c>
      <c r="U629" s="77" t="str">
        <f>HYPERLINK("https://pbs.twimg.com/media/Fn75pafaAAAUfNo.jpg")</f>
        <v>https://pbs.twimg.com/media/Fn75pafaAAAUfNo.jpg</v>
      </c>
      <c r="V629" s="77" t="str">
        <f>HYPERLINK("https://pbs.twimg.com/media/Fn75pafaAAAUfNo.jpg")</f>
        <v>https://pbs.twimg.com/media/Fn75pafaAAAUfNo.jpg</v>
      </c>
      <c r="W629" s="76">
        <v>44959.199745370373</v>
      </c>
      <c r="X629" s="80">
        <v>44959</v>
      </c>
      <c r="Y629" s="78" t="s">
        <v>3335</v>
      </c>
      <c r="Z629" s="77" t="str">
        <f>HYPERLINK("https://twitter.com/aagupta88/status/1621007410604421120")</f>
        <v>https://twitter.com/aagupta88/status/1621007410604421120</v>
      </c>
      <c r="AC629" s="78" t="s">
        <v>4400</v>
      </c>
      <c r="AE629" t="b">
        <v>0</v>
      </c>
      <c r="AF629">
        <v>0</v>
      </c>
      <c r="AG629" s="78" t="s">
        <v>4802</v>
      </c>
      <c r="AH629" t="b">
        <v>1</v>
      </c>
      <c r="AI629" t="s">
        <v>4829</v>
      </c>
      <c r="AK629" s="78" t="s">
        <v>4847</v>
      </c>
      <c r="AL629" t="b">
        <v>0</v>
      </c>
      <c r="AM629">
        <v>2</v>
      </c>
      <c r="AN629" s="78" t="s">
        <v>4640</v>
      </c>
      <c r="AO629" s="78" t="s">
        <v>4850</v>
      </c>
      <c r="AP629" t="b">
        <v>0</v>
      </c>
      <c r="AQ629" s="78" t="s">
        <v>4400</v>
      </c>
      <c r="AR629" t="s">
        <v>179</v>
      </c>
      <c r="AS629">
        <v>0</v>
      </c>
      <c r="AT629">
        <v>0</v>
      </c>
    </row>
    <row r="630" spans="1:46" x14ac:dyDescent="0.45">
      <c r="A630" s="62" t="s">
        <v>1033</v>
      </c>
      <c r="B630" s="62" t="s">
        <v>1514</v>
      </c>
      <c r="C630" s="63"/>
      <c r="D630" s="64"/>
      <c r="E630" s="65"/>
      <c r="F630" s="66"/>
      <c r="G630" s="63"/>
      <c r="H630" s="67"/>
      <c r="I630" s="68"/>
      <c r="J630" s="68"/>
      <c r="K630" s="32"/>
      <c r="L630" s="75"/>
      <c r="M630" s="75"/>
      <c r="N630" s="70"/>
      <c r="O630" t="s">
        <v>1568</v>
      </c>
      <c r="P630" s="76">
        <v>44959.200613425928</v>
      </c>
      <c r="Q630" t="s">
        <v>2188</v>
      </c>
      <c r="R630" s="77" t="str">
        <f>HYPERLINK("https://twitter.com/aagupta88/status/1621007410604421120")</f>
        <v>https://twitter.com/aagupta88/status/1621007410604421120</v>
      </c>
      <c r="S630" t="s">
        <v>2257</v>
      </c>
      <c r="V630" s="77" t="str">
        <f>HYPERLINK("https://pbs.twimg.com/profile_images/1476392114074238978/_mBfkJs6_normal.jpg")</f>
        <v>https://pbs.twimg.com/profile_images/1476392114074238978/_mBfkJs6_normal.jpg</v>
      </c>
      <c r="W630" s="76">
        <v>44959.200613425928</v>
      </c>
      <c r="X630" s="80">
        <v>44959</v>
      </c>
      <c r="Y630" s="78" t="s">
        <v>3336</v>
      </c>
      <c r="Z630" s="77" t="str">
        <f>HYPERLINK("https://twitter.com/aagupta88/status/1621007725265309698")</f>
        <v>https://twitter.com/aagupta88/status/1621007725265309698</v>
      </c>
      <c r="AC630" s="78" t="s">
        <v>4401</v>
      </c>
      <c r="AE630" t="b">
        <v>0</v>
      </c>
      <c r="AF630">
        <v>0</v>
      </c>
      <c r="AG630" s="78" t="s">
        <v>4802</v>
      </c>
      <c r="AH630" t="b">
        <v>1</v>
      </c>
      <c r="AI630" t="s">
        <v>4829</v>
      </c>
      <c r="AK630" s="78" t="s">
        <v>4400</v>
      </c>
      <c r="AL630" t="b">
        <v>0</v>
      </c>
      <c r="AM630">
        <v>2</v>
      </c>
      <c r="AN630" s="78" t="s">
        <v>4640</v>
      </c>
      <c r="AO630" s="78" t="s">
        <v>4850</v>
      </c>
      <c r="AP630" t="b">
        <v>0</v>
      </c>
      <c r="AQ630" s="78" t="s">
        <v>4401</v>
      </c>
      <c r="AR630" t="s">
        <v>179</v>
      </c>
      <c r="AS630">
        <v>0</v>
      </c>
      <c r="AT630">
        <v>0</v>
      </c>
    </row>
    <row r="631" spans="1:46" x14ac:dyDescent="0.45">
      <c r="A631" s="62" t="s">
        <v>1032</v>
      </c>
      <c r="B631" s="62" t="s">
        <v>1514</v>
      </c>
      <c r="C631" s="63"/>
      <c r="D631" s="64"/>
      <c r="E631" s="65"/>
      <c r="F631" s="66"/>
      <c r="G631" s="63"/>
      <c r="H631" s="67"/>
      <c r="I631" s="68"/>
      <c r="J631" s="68"/>
      <c r="K631" s="32"/>
      <c r="L631" s="75"/>
      <c r="M631" s="75"/>
      <c r="N631" s="70"/>
      <c r="O631" t="s">
        <v>1570</v>
      </c>
      <c r="P631" s="76">
        <v>44959.422777777778</v>
      </c>
      <c r="Q631" t="s">
        <v>2187</v>
      </c>
      <c r="R631" s="77" t="str">
        <f>HYPERLINK("https://twitter.com/magupta03/status/1615244469405908993")</f>
        <v>https://twitter.com/magupta03/status/1615244469405908993</v>
      </c>
      <c r="S631" t="s">
        <v>2257</v>
      </c>
      <c r="U631" s="77" t="str">
        <f>HYPERLINK("https://pbs.twimg.com/media/Fn75pafaAAAUfNo.jpg")</f>
        <v>https://pbs.twimg.com/media/Fn75pafaAAAUfNo.jpg</v>
      </c>
      <c r="V631" s="77" t="str">
        <f>HYPERLINK("https://pbs.twimg.com/media/Fn75pafaAAAUfNo.jpg")</f>
        <v>https://pbs.twimg.com/media/Fn75pafaAAAUfNo.jpg</v>
      </c>
      <c r="W631" s="76">
        <v>44959.422777777778</v>
      </c>
      <c r="X631" s="80">
        <v>44959</v>
      </c>
      <c r="Y631" s="78" t="s">
        <v>3339</v>
      </c>
      <c r="Z631" s="77" t="str">
        <f>HYPERLINK("https://twitter.com/aapkiawaaz_rk/status/1621088236398592001")</f>
        <v>https://twitter.com/aapkiawaaz_rk/status/1621088236398592001</v>
      </c>
      <c r="AC631" s="78" t="s">
        <v>4404</v>
      </c>
      <c r="AE631" t="b">
        <v>0</v>
      </c>
      <c r="AF631">
        <v>0</v>
      </c>
      <c r="AG631" s="78" t="s">
        <v>4640</v>
      </c>
      <c r="AH631" t="b">
        <v>1</v>
      </c>
      <c r="AI631" t="s">
        <v>4829</v>
      </c>
      <c r="AK631" s="78" t="s">
        <v>4847</v>
      </c>
      <c r="AL631" t="b">
        <v>0</v>
      </c>
      <c r="AM631">
        <v>2</v>
      </c>
      <c r="AN631" s="78" t="s">
        <v>4400</v>
      </c>
      <c r="AO631" s="78" t="s">
        <v>4849</v>
      </c>
      <c r="AP631" t="b">
        <v>0</v>
      </c>
      <c r="AQ631" s="78" t="s">
        <v>4400</v>
      </c>
      <c r="AR631" t="s">
        <v>179</v>
      </c>
      <c r="AS631">
        <v>0</v>
      </c>
      <c r="AT631">
        <v>0</v>
      </c>
    </row>
    <row r="632" spans="1:46" x14ac:dyDescent="0.45">
      <c r="A632" s="62" t="s">
        <v>1033</v>
      </c>
      <c r="B632" s="62" t="s">
        <v>242</v>
      </c>
      <c r="C632" s="63"/>
      <c r="D632" s="64"/>
      <c r="E632" s="65"/>
      <c r="F632" s="66"/>
      <c r="G632" s="63"/>
      <c r="H632" s="67"/>
      <c r="I632" s="68"/>
      <c r="J632" s="68"/>
      <c r="K632" s="32"/>
      <c r="L632" s="75"/>
      <c r="M632" s="75"/>
      <c r="N632" s="70"/>
      <c r="O632" t="s">
        <v>1568</v>
      </c>
      <c r="P632" s="76">
        <v>44959.199745370373</v>
      </c>
      <c r="Q632" t="s">
        <v>2187</v>
      </c>
      <c r="R632" s="77" t="str">
        <f>HYPERLINK("https://twitter.com/magupta03/status/1615244469405908993")</f>
        <v>https://twitter.com/magupta03/status/1615244469405908993</v>
      </c>
      <c r="S632" t="s">
        <v>2257</v>
      </c>
      <c r="U632" s="77" t="str">
        <f>HYPERLINK("https://pbs.twimg.com/media/Fn75pafaAAAUfNo.jpg")</f>
        <v>https://pbs.twimg.com/media/Fn75pafaAAAUfNo.jpg</v>
      </c>
      <c r="V632" s="77" t="str">
        <f>HYPERLINK("https://pbs.twimg.com/media/Fn75pafaAAAUfNo.jpg")</f>
        <v>https://pbs.twimg.com/media/Fn75pafaAAAUfNo.jpg</v>
      </c>
      <c r="W632" s="76">
        <v>44959.199745370373</v>
      </c>
      <c r="X632" s="80">
        <v>44959</v>
      </c>
      <c r="Y632" s="78" t="s">
        <v>3335</v>
      </c>
      <c r="Z632" s="77" t="str">
        <f>HYPERLINK("https://twitter.com/aagupta88/status/1621007410604421120")</f>
        <v>https://twitter.com/aagupta88/status/1621007410604421120</v>
      </c>
      <c r="AC632" s="78" t="s">
        <v>4400</v>
      </c>
      <c r="AE632" t="b">
        <v>0</v>
      </c>
      <c r="AF632">
        <v>0</v>
      </c>
      <c r="AG632" s="78" t="s">
        <v>4802</v>
      </c>
      <c r="AH632" t="b">
        <v>1</v>
      </c>
      <c r="AI632" t="s">
        <v>4829</v>
      </c>
      <c r="AK632" s="78" t="s">
        <v>4847</v>
      </c>
      <c r="AL632" t="b">
        <v>0</v>
      </c>
      <c r="AM632">
        <v>2</v>
      </c>
      <c r="AN632" s="78" t="s">
        <v>4640</v>
      </c>
      <c r="AO632" s="78" t="s">
        <v>4850</v>
      </c>
      <c r="AP632" t="b">
        <v>0</v>
      </c>
      <c r="AQ632" s="78" t="s">
        <v>4400</v>
      </c>
      <c r="AR632" t="s">
        <v>179</v>
      </c>
      <c r="AS632">
        <v>0</v>
      </c>
      <c r="AT632">
        <v>0</v>
      </c>
    </row>
    <row r="633" spans="1:46" x14ac:dyDescent="0.45">
      <c r="A633" s="62" t="s">
        <v>1033</v>
      </c>
      <c r="B633" s="62" t="s">
        <v>1109</v>
      </c>
      <c r="C633" s="63"/>
      <c r="D633" s="64"/>
      <c r="E633" s="65"/>
      <c r="F633" s="66"/>
      <c r="G633" s="63"/>
      <c r="H633" s="67"/>
      <c r="I633" s="68"/>
      <c r="J633" s="68"/>
      <c r="K633" s="32"/>
      <c r="L633" s="75"/>
      <c r="M633" s="75"/>
      <c r="N633" s="70"/>
      <c r="O633" t="s">
        <v>1568</v>
      </c>
      <c r="P633" s="76">
        <v>44959.199745370373</v>
      </c>
      <c r="Q633" t="s">
        <v>2187</v>
      </c>
      <c r="R633" s="77" t="str">
        <f>HYPERLINK("https://twitter.com/magupta03/status/1615244469405908993")</f>
        <v>https://twitter.com/magupta03/status/1615244469405908993</v>
      </c>
      <c r="S633" t="s">
        <v>2257</v>
      </c>
      <c r="U633" s="77" t="str">
        <f>HYPERLINK("https://pbs.twimg.com/media/Fn75pafaAAAUfNo.jpg")</f>
        <v>https://pbs.twimg.com/media/Fn75pafaAAAUfNo.jpg</v>
      </c>
      <c r="V633" s="77" t="str">
        <f>HYPERLINK("https://pbs.twimg.com/media/Fn75pafaAAAUfNo.jpg")</f>
        <v>https://pbs.twimg.com/media/Fn75pafaAAAUfNo.jpg</v>
      </c>
      <c r="W633" s="76">
        <v>44959.199745370373</v>
      </c>
      <c r="X633" s="80">
        <v>44959</v>
      </c>
      <c r="Y633" s="78" t="s">
        <v>3335</v>
      </c>
      <c r="Z633" s="77" t="str">
        <f>HYPERLINK("https://twitter.com/aagupta88/status/1621007410604421120")</f>
        <v>https://twitter.com/aagupta88/status/1621007410604421120</v>
      </c>
      <c r="AC633" s="78" t="s">
        <v>4400</v>
      </c>
      <c r="AE633" t="b">
        <v>0</v>
      </c>
      <c r="AF633">
        <v>0</v>
      </c>
      <c r="AG633" s="78" t="s">
        <v>4802</v>
      </c>
      <c r="AH633" t="b">
        <v>1</v>
      </c>
      <c r="AI633" t="s">
        <v>4829</v>
      </c>
      <c r="AK633" s="78" t="s">
        <v>4847</v>
      </c>
      <c r="AL633" t="b">
        <v>0</v>
      </c>
      <c r="AM633">
        <v>2</v>
      </c>
      <c r="AN633" s="78" t="s">
        <v>4640</v>
      </c>
      <c r="AO633" s="78" t="s">
        <v>4850</v>
      </c>
      <c r="AP633" t="b">
        <v>0</v>
      </c>
      <c r="AQ633" s="78" t="s">
        <v>4400</v>
      </c>
      <c r="AR633" t="s">
        <v>179</v>
      </c>
      <c r="AS633">
        <v>0</v>
      </c>
      <c r="AT633">
        <v>0</v>
      </c>
    </row>
    <row r="634" spans="1:46" x14ac:dyDescent="0.45">
      <c r="A634" s="62" t="s">
        <v>1033</v>
      </c>
      <c r="B634" s="62" t="s">
        <v>1108</v>
      </c>
      <c r="C634" s="63"/>
      <c r="D634" s="64"/>
      <c r="E634" s="65"/>
      <c r="F634" s="66"/>
      <c r="G634" s="63"/>
      <c r="H634" s="67"/>
      <c r="I634" s="68"/>
      <c r="J634" s="68"/>
      <c r="K634" s="32"/>
      <c r="L634" s="75"/>
      <c r="M634" s="75"/>
      <c r="N634" s="70"/>
      <c r="O634" t="s">
        <v>1568</v>
      </c>
      <c r="P634" s="76">
        <v>44959.199745370373</v>
      </c>
      <c r="Q634" t="s">
        <v>2187</v>
      </c>
      <c r="R634" s="77" t="str">
        <f>HYPERLINK("https://twitter.com/magupta03/status/1615244469405908993")</f>
        <v>https://twitter.com/magupta03/status/1615244469405908993</v>
      </c>
      <c r="S634" t="s">
        <v>2257</v>
      </c>
      <c r="U634" s="77" t="str">
        <f>HYPERLINK("https://pbs.twimg.com/media/Fn75pafaAAAUfNo.jpg")</f>
        <v>https://pbs.twimg.com/media/Fn75pafaAAAUfNo.jpg</v>
      </c>
      <c r="V634" s="77" t="str">
        <f>HYPERLINK("https://pbs.twimg.com/media/Fn75pafaAAAUfNo.jpg")</f>
        <v>https://pbs.twimg.com/media/Fn75pafaAAAUfNo.jpg</v>
      </c>
      <c r="W634" s="76">
        <v>44959.199745370373</v>
      </c>
      <c r="X634" s="80">
        <v>44959</v>
      </c>
      <c r="Y634" s="78" t="s">
        <v>3335</v>
      </c>
      <c r="Z634" s="77" t="str">
        <f>HYPERLINK("https://twitter.com/aagupta88/status/1621007410604421120")</f>
        <v>https://twitter.com/aagupta88/status/1621007410604421120</v>
      </c>
      <c r="AC634" s="78" t="s">
        <v>4400</v>
      </c>
      <c r="AE634" t="b">
        <v>0</v>
      </c>
      <c r="AF634">
        <v>0</v>
      </c>
      <c r="AG634" s="78" t="s">
        <v>4802</v>
      </c>
      <c r="AH634" t="b">
        <v>1</v>
      </c>
      <c r="AI634" t="s">
        <v>4829</v>
      </c>
      <c r="AK634" s="78" t="s">
        <v>4847</v>
      </c>
      <c r="AL634" t="b">
        <v>0</v>
      </c>
      <c r="AM634">
        <v>2</v>
      </c>
      <c r="AN634" s="78" t="s">
        <v>4640</v>
      </c>
      <c r="AO634" s="78" t="s">
        <v>4850</v>
      </c>
      <c r="AP634" t="b">
        <v>0</v>
      </c>
      <c r="AQ634" s="78" t="s">
        <v>4400</v>
      </c>
      <c r="AR634" t="s">
        <v>179</v>
      </c>
      <c r="AS634">
        <v>0</v>
      </c>
      <c r="AT634">
        <v>0</v>
      </c>
    </row>
    <row r="635" spans="1:46" x14ac:dyDescent="0.45">
      <c r="A635" s="62" t="s">
        <v>1033</v>
      </c>
      <c r="B635" s="62" t="s">
        <v>1515</v>
      </c>
      <c r="C635" s="63"/>
      <c r="D635" s="64"/>
      <c r="E635" s="65"/>
      <c r="F635" s="66"/>
      <c r="G635" s="63"/>
      <c r="H635" s="67"/>
      <c r="I635" s="68"/>
      <c r="J635" s="68"/>
      <c r="K635" s="32"/>
      <c r="L635" s="75"/>
      <c r="M635" s="75"/>
      <c r="N635" s="70"/>
      <c r="O635" t="s">
        <v>1567</v>
      </c>
      <c r="P635" s="76">
        <v>44959.199745370373</v>
      </c>
      <c r="Q635" t="s">
        <v>2187</v>
      </c>
      <c r="R635" s="77" t="str">
        <f>HYPERLINK("https://twitter.com/magupta03/status/1615244469405908993")</f>
        <v>https://twitter.com/magupta03/status/1615244469405908993</v>
      </c>
      <c r="S635" t="s">
        <v>2257</v>
      </c>
      <c r="U635" s="77" t="str">
        <f>HYPERLINK("https://pbs.twimg.com/media/Fn75pafaAAAUfNo.jpg")</f>
        <v>https://pbs.twimg.com/media/Fn75pafaAAAUfNo.jpg</v>
      </c>
      <c r="V635" s="77" t="str">
        <f>HYPERLINK("https://pbs.twimg.com/media/Fn75pafaAAAUfNo.jpg")</f>
        <v>https://pbs.twimg.com/media/Fn75pafaAAAUfNo.jpg</v>
      </c>
      <c r="W635" s="76">
        <v>44959.199745370373</v>
      </c>
      <c r="X635" s="80">
        <v>44959</v>
      </c>
      <c r="Y635" s="78" t="s">
        <v>3335</v>
      </c>
      <c r="Z635" s="77" t="str">
        <f>HYPERLINK("https://twitter.com/aagupta88/status/1621007410604421120")</f>
        <v>https://twitter.com/aagupta88/status/1621007410604421120</v>
      </c>
      <c r="AC635" s="78" t="s">
        <v>4400</v>
      </c>
      <c r="AE635" t="b">
        <v>0</v>
      </c>
      <c r="AF635">
        <v>0</v>
      </c>
      <c r="AG635" s="78" t="s">
        <v>4802</v>
      </c>
      <c r="AH635" t="b">
        <v>1</v>
      </c>
      <c r="AI635" t="s">
        <v>4829</v>
      </c>
      <c r="AK635" s="78" t="s">
        <v>4847</v>
      </c>
      <c r="AL635" t="b">
        <v>0</v>
      </c>
      <c r="AM635">
        <v>2</v>
      </c>
      <c r="AN635" s="78" t="s">
        <v>4640</v>
      </c>
      <c r="AO635" s="78" t="s">
        <v>4850</v>
      </c>
      <c r="AP635" t="b">
        <v>0</v>
      </c>
      <c r="AQ635" s="78" t="s">
        <v>4400</v>
      </c>
      <c r="AR635" t="s">
        <v>179</v>
      </c>
      <c r="AS635">
        <v>0</v>
      </c>
      <c r="AT635">
        <v>0</v>
      </c>
    </row>
    <row r="636" spans="1:46" x14ac:dyDescent="0.45">
      <c r="A636" s="62" t="s">
        <v>1033</v>
      </c>
      <c r="B636" s="62" t="s">
        <v>242</v>
      </c>
      <c r="C636" s="63"/>
      <c r="D636" s="64"/>
      <c r="E636" s="65"/>
      <c r="F636" s="66"/>
      <c r="G636" s="63"/>
      <c r="H636" s="67"/>
      <c r="I636" s="68"/>
      <c r="J636" s="68"/>
      <c r="K636" s="32"/>
      <c r="L636" s="75"/>
      <c r="M636" s="75"/>
      <c r="N636" s="70"/>
      <c r="O636" t="s">
        <v>1568</v>
      </c>
      <c r="P636" s="76">
        <v>44959.200613425928</v>
      </c>
      <c r="Q636" t="s">
        <v>2188</v>
      </c>
      <c r="R636" s="77" t="str">
        <f>HYPERLINK("https://twitter.com/aagupta88/status/1621007410604421120")</f>
        <v>https://twitter.com/aagupta88/status/1621007410604421120</v>
      </c>
      <c r="S636" t="s">
        <v>2257</v>
      </c>
      <c r="V636" s="77" t="str">
        <f>HYPERLINK("https://pbs.twimg.com/profile_images/1476392114074238978/_mBfkJs6_normal.jpg")</f>
        <v>https://pbs.twimg.com/profile_images/1476392114074238978/_mBfkJs6_normal.jpg</v>
      </c>
      <c r="W636" s="76">
        <v>44959.200613425928</v>
      </c>
      <c r="X636" s="80">
        <v>44959</v>
      </c>
      <c r="Y636" s="78" t="s">
        <v>3336</v>
      </c>
      <c r="Z636" s="77" t="str">
        <f>HYPERLINK("https://twitter.com/aagupta88/status/1621007725265309698")</f>
        <v>https://twitter.com/aagupta88/status/1621007725265309698</v>
      </c>
      <c r="AC636" s="78" t="s">
        <v>4401</v>
      </c>
      <c r="AE636" t="b">
        <v>0</v>
      </c>
      <c r="AF636">
        <v>0</v>
      </c>
      <c r="AG636" s="78" t="s">
        <v>4802</v>
      </c>
      <c r="AH636" t="b">
        <v>1</v>
      </c>
      <c r="AI636" t="s">
        <v>4829</v>
      </c>
      <c r="AK636" s="78" t="s">
        <v>4400</v>
      </c>
      <c r="AL636" t="b">
        <v>0</v>
      </c>
      <c r="AM636">
        <v>2</v>
      </c>
      <c r="AN636" s="78" t="s">
        <v>4640</v>
      </c>
      <c r="AO636" s="78" t="s">
        <v>4850</v>
      </c>
      <c r="AP636" t="b">
        <v>0</v>
      </c>
      <c r="AQ636" s="78" t="s">
        <v>4401</v>
      </c>
      <c r="AR636" t="s">
        <v>179</v>
      </c>
      <c r="AS636">
        <v>0</v>
      </c>
      <c r="AT636">
        <v>0</v>
      </c>
    </row>
    <row r="637" spans="1:46" x14ac:dyDescent="0.45">
      <c r="A637" s="62" t="s">
        <v>1033</v>
      </c>
      <c r="B637" s="62" t="s">
        <v>1109</v>
      </c>
      <c r="C637" s="63"/>
      <c r="D637" s="64"/>
      <c r="E637" s="65"/>
      <c r="F637" s="66"/>
      <c r="G637" s="63"/>
      <c r="H637" s="67"/>
      <c r="I637" s="68"/>
      <c r="J637" s="68"/>
      <c r="K637" s="32"/>
      <c r="L637" s="75"/>
      <c r="M637" s="75"/>
      <c r="N637" s="70"/>
      <c r="O637" t="s">
        <v>1568</v>
      </c>
      <c r="P637" s="76">
        <v>44959.200613425928</v>
      </c>
      <c r="Q637" t="s">
        <v>2188</v>
      </c>
      <c r="R637" s="77" t="str">
        <f>HYPERLINK("https://twitter.com/aagupta88/status/1621007410604421120")</f>
        <v>https://twitter.com/aagupta88/status/1621007410604421120</v>
      </c>
      <c r="S637" t="s">
        <v>2257</v>
      </c>
      <c r="V637" s="77" t="str">
        <f>HYPERLINK("https://pbs.twimg.com/profile_images/1476392114074238978/_mBfkJs6_normal.jpg")</f>
        <v>https://pbs.twimg.com/profile_images/1476392114074238978/_mBfkJs6_normal.jpg</v>
      </c>
      <c r="W637" s="76">
        <v>44959.200613425928</v>
      </c>
      <c r="X637" s="80">
        <v>44959</v>
      </c>
      <c r="Y637" s="78" t="s">
        <v>3336</v>
      </c>
      <c r="Z637" s="77" t="str">
        <f>HYPERLINK("https://twitter.com/aagupta88/status/1621007725265309698")</f>
        <v>https://twitter.com/aagupta88/status/1621007725265309698</v>
      </c>
      <c r="AC637" s="78" t="s">
        <v>4401</v>
      </c>
      <c r="AE637" t="b">
        <v>0</v>
      </c>
      <c r="AF637">
        <v>0</v>
      </c>
      <c r="AG637" s="78" t="s">
        <v>4802</v>
      </c>
      <c r="AH637" t="b">
        <v>1</v>
      </c>
      <c r="AI637" t="s">
        <v>4829</v>
      </c>
      <c r="AK637" s="78" t="s">
        <v>4400</v>
      </c>
      <c r="AL637" t="b">
        <v>0</v>
      </c>
      <c r="AM637">
        <v>2</v>
      </c>
      <c r="AN637" s="78" t="s">
        <v>4640</v>
      </c>
      <c r="AO637" s="78" t="s">
        <v>4850</v>
      </c>
      <c r="AP637" t="b">
        <v>0</v>
      </c>
      <c r="AQ637" s="78" t="s">
        <v>4401</v>
      </c>
      <c r="AR637" t="s">
        <v>179</v>
      </c>
      <c r="AS637">
        <v>0</v>
      </c>
      <c r="AT637">
        <v>0</v>
      </c>
    </row>
    <row r="638" spans="1:46" x14ac:dyDescent="0.45">
      <c r="A638" s="62" t="s">
        <v>1033</v>
      </c>
      <c r="B638" s="62" t="s">
        <v>1108</v>
      </c>
      <c r="C638" s="63"/>
      <c r="D638" s="64"/>
      <c r="E638" s="65"/>
      <c r="F638" s="66"/>
      <c r="G638" s="63"/>
      <c r="H638" s="67"/>
      <c r="I638" s="68"/>
      <c r="J638" s="68"/>
      <c r="K638" s="32"/>
      <c r="L638" s="75"/>
      <c r="M638" s="75"/>
      <c r="N638" s="70"/>
      <c r="O638" t="s">
        <v>1568</v>
      </c>
      <c r="P638" s="76">
        <v>44959.200613425928</v>
      </c>
      <c r="Q638" t="s">
        <v>2188</v>
      </c>
      <c r="R638" s="77" t="str">
        <f>HYPERLINK("https://twitter.com/aagupta88/status/1621007410604421120")</f>
        <v>https://twitter.com/aagupta88/status/1621007410604421120</v>
      </c>
      <c r="S638" t="s">
        <v>2257</v>
      </c>
      <c r="V638" s="77" t="str">
        <f>HYPERLINK("https://pbs.twimg.com/profile_images/1476392114074238978/_mBfkJs6_normal.jpg")</f>
        <v>https://pbs.twimg.com/profile_images/1476392114074238978/_mBfkJs6_normal.jpg</v>
      </c>
      <c r="W638" s="76">
        <v>44959.200613425928</v>
      </c>
      <c r="X638" s="80">
        <v>44959</v>
      </c>
      <c r="Y638" s="78" t="s">
        <v>3336</v>
      </c>
      <c r="Z638" s="77" t="str">
        <f>HYPERLINK("https://twitter.com/aagupta88/status/1621007725265309698")</f>
        <v>https://twitter.com/aagupta88/status/1621007725265309698</v>
      </c>
      <c r="AC638" s="78" t="s">
        <v>4401</v>
      </c>
      <c r="AE638" t="b">
        <v>0</v>
      </c>
      <c r="AF638">
        <v>0</v>
      </c>
      <c r="AG638" s="78" t="s">
        <v>4802</v>
      </c>
      <c r="AH638" t="b">
        <v>1</v>
      </c>
      <c r="AI638" t="s">
        <v>4829</v>
      </c>
      <c r="AK638" s="78" t="s">
        <v>4400</v>
      </c>
      <c r="AL638" t="b">
        <v>0</v>
      </c>
      <c r="AM638">
        <v>2</v>
      </c>
      <c r="AN638" s="78" t="s">
        <v>4640</v>
      </c>
      <c r="AO638" s="78" t="s">
        <v>4850</v>
      </c>
      <c r="AP638" t="b">
        <v>0</v>
      </c>
      <c r="AQ638" s="78" t="s">
        <v>4401</v>
      </c>
      <c r="AR638" t="s">
        <v>179</v>
      </c>
      <c r="AS638">
        <v>0</v>
      </c>
      <c r="AT638">
        <v>0</v>
      </c>
    </row>
    <row r="639" spans="1:46" x14ac:dyDescent="0.45">
      <c r="A639" s="62" t="s">
        <v>1033</v>
      </c>
      <c r="B639" s="62" t="s">
        <v>1515</v>
      </c>
      <c r="C639" s="63"/>
      <c r="D639" s="64"/>
      <c r="E639" s="65"/>
      <c r="F639" s="66"/>
      <c r="G639" s="63"/>
      <c r="H639" s="67"/>
      <c r="I639" s="68"/>
      <c r="J639" s="68"/>
      <c r="K639" s="32"/>
      <c r="L639" s="75"/>
      <c r="M639" s="75"/>
      <c r="N639" s="70"/>
      <c r="O639" t="s">
        <v>1567</v>
      </c>
      <c r="P639" s="76">
        <v>44959.200613425928</v>
      </c>
      <c r="Q639" t="s">
        <v>2188</v>
      </c>
      <c r="R639" s="77" t="str">
        <f>HYPERLINK("https://twitter.com/aagupta88/status/1621007410604421120")</f>
        <v>https://twitter.com/aagupta88/status/1621007410604421120</v>
      </c>
      <c r="S639" t="s">
        <v>2257</v>
      </c>
      <c r="V639" s="77" t="str">
        <f>HYPERLINK("https://pbs.twimg.com/profile_images/1476392114074238978/_mBfkJs6_normal.jpg")</f>
        <v>https://pbs.twimg.com/profile_images/1476392114074238978/_mBfkJs6_normal.jpg</v>
      </c>
      <c r="W639" s="76">
        <v>44959.200613425928</v>
      </c>
      <c r="X639" s="80">
        <v>44959</v>
      </c>
      <c r="Y639" s="78" t="s">
        <v>3336</v>
      </c>
      <c r="Z639" s="77" t="str">
        <f>HYPERLINK("https://twitter.com/aagupta88/status/1621007725265309698")</f>
        <v>https://twitter.com/aagupta88/status/1621007725265309698</v>
      </c>
      <c r="AC639" s="78" t="s">
        <v>4401</v>
      </c>
      <c r="AE639" t="b">
        <v>0</v>
      </c>
      <c r="AF639">
        <v>0</v>
      </c>
      <c r="AG639" s="78" t="s">
        <v>4802</v>
      </c>
      <c r="AH639" t="b">
        <v>1</v>
      </c>
      <c r="AI639" t="s">
        <v>4829</v>
      </c>
      <c r="AK639" s="78" t="s">
        <v>4400</v>
      </c>
      <c r="AL639" t="b">
        <v>0</v>
      </c>
      <c r="AM639">
        <v>2</v>
      </c>
      <c r="AN639" s="78" t="s">
        <v>4640</v>
      </c>
      <c r="AO639" s="78" t="s">
        <v>4850</v>
      </c>
      <c r="AP639" t="b">
        <v>0</v>
      </c>
      <c r="AQ639" s="78" t="s">
        <v>4401</v>
      </c>
      <c r="AR639" t="s">
        <v>179</v>
      </c>
      <c r="AS639">
        <v>0</v>
      </c>
      <c r="AT639">
        <v>0</v>
      </c>
    </row>
    <row r="640" spans="1:46" x14ac:dyDescent="0.45">
      <c r="A640" s="62" t="s">
        <v>1032</v>
      </c>
      <c r="B640" s="62" t="s">
        <v>1033</v>
      </c>
      <c r="C640" s="63"/>
      <c r="D640" s="64"/>
      <c r="E640" s="65"/>
      <c r="F640" s="66"/>
      <c r="G640" s="63"/>
      <c r="H640" s="67"/>
      <c r="I640" s="68"/>
      <c r="J640" s="68"/>
      <c r="K640" s="32"/>
      <c r="L640" s="75"/>
      <c r="M640" s="75"/>
      <c r="N640" s="70"/>
      <c r="O640" t="s">
        <v>1569</v>
      </c>
      <c r="P640" s="76">
        <v>44959.422777777778</v>
      </c>
      <c r="Q640" t="s">
        <v>2187</v>
      </c>
      <c r="R640" s="77" t="str">
        <f>HYPERLINK("https://twitter.com/magupta03/status/1615244469405908993")</f>
        <v>https://twitter.com/magupta03/status/1615244469405908993</v>
      </c>
      <c r="S640" t="s">
        <v>2257</v>
      </c>
      <c r="U640" s="77" t="str">
        <f>HYPERLINK("https://pbs.twimg.com/media/Fn75pafaAAAUfNo.jpg")</f>
        <v>https://pbs.twimg.com/media/Fn75pafaAAAUfNo.jpg</v>
      </c>
      <c r="V640" s="77" t="str">
        <f>HYPERLINK("https://pbs.twimg.com/media/Fn75pafaAAAUfNo.jpg")</f>
        <v>https://pbs.twimg.com/media/Fn75pafaAAAUfNo.jpg</v>
      </c>
      <c r="W640" s="76">
        <v>44959.422777777778</v>
      </c>
      <c r="X640" s="80">
        <v>44959</v>
      </c>
      <c r="Y640" s="78" t="s">
        <v>3339</v>
      </c>
      <c r="Z640" s="77" t="str">
        <f>HYPERLINK("https://twitter.com/aapkiawaaz_rk/status/1621088236398592001")</f>
        <v>https://twitter.com/aapkiawaaz_rk/status/1621088236398592001</v>
      </c>
      <c r="AC640" s="78" t="s">
        <v>4404</v>
      </c>
      <c r="AE640" t="b">
        <v>0</v>
      </c>
      <c r="AF640">
        <v>0</v>
      </c>
      <c r="AG640" s="78" t="s">
        <v>4640</v>
      </c>
      <c r="AH640" t="b">
        <v>1</v>
      </c>
      <c r="AI640" t="s">
        <v>4829</v>
      </c>
      <c r="AK640" s="78" t="s">
        <v>4847</v>
      </c>
      <c r="AL640" t="b">
        <v>0</v>
      </c>
      <c r="AM640">
        <v>2</v>
      </c>
      <c r="AN640" s="78" t="s">
        <v>4400</v>
      </c>
      <c r="AO640" s="78" t="s">
        <v>4849</v>
      </c>
      <c r="AP640" t="b">
        <v>0</v>
      </c>
      <c r="AQ640" s="78" t="s">
        <v>4400</v>
      </c>
      <c r="AR640" t="s">
        <v>179</v>
      </c>
      <c r="AS640">
        <v>0</v>
      </c>
      <c r="AT640">
        <v>0</v>
      </c>
    </row>
    <row r="641" spans="1:46" x14ac:dyDescent="0.45">
      <c r="A641" s="62" t="s">
        <v>1032</v>
      </c>
      <c r="B641" s="62" t="s">
        <v>1515</v>
      </c>
      <c r="C641" s="63"/>
      <c r="D641" s="64"/>
      <c r="E641" s="65"/>
      <c r="F641" s="66"/>
      <c r="G641" s="63"/>
      <c r="H641" s="67"/>
      <c r="I641" s="68"/>
      <c r="J641" s="68"/>
      <c r="K641" s="32"/>
      <c r="L641" s="75"/>
      <c r="M641" s="75"/>
      <c r="N641" s="70"/>
      <c r="O641" t="s">
        <v>1567</v>
      </c>
      <c r="P641" s="76">
        <v>44959.422777777778</v>
      </c>
      <c r="Q641" t="s">
        <v>2187</v>
      </c>
      <c r="R641" s="77" t="str">
        <f>HYPERLINK("https://twitter.com/magupta03/status/1615244469405908993")</f>
        <v>https://twitter.com/magupta03/status/1615244469405908993</v>
      </c>
      <c r="S641" t="s">
        <v>2257</v>
      </c>
      <c r="U641" s="77" t="str">
        <f>HYPERLINK("https://pbs.twimg.com/media/Fn75pafaAAAUfNo.jpg")</f>
        <v>https://pbs.twimg.com/media/Fn75pafaAAAUfNo.jpg</v>
      </c>
      <c r="V641" s="77" t="str">
        <f>HYPERLINK("https://pbs.twimg.com/media/Fn75pafaAAAUfNo.jpg")</f>
        <v>https://pbs.twimg.com/media/Fn75pafaAAAUfNo.jpg</v>
      </c>
      <c r="W641" s="76">
        <v>44959.422777777778</v>
      </c>
      <c r="X641" s="80">
        <v>44959</v>
      </c>
      <c r="Y641" s="78" t="s">
        <v>3339</v>
      </c>
      <c r="Z641" s="77" t="str">
        <f>HYPERLINK("https://twitter.com/aapkiawaaz_rk/status/1621088236398592001")</f>
        <v>https://twitter.com/aapkiawaaz_rk/status/1621088236398592001</v>
      </c>
      <c r="AC641" s="78" t="s">
        <v>4404</v>
      </c>
      <c r="AE641" t="b">
        <v>0</v>
      </c>
      <c r="AF641">
        <v>0</v>
      </c>
      <c r="AG641" s="78" t="s">
        <v>4640</v>
      </c>
      <c r="AH641" t="b">
        <v>1</v>
      </c>
      <c r="AI641" t="s">
        <v>4829</v>
      </c>
      <c r="AK641" s="78" t="s">
        <v>4847</v>
      </c>
      <c r="AL641" t="b">
        <v>0</v>
      </c>
      <c r="AM641">
        <v>2</v>
      </c>
      <c r="AN641" s="78" t="s">
        <v>4400</v>
      </c>
      <c r="AO641" s="78" t="s">
        <v>4849</v>
      </c>
      <c r="AP641" t="b">
        <v>0</v>
      </c>
      <c r="AQ641" s="78" t="s">
        <v>4400</v>
      </c>
      <c r="AR641" t="s">
        <v>179</v>
      </c>
      <c r="AS641">
        <v>0</v>
      </c>
      <c r="AT641">
        <v>0</v>
      </c>
    </row>
    <row r="642" spans="1:46" x14ac:dyDescent="0.45">
      <c r="A642" s="62" t="s">
        <v>1032</v>
      </c>
      <c r="B642" s="62" t="s">
        <v>242</v>
      </c>
      <c r="C642" s="63"/>
      <c r="D642" s="64"/>
      <c r="E642" s="65"/>
      <c r="F642" s="66"/>
      <c r="G642" s="63"/>
      <c r="H642" s="67"/>
      <c r="I642" s="68"/>
      <c r="J642" s="68"/>
      <c r="K642" s="32"/>
      <c r="L642" s="75"/>
      <c r="M642" s="75"/>
      <c r="N642" s="70"/>
      <c r="O642" t="s">
        <v>1570</v>
      </c>
      <c r="P642" s="76">
        <v>44959.422777777778</v>
      </c>
      <c r="Q642" t="s">
        <v>2187</v>
      </c>
      <c r="R642" s="77" t="str">
        <f>HYPERLINK("https://twitter.com/magupta03/status/1615244469405908993")</f>
        <v>https://twitter.com/magupta03/status/1615244469405908993</v>
      </c>
      <c r="S642" t="s">
        <v>2257</v>
      </c>
      <c r="U642" s="77" t="str">
        <f>HYPERLINK("https://pbs.twimg.com/media/Fn75pafaAAAUfNo.jpg")</f>
        <v>https://pbs.twimg.com/media/Fn75pafaAAAUfNo.jpg</v>
      </c>
      <c r="V642" s="77" t="str">
        <f>HYPERLINK("https://pbs.twimg.com/media/Fn75pafaAAAUfNo.jpg")</f>
        <v>https://pbs.twimg.com/media/Fn75pafaAAAUfNo.jpg</v>
      </c>
      <c r="W642" s="76">
        <v>44959.422777777778</v>
      </c>
      <c r="X642" s="80">
        <v>44959</v>
      </c>
      <c r="Y642" s="78" t="s">
        <v>3339</v>
      </c>
      <c r="Z642" s="77" t="str">
        <f>HYPERLINK("https://twitter.com/aapkiawaaz_rk/status/1621088236398592001")</f>
        <v>https://twitter.com/aapkiawaaz_rk/status/1621088236398592001</v>
      </c>
      <c r="AC642" s="78" t="s">
        <v>4404</v>
      </c>
      <c r="AE642" t="b">
        <v>0</v>
      </c>
      <c r="AF642">
        <v>0</v>
      </c>
      <c r="AG642" s="78" t="s">
        <v>4640</v>
      </c>
      <c r="AH642" t="b">
        <v>1</v>
      </c>
      <c r="AI642" t="s">
        <v>4829</v>
      </c>
      <c r="AK642" s="78" t="s">
        <v>4847</v>
      </c>
      <c r="AL642" t="b">
        <v>0</v>
      </c>
      <c r="AM642">
        <v>2</v>
      </c>
      <c r="AN642" s="78" t="s">
        <v>4400</v>
      </c>
      <c r="AO642" s="78" t="s">
        <v>4849</v>
      </c>
      <c r="AP642" t="b">
        <v>0</v>
      </c>
      <c r="AQ642" s="78" t="s">
        <v>4400</v>
      </c>
      <c r="AR642" t="s">
        <v>179</v>
      </c>
      <c r="AS642">
        <v>0</v>
      </c>
      <c r="AT642">
        <v>0</v>
      </c>
    </row>
    <row r="643" spans="1:46" x14ac:dyDescent="0.45">
      <c r="A643" s="62" t="s">
        <v>1032</v>
      </c>
      <c r="B643" s="62" t="s">
        <v>1109</v>
      </c>
      <c r="C643" s="63"/>
      <c r="D643" s="64"/>
      <c r="E643" s="65"/>
      <c r="F643" s="66"/>
      <c r="G643" s="63"/>
      <c r="H643" s="67"/>
      <c r="I643" s="68"/>
      <c r="J643" s="68"/>
      <c r="K643" s="32"/>
      <c r="L643" s="75"/>
      <c r="M643" s="75"/>
      <c r="N643" s="70"/>
      <c r="O643" t="s">
        <v>1570</v>
      </c>
      <c r="P643" s="76">
        <v>44959.422777777778</v>
      </c>
      <c r="Q643" t="s">
        <v>2187</v>
      </c>
      <c r="R643" s="77" t="str">
        <f>HYPERLINK("https://twitter.com/magupta03/status/1615244469405908993")</f>
        <v>https://twitter.com/magupta03/status/1615244469405908993</v>
      </c>
      <c r="S643" t="s">
        <v>2257</v>
      </c>
      <c r="U643" s="77" t="str">
        <f>HYPERLINK("https://pbs.twimg.com/media/Fn75pafaAAAUfNo.jpg")</f>
        <v>https://pbs.twimg.com/media/Fn75pafaAAAUfNo.jpg</v>
      </c>
      <c r="V643" s="77" t="str">
        <f>HYPERLINK("https://pbs.twimg.com/media/Fn75pafaAAAUfNo.jpg")</f>
        <v>https://pbs.twimg.com/media/Fn75pafaAAAUfNo.jpg</v>
      </c>
      <c r="W643" s="76">
        <v>44959.422777777778</v>
      </c>
      <c r="X643" s="80">
        <v>44959</v>
      </c>
      <c r="Y643" s="78" t="s">
        <v>3339</v>
      </c>
      <c r="Z643" s="77" t="str">
        <f>HYPERLINK("https://twitter.com/aapkiawaaz_rk/status/1621088236398592001")</f>
        <v>https://twitter.com/aapkiawaaz_rk/status/1621088236398592001</v>
      </c>
      <c r="AC643" s="78" t="s">
        <v>4404</v>
      </c>
      <c r="AE643" t="b">
        <v>0</v>
      </c>
      <c r="AF643">
        <v>0</v>
      </c>
      <c r="AG643" s="78" t="s">
        <v>4640</v>
      </c>
      <c r="AH643" t="b">
        <v>1</v>
      </c>
      <c r="AI643" t="s">
        <v>4829</v>
      </c>
      <c r="AK643" s="78" t="s">
        <v>4847</v>
      </c>
      <c r="AL643" t="b">
        <v>0</v>
      </c>
      <c r="AM643">
        <v>2</v>
      </c>
      <c r="AN643" s="78" t="s">
        <v>4400</v>
      </c>
      <c r="AO643" s="78" t="s">
        <v>4849</v>
      </c>
      <c r="AP643" t="b">
        <v>0</v>
      </c>
      <c r="AQ643" s="78" t="s">
        <v>4400</v>
      </c>
      <c r="AR643" t="s">
        <v>179</v>
      </c>
      <c r="AS643">
        <v>0</v>
      </c>
      <c r="AT643">
        <v>0</v>
      </c>
    </row>
    <row r="644" spans="1:46" x14ac:dyDescent="0.45">
      <c r="A644" s="62" t="s">
        <v>1032</v>
      </c>
      <c r="B644" s="62" t="s">
        <v>1108</v>
      </c>
      <c r="C644" s="63"/>
      <c r="D644" s="64"/>
      <c r="E644" s="65"/>
      <c r="F644" s="66"/>
      <c r="G644" s="63"/>
      <c r="H644" s="67"/>
      <c r="I644" s="68"/>
      <c r="J644" s="68"/>
      <c r="K644" s="32"/>
      <c r="L644" s="75"/>
      <c r="M644" s="75"/>
      <c r="N644" s="70"/>
      <c r="O644" t="s">
        <v>1570</v>
      </c>
      <c r="P644" s="76">
        <v>44959.422777777778</v>
      </c>
      <c r="Q644" t="s">
        <v>2187</v>
      </c>
      <c r="R644" s="77" t="str">
        <f>HYPERLINK("https://twitter.com/magupta03/status/1615244469405908993")</f>
        <v>https://twitter.com/magupta03/status/1615244469405908993</v>
      </c>
      <c r="S644" t="s">
        <v>2257</v>
      </c>
      <c r="U644" s="77" t="str">
        <f>HYPERLINK("https://pbs.twimg.com/media/Fn75pafaAAAUfNo.jpg")</f>
        <v>https://pbs.twimg.com/media/Fn75pafaAAAUfNo.jpg</v>
      </c>
      <c r="V644" s="77" t="str">
        <f>HYPERLINK("https://pbs.twimg.com/media/Fn75pafaAAAUfNo.jpg")</f>
        <v>https://pbs.twimg.com/media/Fn75pafaAAAUfNo.jpg</v>
      </c>
      <c r="W644" s="76">
        <v>44959.422777777778</v>
      </c>
      <c r="X644" s="80">
        <v>44959</v>
      </c>
      <c r="Y644" s="78" t="s">
        <v>3339</v>
      </c>
      <c r="Z644" s="77" t="str">
        <f>HYPERLINK("https://twitter.com/aapkiawaaz_rk/status/1621088236398592001")</f>
        <v>https://twitter.com/aapkiawaaz_rk/status/1621088236398592001</v>
      </c>
      <c r="AC644" s="78" t="s">
        <v>4404</v>
      </c>
      <c r="AE644" t="b">
        <v>0</v>
      </c>
      <c r="AF644">
        <v>0</v>
      </c>
      <c r="AG644" s="78" t="s">
        <v>4640</v>
      </c>
      <c r="AH644" t="b">
        <v>1</v>
      </c>
      <c r="AI644" t="s">
        <v>4829</v>
      </c>
      <c r="AK644" s="78" t="s">
        <v>4847</v>
      </c>
      <c r="AL644" t="b">
        <v>0</v>
      </c>
      <c r="AM644">
        <v>2</v>
      </c>
      <c r="AN644" s="78" t="s">
        <v>4400</v>
      </c>
      <c r="AO644" s="78" t="s">
        <v>4849</v>
      </c>
      <c r="AP644" t="b">
        <v>0</v>
      </c>
      <c r="AQ644" s="78" t="s">
        <v>4400</v>
      </c>
      <c r="AR644" t="s">
        <v>179</v>
      </c>
      <c r="AS644">
        <v>0</v>
      </c>
      <c r="AT644">
        <v>0</v>
      </c>
    </row>
    <row r="645" spans="1:46" x14ac:dyDescent="0.45">
      <c r="A645" s="62" t="s">
        <v>289</v>
      </c>
      <c r="B645" s="62" t="s">
        <v>1170</v>
      </c>
      <c r="C645" s="63"/>
      <c r="D645" s="64"/>
      <c r="E645" s="65"/>
      <c r="F645" s="66"/>
      <c r="G645" s="63"/>
      <c r="H645" s="67"/>
      <c r="I645" s="68"/>
      <c r="J645" s="68"/>
      <c r="K645" s="32"/>
      <c r="L645" s="75"/>
      <c r="M645" s="75"/>
      <c r="N645" s="70"/>
      <c r="O645" t="s">
        <v>1568</v>
      </c>
      <c r="P645" s="76">
        <v>44958.553287037037</v>
      </c>
      <c r="Q645" t="s">
        <v>1633</v>
      </c>
      <c r="R645" s="77" t="str">
        <f>HYPERLINK("https://urlis.net/c768nzb")</f>
        <v>https://urlis.net/c768nzb</v>
      </c>
      <c r="S645" t="s">
        <v>2268</v>
      </c>
      <c r="V645" s="77" t="str">
        <f>HYPERLINK("https://pbs.twimg.com/profile_images/1600462027645820930/HCoNfwIh_normal.png")</f>
        <v>https://pbs.twimg.com/profile_images/1600462027645820930/HCoNfwIh_normal.png</v>
      </c>
      <c r="W645" s="76">
        <v>44958.553287037037</v>
      </c>
      <c r="X645" s="80">
        <v>44958</v>
      </c>
      <c r="Y645" s="78" t="s">
        <v>2498</v>
      </c>
      <c r="Z645" s="77" t="str">
        <f>HYPERLINK("https://twitter.com/sazzadk13691034/status/1620773142590550016")</f>
        <v>https://twitter.com/sazzadk13691034/status/1620773142590550016</v>
      </c>
      <c r="AC645" s="78" t="s">
        <v>3513</v>
      </c>
      <c r="AD645" s="78" t="s">
        <v>4516</v>
      </c>
      <c r="AE645" t="b">
        <v>0</v>
      </c>
      <c r="AF645">
        <v>0</v>
      </c>
      <c r="AG645" s="78" t="s">
        <v>4665</v>
      </c>
      <c r="AH645" t="b">
        <v>0</v>
      </c>
      <c r="AI645" t="s">
        <v>4829</v>
      </c>
      <c r="AK645" s="78" t="s">
        <v>4640</v>
      </c>
      <c r="AL645" t="b">
        <v>0</v>
      </c>
      <c r="AM645">
        <v>0</v>
      </c>
      <c r="AN645" s="78" t="s">
        <v>4640</v>
      </c>
      <c r="AO645" s="78" t="s">
        <v>4851</v>
      </c>
      <c r="AP645" t="b">
        <v>0</v>
      </c>
      <c r="AQ645" s="78" t="s">
        <v>4516</v>
      </c>
      <c r="AR645" t="s">
        <v>179</v>
      </c>
      <c r="AS645">
        <v>0</v>
      </c>
      <c r="AT645">
        <v>0</v>
      </c>
    </row>
    <row r="646" spans="1:46" x14ac:dyDescent="0.45">
      <c r="A646" s="62" t="s">
        <v>289</v>
      </c>
      <c r="B646" s="62" t="s">
        <v>1171</v>
      </c>
      <c r="C646" s="63"/>
      <c r="D646" s="64"/>
      <c r="E646" s="65"/>
      <c r="F646" s="66"/>
      <c r="G646" s="63"/>
      <c r="H646" s="67"/>
      <c r="I646" s="68"/>
      <c r="J646" s="68"/>
      <c r="K646" s="32"/>
      <c r="L646" s="75"/>
      <c r="M646" s="75"/>
      <c r="N646" s="70"/>
      <c r="O646" t="s">
        <v>1568</v>
      </c>
      <c r="P646" s="76">
        <v>44958.553287037037</v>
      </c>
      <c r="Q646" t="s">
        <v>1633</v>
      </c>
      <c r="R646" s="77" t="str">
        <f>HYPERLINK("https://urlis.net/c768nzb")</f>
        <v>https://urlis.net/c768nzb</v>
      </c>
      <c r="S646" t="s">
        <v>2268</v>
      </c>
      <c r="V646" s="77" t="str">
        <f>HYPERLINK("https://pbs.twimg.com/profile_images/1600462027645820930/HCoNfwIh_normal.png")</f>
        <v>https://pbs.twimg.com/profile_images/1600462027645820930/HCoNfwIh_normal.png</v>
      </c>
      <c r="W646" s="76">
        <v>44958.553287037037</v>
      </c>
      <c r="X646" s="80">
        <v>44958</v>
      </c>
      <c r="Y646" s="78" t="s">
        <v>2498</v>
      </c>
      <c r="Z646" s="77" t="str">
        <f>HYPERLINK("https://twitter.com/sazzadk13691034/status/1620773142590550016")</f>
        <v>https://twitter.com/sazzadk13691034/status/1620773142590550016</v>
      </c>
      <c r="AC646" s="78" t="s">
        <v>3513</v>
      </c>
      <c r="AD646" s="78" t="s">
        <v>4516</v>
      </c>
      <c r="AE646" t="b">
        <v>0</v>
      </c>
      <c r="AF646">
        <v>0</v>
      </c>
      <c r="AG646" s="78" t="s">
        <v>4665</v>
      </c>
      <c r="AH646" t="b">
        <v>0</v>
      </c>
      <c r="AI646" t="s">
        <v>4829</v>
      </c>
      <c r="AK646" s="78" t="s">
        <v>4640</v>
      </c>
      <c r="AL646" t="b">
        <v>0</v>
      </c>
      <c r="AM646">
        <v>0</v>
      </c>
      <c r="AN646" s="78" t="s">
        <v>4640</v>
      </c>
      <c r="AO646" s="78" t="s">
        <v>4851</v>
      </c>
      <c r="AP646" t="b">
        <v>0</v>
      </c>
      <c r="AQ646" s="78" t="s">
        <v>4516</v>
      </c>
      <c r="AR646" t="s">
        <v>179</v>
      </c>
      <c r="AS646">
        <v>0</v>
      </c>
      <c r="AT646">
        <v>0</v>
      </c>
    </row>
    <row r="647" spans="1:46" x14ac:dyDescent="0.45">
      <c r="A647" s="62" t="s">
        <v>289</v>
      </c>
      <c r="B647" s="62" t="s">
        <v>1172</v>
      </c>
      <c r="C647" s="63"/>
      <c r="D647" s="64"/>
      <c r="E647" s="65"/>
      <c r="F647" s="66"/>
      <c r="G647" s="63"/>
      <c r="H647" s="67"/>
      <c r="I647" s="68"/>
      <c r="J647" s="68"/>
      <c r="K647" s="32"/>
      <c r="L647" s="75"/>
      <c r="M647" s="75"/>
      <c r="N647" s="70"/>
      <c r="O647" t="s">
        <v>1568</v>
      </c>
      <c r="P647" s="76">
        <v>44958.553287037037</v>
      </c>
      <c r="Q647" t="s">
        <v>1633</v>
      </c>
      <c r="R647" s="77" t="str">
        <f>HYPERLINK("https://urlis.net/c768nzb")</f>
        <v>https://urlis.net/c768nzb</v>
      </c>
      <c r="S647" t="s">
        <v>2268</v>
      </c>
      <c r="V647" s="77" t="str">
        <f>HYPERLINK("https://pbs.twimg.com/profile_images/1600462027645820930/HCoNfwIh_normal.png")</f>
        <v>https://pbs.twimg.com/profile_images/1600462027645820930/HCoNfwIh_normal.png</v>
      </c>
      <c r="W647" s="76">
        <v>44958.553287037037</v>
      </c>
      <c r="X647" s="80">
        <v>44958</v>
      </c>
      <c r="Y647" s="78" t="s">
        <v>2498</v>
      </c>
      <c r="Z647" s="77" t="str">
        <f>HYPERLINK("https://twitter.com/sazzadk13691034/status/1620773142590550016")</f>
        <v>https://twitter.com/sazzadk13691034/status/1620773142590550016</v>
      </c>
      <c r="AC647" s="78" t="s">
        <v>3513</v>
      </c>
      <c r="AD647" s="78" t="s">
        <v>4516</v>
      </c>
      <c r="AE647" t="b">
        <v>0</v>
      </c>
      <c r="AF647">
        <v>0</v>
      </c>
      <c r="AG647" s="78" t="s">
        <v>4665</v>
      </c>
      <c r="AH647" t="b">
        <v>0</v>
      </c>
      <c r="AI647" t="s">
        <v>4829</v>
      </c>
      <c r="AK647" s="78" t="s">
        <v>4640</v>
      </c>
      <c r="AL647" t="b">
        <v>0</v>
      </c>
      <c r="AM647">
        <v>0</v>
      </c>
      <c r="AN647" s="78" t="s">
        <v>4640</v>
      </c>
      <c r="AO647" s="78" t="s">
        <v>4851</v>
      </c>
      <c r="AP647" t="b">
        <v>0</v>
      </c>
      <c r="AQ647" s="78" t="s">
        <v>4516</v>
      </c>
      <c r="AR647" t="s">
        <v>179</v>
      </c>
      <c r="AS647">
        <v>0</v>
      </c>
      <c r="AT647">
        <v>0</v>
      </c>
    </row>
    <row r="648" spans="1:46" x14ac:dyDescent="0.45">
      <c r="A648" s="62" t="s">
        <v>289</v>
      </c>
      <c r="B648" s="62" t="s">
        <v>1173</v>
      </c>
      <c r="C648" s="63"/>
      <c r="D648" s="64"/>
      <c r="E648" s="65"/>
      <c r="F648" s="66"/>
      <c r="G648" s="63"/>
      <c r="H648" s="67"/>
      <c r="I648" s="68"/>
      <c r="J648" s="68"/>
      <c r="K648" s="32"/>
      <c r="L648" s="75"/>
      <c r="M648" s="75"/>
      <c r="N648" s="70"/>
      <c r="O648" t="s">
        <v>1568</v>
      </c>
      <c r="P648" s="76">
        <v>44958.553287037037</v>
      </c>
      <c r="Q648" t="s">
        <v>1633</v>
      </c>
      <c r="R648" s="77" t="str">
        <f>HYPERLINK("https://urlis.net/c768nzb")</f>
        <v>https://urlis.net/c768nzb</v>
      </c>
      <c r="S648" t="s">
        <v>2268</v>
      </c>
      <c r="V648" s="77" t="str">
        <f>HYPERLINK("https://pbs.twimg.com/profile_images/1600462027645820930/HCoNfwIh_normal.png")</f>
        <v>https://pbs.twimg.com/profile_images/1600462027645820930/HCoNfwIh_normal.png</v>
      </c>
      <c r="W648" s="76">
        <v>44958.553287037037</v>
      </c>
      <c r="X648" s="80">
        <v>44958</v>
      </c>
      <c r="Y648" s="78" t="s">
        <v>2498</v>
      </c>
      <c r="Z648" s="77" t="str">
        <f>HYPERLINK("https://twitter.com/sazzadk13691034/status/1620773142590550016")</f>
        <v>https://twitter.com/sazzadk13691034/status/1620773142590550016</v>
      </c>
      <c r="AC648" s="78" t="s">
        <v>3513</v>
      </c>
      <c r="AD648" s="78" t="s">
        <v>4516</v>
      </c>
      <c r="AE648" t="b">
        <v>0</v>
      </c>
      <c r="AF648">
        <v>0</v>
      </c>
      <c r="AG648" s="78" t="s">
        <v>4665</v>
      </c>
      <c r="AH648" t="b">
        <v>0</v>
      </c>
      <c r="AI648" t="s">
        <v>4829</v>
      </c>
      <c r="AK648" s="78" t="s">
        <v>4640</v>
      </c>
      <c r="AL648" t="b">
        <v>0</v>
      </c>
      <c r="AM648">
        <v>0</v>
      </c>
      <c r="AN648" s="78" t="s">
        <v>4640</v>
      </c>
      <c r="AO648" s="78" t="s">
        <v>4851</v>
      </c>
      <c r="AP648" t="b">
        <v>0</v>
      </c>
      <c r="AQ648" s="78" t="s">
        <v>4516</v>
      </c>
      <c r="AR648" t="s">
        <v>179</v>
      </c>
      <c r="AS648">
        <v>0</v>
      </c>
      <c r="AT648">
        <v>0</v>
      </c>
    </row>
    <row r="649" spans="1:46" x14ac:dyDescent="0.45">
      <c r="A649" s="62" t="s">
        <v>289</v>
      </c>
      <c r="B649" s="62" t="s">
        <v>1174</v>
      </c>
      <c r="C649" s="63"/>
      <c r="D649" s="64"/>
      <c r="E649" s="65"/>
      <c r="F649" s="66"/>
      <c r="G649" s="63"/>
      <c r="H649" s="67"/>
      <c r="I649" s="68"/>
      <c r="J649" s="68"/>
      <c r="K649" s="32"/>
      <c r="L649" s="75"/>
      <c r="M649" s="75"/>
      <c r="N649" s="70"/>
      <c r="O649" t="s">
        <v>1567</v>
      </c>
      <c r="P649" s="76">
        <v>44958.553287037037</v>
      </c>
      <c r="Q649" t="s">
        <v>1633</v>
      </c>
      <c r="R649" s="77" t="str">
        <f>HYPERLINK("https://urlis.net/c768nzb")</f>
        <v>https://urlis.net/c768nzb</v>
      </c>
      <c r="S649" t="s">
        <v>2268</v>
      </c>
      <c r="V649" s="77" t="str">
        <f>HYPERLINK("https://pbs.twimg.com/profile_images/1600462027645820930/HCoNfwIh_normal.png")</f>
        <v>https://pbs.twimg.com/profile_images/1600462027645820930/HCoNfwIh_normal.png</v>
      </c>
      <c r="W649" s="76">
        <v>44958.553287037037</v>
      </c>
      <c r="X649" s="80">
        <v>44958</v>
      </c>
      <c r="Y649" s="78" t="s">
        <v>2498</v>
      </c>
      <c r="Z649" s="77" t="str">
        <f>HYPERLINK("https://twitter.com/sazzadk13691034/status/1620773142590550016")</f>
        <v>https://twitter.com/sazzadk13691034/status/1620773142590550016</v>
      </c>
      <c r="AC649" s="78" t="s">
        <v>3513</v>
      </c>
      <c r="AD649" s="78" t="s">
        <v>4516</v>
      </c>
      <c r="AE649" t="b">
        <v>0</v>
      </c>
      <c r="AF649">
        <v>0</v>
      </c>
      <c r="AG649" s="78" t="s">
        <v>4665</v>
      </c>
      <c r="AH649" t="b">
        <v>0</v>
      </c>
      <c r="AI649" t="s">
        <v>4829</v>
      </c>
      <c r="AK649" s="78" t="s">
        <v>4640</v>
      </c>
      <c r="AL649" t="b">
        <v>0</v>
      </c>
      <c r="AM649">
        <v>0</v>
      </c>
      <c r="AN649" s="78" t="s">
        <v>4640</v>
      </c>
      <c r="AO649" s="78" t="s">
        <v>4851</v>
      </c>
      <c r="AP649" t="b">
        <v>0</v>
      </c>
      <c r="AQ649" s="78" t="s">
        <v>4516</v>
      </c>
      <c r="AR649" t="s">
        <v>179</v>
      </c>
      <c r="AS649">
        <v>0</v>
      </c>
      <c r="AT649">
        <v>0</v>
      </c>
    </row>
    <row r="650" spans="1:46" x14ac:dyDescent="0.45">
      <c r="A650" s="62" t="s">
        <v>289</v>
      </c>
      <c r="B650" s="62" t="s">
        <v>1175</v>
      </c>
      <c r="C650" s="63"/>
      <c r="D650" s="64"/>
      <c r="E650" s="65"/>
      <c r="F650" s="66"/>
      <c r="G650" s="63"/>
      <c r="H650" s="67"/>
      <c r="I650" s="68"/>
      <c r="J650" s="68"/>
      <c r="K650" s="32"/>
      <c r="L650" s="75"/>
      <c r="M650" s="75"/>
      <c r="N650" s="70"/>
      <c r="O650" t="s">
        <v>1568</v>
      </c>
      <c r="P650" s="76">
        <v>44958.553287037037</v>
      </c>
      <c r="Q650" t="s">
        <v>1633</v>
      </c>
      <c r="R650" s="77" t="str">
        <f>HYPERLINK("https://urlis.net/c768nzb")</f>
        <v>https://urlis.net/c768nzb</v>
      </c>
      <c r="S650" t="s">
        <v>2268</v>
      </c>
      <c r="V650" s="77" t="str">
        <f>HYPERLINK("https://pbs.twimg.com/profile_images/1600462027645820930/HCoNfwIh_normal.png")</f>
        <v>https://pbs.twimg.com/profile_images/1600462027645820930/HCoNfwIh_normal.png</v>
      </c>
      <c r="W650" s="76">
        <v>44958.553287037037</v>
      </c>
      <c r="X650" s="80">
        <v>44958</v>
      </c>
      <c r="Y650" s="78" t="s">
        <v>2498</v>
      </c>
      <c r="Z650" s="77" t="str">
        <f>HYPERLINK("https://twitter.com/sazzadk13691034/status/1620773142590550016")</f>
        <v>https://twitter.com/sazzadk13691034/status/1620773142590550016</v>
      </c>
      <c r="AC650" s="78" t="s">
        <v>3513</v>
      </c>
      <c r="AD650" s="78" t="s">
        <v>4516</v>
      </c>
      <c r="AE650" t="b">
        <v>0</v>
      </c>
      <c r="AF650">
        <v>0</v>
      </c>
      <c r="AG650" s="78" t="s">
        <v>4665</v>
      </c>
      <c r="AH650" t="b">
        <v>0</v>
      </c>
      <c r="AI650" t="s">
        <v>4829</v>
      </c>
      <c r="AK650" s="78" t="s">
        <v>4640</v>
      </c>
      <c r="AL650" t="b">
        <v>0</v>
      </c>
      <c r="AM650">
        <v>0</v>
      </c>
      <c r="AN650" s="78" t="s">
        <v>4640</v>
      </c>
      <c r="AO650" s="78" t="s">
        <v>4851</v>
      </c>
      <c r="AP650" t="b">
        <v>0</v>
      </c>
      <c r="AQ650" s="78" t="s">
        <v>4516</v>
      </c>
      <c r="AR650" t="s">
        <v>179</v>
      </c>
      <c r="AS650">
        <v>0</v>
      </c>
      <c r="AT650">
        <v>0</v>
      </c>
    </row>
    <row r="651" spans="1:46" x14ac:dyDescent="0.45">
      <c r="A651" s="62" t="s">
        <v>289</v>
      </c>
      <c r="B651" s="62" t="s">
        <v>242</v>
      </c>
      <c r="C651" s="63"/>
      <c r="D651" s="64"/>
      <c r="E651" s="65"/>
      <c r="F651" s="66"/>
      <c r="G651" s="63"/>
      <c r="H651" s="67"/>
      <c r="I651" s="68"/>
      <c r="J651" s="68"/>
      <c r="K651" s="32"/>
      <c r="L651" s="75"/>
      <c r="M651" s="75"/>
      <c r="N651" s="70"/>
      <c r="O651" t="s">
        <v>1568</v>
      </c>
      <c r="P651" s="76">
        <v>44958.553287037037</v>
      </c>
      <c r="Q651" t="s">
        <v>1633</v>
      </c>
      <c r="R651" s="77" t="str">
        <f>HYPERLINK("https://urlis.net/c768nzb")</f>
        <v>https://urlis.net/c768nzb</v>
      </c>
      <c r="S651" t="s">
        <v>2268</v>
      </c>
      <c r="V651" s="77" t="str">
        <f>HYPERLINK("https://pbs.twimg.com/profile_images/1600462027645820930/HCoNfwIh_normal.png")</f>
        <v>https://pbs.twimg.com/profile_images/1600462027645820930/HCoNfwIh_normal.png</v>
      </c>
      <c r="W651" s="76">
        <v>44958.553287037037</v>
      </c>
      <c r="X651" s="80">
        <v>44958</v>
      </c>
      <c r="Y651" s="78" t="s">
        <v>2498</v>
      </c>
      <c r="Z651" s="77" t="str">
        <f>HYPERLINK("https://twitter.com/sazzadk13691034/status/1620773142590550016")</f>
        <v>https://twitter.com/sazzadk13691034/status/1620773142590550016</v>
      </c>
      <c r="AC651" s="78" t="s">
        <v>3513</v>
      </c>
      <c r="AD651" s="78" t="s">
        <v>4516</v>
      </c>
      <c r="AE651" t="b">
        <v>0</v>
      </c>
      <c r="AF651">
        <v>0</v>
      </c>
      <c r="AG651" s="78" t="s">
        <v>4665</v>
      </c>
      <c r="AH651" t="b">
        <v>0</v>
      </c>
      <c r="AI651" t="s">
        <v>4829</v>
      </c>
      <c r="AK651" s="78" t="s">
        <v>4640</v>
      </c>
      <c r="AL651" t="b">
        <v>0</v>
      </c>
      <c r="AM651">
        <v>0</v>
      </c>
      <c r="AN651" s="78" t="s">
        <v>4640</v>
      </c>
      <c r="AO651" s="78" t="s">
        <v>4851</v>
      </c>
      <c r="AP651" t="b">
        <v>0</v>
      </c>
      <c r="AQ651" s="78" t="s">
        <v>4516</v>
      </c>
      <c r="AR651" t="s">
        <v>179</v>
      </c>
      <c r="AS651">
        <v>0</v>
      </c>
      <c r="AT651">
        <v>0</v>
      </c>
    </row>
    <row r="652" spans="1:46" x14ac:dyDescent="0.45">
      <c r="A652" s="62" t="s">
        <v>289</v>
      </c>
      <c r="B652" s="62" t="s">
        <v>1113</v>
      </c>
      <c r="C652" s="63"/>
      <c r="D652" s="64"/>
      <c r="E652" s="65"/>
      <c r="F652" s="66"/>
      <c r="G652" s="63"/>
      <c r="H652" s="67"/>
      <c r="I652" s="68"/>
      <c r="J652" s="68"/>
      <c r="K652" s="32"/>
      <c r="L652" s="75"/>
      <c r="M652" s="75"/>
      <c r="N652" s="70"/>
      <c r="O652" t="s">
        <v>1568</v>
      </c>
      <c r="P652" s="76">
        <v>44958.553287037037</v>
      </c>
      <c r="Q652" t="s">
        <v>1633</v>
      </c>
      <c r="R652" s="77" t="str">
        <f>HYPERLINK("https://urlis.net/c768nzb")</f>
        <v>https://urlis.net/c768nzb</v>
      </c>
      <c r="S652" t="s">
        <v>2268</v>
      </c>
      <c r="V652" s="77" t="str">
        <f>HYPERLINK("https://pbs.twimg.com/profile_images/1600462027645820930/HCoNfwIh_normal.png")</f>
        <v>https://pbs.twimg.com/profile_images/1600462027645820930/HCoNfwIh_normal.png</v>
      </c>
      <c r="W652" s="76">
        <v>44958.553287037037</v>
      </c>
      <c r="X652" s="80">
        <v>44958</v>
      </c>
      <c r="Y652" s="78" t="s">
        <v>2498</v>
      </c>
      <c r="Z652" s="77" t="str">
        <f>HYPERLINK("https://twitter.com/sazzadk13691034/status/1620773142590550016")</f>
        <v>https://twitter.com/sazzadk13691034/status/1620773142590550016</v>
      </c>
      <c r="AC652" s="78" t="s">
        <v>3513</v>
      </c>
      <c r="AD652" s="78" t="s">
        <v>4516</v>
      </c>
      <c r="AE652" t="b">
        <v>0</v>
      </c>
      <c r="AF652">
        <v>0</v>
      </c>
      <c r="AG652" s="78" t="s">
        <v>4665</v>
      </c>
      <c r="AH652" t="b">
        <v>0</v>
      </c>
      <c r="AI652" t="s">
        <v>4829</v>
      </c>
      <c r="AK652" s="78" t="s">
        <v>4640</v>
      </c>
      <c r="AL652" t="b">
        <v>0</v>
      </c>
      <c r="AM652">
        <v>0</v>
      </c>
      <c r="AN652" s="78" t="s">
        <v>4640</v>
      </c>
      <c r="AO652" s="78" t="s">
        <v>4851</v>
      </c>
      <c r="AP652" t="b">
        <v>0</v>
      </c>
      <c r="AQ652" s="78" t="s">
        <v>4516</v>
      </c>
      <c r="AR652" t="s">
        <v>179</v>
      </c>
      <c r="AS652">
        <v>0</v>
      </c>
      <c r="AT652">
        <v>0</v>
      </c>
    </row>
    <row r="653" spans="1:46" x14ac:dyDescent="0.45">
      <c r="A653" s="62" t="s">
        <v>1006</v>
      </c>
      <c r="B653" s="62" t="s">
        <v>242</v>
      </c>
      <c r="C653" s="63"/>
      <c r="D653" s="64"/>
      <c r="E653" s="65"/>
      <c r="F653" s="66"/>
      <c r="G653" s="63"/>
      <c r="H653" s="67"/>
      <c r="I653" s="68"/>
      <c r="J653" s="68"/>
      <c r="K653" s="32"/>
      <c r="L653" s="75"/>
      <c r="M653" s="75"/>
      <c r="N653" s="70"/>
      <c r="O653" t="s">
        <v>1568</v>
      </c>
      <c r="P653" s="76">
        <v>44958.791759259257</v>
      </c>
      <c r="Q653" t="s">
        <v>1817</v>
      </c>
      <c r="R65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53" t="s">
        <v>2285</v>
      </c>
      <c r="V653" s="77" t="str">
        <f>HYPERLINK("https://pbs.twimg.com/profile_images/1378066197929988101/LSM1tFKD_normal.png")</f>
        <v>https://pbs.twimg.com/profile_images/1378066197929988101/LSM1tFKD_normal.png</v>
      </c>
      <c r="W653" s="76">
        <v>44958.791759259257</v>
      </c>
      <c r="X653" s="80">
        <v>44958</v>
      </c>
      <c r="Y653" s="78" t="s">
        <v>3295</v>
      </c>
      <c r="Z653" s="77" t="str">
        <f>HYPERLINK("https://twitter.com/verifythis/status/1620859563405606914")</f>
        <v>https://twitter.com/verifythis/status/1620859563405606914</v>
      </c>
      <c r="AC653" s="78" t="s">
        <v>4360</v>
      </c>
      <c r="AE653" t="b">
        <v>0</v>
      </c>
      <c r="AF653">
        <v>14</v>
      </c>
      <c r="AG653" s="78" t="s">
        <v>4640</v>
      </c>
      <c r="AH653" t="b">
        <v>0</v>
      </c>
      <c r="AI653" t="s">
        <v>4829</v>
      </c>
      <c r="AK653" s="78" t="s">
        <v>4640</v>
      </c>
      <c r="AL653" t="b">
        <v>0</v>
      </c>
      <c r="AM653">
        <v>60</v>
      </c>
      <c r="AN653" s="78" t="s">
        <v>4640</v>
      </c>
      <c r="AO653" s="78" t="s">
        <v>4866</v>
      </c>
      <c r="AP653" t="b">
        <v>0</v>
      </c>
      <c r="AQ653" s="78" t="s">
        <v>4360</v>
      </c>
      <c r="AR653" t="s">
        <v>179</v>
      </c>
      <c r="AS653">
        <v>0</v>
      </c>
      <c r="AT653">
        <v>0</v>
      </c>
    </row>
    <row r="654" spans="1:46" x14ac:dyDescent="0.45">
      <c r="A654" s="62" t="s">
        <v>556</v>
      </c>
      <c r="B654" s="62" t="s">
        <v>242</v>
      </c>
      <c r="C654" s="63"/>
      <c r="D654" s="64"/>
      <c r="E654" s="65"/>
      <c r="F654" s="66"/>
      <c r="G654" s="63"/>
      <c r="H654" s="67"/>
      <c r="I654" s="68"/>
      <c r="J654" s="68"/>
      <c r="K654" s="32"/>
      <c r="L654" s="75"/>
      <c r="M654" s="75"/>
      <c r="N654" s="70"/>
      <c r="O654" t="s">
        <v>1570</v>
      </c>
      <c r="P654" s="76">
        <v>44958.809618055559</v>
      </c>
      <c r="Q654" t="s">
        <v>1817</v>
      </c>
      <c r="R65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54" t="s">
        <v>2285</v>
      </c>
      <c r="V654" s="77" t="str">
        <f>HYPERLINK("https://pbs.twimg.com/profile_images/1303056176091983872/4sSltjm-_normal.jpg")</f>
        <v>https://pbs.twimg.com/profile_images/1303056176091983872/4sSltjm-_normal.jpg</v>
      </c>
      <c r="W654" s="76">
        <v>44958.809618055559</v>
      </c>
      <c r="X654" s="80">
        <v>44958</v>
      </c>
      <c r="Y654" s="78" t="s">
        <v>2799</v>
      </c>
      <c r="Z654" s="77" t="str">
        <f>HYPERLINK("https://twitter.com/newswest9/status/1620866036080820224")</f>
        <v>https://twitter.com/newswest9/status/1620866036080820224</v>
      </c>
      <c r="AC654" s="78" t="s">
        <v>3818</v>
      </c>
      <c r="AE654" t="b">
        <v>0</v>
      </c>
      <c r="AF654">
        <v>0</v>
      </c>
      <c r="AG654" s="78" t="s">
        <v>4640</v>
      </c>
      <c r="AH654" t="b">
        <v>0</v>
      </c>
      <c r="AI654" t="s">
        <v>4829</v>
      </c>
      <c r="AK654" s="78" t="s">
        <v>4640</v>
      </c>
      <c r="AL654" t="b">
        <v>0</v>
      </c>
      <c r="AM654">
        <v>60</v>
      </c>
      <c r="AN654" s="78" t="s">
        <v>4360</v>
      </c>
      <c r="AO654" s="78" t="s">
        <v>4866</v>
      </c>
      <c r="AP654" t="b">
        <v>0</v>
      </c>
      <c r="AQ654" s="78" t="s">
        <v>4360</v>
      </c>
      <c r="AR654" t="s">
        <v>179</v>
      </c>
      <c r="AS654">
        <v>0</v>
      </c>
      <c r="AT654">
        <v>0</v>
      </c>
    </row>
    <row r="655" spans="1:46" x14ac:dyDescent="0.45">
      <c r="A655" s="62" t="s">
        <v>556</v>
      </c>
      <c r="B655" s="62" t="s">
        <v>1006</v>
      </c>
      <c r="C655" s="63"/>
      <c r="D655" s="64"/>
      <c r="E655" s="65"/>
      <c r="F655" s="66"/>
      <c r="G655" s="63"/>
      <c r="H655" s="67"/>
      <c r="I655" s="68"/>
      <c r="J655" s="68"/>
      <c r="K655" s="32"/>
      <c r="L655" s="75"/>
      <c r="M655" s="75"/>
      <c r="N655" s="70"/>
      <c r="O655" t="s">
        <v>1569</v>
      </c>
      <c r="P655" s="76">
        <v>44958.809618055559</v>
      </c>
      <c r="Q655" t="s">
        <v>1817</v>
      </c>
      <c r="R65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55" t="s">
        <v>2285</v>
      </c>
      <c r="V655" s="77" t="str">
        <f>HYPERLINK("https://pbs.twimg.com/profile_images/1303056176091983872/4sSltjm-_normal.jpg")</f>
        <v>https://pbs.twimg.com/profile_images/1303056176091983872/4sSltjm-_normal.jpg</v>
      </c>
      <c r="W655" s="76">
        <v>44958.809618055559</v>
      </c>
      <c r="X655" s="80">
        <v>44958</v>
      </c>
      <c r="Y655" s="78" t="s">
        <v>2799</v>
      </c>
      <c r="Z655" s="77" t="str">
        <f>HYPERLINK("https://twitter.com/newswest9/status/1620866036080820224")</f>
        <v>https://twitter.com/newswest9/status/1620866036080820224</v>
      </c>
      <c r="AC655" s="78" t="s">
        <v>3818</v>
      </c>
      <c r="AE655" t="b">
        <v>0</v>
      </c>
      <c r="AF655">
        <v>0</v>
      </c>
      <c r="AG655" s="78" t="s">
        <v>4640</v>
      </c>
      <c r="AH655" t="b">
        <v>0</v>
      </c>
      <c r="AI655" t="s">
        <v>4829</v>
      </c>
      <c r="AK655" s="78" t="s">
        <v>4640</v>
      </c>
      <c r="AL655" t="b">
        <v>0</v>
      </c>
      <c r="AM655">
        <v>60</v>
      </c>
      <c r="AN655" s="78" t="s">
        <v>4360</v>
      </c>
      <c r="AO655" s="78" t="s">
        <v>4866</v>
      </c>
      <c r="AP655" t="b">
        <v>0</v>
      </c>
      <c r="AQ655" s="78" t="s">
        <v>4360</v>
      </c>
      <c r="AR655" t="s">
        <v>179</v>
      </c>
      <c r="AS655">
        <v>0</v>
      </c>
      <c r="AT655">
        <v>0</v>
      </c>
    </row>
    <row r="656" spans="1:46" x14ac:dyDescent="0.45">
      <c r="A656" s="62" t="s">
        <v>557</v>
      </c>
      <c r="B656" s="62" t="s">
        <v>242</v>
      </c>
      <c r="C656" s="63"/>
      <c r="D656" s="64"/>
      <c r="E656" s="65"/>
      <c r="F656" s="66"/>
      <c r="G656" s="63"/>
      <c r="H656" s="67"/>
      <c r="I656" s="68"/>
      <c r="J656" s="68"/>
      <c r="K656" s="32"/>
      <c r="L656" s="75"/>
      <c r="M656" s="75"/>
      <c r="N656" s="70"/>
      <c r="O656" t="s">
        <v>1570</v>
      </c>
      <c r="P656" s="76">
        <v>44958.809618055559</v>
      </c>
      <c r="Q656" t="s">
        <v>1817</v>
      </c>
      <c r="R65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56" t="s">
        <v>2285</v>
      </c>
      <c r="V656" s="77" t="str">
        <f>HYPERLINK("https://pbs.twimg.com/profile_images/1441038756597878785/o7Qq-t_-_normal.jpg")</f>
        <v>https://pbs.twimg.com/profile_images/1441038756597878785/o7Qq-t_-_normal.jpg</v>
      </c>
      <c r="W656" s="76">
        <v>44958.809618055559</v>
      </c>
      <c r="X656" s="80">
        <v>44958</v>
      </c>
      <c r="Y656" s="78" t="s">
        <v>2799</v>
      </c>
      <c r="Z656" s="77" t="str">
        <f>HYPERLINK("https://twitter.com/11alivenews/status/1620866036194050049")</f>
        <v>https://twitter.com/11alivenews/status/1620866036194050049</v>
      </c>
      <c r="AC656" s="78" t="s">
        <v>3819</v>
      </c>
      <c r="AE656" t="b">
        <v>0</v>
      </c>
      <c r="AF656">
        <v>0</v>
      </c>
      <c r="AG656" s="78" t="s">
        <v>4640</v>
      </c>
      <c r="AH656" t="b">
        <v>0</v>
      </c>
      <c r="AI656" t="s">
        <v>4829</v>
      </c>
      <c r="AK656" s="78" t="s">
        <v>4640</v>
      </c>
      <c r="AL656" t="b">
        <v>0</v>
      </c>
      <c r="AM656">
        <v>60</v>
      </c>
      <c r="AN656" s="78" t="s">
        <v>4360</v>
      </c>
      <c r="AO656" s="78" t="s">
        <v>4866</v>
      </c>
      <c r="AP656" t="b">
        <v>0</v>
      </c>
      <c r="AQ656" s="78" t="s">
        <v>4360</v>
      </c>
      <c r="AR656" t="s">
        <v>179</v>
      </c>
      <c r="AS656">
        <v>0</v>
      </c>
      <c r="AT656">
        <v>0</v>
      </c>
    </row>
    <row r="657" spans="1:46" x14ac:dyDescent="0.45">
      <c r="A657" s="62" t="s">
        <v>557</v>
      </c>
      <c r="B657" s="62" t="s">
        <v>1006</v>
      </c>
      <c r="C657" s="63"/>
      <c r="D657" s="64"/>
      <c r="E657" s="65"/>
      <c r="F657" s="66"/>
      <c r="G657" s="63"/>
      <c r="H657" s="67"/>
      <c r="I657" s="68"/>
      <c r="J657" s="68"/>
      <c r="K657" s="32"/>
      <c r="L657" s="75"/>
      <c r="M657" s="75"/>
      <c r="N657" s="70"/>
      <c r="O657" t="s">
        <v>1569</v>
      </c>
      <c r="P657" s="76">
        <v>44958.809618055559</v>
      </c>
      <c r="Q657" t="s">
        <v>1817</v>
      </c>
      <c r="R65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57" t="s">
        <v>2285</v>
      </c>
      <c r="V657" s="77" t="str">
        <f>HYPERLINK("https://pbs.twimg.com/profile_images/1441038756597878785/o7Qq-t_-_normal.jpg")</f>
        <v>https://pbs.twimg.com/profile_images/1441038756597878785/o7Qq-t_-_normal.jpg</v>
      </c>
      <c r="W657" s="76">
        <v>44958.809618055559</v>
      </c>
      <c r="X657" s="80">
        <v>44958</v>
      </c>
      <c r="Y657" s="78" t="s">
        <v>2799</v>
      </c>
      <c r="Z657" s="77" t="str">
        <f>HYPERLINK("https://twitter.com/11alivenews/status/1620866036194050049")</f>
        <v>https://twitter.com/11alivenews/status/1620866036194050049</v>
      </c>
      <c r="AC657" s="78" t="s">
        <v>3819</v>
      </c>
      <c r="AE657" t="b">
        <v>0</v>
      </c>
      <c r="AF657">
        <v>0</v>
      </c>
      <c r="AG657" s="78" t="s">
        <v>4640</v>
      </c>
      <c r="AH657" t="b">
        <v>0</v>
      </c>
      <c r="AI657" t="s">
        <v>4829</v>
      </c>
      <c r="AK657" s="78" t="s">
        <v>4640</v>
      </c>
      <c r="AL657" t="b">
        <v>0</v>
      </c>
      <c r="AM657">
        <v>60</v>
      </c>
      <c r="AN657" s="78" t="s">
        <v>4360</v>
      </c>
      <c r="AO657" s="78" t="s">
        <v>4866</v>
      </c>
      <c r="AP657" t="b">
        <v>0</v>
      </c>
      <c r="AQ657" s="78" t="s">
        <v>4360</v>
      </c>
      <c r="AR657" t="s">
        <v>179</v>
      </c>
      <c r="AS657">
        <v>0</v>
      </c>
      <c r="AT657">
        <v>0</v>
      </c>
    </row>
    <row r="658" spans="1:46" x14ac:dyDescent="0.45">
      <c r="A658" s="62" t="s">
        <v>558</v>
      </c>
      <c r="B658" s="62" t="s">
        <v>242</v>
      </c>
      <c r="C658" s="63"/>
      <c r="D658" s="64"/>
      <c r="E658" s="65"/>
      <c r="F658" s="66"/>
      <c r="G658" s="63"/>
      <c r="H658" s="67"/>
      <c r="I658" s="68"/>
      <c r="J658" s="68"/>
      <c r="K658" s="32"/>
      <c r="L658" s="75"/>
      <c r="M658" s="75"/>
      <c r="N658" s="70"/>
      <c r="O658" t="s">
        <v>1570</v>
      </c>
      <c r="P658" s="76">
        <v>44958.809664351851</v>
      </c>
      <c r="Q658" t="s">
        <v>1817</v>
      </c>
      <c r="R65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58" t="s">
        <v>2285</v>
      </c>
      <c r="V658" s="77" t="str">
        <f>HYPERLINK("https://pbs.twimg.com/profile_images/1610293234625830913/h47AXy9u_normal.jpg")</f>
        <v>https://pbs.twimg.com/profile_images/1610293234625830913/h47AXy9u_normal.jpg</v>
      </c>
      <c r="W658" s="76">
        <v>44958.809664351851</v>
      </c>
      <c r="X658" s="80">
        <v>44958</v>
      </c>
      <c r="Y658" s="78" t="s">
        <v>2800</v>
      </c>
      <c r="Z658" s="77" t="str">
        <f>HYPERLINK("https://twitter.com/ksdknews/status/1620866050026782720")</f>
        <v>https://twitter.com/ksdknews/status/1620866050026782720</v>
      </c>
      <c r="AC658" s="78" t="s">
        <v>3820</v>
      </c>
      <c r="AE658" t="b">
        <v>0</v>
      </c>
      <c r="AF658">
        <v>0</v>
      </c>
      <c r="AG658" s="78" t="s">
        <v>4640</v>
      </c>
      <c r="AH658" t="b">
        <v>0</v>
      </c>
      <c r="AI658" t="s">
        <v>4829</v>
      </c>
      <c r="AK658" s="78" t="s">
        <v>4640</v>
      </c>
      <c r="AL658" t="b">
        <v>0</v>
      </c>
      <c r="AM658">
        <v>60</v>
      </c>
      <c r="AN658" s="78" t="s">
        <v>4360</v>
      </c>
      <c r="AO658" s="78" t="s">
        <v>4866</v>
      </c>
      <c r="AP658" t="b">
        <v>0</v>
      </c>
      <c r="AQ658" s="78" t="s">
        <v>4360</v>
      </c>
      <c r="AR658" t="s">
        <v>179</v>
      </c>
      <c r="AS658">
        <v>0</v>
      </c>
      <c r="AT658">
        <v>0</v>
      </c>
    </row>
    <row r="659" spans="1:46" x14ac:dyDescent="0.45">
      <c r="A659" s="62" t="s">
        <v>558</v>
      </c>
      <c r="B659" s="62" t="s">
        <v>1006</v>
      </c>
      <c r="C659" s="63"/>
      <c r="D659" s="64"/>
      <c r="E659" s="65"/>
      <c r="F659" s="66"/>
      <c r="G659" s="63"/>
      <c r="H659" s="67"/>
      <c r="I659" s="68"/>
      <c r="J659" s="68"/>
      <c r="K659" s="32"/>
      <c r="L659" s="75"/>
      <c r="M659" s="75"/>
      <c r="N659" s="70"/>
      <c r="O659" t="s">
        <v>1569</v>
      </c>
      <c r="P659" s="76">
        <v>44958.809664351851</v>
      </c>
      <c r="Q659" t="s">
        <v>1817</v>
      </c>
      <c r="R65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59" t="s">
        <v>2285</v>
      </c>
      <c r="V659" s="77" t="str">
        <f>HYPERLINK("https://pbs.twimg.com/profile_images/1610293234625830913/h47AXy9u_normal.jpg")</f>
        <v>https://pbs.twimg.com/profile_images/1610293234625830913/h47AXy9u_normal.jpg</v>
      </c>
      <c r="W659" s="76">
        <v>44958.809664351851</v>
      </c>
      <c r="X659" s="80">
        <v>44958</v>
      </c>
      <c r="Y659" s="78" t="s">
        <v>2800</v>
      </c>
      <c r="Z659" s="77" t="str">
        <f>HYPERLINK("https://twitter.com/ksdknews/status/1620866050026782720")</f>
        <v>https://twitter.com/ksdknews/status/1620866050026782720</v>
      </c>
      <c r="AC659" s="78" t="s">
        <v>3820</v>
      </c>
      <c r="AE659" t="b">
        <v>0</v>
      </c>
      <c r="AF659">
        <v>0</v>
      </c>
      <c r="AG659" s="78" t="s">
        <v>4640</v>
      </c>
      <c r="AH659" t="b">
        <v>0</v>
      </c>
      <c r="AI659" t="s">
        <v>4829</v>
      </c>
      <c r="AK659" s="78" t="s">
        <v>4640</v>
      </c>
      <c r="AL659" t="b">
        <v>0</v>
      </c>
      <c r="AM659">
        <v>60</v>
      </c>
      <c r="AN659" s="78" t="s">
        <v>4360</v>
      </c>
      <c r="AO659" s="78" t="s">
        <v>4866</v>
      </c>
      <c r="AP659" t="b">
        <v>0</v>
      </c>
      <c r="AQ659" s="78" t="s">
        <v>4360</v>
      </c>
      <c r="AR659" t="s">
        <v>179</v>
      </c>
      <c r="AS659">
        <v>0</v>
      </c>
      <c r="AT659">
        <v>0</v>
      </c>
    </row>
    <row r="660" spans="1:46" x14ac:dyDescent="0.45">
      <c r="A660" s="62" t="s">
        <v>559</v>
      </c>
      <c r="B660" s="62" t="s">
        <v>242</v>
      </c>
      <c r="C660" s="63"/>
      <c r="D660" s="64"/>
      <c r="E660" s="65"/>
      <c r="F660" s="66"/>
      <c r="G660" s="63"/>
      <c r="H660" s="67"/>
      <c r="I660" s="68"/>
      <c r="J660" s="68"/>
      <c r="K660" s="32"/>
      <c r="L660" s="75"/>
      <c r="M660" s="75"/>
      <c r="N660" s="70"/>
      <c r="O660" t="s">
        <v>1570</v>
      </c>
      <c r="P660" s="76">
        <v>44958.809664351851</v>
      </c>
      <c r="Q660" t="s">
        <v>1817</v>
      </c>
      <c r="R66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0" t="s">
        <v>2285</v>
      </c>
      <c r="V660" s="77" t="str">
        <f>HYPERLINK("https://pbs.twimg.com/profile_images/1230583948968964096/rtlhlX3E_normal.jpg")</f>
        <v>https://pbs.twimg.com/profile_images/1230583948968964096/rtlhlX3E_normal.jpg</v>
      </c>
      <c r="W660" s="76">
        <v>44958.809664351851</v>
      </c>
      <c r="X660" s="80">
        <v>44958</v>
      </c>
      <c r="Y660" s="78" t="s">
        <v>2800</v>
      </c>
      <c r="Z660" s="77" t="str">
        <f>HYPERLINK("https://twitter.com/13newsnow/status/1620866050756591618")</f>
        <v>https://twitter.com/13newsnow/status/1620866050756591618</v>
      </c>
      <c r="AC660" s="78" t="s">
        <v>3821</v>
      </c>
      <c r="AE660" t="b">
        <v>0</v>
      </c>
      <c r="AF660">
        <v>0</v>
      </c>
      <c r="AG660" s="78" t="s">
        <v>4640</v>
      </c>
      <c r="AH660" t="b">
        <v>0</v>
      </c>
      <c r="AI660" t="s">
        <v>4829</v>
      </c>
      <c r="AK660" s="78" t="s">
        <v>4640</v>
      </c>
      <c r="AL660" t="b">
        <v>0</v>
      </c>
      <c r="AM660">
        <v>60</v>
      </c>
      <c r="AN660" s="78" t="s">
        <v>4360</v>
      </c>
      <c r="AO660" s="78" t="s">
        <v>4866</v>
      </c>
      <c r="AP660" t="b">
        <v>0</v>
      </c>
      <c r="AQ660" s="78" t="s">
        <v>4360</v>
      </c>
      <c r="AR660" t="s">
        <v>179</v>
      </c>
      <c r="AS660">
        <v>0</v>
      </c>
      <c r="AT660">
        <v>0</v>
      </c>
    </row>
    <row r="661" spans="1:46" x14ac:dyDescent="0.45">
      <c r="A661" s="62" t="s">
        <v>559</v>
      </c>
      <c r="B661" s="62" t="s">
        <v>1006</v>
      </c>
      <c r="C661" s="63"/>
      <c r="D661" s="64"/>
      <c r="E661" s="65"/>
      <c r="F661" s="66"/>
      <c r="G661" s="63"/>
      <c r="H661" s="67"/>
      <c r="I661" s="68"/>
      <c r="J661" s="68"/>
      <c r="K661" s="32"/>
      <c r="L661" s="75"/>
      <c r="M661" s="75"/>
      <c r="N661" s="70"/>
      <c r="O661" t="s">
        <v>1569</v>
      </c>
      <c r="P661" s="76">
        <v>44958.809664351851</v>
      </c>
      <c r="Q661" t="s">
        <v>1817</v>
      </c>
      <c r="R66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1" t="s">
        <v>2285</v>
      </c>
      <c r="V661" s="77" t="str">
        <f>HYPERLINK("https://pbs.twimg.com/profile_images/1230583948968964096/rtlhlX3E_normal.jpg")</f>
        <v>https://pbs.twimg.com/profile_images/1230583948968964096/rtlhlX3E_normal.jpg</v>
      </c>
      <c r="W661" s="76">
        <v>44958.809664351851</v>
      </c>
      <c r="X661" s="80">
        <v>44958</v>
      </c>
      <c r="Y661" s="78" t="s">
        <v>2800</v>
      </c>
      <c r="Z661" s="77" t="str">
        <f>HYPERLINK("https://twitter.com/13newsnow/status/1620866050756591618")</f>
        <v>https://twitter.com/13newsnow/status/1620866050756591618</v>
      </c>
      <c r="AC661" s="78" t="s">
        <v>3821</v>
      </c>
      <c r="AE661" t="b">
        <v>0</v>
      </c>
      <c r="AF661">
        <v>0</v>
      </c>
      <c r="AG661" s="78" t="s">
        <v>4640</v>
      </c>
      <c r="AH661" t="b">
        <v>0</v>
      </c>
      <c r="AI661" t="s">
        <v>4829</v>
      </c>
      <c r="AK661" s="78" t="s">
        <v>4640</v>
      </c>
      <c r="AL661" t="b">
        <v>0</v>
      </c>
      <c r="AM661">
        <v>60</v>
      </c>
      <c r="AN661" s="78" t="s">
        <v>4360</v>
      </c>
      <c r="AO661" s="78" t="s">
        <v>4866</v>
      </c>
      <c r="AP661" t="b">
        <v>0</v>
      </c>
      <c r="AQ661" s="78" t="s">
        <v>4360</v>
      </c>
      <c r="AR661" t="s">
        <v>179</v>
      </c>
      <c r="AS661">
        <v>0</v>
      </c>
      <c r="AT661">
        <v>0</v>
      </c>
    </row>
    <row r="662" spans="1:46" x14ac:dyDescent="0.45">
      <c r="A662" s="62" t="s">
        <v>560</v>
      </c>
      <c r="B662" s="62" t="s">
        <v>242</v>
      </c>
      <c r="C662" s="63"/>
      <c r="D662" s="64"/>
      <c r="E662" s="65"/>
      <c r="F662" s="66"/>
      <c r="G662" s="63"/>
      <c r="H662" s="67"/>
      <c r="I662" s="68"/>
      <c r="J662" s="68"/>
      <c r="K662" s="32"/>
      <c r="L662" s="75"/>
      <c r="M662" s="75"/>
      <c r="N662" s="70"/>
      <c r="O662" t="s">
        <v>1570</v>
      </c>
      <c r="P662" s="76">
        <v>44958.809664351851</v>
      </c>
      <c r="Q662" t="s">
        <v>1817</v>
      </c>
      <c r="R66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2" t="s">
        <v>2285</v>
      </c>
      <c r="V662" s="77" t="str">
        <f>HYPERLINK("https://pbs.twimg.com/profile_images/993665581340602369/wKuEzSYY_normal.jpg")</f>
        <v>https://pbs.twimg.com/profile_images/993665581340602369/wKuEzSYY_normal.jpg</v>
      </c>
      <c r="W662" s="76">
        <v>44958.809664351851</v>
      </c>
      <c r="X662" s="80">
        <v>44958</v>
      </c>
      <c r="Y662" s="78" t="s">
        <v>2800</v>
      </c>
      <c r="Z662" s="77" t="str">
        <f>HYPERLINK("https://twitter.com/newscentermaine/status/1620866050911862785")</f>
        <v>https://twitter.com/newscentermaine/status/1620866050911862785</v>
      </c>
      <c r="AC662" s="78" t="s">
        <v>3822</v>
      </c>
      <c r="AE662" t="b">
        <v>0</v>
      </c>
      <c r="AF662">
        <v>0</v>
      </c>
      <c r="AG662" s="78" t="s">
        <v>4640</v>
      </c>
      <c r="AH662" t="b">
        <v>0</v>
      </c>
      <c r="AI662" t="s">
        <v>4829</v>
      </c>
      <c r="AK662" s="78" t="s">
        <v>4640</v>
      </c>
      <c r="AL662" t="b">
        <v>0</v>
      </c>
      <c r="AM662">
        <v>60</v>
      </c>
      <c r="AN662" s="78" t="s">
        <v>4360</v>
      </c>
      <c r="AO662" s="78" t="s">
        <v>4866</v>
      </c>
      <c r="AP662" t="b">
        <v>0</v>
      </c>
      <c r="AQ662" s="78" t="s">
        <v>4360</v>
      </c>
      <c r="AR662" t="s">
        <v>179</v>
      </c>
      <c r="AS662">
        <v>0</v>
      </c>
      <c r="AT662">
        <v>0</v>
      </c>
    </row>
    <row r="663" spans="1:46" x14ac:dyDescent="0.45">
      <c r="A663" s="62" t="s">
        <v>560</v>
      </c>
      <c r="B663" s="62" t="s">
        <v>1006</v>
      </c>
      <c r="C663" s="63"/>
      <c r="D663" s="64"/>
      <c r="E663" s="65"/>
      <c r="F663" s="66"/>
      <c r="G663" s="63"/>
      <c r="H663" s="67"/>
      <c r="I663" s="68"/>
      <c r="J663" s="68"/>
      <c r="K663" s="32"/>
      <c r="L663" s="75"/>
      <c r="M663" s="75"/>
      <c r="N663" s="70"/>
      <c r="O663" t="s">
        <v>1569</v>
      </c>
      <c r="P663" s="76">
        <v>44958.809664351851</v>
      </c>
      <c r="Q663" t="s">
        <v>1817</v>
      </c>
      <c r="R66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3" t="s">
        <v>2285</v>
      </c>
      <c r="V663" s="77" t="str">
        <f>HYPERLINK("https://pbs.twimg.com/profile_images/993665581340602369/wKuEzSYY_normal.jpg")</f>
        <v>https://pbs.twimg.com/profile_images/993665581340602369/wKuEzSYY_normal.jpg</v>
      </c>
      <c r="W663" s="76">
        <v>44958.809664351851</v>
      </c>
      <c r="X663" s="80">
        <v>44958</v>
      </c>
      <c r="Y663" s="78" t="s">
        <v>2800</v>
      </c>
      <c r="Z663" s="77" t="str">
        <f>HYPERLINK("https://twitter.com/newscentermaine/status/1620866050911862785")</f>
        <v>https://twitter.com/newscentermaine/status/1620866050911862785</v>
      </c>
      <c r="AC663" s="78" t="s">
        <v>3822</v>
      </c>
      <c r="AE663" t="b">
        <v>0</v>
      </c>
      <c r="AF663">
        <v>0</v>
      </c>
      <c r="AG663" s="78" t="s">
        <v>4640</v>
      </c>
      <c r="AH663" t="b">
        <v>0</v>
      </c>
      <c r="AI663" t="s">
        <v>4829</v>
      </c>
      <c r="AK663" s="78" t="s">
        <v>4640</v>
      </c>
      <c r="AL663" t="b">
        <v>0</v>
      </c>
      <c r="AM663">
        <v>60</v>
      </c>
      <c r="AN663" s="78" t="s">
        <v>4360</v>
      </c>
      <c r="AO663" s="78" t="s">
        <v>4866</v>
      </c>
      <c r="AP663" t="b">
        <v>0</v>
      </c>
      <c r="AQ663" s="78" t="s">
        <v>4360</v>
      </c>
      <c r="AR663" t="s">
        <v>179</v>
      </c>
      <c r="AS663">
        <v>0</v>
      </c>
      <c r="AT663">
        <v>0</v>
      </c>
    </row>
    <row r="664" spans="1:46" x14ac:dyDescent="0.45">
      <c r="A664" s="62" t="s">
        <v>561</v>
      </c>
      <c r="B664" s="62" t="s">
        <v>242</v>
      </c>
      <c r="C664" s="63"/>
      <c r="D664" s="64"/>
      <c r="E664" s="65"/>
      <c r="F664" s="66"/>
      <c r="G664" s="63"/>
      <c r="H664" s="67"/>
      <c r="I664" s="68"/>
      <c r="J664" s="68"/>
      <c r="K664" s="32"/>
      <c r="L664" s="75"/>
      <c r="M664" s="75"/>
      <c r="N664" s="70"/>
      <c r="O664" t="s">
        <v>1570</v>
      </c>
      <c r="P664" s="76">
        <v>44958.809664351851</v>
      </c>
      <c r="Q664" t="s">
        <v>1817</v>
      </c>
      <c r="R66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4" t="s">
        <v>2285</v>
      </c>
      <c r="V664" s="77" t="str">
        <f>HYPERLINK("https://pbs.twimg.com/profile_images/1212550707699687424/g1k78r0Q_normal.jpg")</f>
        <v>https://pbs.twimg.com/profile_images/1212550707699687424/g1k78r0Q_normal.jpg</v>
      </c>
      <c r="W664" s="76">
        <v>44958.809664351851</v>
      </c>
      <c r="X664" s="80">
        <v>44958</v>
      </c>
      <c r="Y664" s="78" t="s">
        <v>2800</v>
      </c>
      <c r="Z664" s="77" t="str">
        <f>HYPERLINK("https://twitter.com/wfmy/status/1620866050945433600")</f>
        <v>https://twitter.com/wfmy/status/1620866050945433600</v>
      </c>
      <c r="AC664" s="78" t="s">
        <v>3823</v>
      </c>
      <c r="AE664" t="b">
        <v>0</v>
      </c>
      <c r="AF664">
        <v>0</v>
      </c>
      <c r="AG664" s="78" t="s">
        <v>4640</v>
      </c>
      <c r="AH664" t="b">
        <v>0</v>
      </c>
      <c r="AI664" t="s">
        <v>4829</v>
      </c>
      <c r="AK664" s="78" t="s">
        <v>4640</v>
      </c>
      <c r="AL664" t="b">
        <v>0</v>
      </c>
      <c r="AM664">
        <v>60</v>
      </c>
      <c r="AN664" s="78" t="s">
        <v>4360</v>
      </c>
      <c r="AO664" s="78" t="s">
        <v>4866</v>
      </c>
      <c r="AP664" t="b">
        <v>0</v>
      </c>
      <c r="AQ664" s="78" t="s">
        <v>4360</v>
      </c>
      <c r="AR664" t="s">
        <v>179</v>
      </c>
      <c r="AS664">
        <v>0</v>
      </c>
      <c r="AT664">
        <v>0</v>
      </c>
    </row>
    <row r="665" spans="1:46" x14ac:dyDescent="0.45">
      <c r="A665" s="62" t="s">
        <v>561</v>
      </c>
      <c r="B665" s="62" t="s">
        <v>1006</v>
      </c>
      <c r="C665" s="63"/>
      <c r="D665" s="64"/>
      <c r="E665" s="65"/>
      <c r="F665" s="66"/>
      <c r="G665" s="63"/>
      <c r="H665" s="67"/>
      <c r="I665" s="68"/>
      <c r="J665" s="68"/>
      <c r="K665" s="32"/>
      <c r="L665" s="75"/>
      <c r="M665" s="75"/>
      <c r="N665" s="70"/>
      <c r="O665" t="s">
        <v>1569</v>
      </c>
      <c r="P665" s="76">
        <v>44958.809664351851</v>
      </c>
      <c r="Q665" t="s">
        <v>1817</v>
      </c>
      <c r="R66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5" t="s">
        <v>2285</v>
      </c>
      <c r="V665" s="77" t="str">
        <f>HYPERLINK("https://pbs.twimg.com/profile_images/1212550707699687424/g1k78r0Q_normal.jpg")</f>
        <v>https://pbs.twimg.com/profile_images/1212550707699687424/g1k78r0Q_normal.jpg</v>
      </c>
      <c r="W665" s="76">
        <v>44958.809664351851</v>
      </c>
      <c r="X665" s="80">
        <v>44958</v>
      </c>
      <c r="Y665" s="78" t="s">
        <v>2800</v>
      </c>
      <c r="Z665" s="77" t="str">
        <f>HYPERLINK("https://twitter.com/wfmy/status/1620866050945433600")</f>
        <v>https://twitter.com/wfmy/status/1620866050945433600</v>
      </c>
      <c r="AC665" s="78" t="s">
        <v>3823</v>
      </c>
      <c r="AE665" t="b">
        <v>0</v>
      </c>
      <c r="AF665">
        <v>0</v>
      </c>
      <c r="AG665" s="78" t="s">
        <v>4640</v>
      </c>
      <c r="AH665" t="b">
        <v>0</v>
      </c>
      <c r="AI665" t="s">
        <v>4829</v>
      </c>
      <c r="AK665" s="78" t="s">
        <v>4640</v>
      </c>
      <c r="AL665" t="b">
        <v>0</v>
      </c>
      <c r="AM665">
        <v>60</v>
      </c>
      <c r="AN665" s="78" t="s">
        <v>4360</v>
      </c>
      <c r="AO665" s="78" t="s">
        <v>4866</v>
      </c>
      <c r="AP665" t="b">
        <v>0</v>
      </c>
      <c r="AQ665" s="78" t="s">
        <v>4360</v>
      </c>
      <c r="AR665" t="s">
        <v>179</v>
      </c>
      <c r="AS665">
        <v>0</v>
      </c>
      <c r="AT665">
        <v>0</v>
      </c>
    </row>
    <row r="666" spans="1:46" x14ac:dyDescent="0.45">
      <c r="A666" s="62" t="s">
        <v>562</v>
      </c>
      <c r="B666" s="62" t="s">
        <v>242</v>
      </c>
      <c r="C666" s="63"/>
      <c r="D666" s="64"/>
      <c r="E666" s="65"/>
      <c r="F666" s="66"/>
      <c r="G666" s="63"/>
      <c r="H666" s="67"/>
      <c r="I666" s="68"/>
      <c r="J666" s="68"/>
      <c r="K666" s="32"/>
      <c r="L666" s="75"/>
      <c r="M666" s="75"/>
      <c r="N666" s="70"/>
      <c r="O666" t="s">
        <v>1570</v>
      </c>
      <c r="P666" s="76">
        <v>44958.809664351851</v>
      </c>
      <c r="Q666" t="s">
        <v>1817</v>
      </c>
      <c r="R66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6" t="s">
        <v>2285</v>
      </c>
      <c r="V666" s="77" t="str">
        <f>HYPERLINK("https://pbs.twimg.com/profile_images/1410665731063259143/ifEcr1oZ_normal.jpg")</f>
        <v>https://pbs.twimg.com/profile_images/1410665731063259143/ifEcr1oZ_normal.jpg</v>
      </c>
      <c r="W666" s="76">
        <v>44958.809664351851</v>
      </c>
      <c r="X666" s="80">
        <v>44958</v>
      </c>
      <c r="Y666" s="78" t="s">
        <v>2800</v>
      </c>
      <c r="Z666" s="77" t="str">
        <f>HYPERLINK("https://twitter.com/wzzm13/status/1620866050949582859")</f>
        <v>https://twitter.com/wzzm13/status/1620866050949582859</v>
      </c>
      <c r="AC666" s="78" t="s">
        <v>3824</v>
      </c>
      <c r="AE666" t="b">
        <v>0</v>
      </c>
      <c r="AF666">
        <v>0</v>
      </c>
      <c r="AG666" s="78" t="s">
        <v>4640</v>
      </c>
      <c r="AH666" t="b">
        <v>0</v>
      </c>
      <c r="AI666" t="s">
        <v>4829</v>
      </c>
      <c r="AK666" s="78" t="s">
        <v>4640</v>
      </c>
      <c r="AL666" t="b">
        <v>0</v>
      </c>
      <c r="AM666">
        <v>60</v>
      </c>
      <c r="AN666" s="78" t="s">
        <v>4360</v>
      </c>
      <c r="AO666" s="78" t="s">
        <v>4866</v>
      </c>
      <c r="AP666" t="b">
        <v>0</v>
      </c>
      <c r="AQ666" s="78" t="s">
        <v>4360</v>
      </c>
      <c r="AR666" t="s">
        <v>179</v>
      </c>
      <c r="AS666">
        <v>0</v>
      </c>
      <c r="AT666">
        <v>0</v>
      </c>
    </row>
    <row r="667" spans="1:46" x14ac:dyDescent="0.45">
      <c r="A667" s="62" t="s">
        <v>562</v>
      </c>
      <c r="B667" s="62" t="s">
        <v>1006</v>
      </c>
      <c r="C667" s="63"/>
      <c r="D667" s="64"/>
      <c r="E667" s="65"/>
      <c r="F667" s="66"/>
      <c r="G667" s="63"/>
      <c r="H667" s="67"/>
      <c r="I667" s="68"/>
      <c r="J667" s="68"/>
      <c r="K667" s="32"/>
      <c r="L667" s="75"/>
      <c r="M667" s="75"/>
      <c r="N667" s="70"/>
      <c r="O667" t="s">
        <v>1569</v>
      </c>
      <c r="P667" s="76">
        <v>44958.809664351851</v>
      </c>
      <c r="Q667" t="s">
        <v>1817</v>
      </c>
      <c r="R66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7" t="s">
        <v>2285</v>
      </c>
      <c r="V667" s="77" t="str">
        <f>HYPERLINK("https://pbs.twimg.com/profile_images/1410665731063259143/ifEcr1oZ_normal.jpg")</f>
        <v>https://pbs.twimg.com/profile_images/1410665731063259143/ifEcr1oZ_normal.jpg</v>
      </c>
      <c r="W667" s="76">
        <v>44958.809664351851</v>
      </c>
      <c r="X667" s="80">
        <v>44958</v>
      </c>
      <c r="Y667" s="78" t="s">
        <v>2800</v>
      </c>
      <c r="Z667" s="77" t="str">
        <f>HYPERLINK("https://twitter.com/wzzm13/status/1620866050949582859")</f>
        <v>https://twitter.com/wzzm13/status/1620866050949582859</v>
      </c>
      <c r="AC667" s="78" t="s">
        <v>3824</v>
      </c>
      <c r="AE667" t="b">
        <v>0</v>
      </c>
      <c r="AF667">
        <v>0</v>
      </c>
      <c r="AG667" s="78" t="s">
        <v>4640</v>
      </c>
      <c r="AH667" t="b">
        <v>0</v>
      </c>
      <c r="AI667" t="s">
        <v>4829</v>
      </c>
      <c r="AK667" s="78" t="s">
        <v>4640</v>
      </c>
      <c r="AL667" t="b">
        <v>0</v>
      </c>
      <c r="AM667">
        <v>60</v>
      </c>
      <c r="AN667" s="78" t="s">
        <v>4360</v>
      </c>
      <c r="AO667" s="78" t="s">
        <v>4866</v>
      </c>
      <c r="AP667" t="b">
        <v>0</v>
      </c>
      <c r="AQ667" s="78" t="s">
        <v>4360</v>
      </c>
      <c r="AR667" t="s">
        <v>179</v>
      </c>
      <c r="AS667">
        <v>0</v>
      </c>
      <c r="AT667">
        <v>0</v>
      </c>
    </row>
    <row r="668" spans="1:46" x14ac:dyDescent="0.45">
      <c r="A668" s="62" t="s">
        <v>563</v>
      </c>
      <c r="B668" s="62" t="s">
        <v>242</v>
      </c>
      <c r="C668" s="63"/>
      <c r="D668" s="64"/>
      <c r="E668" s="65"/>
      <c r="F668" s="66"/>
      <c r="G668" s="63"/>
      <c r="H668" s="67"/>
      <c r="I668" s="68"/>
      <c r="J668" s="68"/>
      <c r="K668" s="32"/>
      <c r="L668" s="75"/>
      <c r="M668" s="75"/>
      <c r="N668" s="70"/>
      <c r="O668" t="s">
        <v>1570</v>
      </c>
      <c r="P668" s="76">
        <v>44958.809664351851</v>
      </c>
      <c r="Q668" t="s">
        <v>1817</v>
      </c>
      <c r="R66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8" t="s">
        <v>2285</v>
      </c>
      <c r="V668" s="77" t="str">
        <f>HYPERLINK("https://pbs.twimg.com/profile_images/773558323413028864/fd38Y9xm_normal.jpg")</f>
        <v>https://pbs.twimg.com/profile_images/773558323413028864/fd38Y9xm_normal.jpg</v>
      </c>
      <c r="W668" s="76">
        <v>44958.809664351851</v>
      </c>
      <c r="X668" s="80">
        <v>44958</v>
      </c>
      <c r="Y668" s="78" t="s">
        <v>2800</v>
      </c>
      <c r="Z668" s="77" t="str">
        <f>HYPERLINK("https://twitter.com/wltx/status/1620866050991554560")</f>
        <v>https://twitter.com/wltx/status/1620866050991554560</v>
      </c>
      <c r="AC668" s="78" t="s">
        <v>3825</v>
      </c>
      <c r="AE668" t="b">
        <v>0</v>
      </c>
      <c r="AF668">
        <v>0</v>
      </c>
      <c r="AG668" s="78" t="s">
        <v>4640</v>
      </c>
      <c r="AH668" t="b">
        <v>0</v>
      </c>
      <c r="AI668" t="s">
        <v>4829</v>
      </c>
      <c r="AK668" s="78" t="s">
        <v>4640</v>
      </c>
      <c r="AL668" t="b">
        <v>0</v>
      </c>
      <c r="AM668">
        <v>60</v>
      </c>
      <c r="AN668" s="78" t="s">
        <v>4360</v>
      </c>
      <c r="AO668" s="78" t="s">
        <v>4866</v>
      </c>
      <c r="AP668" t="b">
        <v>0</v>
      </c>
      <c r="AQ668" s="78" t="s">
        <v>4360</v>
      </c>
      <c r="AR668" t="s">
        <v>179</v>
      </c>
      <c r="AS668">
        <v>0</v>
      </c>
      <c r="AT668">
        <v>0</v>
      </c>
    </row>
    <row r="669" spans="1:46" x14ac:dyDescent="0.45">
      <c r="A669" s="62" t="s">
        <v>563</v>
      </c>
      <c r="B669" s="62" t="s">
        <v>1006</v>
      </c>
      <c r="C669" s="63"/>
      <c r="D669" s="64"/>
      <c r="E669" s="65"/>
      <c r="F669" s="66"/>
      <c r="G669" s="63"/>
      <c r="H669" s="67"/>
      <c r="I669" s="68"/>
      <c r="J669" s="68"/>
      <c r="K669" s="32"/>
      <c r="L669" s="75"/>
      <c r="M669" s="75"/>
      <c r="N669" s="70"/>
      <c r="O669" t="s">
        <v>1569</v>
      </c>
      <c r="P669" s="76">
        <v>44958.809664351851</v>
      </c>
      <c r="Q669" t="s">
        <v>1817</v>
      </c>
      <c r="R66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69" t="s">
        <v>2285</v>
      </c>
      <c r="V669" s="77" t="str">
        <f>HYPERLINK("https://pbs.twimg.com/profile_images/773558323413028864/fd38Y9xm_normal.jpg")</f>
        <v>https://pbs.twimg.com/profile_images/773558323413028864/fd38Y9xm_normal.jpg</v>
      </c>
      <c r="W669" s="76">
        <v>44958.809664351851</v>
      </c>
      <c r="X669" s="80">
        <v>44958</v>
      </c>
      <c r="Y669" s="78" t="s">
        <v>2800</v>
      </c>
      <c r="Z669" s="77" t="str">
        <f>HYPERLINK("https://twitter.com/wltx/status/1620866050991554560")</f>
        <v>https://twitter.com/wltx/status/1620866050991554560</v>
      </c>
      <c r="AC669" s="78" t="s">
        <v>3825</v>
      </c>
      <c r="AE669" t="b">
        <v>0</v>
      </c>
      <c r="AF669">
        <v>0</v>
      </c>
      <c r="AG669" s="78" t="s">
        <v>4640</v>
      </c>
      <c r="AH669" t="b">
        <v>0</v>
      </c>
      <c r="AI669" t="s">
        <v>4829</v>
      </c>
      <c r="AK669" s="78" t="s">
        <v>4640</v>
      </c>
      <c r="AL669" t="b">
        <v>0</v>
      </c>
      <c r="AM669">
        <v>60</v>
      </c>
      <c r="AN669" s="78" t="s">
        <v>4360</v>
      </c>
      <c r="AO669" s="78" t="s">
        <v>4866</v>
      </c>
      <c r="AP669" t="b">
        <v>0</v>
      </c>
      <c r="AQ669" s="78" t="s">
        <v>4360</v>
      </c>
      <c r="AR669" t="s">
        <v>179</v>
      </c>
      <c r="AS669">
        <v>0</v>
      </c>
      <c r="AT669">
        <v>0</v>
      </c>
    </row>
    <row r="670" spans="1:46" x14ac:dyDescent="0.45">
      <c r="A670" s="62" t="s">
        <v>564</v>
      </c>
      <c r="B670" s="62" t="s">
        <v>242</v>
      </c>
      <c r="C670" s="63"/>
      <c r="D670" s="64"/>
      <c r="E670" s="65"/>
      <c r="F670" s="66"/>
      <c r="G670" s="63"/>
      <c r="H670" s="67"/>
      <c r="I670" s="68"/>
      <c r="J670" s="68"/>
      <c r="K670" s="32"/>
      <c r="L670" s="75"/>
      <c r="M670" s="75"/>
      <c r="N670" s="70"/>
      <c r="O670" t="s">
        <v>1570</v>
      </c>
      <c r="P670" s="76">
        <v>44958.809664351851</v>
      </c>
      <c r="Q670" t="s">
        <v>1817</v>
      </c>
      <c r="R67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0" t="s">
        <v>2285</v>
      </c>
      <c r="V670" s="77" t="str">
        <f>HYPERLINK("https://pbs.twimg.com/profile_images/1176895016867905536/_zeHOc_q_normal.jpg")</f>
        <v>https://pbs.twimg.com/profile_images/1176895016867905536/_zeHOc_q_normal.jpg</v>
      </c>
      <c r="W670" s="76">
        <v>44958.809664351851</v>
      </c>
      <c r="X670" s="80">
        <v>44958</v>
      </c>
      <c r="Y670" s="78" t="s">
        <v>2800</v>
      </c>
      <c r="Z670" s="77" t="str">
        <f>HYPERLINK("https://twitter.com/wkyc/status/1620866050995757057")</f>
        <v>https://twitter.com/wkyc/status/1620866050995757057</v>
      </c>
      <c r="AC670" s="78" t="s">
        <v>3826</v>
      </c>
      <c r="AE670" t="b">
        <v>0</v>
      </c>
      <c r="AF670">
        <v>0</v>
      </c>
      <c r="AG670" s="78" t="s">
        <v>4640</v>
      </c>
      <c r="AH670" t="b">
        <v>0</v>
      </c>
      <c r="AI670" t="s">
        <v>4829</v>
      </c>
      <c r="AK670" s="78" t="s">
        <v>4640</v>
      </c>
      <c r="AL670" t="b">
        <v>0</v>
      </c>
      <c r="AM670">
        <v>60</v>
      </c>
      <c r="AN670" s="78" t="s">
        <v>4360</v>
      </c>
      <c r="AO670" s="78" t="s">
        <v>4866</v>
      </c>
      <c r="AP670" t="b">
        <v>0</v>
      </c>
      <c r="AQ670" s="78" t="s">
        <v>4360</v>
      </c>
      <c r="AR670" t="s">
        <v>179</v>
      </c>
      <c r="AS670">
        <v>0</v>
      </c>
      <c r="AT670">
        <v>0</v>
      </c>
    </row>
    <row r="671" spans="1:46" x14ac:dyDescent="0.45">
      <c r="A671" s="62" t="s">
        <v>564</v>
      </c>
      <c r="B671" s="62" t="s">
        <v>1006</v>
      </c>
      <c r="C671" s="63"/>
      <c r="D671" s="64"/>
      <c r="E671" s="65"/>
      <c r="F671" s="66"/>
      <c r="G671" s="63"/>
      <c r="H671" s="67"/>
      <c r="I671" s="68"/>
      <c r="J671" s="68"/>
      <c r="K671" s="32"/>
      <c r="L671" s="75"/>
      <c r="M671" s="75"/>
      <c r="N671" s="70"/>
      <c r="O671" t="s">
        <v>1569</v>
      </c>
      <c r="P671" s="76">
        <v>44958.809664351851</v>
      </c>
      <c r="Q671" t="s">
        <v>1817</v>
      </c>
      <c r="R67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1" t="s">
        <v>2285</v>
      </c>
      <c r="V671" s="77" t="str">
        <f>HYPERLINK("https://pbs.twimg.com/profile_images/1176895016867905536/_zeHOc_q_normal.jpg")</f>
        <v>https://pbs.twimg.com/profile_images/1176895016867905536/_zeHOc_q_normal.jpg</v>
      </c>
      <c r="W671" s="76">
        <v>44958.809664351851</v>
      </c>
      <c r="X671" s="80">
        <v>44958</v>
      </c>
      <c r="Y671" s="78" t="s">
        <v>2800</v>
      </c>
      <c r="Z671" s="77" t="str">
        <f>HYPERLINK("https://twitter.com/wkyc/status/1620866050995757057")</f>
        <v>https://twitter.com/wkyc/status/1620866050995757057</v>
      </c>
      <c r="AC671" s="78" t="s">
        <v>3826</v>
      </c>
      <c r="AE671" t="b">
        <v>0</v>
      </c>
      <c r="AF671">
        <v>0</v>
      </c>
      <c r="AG671" s="78" t="s">
        <v>4640</v>
      </c>
      <c r="AH671" t="b">
        <v>0</v>
      </c>
      <c r="AI671" t="s">
        <v>4829</v>
      </c>
      <c r="AK671" s="78" t="s">
        <v>4640</v>
      </c>
      <c r="AL671" t="b">
        <v>0</v>
      </c>
      <c r="AM671">
        <v>60</v>
      </c>
      <c r="AN671" s="78" t="s">
        <v>4360</v>
      </c>
      <c r="AO671" s="78" t="s">
        <v>4866</v>
      </c>
      <c r="AP671" t="b">
        <v>0</v>
      </c>
      <c r="AQ671" s="78" t="s">
        <v>4360</v>
      </c>
      <c r="AR671" t="s">
        <v>179</v>
      </c>
      <c r="AS671">
        <v>0</v>
      </c>
      <c r="AT671">
        <v>0</v>
      </c>
    </row>
    <row r="672" spans="1:46" x14ac:dyDescent="0.45">
      <c r="A672" s="62" t="s">
        <v>565</v>
      </c>
      <c r="B672" s="62" t="s">
        <v>242</v>
      </c>
      <c r="C672" s="63"/>
      <c r="D672" s="64"/>
      <c r="E672" s="65"/>
      <c r="F672" s="66"/>
      <c r="G672" s="63"/>
      <c r="H672" s="67"/>
      <c r="I672" s="68"/>
      <c r="J672" s="68"/>
      <c r="K672" s="32"/>
      <c r="L672" s="75"/>
      <c r="M672" s="75"/>
      <c r="N672" s="70"/>
      <c r="O672" t="s">
        <v>1570</v>
      </c>
      <c r="P672" s="76">
        <v>44958.809664351851</v>
      </c>
      <c r="Q672" t="s">
        <v>1817</v>
      </c>
      <c r="R67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2" t="s">
        <v>2285</v>
      </c>
      <c r="V672" s="77" t="str">
        <f>HYPERLINK("https://pbs.twimg.com/profile_images/1531472754486259721/cfl6HUyC_normal.jpg")</f>
        <v>https://pbs.twimg.com/profile_images/1531472754486259721/cfl6HUyC_normal.jpg</v>
      </c>
      <c r="W672" s="76">
        <v>44958.809664351851</v>
      </c>
      <c r="X672" s="80">
        <v>44958</v>
      </c>
      <c r="Y672" s="78" t="s">
        <v>2800</v>
      </c>
      <c r="Z672" s="77" t="str">
        <f>HYPERLINK("https://twitter.com/wthrcom/status/1620866051050246155")</f>
        <v>https://twitter.com/wthrcom/status/1620866051050246155</v>
      </c>
      <c r="AC672" s="78" t="s">
        <v>3827</v>
      </c>
      <c r="AE672" t="b">
        <v>0</v>
      </c>
      <c r="AF672">
        <v>0</v>
      </c>
      <c r="AG672" s="78" t="s">
        <v>4640</v>
      </c>
      <c r="AH672" t="b">
        <v>0</v>
      </c>
      <c r="AI672" t="s">
        <v>4829</v>
      </c>
      <c r="AK672" s="78" t="s">
        <v>4640</v>
      </c>
      <c r="AL672" t="b">
        <v>0</v>
      </c>
      <c r="AM672">
        <v>60</v>
      </c>
      <c r="AN672" s="78" t="s">
        <v>4360</v>
      </c>
      <c r="AO672" s="78" t="s">
        <v>4866</v>
      </c>
      <c r="AP672" t="b">
        <v>0</v>
      </c>
      <c r="AQ672" s="78" t="s">
        <v>4360</v>
      </c>
      <c r="AR672" t="s">
        <v>179</v>
      </c>
      <c r="AS672">
        <v>0</v>
      </c>
      <c r="AT672">
        <v>0</v>
      </c>
    </row>
    <row r="673" spans="1:46" x14ac:dyDescent="0.45">
      <c r="A673" s="62" t="s">
        <v>565</v>
      </c>
      <c r="B673" s="62" t="s">
        <v>1006</v>
      </c>
      <c r="C673" s="63"/>
      <c r="D673" s="64"/>
      <c r="E673" s="65"/>
      <c r="F673" s="66"/>
      <c r="G673" s="63"/>
      <c r="H673" s="67"/>
      <c r="I673" s="68"/>
      <c r="J673" s="68"/>
      <c r="K673" s="32"/>
      <c r="L673" s="75"/>
      <c r="M673" s="75"/>
      <c r="N673" s="70"/>
      <c r="O673" t="s">
        <v>1569</v>
      </c>
      <c r="P673" s="76">
        <v>44958.809664351851</v>
      </c>
      <c r="Q673" t="s">
        <v>1817</v>
      </c>
      <c r="R67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3" t="s">
        <v>2285</v>
      </c>
      <c r="V673" s="77" t="str">
        <f>HYPERLINK("https://pbs.twimg.com/profile_images/1531472754486259721/cfl6HUyC_normal.jpg")</f>
        <v>https://pbs.twimg.com/profile_images/1531472754486259721/cfl6HUyC_normal.jpg</v>
      </c>
      <c r="W673" s="76">
        <v>44958.809664351851</v>
      </c>
      <c r="X673" s="80">
        <v>44958</v>
      </c>
      <c r="Y673" s="78" t="s">
        <v>2800</v>
      </c>
      <c r="Z673" s="77" t="str">
        <f>HYPERLINK("https://twitter.com/wthrcom/status/1620866051050246155")</f>
        <v>https://twitter.com/wthrcom/status/1620866051050246155</v>
      </c>
      <c r="AC673" s="78" t="s">
        <v>3827</v>
      </c>
      <c r="AE673" t="b">
        <v>0</v>
      </c>
      <c r="AF673">
        <v>0</v>
      </c>
      <c r="AG673" s="78" t="s">
        <v>4640</v>
      </c>
      <c r="AH673" t="b">
        <v>0</v>
      </c>
      <c r="AI673" t="s">
        <v>4829</v>
      </c>
      <c r="AK673" s="78" t="s">
        <v>4640</v>
      </c>
      <c r="AL673" t="b">
        <v>0</v>
      </c>
      <c r="AM673">
        <v>60</v>
      </c>
      <c r="AN673" s="78" t="s">
        <v>4360</v>
      </c>
      <c r="AO673" s="78" t="s">
        <v>4866</v>
      </c>
      <c r="AP673" t="b">
        <v>0</v>
      </c>
      <c r="AQ673" s="78" t="s">
        <v>4360</v>
      </c>
      <c r="AR673" t="s">
        <v>179</v>
      </c>
      <c r="AS673">
        <v>0</v>
      </c>
      <c r="AT673">
        <v>0</v>
      </c>
    </row>
    <row r="674" spans="1:46" x14ac:dyDescent="0.45">
      <c r="A674" s="62" t="s">
        <v>566</v>
      </c>
      <c r="B674" s="62" t="s">
        <v>242</v>
      </c>
      <c r="C674" s="63"/>
      <c r="D674" s="64"/>
      <c r="E674" s="65"/>
      <c r="F674" s="66"/>
      <c r="G674" s="63"/>
      <c r="H674" s="67"/>
      <c r="I674" s="68"/>
      <c r="J674" s="68"/>
      <c r="K674" s="32"/>
      <c r="L674" s="75"/>
      <c r="M674" s="75"/>
      <c r="N674" s="70"/>
      <c r="O674" t="s">
        <v>1570</v>
      </c>
      <c r="P674" s="76">
        <v>44958.809664351851</v>
      </c>
      <c r="Q674" t="s">
        <v>1817</v>
      </c>
      <c r="R67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4" t="s">
        <v>2285</v>
      </c>
      <c r="V674" s="77" t="str">
        <f>HYPERLINK("https://pbs.twimg.com/profile_images/1405691351296057351/1Bru-lYk_normal.jpg")</f>
        <v>https://pbs.twimg.com/profile_images/1405691351296057351/1Bru-lYk_normal.jpg</v>
      </c>
      <c r="W674" s="76">
        <v>44958.809664351851</v>
      </c>
      <c r="X674" s="80">
        <v>44958</v>
      </c>
      <c r="Y674" s="78" t="s">
        <v>2800</v>
      </c>
      <c r="Z674" s="77" t="str">
        <f>HYPERLINK("https://twitter.com/6newsctx/status/1620866051121504258")</f>
        <v>https://twitter.com/6newsctx/status/1620866051121504258</v>
      </c>
      <c r="AC674" s="78" t="s">
        <v>3828</v>
      </c>
      <c r="AE674" t="b">
        <v>0</v>
      </c>
      <c r="AF674">
        <v>0</v>
      </c>
      <c r="AG674" s="78" t="s">
        <v>4640</v>
      </c>
      <c r="AH674" t="b">
        <v>0</v>
      </c>
      <c r="AI674" t="s">
        <v>4829</v>
      </c>
      <c r="AK674" s="78" t="s">
        <v>4640</v>
      </c>
      <c r="AL674" t="b">
        <v>0</v>
      </c>
      <c r="AM674">
        <v>60</v>
      </c>
      <c r="AN674" s="78" t="s">
        <v>4360</v>
      </c>
      <c r="AO674" s="78" t="s">
        <v>4866</v>
      </c>
      <c r="AP674" t="b">
        <v>0</v>
      </c>
      <c r="AQ674" s="78" t="s">
        <v>4360</v>
      </c>
      <c r="AR674" t="s">
        <v>179</v>
      </c>
      <c r="AS674">
        <v>0</v>
      </c>
      <c r="AT674">
        <v>0</v>
      </c>
    </row>
    <row r="675" spans="1:46" x14ac:dyDescent="0.45">
      <c r="A675" s="62" t="s">
        <v>566</v>
      </c>
      <c r="B675" s="62" t="s">
        <v>1006</v>
      </c>
      <c r="C675" s="63"/>
      <c r="D675" s="64"/>
      <c r="E675" s="65"/>
      <c r="F675" s="66"/>
      <c r="G675" s="63"/>
      <c r="H675" s="67"/>
      <c r="I675" s="68"/>
      <c r="J675" s="68"/>
      <c r="K675" s="32"/>
      <c r="L675" s="75"/>
      <c r="M675" s="75"/>
      <c r="N675" s="70"/>
      <c r="O675" t="s">
        <v>1569</v>
      </c>
      <c r="P675" s="76">
        <v>44958.809664351851</v>
      </c>
      <c r="Q675" t="s">
        <v>1817</v>
      </c>
      <c r="R67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5" t="s">
        <v>2285</v>
      </c>
      <c r="V675" s="77" t="str">
        <f>HYPERLINK("https://pbs.twimg.com/profile_images/1405691351296057351/1Bru-lYk_normal.jpg")</f>
        <v>https://pbs.twimg.com/profile_images/1405691351296057351/1Bru-lYk_normal.jpg</v>
      </c>
      <c r="W675" s="76">
        <v>44958.809664351851</v>
      </c>
      <c r="X675" s="80">
        <v>44958</v>
      </c>
      <c r="Y675" s="78" t="s">
        <v>2800</v>
      </c>
      <c r="Z675" s="77" t="str">
        <f>HYPERLINK("https://twitter.com/6newsctx/status/1620866051121504258")</f>
        <v>https://twitter.com/6newsctx/status/1620866051121504258</v>
      </c>
      <c r="AC675" s="78" t="s">
        <v>3828</v>
      </c>
      <c r="AE675" t="b">
        <v>0</v>
      </c>
      <c r="AF675">
        <v>0</v>
      </c>
      <c r="AG675" s="78" t="s">
        <v>4640</v>
      </c>
      <c r="AH675" t="b">
        <v>0</v>
      </c>
      <c r="AI675" t="s">
        <v>4829</v>
      </c>
      <c r="AK675" s="78" t="s">
        <v>4640</v>
      </c>
      <c r="AL675" t="b">
        <v>0</v>
      </c>
      <c r="AM675">
        <v>60</v>
      </c>
      <c r="AN675" s="78" t="s">
        <v>4360</v>
      </c>
      <c r="AO675" s="78" t="s">
        <v>4866</v>
      </c>
      <c r="AP675" t="b">
        <v>0</v>
      </c>
      <c r="AQ675" s="78" t="s">
        <v>4360</v>
      </c>
      <c r="AR675" t="s">
        <v>179</v>
      </c>
      <c r="AS675">
        <v>0</v>
      </c>
      <c r="AT675">
        <v>0</v>
      </c>
    </row>
    <row r="676" spans="1:46" x14ac:dyDescent="0.45">
      <c r="A676" s="62" t="s">
        <v>567</v>
      </c>
      <c r="B676" s="62" t="s">
        <v>242</v>
      </c>
      <c r="C676" s="63"/>
      <c r="D676" s="64"/>
      <c r="E676" s="65"/>
      <c r="F676" s="66"/>
      <c r="G676" s="63"/>
      <c r="H676" s="67"/>
      <c r="I676" s="68"/>
      <c r="J676" s="68"/>
      <c r="K676" s="32"/>
      <c r="L676" s="75"/>
      <c r="M676" s="75"/>
      <c r="N676" s="70"/>
      <c r="O676" t="s">
        <v>1570</v>
      </c>
      <c r="P676" s="76">
        <v>44958.809664351851</v>
      </c>
      <c r="Q676" t="s">
        <v>1817</v>
      </c>
      <c r="R67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6" t="s">
        <v>2285</v>
      </c>
      <c r="V676" s="77" t="str">
        <f>HYPERLINK("https://pbs.twimg.com/profile_images/1346484677327126529/v0oa5gTZ_normal.jpg")</f>
        <v>https://pbs.twimg.com/profile_images/1346484677327126529/v0oa5gTZ_normal.jpg</v>
      </c>
      <c r="W676" s="76">
        <v>44958.809664351851</v>
      </c>
      <c r="X676" s="80">
        <v>44958</v>
      </c>
      <c r="Y676" s="78" t="s">
        <v>2800</v>
      </c>
      <c r="Z676" s="77" t="str">
        <f>HYPERLINK("https://twitter.com/thv11/status/1620866051134132228")</f>
        <v>https://twitter.com/thv11/status/1620866051134132228</v>
      </c>
      <c r="AC676" s="78" t="s">
        <v>3829</v>
      </c>
      <c r="AE676" t="b">
        <v>0</v>
      </c>
      <c r="AF676">
        <v>0</v>
      </c>
      <c r="AG676" s="78" t="s">
        <v>4640</v>
      </c>
      <c r="AH676" t="b">
        <v>0</v>
      </c>
      <c r="AI676" t="s">
        <v>4829</v>
      </c>
      <c r="AK676" s="78" t="s">
        <v>4640</v>
      </c>
      <c r="AL676" t="b">
        <v>0</v>
      </c>
      <c r="AM676">
        <v>60</v>
      </c>
      <c r="AN676" s="78" t="s">
        <v>4360</v>
      </c>
      <c r="AO676" s="78" t="s">
        <v>4866</v>
      </c>
      <c r="AP676" t="b">
        <v>0</v>
      </c>
      <c r="AQ676" s="78" t="s">
        <v>4360</v>
      </c>
      <c r="AR676" t="s">
        <v>179</v>
      </c>
      <c r="AS676">
        <v>0</v>
      </c>
      <c r="AT676">
        <v>0</v>
      </c>
    </row>
    <row r="677" spans="1:46" x14ac:dyDescent="0.45">
      <c r="A677" s="62" t="s">
        <v>567</v>
      </c>
      <c r="B677" s="62" t="s">
        <v>1006</v>
      </c>
      <c r="C677" s="63"/>
      <c r="D677" s="64"/>
      <c r="E677" s="65"/>
      <c r="F677" s="66"/>
      <c r="G677" s="63"/>
      <c r="H677" s="67"/>
      <c r="I677" s="68"/>
      <c r="J677" s="68"/>
      <c r="K677" s="32"/>
      <c r="L677" s="75"/>
      <c r="M677" s="75"/>
      <c r="N677" s="70"/>
      <c r="O677" t="s">
        <v>1569</v>
      </c>
      <c r="P677" s="76">
        <v>44958.809664351851</v>
      </c>
      <c r="Q677" t="s">
        <v>1817</v>
      </c>
      <c r="R67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7" t="s">
        <v>2285</v>
      </c>
      <c r="V677" s="77" t="str">
        <f>HYPERLINK("https://pbs.twimg.com/profile_images/1346484677327126529/v0oa5gTZ_normal.jpg")</f>
        <v>https://pbs.twimg.com/profile_images/1346484677327126529/v0oa5gTZ_normal.jpg</v>
      </c>
      <c r="W677" s="76">
        <v>44958.809664351851</v>
      </c>
      <c r="X677" s="80">
        <v>44958</v>
      </c>
      <c r="Y677" s="78" t="s">
        <v>2800</v>
      </c>
      <c r="Z677" s="77" t="str">
        <f>HYPERLINK("https://twitter.com/thv11/status/1620866051134132228")</f>
        <v>https://twitter.com/thv11/status/1620866051134132228</v>
      </c>
      <c r="AC677" s="78" t="s">
        <v>3829</v>
      </c>
      <c r="AE677" t="b">
        <v>0</v>
      </c>
      <c r="AF677">
        <v>0</v>
      </c>
      <c r="AG677" s="78" t="s">
        <v>4640</v>
      </c>
      <c r="AH677" t="b">
        <v>0</v>
      </c>
      <c r="AI677" t="s">
        <v>4829</v>
      </c>
      <c r="AK677" s="78" t="s">
        <v>4640</v>
      </c>
      <c r="AL677" t="b">
        <v>0</v>
      </c>
      <c r="AM677">
        <v>60</v>
      </c>
      <c r="AN677" s="78" t="s">
        <v>4360</v>
      </c>
      <c r="AO677" s="78" t="s">
        <v>4866</v>
      </c>
      <c r="AP677" t="b">
        <v>0</v>
      </c>
      <c r="AQ677" s="78" t="s">
        <v>4360</v>
      </c>
      <c r="AR677" t="s">
        <v>179</v>
      </c>
      <c r="AS677">
        <v>0</v>
      </c>
      <c r="AT677">
        <v>0</v>
      </c>
    </row>
    <row r="678" spans="1:46" x14ac:dyDescent="0.45">
      <c r="A678" s="62" t="s">
        <v>568</v>
      </c>
      <c r="B678" s="62" t="s">
        <v>242</v>
      </c>
      <c r="C678" s="63"/>
      <c r="D678" s="64"/>
      <c r="E678" s="65"/>
      <c r="F678" s="66"/>
      <c r="G678" s="63"/>
      <c r="H678" s="67"/>
      <c r="I678" s="68"/>
      <c r="J678" s="68"/>
      <c r="K678" s="32"/>
      <c r="L678" s="75"/>
      <c r="M678" s="75"/>
      <c r="N678" s="70"/>
      <c r="O678" t="s">
        <v>1570</v>
      </c>
      <c r="P678" s="76">
        <v>44958.809664351851</v>
      </c>
      <c r="Q678" t="s">
        <v>1817</v>
      </c>
      <c r="R67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8" t="s">
        <v>2285</v>
      </c>
      <c r="V678" s="77" t="str">
        <f>HYPERLINK("https://pbs.twimg.com/profile_images/1542876439556624384/z89tjVdQ_normal.jpg")</f>
        <v>https://pbs.twimg.com/profile_images/1542876439556624384/z89tjVdQ_normal.jpg</v>
      </c>
      <c r="W678" s="76">
        <v>44958.809664351851</v>
      </c>
      <c r="X678" s="80">
        <v>44958</v>
      </c>
      <c r="Y678" s="78" t="s">
        <v>2800</v>
      </c>
      <c r="Z678" s="77" t="str">
        <f>HYPERLINK("https://twitter.com/kare11/status/1620866051138256898")</f>
        <v>https://twitter.com/kare11/status/1620866051138256898</v>
      </c>
      <c r="AC678" s="78" t="s">
        <v>3830</v>
      </c>
      <c r="AE678" t="b">
        <v>0</v>
      </c>
      <c r="AF678">
        <v>0</v>
      </c>
      <c r="AG678" s="78" t="s">
        <v>4640</v>
      </c>
      <c r="AH678" t="b">
        <v>0</v>
      </c>
      <c r="AI678" t="s">
        <v>4829</v>
      </c>
      <c r="AK678" s="78" t="s">
        <v>4640</v>
      </c>
      <c r="AL678" t="b">
        <v>0</v>
      </c>
      <c r="AM678">
        <v>60</v>
      </c>
      <c r="AN678" s="78" t="s">
        <v>4360</v>
      </c>
      <c r="AO678" s="78" t="s">
        <v>4866</v>
      </c>
      <c r="AP678" t="b">
        <v>0</v>
      </c>
      <c r="AQ678" s="78" t="s">
        <v>4360</v>
      </c>
      <c r="AR678" t="s">
        <v>179</v>
      </c>
      <c r="AS678">
        <v>0</v>
      </c>
      <c r="AT678">
        <v>0</v>
      </c>
    </row>
    <row r="679" spans="1:46" x14ac:dyDescent="0.45">
      <c r="A679" s="62" t="s">
        <v>568</v>
      </c>
      <c r="B679" s="62" t="s">
        <v>1006</v>
      </c>
      <c r="C679" s="63"/>
      <c r="D679" s="64"/>
      <c r="E679" s="65"/>
      <c r="F679" s="66"/>
      <c r="G679" s="63"/>
      <c r="H679" s="67"/>
      <c r="I679" s="68"/>
      <c r="J679" s="68"/>
      <c r="K679" s="32"/>
      <c r="L679" s="75"/>
      <c r="M679" s="75"/>
      <c r="N679" s="70"/>
      <c r="O679" t="s">
        <v>1569</v>
      </c>
      <c r="P679" s="76">
        <v>44958.809664351851</v>
      </c>
      <c r="Q679" t="s">
        <v>1817</v>
      </c>
      <c r="R67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79" t="s">
        <v>2285</v>
      </c>
      <c r="V679" s="77" t="str">
        <f>HYPERLINK("https://pbs.twimg.com/profile_images/1542876439556624384/z89tjVdQ_normal.jpg")</f>
        <v>https://pbs.twimg.com/profile_images/1542876439556624384/z89tjVdQ_normal.jpg</v>
      </c>
      <c r="W679" s="76">
        <v>44958.809664351851</v>
      </c>
      <c r="X679" s="80">
        <v>44958</v>
      </c>
      <c r="Y679" s="78" t="s">
        <v>2800</v>
      </c>
      <c r="Z679" s="77" t="str">
        <f>HYPERLINK("https://twitter.com/kare11/status/1620866051138256898")</f>
        <v>https://twitter.com/kare11/status/1620866051138256898</v>
      </c>
      <c r="AC679" s="78" t="s">
        <v>3830</v>
      </c>
      <c r="AE679" t="b">
        <v>0</v>
      </c>
      <c r="AF679">
        <v>0</v>
      </c>
      <c r="AG679" s="78" t="s">
        <v>4640</v>
      </c>
      <c r="AH679" t="b">
        <v>0</v>
      </c>
      <c r="AI679" t="s">
        <v>4829</v>
      </c>
      <c r="AK679" s="78" t="s">
        <v>4640</v>
      </c>
      <c r="AL679" t="b">
        <v>0</v>
      </c>
      <c r="AM679">
        <v>60</v>
      </c>
      <c r="AN679" s="78" t="s">
        <v>4360</v>
      </c>
      <c r="AO679" s="78" t="s">
        <v>4866</v>
      </c>
      <c r="AP679" t="b">
        <v>0</v>
      </c>
      <c r="AQ679" s="78" t="s">
        <v>4360</v>
      </c>
      <c r="AR679" t="s">
        <v>179</v>
      </c>
      <c r="AS679">
        <v>0</v>
      </c>
      <c r="AT679">
        <v>0</v>
      </c>
    </row>
    <row r="680" spans="1:46" x14ac:dyDescent="0.45">
      <c r="A680" s="62" t="s">
        <v>569</v>
      </c>
      <c r="B680" s="62" t="s">
        <v>242</v>
      </c>
      <c r="C680" s="63"/>
      <c r="D680" s="64"/>
      <c r="E680" s="65"/>
      <c r="F680" s="66"/>
      <c r="G680" s="63"/>
      <c r="H680" s="67"/>
      <c r="I680" s="68"/>
      <c r="J680" s="68"/>
      <c r="K680" s="32"/>
      <c r="L680" s="75"/>
      <c r="M680" s="75"/>
      <c r="N680" s="70"/>
      <c r="O680" t="s">
        <v>1570</v>
      </c>
      <c r="P680" s="76">
        <v>44958.809664351851</v>
      </c>
      <c r="Q680" t="s">
        <v>1817</v>
      </c>
      <c r="R68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0" t="s">
        <v>2285</v>
      </c>
      <c r="V680" s="77" t="str">
        <f>HYPERLINK("https://pbs.twimg.com/profile_images/867401894003707905/Czy-RKnE_normal.jpg")</f>
        <v>https://pbs.twimg.com/profile_images/867401894003707905/Czy-RKnE_normal.jpg</v>
      </c>
      <c r="W680" s="76">
        <v>44958.809664351851</v>
      </c>
      <c r="X680" s="80">
        <v>44958</v>
      </c>
      <c r="Y680" s="78" t="s">
        <v>2800</v>
      </c>
      <c r="Z680" s="77" t="str">
        <f>HYPERLINK("https://twitter.com/fcn2go/status/1620866051230547968")</f>
        <v>https://twitter.com/fcn2go/status/1620866051230547968</v>
      </c>
      <c r="AC680" s="78" t="s">
        <v>3831</v>
      </c>
      <c r="AE680" t="b">
        <v>0</v>
      </c>
      <c r="AF680">
        <v>0</v>
      </c>
      <c r="AG680" s="78" t="s">
        <v>4640</v>
      </c>
      <c r="AH680" t="b">
        <v>0</v>
      </c>
      <c r="AI680" t="s">
        <v>4829</v>
      </c>
      <c r="AK680" s="78" t="s">
        <v>4640</v>
      </c>
      <c r="AL680" t="b">
        <v>0</v>
      </c>
      <c r="AM680">
        <v>60</v>
      </c>
      <c r="AN680" s="78" t="s">
        <v>4360</v>
      </c>
      <c r="AO680" s="78" t="s">
        <v>4866</v>
      </c>
      <c r="AP680" t="b">
        <v>0</v>
      </c>
      <c r="AQ680" s="78" t="s">
        <v>4360</v>
      </c>
      <c r="AR680" t="s">
        <v>179</v>
      </c>
      <c r="AS680">
        <v>0</v>
      </c>
      <c r="AT680">
        <v>0</v>
      </c>
    </row>
    <row r="681" spans="1:46" x14ac:dyDescent="0.45">
      <c r="A681" s="62" t="s">
        <v>569</v>
      </c>
      <c r="B681" s="62" t="s">
        <v>1006</v>
      </c>
      <c r="C681" s="63"/>
      <c r="D681" s="64"/>
      <c r="E681" s="65"/>
      <c r="F681" s="66"/>
      <c r="G681" s="63"/>
      <c r="H681" s="67"/>
      <c r="I681" s="68"/>
      <c r="J681" s="68"/>
      <c r="K681" s="32"/>
      <c r="L681" s="75"/>
      <c r="M681" s="75"/>
      <c r="N681" s="70"/>
      <c r="O681" t="s">
        <v>1569</v>
      </c>
      <c r="P681" s="76">
        <v>44958.809664351851</v>
      </c>
      <c r="Q681" t="s">
        <v>1817</v>
      </c>
      <c r="R68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1" t="s">
        <v>2285</v>
      </c>
      <c r="V681" s="77" t="str">
        <f>HYPERLINK("https://pbs.twimg.com/profile_images/867401894003707905/Czy-RKnE_normal.jpg")</f>
        <v>https://pbs.twimg.com/profile_images/867401894003707905/Czy-RKnE_normal.jpg</v>
      </c>
      <c r="W681" s="76">
        <v>44958.809664351851</v>
      </c>
      <c r="X681" s="80">
        <v>44958</v>
      </c>
      <c r="Y681" s="78" t="s">
        <v>2800</v>
      </c>
      <c r="Z681" s="77" t="str">
        <f>HYPERLINK("https://twitter.com/fcn2go/status/1620866051230547968")</f>
        <v>https://twitter.com/fcn2go/status/1620866051230547968</v>
      </c>
      <c r="AC681" s="78" t="s">
        <v>3831</v>
      </c>
      <c r="AE681" t="b">
        <v>0</v>
      </c>
      <c r="AF681">
        <v>0</v>
      </c>
      <c r="AG681" s="78" t="s">
        <v>4640</v>
      </c>
      <c r="AH681" t="b">
        <v>0</v>
      </c>
      <c r="AI681" t="s">
        <v>4829</v>
      </c>
      <c r="AK681" s="78" t="s">
        <v>4640</v>
      </c>
      <c r="AL681" t="b">
        <v>0</v>
      </c>
      <c r="AM681">
        <v>60</v>
      </c>
      <c r="AN681" s="78" t="s">
        <v>4360</v>
      </c>
      <c r="AO681" s="78" t="s">
        <v>4866</v>
      </c>
      <c r="AP681" t="b">
        <v>0</v>
      </c>
      <c r="AQ681" s="78" t="s">
        <v>4360</v>
      </c>
      <c r="AR681" t="s">
        <v>179</v>
      </c>
      <c r="AS681">
        <v>0</v>
      </c>
      <c r="AT681">
        <v>0</v>
      </c>
    </row>
    <row r="682" spans="1:46" x14ac:dyDescent="0.45">
      <c r="A682" s="62" t="s">
        <v>570</v>
      </c>
      <c r="B682" s="62" t="s">
        <v>242</v>
      </c>
      <c r="C682" s="63"/>
      <c r="D682" s="64"/>
      <c r="E682" s="65"/>
      <c r="F682" s="66"/>
      <c r="G682" s="63"/>
      <c r="H682" s="67"/>
      <c r="I682" s="68"/>
      <c r="J682" s="68"/>
      <c r="K682" s="32"/>
      <c r="L682" s="75"/>
      <c r="M682" s="75"/>
      <c r="N682" s="70"/>
      <c r="O682" t="s">
        <v>1570</v>
      </c>
      <c r="P682" s="76">
        <v>44958.809664351851</v>
      </c>
      <c r="Q682" t="s">
        <v>1817</v>
      </c>
      <c r="R68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2" t="s">
        <v>2285</v>
      </c>
      <c r="V682" s="77" t="str">
        <f>HYPERLINK("https://pbs.twimg.com/profile_images/1296385757117128704/2oaRBVnq_normal.jpg")</f>
        <v>https://pbs.twimg.com/profile_images/1296385757117128704/2oaRBVnq_normal.jpg</v>
      </c>
      <c r="W682" s="76">
        <v>44958.809664351851</v>
      </c>
      <c r="X682" s="80">
        <v>44958</v>
      </c>
      <c r="Y682" s="78" t="s">
        <v>2800</v>
      </c>
      <c r="Z682" s="77" t="str">
        <f>HYPERLINK("https://twitter.com/fox43/status/1620866051255799808")</f>
        <v>https://twitter.com/fox43/status/1620866051255799808</v>
      </c>
      <c r="AC682" s="78" t="s">
        <v>3832</v>
      </c>
      <c r="AE682" t="b">
        <v>0</v>
      </c>
      <c r="AF682">
        <v>0</v>
      </c>
      <c r="AG682" s="78" t="s">
        <v>4640</v>
      </c>
      <c r="AH682" t="b">
        <v>0</v>
      </c>
      <c r="AI682" t="s">
        <v>4829</v>
      </c>
      <c r="AK682" s="78" t="s">
        <v>4640</v>
      </c>
      <c r="AL682" t="b">
        <v>0</v>
      </c>
      <c r="AM682">
        <v>60</v>
      </c>
      <c r="AN682" s="78" t="s">
        <v>4360</v>
      </c>
      <c r="AO682" s="78" t="s">
        <v>4866</v>
      </c>
      <c r="AP682" t="b">
        <v>0</v>
      </c>
      <c r="AQ682" s="78" t="s">
        <v>4360</v>
      </c>
      <c r="AR682" t="s">
        <v>179</v>
      </c>
      <c r="AS682">
        <v>0</v>
      </c>
      <c r="AT682">
        <v>0</v>
      </c>
    </row>
    <row r="683" spans="1:46" x14ac:dyDescent="0.45">
      <c r="A683" s="62" t="s">
        <v>570</v>
      </c>
      <c r="B683" s="62" t="s">
        <v>1006</v>
      </c>
      <c r="C683" s="63"/>
      <c r="D683" s="64"/>
      <c r="E683" s="65"/>
      <c r="F683" s="66"/>
      <c r="G683" s="63"/>
      <c r="H683" s="67"/>
      <c r="I683" s="68"/>
      <c r="J683" s="68"/>
      <c r="K683" s="32"/>
      <c r="L683" s="75"/>
      <c r="M683" s="75"/>
      <c r="N683" s="70"/>
      <c r="O683" t="s">
        <v>1569</v>
      </c>
      <c r="P683" s="76">
        <v>44958.809664351851</v>
      </c>
      <c r="Q683" t="s">
        <v>1817</v>
      </c>
      <c r="R68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3" t="s">
        <v>2285</v>
      </c>
      <c r="V683" s="77" t="str">
        <f>HYPERLINK("https://pbs.twimg.com/profile_images/1296385757117128704/2oaRBVnq_normal.jpg")</f>
        <v>https://pbs.twimg.com/profile_images/1296385757117128704/2oaRBVnq_normal.jpg</v>
      </c>
      <c r="W683" s="76">
        <v>44958.809664351851</v>
      </c>
      <c r="X683" s="80">
        <v>44958</v>
      </c>
      <c r="Y683" s="78" t="s">
        <v>2800</v>
      </c>
      <c r="Z683" s="77" t="str">
        <f>HYPERLINK("https://twitter.com/fox43/status/1620866051255799808")</f>
        <v>https://twitter.com/fox43/status/1620866051255799808</v>
      </c>
      <c r="AC683" s="78" t="s">
        <v>3832</v>
      </c>
      <c r="AE683" t="b">
        <v>0</v>
      </c>
      <c r="AF683">
        <v>0</v>
      </c>
      <c r="AG683" s="78" t="s">
        <v>4640</v>
      </c>
      <c r="AH683" t="b">
        <v>0</v>
      </c>
      <c r="AI683" t="s">
        <v>4829</v>
      </c>
      <c r="AK683" s="78" t="s">
        <v>4640</v>
      </c>
      <c r="AL683" t="b">
        <v>0</v>
      </c>
      <c r="AM683">
        <v>60</v>
      </c>
      <c r="AN683" s="78" t="s">
        <v>4360</v>
      </c>
      <c r="AO683" s="78" t="s">
        <v>4866</v>
      </c>
      <c r="AP683" t="b">
        <v>0</v>
      </c>
      <c r="AQ683" s="78" t="s">
        <v>4360</v>
      </c>
      <c r="AR683" t="s">
        <v>179</v>
      </c>
      <c r="AS683">
        <v>0</v>
      </c>
      <c r="AT683">
        <v>0</v>
      </c>
    </row>
    <row r="684" spans="1:46" x14ac:dyDescent="0.45">
      <c r="A684" s="62" t="s">
        <v>571</v>
      </c>
      <c r="B684" s="62" t="s">
        <v>242</v>
      </c>
      <c r="C684" s="63"/>
      <c r="D684" s="64"/>
      <c r="E684" s="65"/>
      <c r="F684" s="66"/>
      <c r="G684" s="63"/>
      <c r="H684" s="67"/>
      <c r="I684" s="68"/>
      <c r="J684" s="68"/>
      <c r="K684" s="32"/>
      <c r="L684" s="75"/>
      <c r="M684" s="75"/>
      <c r="N684" s="70"/>
      <c r="O684" t="s">
        <v>1570</v>
      </c>
      <c r="P684" s="76">
        <v>44958.809664351851</v>
      </c>
      <c r="Q684" t="s">
        <v>1817</v>
      </c>
      <c r="R68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4" t="s">
        <v>2285</v>
      </c>
      <c r="V684" s="77" t="str">
        <f>HYPERLINK("https://pbs.twimg.com/profile_images/993935476364054528/GRE81eo8_normal.jpg")</f>
        <v>https://pbs.twimg.com/profile_images/993935476364054528/GRE81eo8_normal.jpg</v>
      </c>
      <c r="W684" s="76">
        <v>44958.809664351851</v>
      </c>
      <c r="X684" s="80">
        <v>44958</v>
      </c>
      <c r="Y684" s="78" t="s">
        <v>2800</v>
      </c>
      <c r="Z684" s="77" t="str">
        <f>HYPERLINK("https://twitter.com/wfaa/status/1620866051264155665")</f>
        <v>https://twitter.com/wfaa/status/1620866051264155665</v>
      </c>
      <c r="AC684" s="78" t="s">
        <v>3833</v>
      </c>
      <c r="AE684" t="b">
        <v>0</v>
      </c>
      <c r="AF684">
        <v>0</v>
      </c>
      <c r="AG684" s="78" t="s">
        <v>4640</v>
      </c>
      <c r="AH684" t="b">
        <v>0</v>
      </c>
      <c r="AI684" t="s">
        <v>4829</v>
      </c>
      <c r="AK684" s="78" t="s">
        <v>4640</v>
      </c>
      <c r="AL684" t="b">
        <v>0</v>
      </c>
      <c r="AM684">
        <v>60</v>
      </c>
      <c r="AN684" s="78" t="s">
        <v>4360</v>
      </c>
      <c r="AO684" s="78" t="s">
        <v>4866</v>
      </c>
      <c r="AP684" t="b">
        <v>0</v>
      </c>
      <c r="AQ684" s="78" t="s">
        <v>4360</v>
      </c>
      <c r="AR684" t="s">
        <v>179</v>
      </c>
      <c r="AS684">
        <v>0</v>
      </c>
      <c r="AT684">
        <v>0</v>
      </c>
    </row>
    <row r="685" spans="1:46" x14ac:dyDescent="0.45">
      <c r="A685" s="62" t="s">
        <v>571</v>
      </c>
      <c r="B685" s="62" t="s">
        <v>1006</v>
      </c>
      <c r="C685" s="63"/>
      <c r="D685" s="64"/>
      <c r="E685" s="65"/>
      <c r="F685" s="66"/>
      <c r="G685" s="63"/>
      <c r="H685" s="67"/>
      <c r="I685" s="68"/>
      <c r="J685" s="68"/>
      <c r="K685" s="32"/>
      <c r="L685" s="75"/>
      <c r="M685" s="75"/>
      <c r="N685" s="70"/>
      <c r="O685" t="s">
        <v>1569</v>
      </c>
      <c r="P685" s="76">
        <v>44958.809664351851</v>
      </c>
      <c r="Q685" t="s">
        <v>1817</v>
      </c>
      <c r="R68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5" t="s">
        <v>2285</v>
      </c>
      <c r="V685" s="77" t="str">
        <f>HYPERLINK("https://pbs.twimg.com/profile_images/993935476364054528/GRE81eo8_normal.jpg")</f>
        <v>https://pbs.twimg.com/profile_images/993935476364054528/GRE81eo8_normal.jpg</v>
      </c>
      <c r="W685" s="76">
        <v>44958.809664351851</v>
      </c>
      <c r="X685" s="80">
        <v>44958</v>
      </c>
      <c r="Y685" s="78" t="s">
        <v>2800</v>
      </c>
      <c r="Z685" s="77" t="str">
        <f>HYPERLINK("https://twitter.com/wfaa/status/1620866051264155665")</f>
        <v>https://twitter.com/wfaa/status/1620866051264155665</v>
      </c>
      <c r="AC685" s="78" t="s">
        <v>3833</v>
      </c>
      <c r="AE685" t="b">
        <v>0</v>
      </c>
      <c r="AF685">
        <v>0</v>
      </c>
      <c r="AG685" s="78" t="s">
        <v>4640</v>
      </c>
      <c r="AH685" t="b">
        <v>0</v>
      </c>
      <c r="AI685" t="s">
        <v>4829</v>
      </c>
      <c r="AK685" s="78" t="s">
        <v>4640</v>
      </c>
      <c r="AL685" t="b">
        <v>0</v>
      </c>
      <c r="AM685">
        <v>60</v>
      </c>
      <c r="AN685" s="78" t="s">
        <v>4360</v>
      </c>
      <c r="AO685" s="78" t="s">
        <v>4866</v>
      </c>
      <c r="AP685" t="b">
        <v>0</v>
      </c>
      <c r="AQ685" s="78" t="s">
        <v>4360</v>
      </c>
      <c r="AR685" t="s">
        <v>179</v>
      </c>
      <c r="AS685">
        <v>0</v>
      </c>
      <c r="AT685">
        <v>0</v>
      </c>
    </row>
    <row r="686" spans="1:46" x14ac:dyDescent="0.45">
      <c r="A686" s="62" t="s">
        <v>572</v>
      </c>
      <c r="B686" s="62" t="s">
        <v>242</v>
      </c>
      <c r="C686" s="63"/>
      <c r="D686" s="64"/>
      <c r="E686" s="65"/>
      <c r="F686" s="66"/>
      <c r="G686" s="63"/>
      <c r="H686" s="67"/>
      <c r="I686" s="68"/>
      <c r="J686" s="68"/>
      <c r="K686" s="32"/>
      <c r="L686" s="75"/>
      <c r="M686" s="75"/>
      <c r="N686" s="70"/>
      <c r="O686" t="s">
        <v>1570</v>
      </c>
      <c r="P686" s="76">
        <v>44958.809664351851</v>
      </c>
      <c r="Q686" t="s">
        <v>1817</v>
      </c>
      <c r="R68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6" t="s">
        <v>2285</v>
      </c>
      <c r="V686" s="77" t="str">
        <f>HYPERLINK("https://pbs.twimg.com/profile_images/1257694617690046467/ISKyPJi0_normal.jpg")</f>
        <v>https://pbs.twimg.com/profile_images/1257694617690046467/ISKyPJi0_normal.jpg</v>
      </c>
      <c r="W686" s="76">
        <v>44958.809664351851</v>
      </c>
      <c r="X686" s="80">
        <v>44958</v>
      </c>
      <c r="Y686" s="78" t="s">
        <v>2800</v>
      </c>
      <c r="Z686" s="77" t="str">
        <f>HYPERLINK("https://twitter.com/10tampabay/status/1620866051280863233")</f>
        <v>https://twitter.com/10tampabay/status/1620866051280863233</v>
      </c>
      <c r="AC686" s="78" t="s">
        <v>3834</v>
      </c>
      <c r="AE686" t="b">
        <v>0</v>
      </c>
      <c r="AF686">
        <v>0</v>
      </c>
      <c r="AG686" s="78" t="s">
        <v>4640</v>
      </c>
      <c r="AH686" t="b">
        <v>0</v>
      </c>
      <c r="AI686" t="s">
        <v>4829</v>
      </c>
      <c r="AK686" s="78" t="s">
        <v>4640</v>
      </c>
      <c r="AL686" t="b">
        <v>0</v>
      </c>
      <c r="AM686">
        <v>60</v>
      </c>
      <c r="AN686" s="78" t="s">
        <v>4360</v>
      </c>
      <c r="AO686" s="78" t="s">
        <v>4866</v>
      </c>
      <c r="AP686" t="b">
        <v>0</v>
      </c>
      <c r="AQ686" s="78" t="s">
        <v>4360</v>
      </c>
      <c r="AR686" t="s">
        <v>179</v>
      </c>
      <c r="AS686">
        <v>0</v>
      </c>
      <c r="AT686">
        <v>0</v>
      </c>
    </row>
    <row r="687" spans="1:46" x14ac:dyDescent="0.45">
      <c r="A687" s="62" t="s">
        <v>572</v>
      </c>
      <c r="B687" s="62" t="s">
        <v>1006</v>
      </c>
      <c r="C687" s="63"/>
      <c r="D687" s="64"/>
      <c r="E687" s="65"/>
      <c r="F687" s="66"/>
      <c r="G687" s="63"/>
      <c r="H687" s="67"/>
      <c r="I687" s="68"/>
      <c r="J687" s="68"/>
      <c r="K687" s="32"/>
      <c r="L687" s="75"/>
      <c r="M687" s="75"/>
      <c r="N687" s="70"/>
      <c r="O687" t="s">
        <v>1569</v>
      </c>
      <c r="P687" s="76">
        <v>44958.809664351851</v>
      </c>
      <c r="Q687" t="s">
        <v>1817</v>
      </c>
      <c r="R68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7" t="s">
        <v>2285</v>
      </c>
      <c r="V687" s="77" t="str">
        <f>HYPERLINK("https://pbs.twimg.com/profile_images/1257694617690046467/ISKyPJi0_normal.jpg")</f>
        <v>https://pbs.twimg.com/profile_images/1257694617690046467/ISKyPJi0_normal.jpg</v>
      </c>
      <c r="W687" s="76">
        <v>44958.809664351851</v>
      </c>
      <c r="X687" s="80">
        <v>44958</v>
      </c>
      <c r="Y687" s="78" t="s">
        <v>2800</v>
      </c>
      <c r="Z687" s="77" t="str">
        <f>HYPERLINK("https://twitter.com/10tampabay/status/1620866051280863233")</f>
        <v>https://twitter.com/10tampabay/status/1620866051280863233</v>
      </c>
      <c r="AC687" s="78" t="s">
        <v>3834</v>
      </c>
      <c r="AE687" t="b">
        <v>0</v>
      </c>
      <c r="AF687">
        <v>0</v>
      </c>
      <c r="AG687" s="78" t="s">
        <v>4640</v>
      </c>
      <c r="AH687" t="b">
        <v>0</v>
      </c>
      <c r="AI687" t="s">
        <v>4829</v>
      </c>
      <c r="AK687" s="78" t="s">
        <v>4640</v>
      </c>
      <c r="AL687" t="b">
        <v>0</v>
      </c>
      <c r="AM687">
        <v>60</v>
      </c>
      <c r="AN687" s="78" t="s">
        <v>4360</v>
      </c>
      <c r="AO687" s="78" t="s">
        <v>4866</v>
      </c>
      <c r="AP687" t="b">
        <v>0</v>
      </c>
      <c r="AQ687" s="78" t="s">
        <v>4360</v>
      </c>
      <c r="AR687" t="s">
        <v>179</v>
      </c>
      <c r="AS687">
        <v>0</v>
      </c>
      <c r="AT687">
        <v>0</v>
      </c>
    </row>
    <row r="688" spans="1:46" x14ac:dyDescent="0.45">
      <c r="A688" s="62" t="s">
        <v>573</v>
      </c>
      <c r="B688" s="62" t="s">
        <v>242</v>
      </c>
      <c r="C688" s="63"/>
      <c r="D688" s="64"/>
      <c r="E688" s="65"/>
      <c r="F688" s="66"/>
      <c r="G688" s="63"/>
      <c r="H688" s="67"/>
      <c r="I688" s="68"/>
      <c r="J688" s="68"/>
      <c r="K688" s="32"/>
      <c r="L688" s="75"/>
      <c r="M688" s="75"/>
      <c r="N688" s="70"/>
      <c r="O688" t="s">
        <v>1570</v>
      </c>
      <c r="P688" s="76">
        <v>44958.809664351851</v>
      </c>
      <c r="Q688" t="s">
        <v>1817</v>
      </c>
      <c r="R68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8" t="s">
        <v>2285</v>
      </c>
      <c r="V688" s="77" t="str">
        <f>HYPERLINK("https://pbs.twimg.com/profile_images/988787749405671425/YenK3Kos_normal.jpg")</f>
        <v>https://pbs.twimg.com/profile_images/988787749405671425/YenK3Kos_normal.jpg</v>
      </c>
      <c r="W688" s="76">
        <v>44958.809664351851</v>
      </c>
      <c r="X688" s="80">
        <v>44958</v>
      </c>
      <c r="Y688" s="78" t="s">
        <v>2800</v>
      </c>
      <c r="Z688" s="77" t="str">
        <f>HYPERLINK("https://twitter.com/fox61news/status/1620866051310293001")</f>
        <v>https://twitter.com/fox61news/status/1620866051310293001</v>
      </c>
      <c r="AC688" s="78" t="s">
        <v>3835</v>
      </c>
      <c r="AE688" t="b">
        <v>0</v>
      </c>
      <c r="AF688">
        <v>0</v>
      </c>
      <c r="AG688" s="78" t="s">
        <v>4640</v>
      </c>
      <c r="AH688" t="b">
        <v>0</v>
      </c>
      <c r="AI688" t="s">
        <v>4829</v>
      </c>
      <c r="AK688" s="78" t="s">
        <v>4640</v>
      </c>
      <c r="AL688" t="b">
        <v>0</v>
      </c>
      <c r="AM688">
        <v>60</v>
      </c>
      <c r="AN688" s="78" t="s">
        <v>4360</v>
      </c>
      <c r="AO688" s="78" t="s">
        <v>4866</v>
      </c>
      <c r="AP688" t="b">
        <v>0</v>
      </c>
      <c r="AQ688" s="78" t="s">
        <v>4360</v>
      </c>
      <c r="AR688" t="s">
        <v>179</v>
      </c>
      <c r="AS688">
        <v>0</v>
      </c>
      <c r="AT688">
        <v>0</v>
      </c>
    </row>
    <row r="689" spans="1:46" x14ac:dyDescent="0.45">
      <c r="A689" s="62" t="s">
        <v>573</v>
      </c>
      <c r="B689" s="62" t="s">
        <v>1006</v>
      </c>
      <c r="C689" s="63"/>
      <c r="D689" s="64"/>
      <c r="E689" s="65"/>
      <c r="F689" s="66"/>
      <c r="G689" s="63"/>
      <c r="H689" s="67"/>
      <c r="I689" s="68"/>
      <c r="J689" s="68"/>
      <c r="K689" s="32"/>
      <c r="L689" s="75"/>
      <c r="M689" s="75"/>
      <c r="N689" s="70"/>
      <c r="O689" t="s">
        <v>1569</v>
      </c>
      <c r="P689" s="76">
        <v>44958.809664351851</v>
      </c>
      <c r="Q689" t="s">
        <v>1817</v>
      </c>
      <c r="R68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89" t="s">
        <v>2285</v>
      </c>
      <c r="V689" s="77" t="str">
        <f>HYPERLINK("https://pbs.twimg.com/profile_images/988787749405671425/YenK3Kos_normal.jpg")</f>
        <v>https://pbs.twimg.com/profile_images/988787749405671425/YenK3Kos_normal.jpg</v>
      </c>
      <c r="W689" s="76">
        <v>44958.809664351851</v>
      </c>
      <c r="X689" s="80">
        <v>44958</v>
      </c>
      <c r="Y689" s="78" t="s">
        <v>2800</v>
      </c>
      <c r="Z689" s="77" t="str">
        <f>HYPERLINK("https://twitter.com/fox61news/status/1620866051310293001")</f>
        <v>https://twitter.com/fox61news/status/1620866051310293001</v>
      </c>
      <c r="AC689" s="78" t="s">
        <v>3835</v>
      </c>
      <c r="AE689" t="b">
        <v>0</v>
      </c>
      <c r="AF689">
        <v>0</v>
      </c>
      <c r="AG689" s="78" t="s">
        <v>4640</v>
      </c>
      <c r="AH689" t="b">
        <v>0</v>
      </c>
      <c r="AI689" t="s">
        <v>4829</v>
      </c>
      <c r="AK689" s="78" t="s">
        <v>4640</v>
      </c>
      <c r="AL689" t="b">
        <v>0</v>
      </c>
      <c r="AM689">
        <v>60</v>
      </c>
      <c r="AN689" s="78" t="s">
        <v>4360</v>
      </c>
      <c r="AO689" s="78" t="s">
        <v>4866</v>
      </c>
      <c r="AP689" t="b">
        <v>0</v>
      </c>
      <c r="AQ689" s="78" t="s">
        <v>4360</v>
      </c>
      <c r="AR689" t="s">
        <v>179</v>
      </c>
      <c r="AS689">
        <v>0</v>
      </c>
      <c r="AT689">
        <v>0</v>
      </c>
    </row>
    <row r="690" spans="1:46" x14ac:dyDescent="0.45">
      <c r="A690" s="62" t="s">
        <v>574</v>
      </c>
      <c r="B690" s="62" t="s">
        <v>242</v>
      </c>
      <c r="C690" s="63"/>
      <c r="D690" s="64"/>
      <c r="E690" s="65"/>
      <c r="F690" s="66"/>
      <c r="G690" s="63"/>
      <c r="H690" s="67"/>
      <c r="I690" s="68"/>
      <c r="J690" s="68"/>
      <c r="K690" s="32"/>
      <c r="L690" s="75"/>
      <c r="M690" s="75"/>
      <c r="N690" s="70"/>
      <c r="O690" t="s">
        <v>1570</v>
      </c>
      <c r="P690" s="76">
        <v>44958.809664351851</v>
      </c>
      <c r="Q690" t="s">
        <v>1817</v>
      </c>
      <c r="R69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0" t="s">
        <v>2285</v>
      </c>
      <c r="V690" s="77" t="str">
        <f>HYPERLINK("https://pbs.twimg.com/profile_images/1258402171864956928/WHJzABXM_normal.jpg")</f>
        <v>https://pbs.twimg.com/profile_images/1258402171864956928/WHJzABXM_normal.jpg</v>
      </c>
      <c r="W690" s="76">
        <v>44958.809664351851</v>
      </c>
      <c r="X690" s="80">
        <v>44958</v>
      </c>
      <c r="Y690" s="78" t="s">
        <v>2800</v>
      </c>
      <c r="Z690" s="77" t="str">
        <f>HYPERLINK("https://twitter.com/wtol11toledo/status/1620866051343880194")</f>
        <v>https://twitter.com/wtol11toledo/status/1620866051343880194</v>
      </c>
      <c r="AC690" s="78" t="s">
        <v>3836</v>
      </c>
      <c r="AE690" t="b">
        <v>0</v>
      </c>
      <c r="AF690">
        <v>0</v>
      </c>
      <c r="AG690" s="78" t="s">
        <v>4640</v>
      </c>
      <c r="AH690" t="b">
        <v>0</v>
      </c>
      <c r="AI690" t="s">
        <v>4829</v>
      </c>
      <c r="AK690" s="78" t="s">
        <v>4640</v>
      </c>
      <c r="AL690" t="b">
        <v>0</v>
      </c>
      <c r="AM690">
        <v>60</v>
      </c>
      <c r="AN690" s="78" t="s">
        <v>4360</v>
      </c>
      <c r="AO690" s="78" t="s">
        <v>4866</v>
      </c>
      <c r="AP690" t="b">
        <v>0</v>
      </c>
      <c r="AQ690" s="78" t="s">
        <v>4360</v>
      </c>
      <c r="AR690" t="s">
        <v>179</v>
      </c>
      <c r="AS690">
        <v>0</v>
      </c>
      <c r="AT690">
        <v>0</v>
      </c>
    </row>
    <row r="691" spans="1:46" x14ac:dyDescent="0.45">
      <c r="A691" s="62" t="s">
        <v>574</v>
      </c>
      <c r="B691" s="62" t="s">
        <v>1006</v>
      </c>
      <c r="C691" s="63"/>
      <c r="D691" s="64"/>
      <c r="E691" s="65"/>
      <c r="F691" s="66"/>
      <c r="G691" s="63"/>
      <c r="H691" s="67"/>
      <c r="I691" s="68"/>
      <c r="J691" s="68"/>
      <c r="K691" s="32"/>
      <c r="L691" s="75"/>
      <c r="M691" s="75"/>
      <c r="N691" s="70"/>
      <c r="O691" t="s">
        <v>1569</v>
      </c>
      <c r="P691" s="76">
        <v>44958.809664351851</v>
      </c>
      <c r="Q691" t="s">
        <v>1817</v>
      </c>
      <c r="R69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1" t="s">
        <v>2285</v>
      </c>
      <c r="V691" s="77" t="str">
        <f>HYPERLINK("https://pbs.twimg.com/profile_images/1258402171864956928/WHJzABXM_normal.jpg")</f>
        <v>https://pbs.twimg.com/profile_images/1258402171864956928/WHJzABXM_normal.jpg</v>
      </c>
      <c r="W691" s="76">
        <v>44958.809664351851</v>
      </c>
      <c r="X691" s="80">
        <v>44958</v>
      </c>
      <c r="Y691" s="78" t="s">
        <v>2800</v>
      </c>
      <c r="Z691" s="77" t="str">
        <f>HYPERLINK("https://twitter.com/wtol11toledo/status/1620866051343880194")</f>
        <v>https://twitter.com/wtol11toledo/status/1620866051343880194</v>
      </c>
      <c r="AC691" s="78" t="s">
        <v>3836</v>
      </c>
      <c r="AE691" t="b">
        <v>0</v>
      </c>
      <c r="AF691">
        <v>0</v>
      </c>
      <c r="AG691" s="78" t="s">
        <v>4640</v>
      </c>
      <c r="AH691" t="b">
        <v>0</v>
      </c>
      <c r="AI691" t="s">
        <v>4829</v>
      </c>
      <c r="AK691" s="78" t="s">
        <v>4640</v>
      </c>
      <c r="AL691" t="b">
        <v>0</v>
      </c>
      <c r="AM691">
        <v>60</v>
      </c>
      <c r="AN691" s="78" t="s">
        <v>4360</v>
      </c>
      <c r="AO691" s="78" t="s">
        <v>4866</v>
      </c>
      <c r="AP691" t="b">
        <v>0</v>
      </c>
      <c r="AQ691" s="78" t="s">
        <v>4360</v>
      </c>
      <c r="AR691" t="s">
        <v>179</v>
      </c>
      <c r="AS691">
        <v>0</v>
      </c>
      <c r="AT691">
        <v>0</v>
      </c>
    </row>
    <row r="692" spans="1:46" x14ac:dyDescent="0.45">
      <c r="A692" s="62" t="s">
        <v>575</v>
      </c>
      <c r="B692" s="62" t="s">
        <v>242</v>
      </c>
      <c r="C692" s="63"/>
      <c r="D692" s="64"/>
      <c r="E692" s="65"/>
      <c r="F692" s="66"/>
      <c r="G692" s="63"/>
      <c r="H692" s="67"/>
      <c r="I692" s="68"/>
      <c r="J692" s="68"/>
      <c r="K692" s="32"/>
      <c r="L692" s="75"/>
      <c r="M692" s="75"/>
      <c r="N692" s="70"/>
      <c r="O692" t="s">
        <v>1570</v>
      </c>
      <c r="P692" s="76">
        <v>44958.809664351851</v>
      </c>
      <c r="Q692" t="s">
        <v>1817</v>
      </c>
      <c r="R69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2" t="s">
        <v>2285</v>
      </c>
      <c r="V692" s="77" t="str">
        <f>HYPERLINK("https://pbs.twimg.com/profile_images/1473694823286775817/loY2yiZL_normal.jpg")</f>
        <v>https://pbs.twimg.com/profile_images/1473694823286775817/loY2yiZL_normal.jpg</v>
      </c>
      <c r="W692" s="76">
        <v>44958.809664351851</v>
      </c>
      <c r="X692" s="80">
        <v>44958</v>
      </c>
      <c r="Y692" s="78" t="s">
        <v>2800</v>
      </c>
      <c r="Z692" s="77" t="str">
        <f>HYPERLINK("https://twitter.com/kiii3news/status/1620866051385790471")</f>
        <v>https://twitter.com/kiii3news/status/1620866051385790471</v>
      </c>
      <c r="AC692" s="78" t="s">
        <v>3837</v>
      </c>
      <c r="AE692" t="b">
        <v>0</v>
      </c>
      <c r="AF692">
        <v>0</v>
      </c>
      <c r="AG692" s="78" t="s">
        <v>4640</v>
      </c>
      <c r="AH692" t="b">
        <v>0</v>
      </c>
      <c r="AI692" t="s">
        <v>4829</v>
      </c>
      <c r="AK692" s="78" t="s">
        <v>4640</v>
      </c>
      <c r="AL692" t="b">
        <v>0</v>
      </c>
      <c r="AM692">
        <v>60</v>
      </c>
      <c r="AN692" s="78" t="s">
        <v>4360</v>
      </c>
      <c r="AO692" s="78" t="s">
        <v>4866</v>
      </c>
      <c r="AP692" t="b">
        <v>0</v>
      </c>
      <c r="AQ692" s="78" t="s">
        <v>4360</v>
      </c>
      <c r="AR692" t="s">
        <v>179</v>
      </c>
      <c r="AS692">
        <v>0</v>
      </c>
      <c r="AT692">
        <v>0</v>
      </c>
    </row>
    <row r="693" spans="1:46" x14ac:dyDescent="0.45">
      <c r="A693" s="62" t="s">
        <v>575</v>
      </c>
      <c r="B693" s="62" t="s">
        <v>1006</v>
      </c>
      <c r="C693" s="63"/>
      <c r="D693" s="64"/>
      <c r="E693" s="65"/>
      <c r="F693" s="66"/>
      <c r="G693" s="63"/>
      <c r="H693" s="67"/>
      <c r="I693" s="68"/>
      <c r="J693" s="68"/>
      <c r="K693" s="32"/>
      <c r="L693" s="75"/>
      <c r="M693" s="75"/>
      <c r="N693" s="70"/>
      <c r="O693" t="s">
        <v>1569</v>
      </c>
      <c r="P693" s="76">
        <v>44958.809664351851</v>
      </c>
      <c r="Q693" t="s">
        <v>1817</v>
      </c>
      <c r="R69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3" t="s">
        <v>2285</v>
      </c>
      <c r="V693" s="77" t="str">
        <f>HYPERLINK("https://pbs.twimg.com/profile_images/1473694823286775817/loY2yiZL_normal.jpg")</f>
        <v>https://pbs.twimg.com/profile_images/1473694823286775817/loY2yiZL_normal.jpg</v>
      </c>
      <c r="W693" s="76">
        <v>44958.809664351851</v>
      </c>
      <c r="X693" s="80">
        <v>44958</v>
      </c>
      <c r="Y693" s="78" t="s">
        <v>2800</v>
      </c>
      <c r="Z693" s="77" t="str">
        <f>HYPERLINK("https://twitter.com/kiii3news/status/1620866051385790471")</f>
        <v>https://twitter.com/kiii3news/status/1620866051385790471</v>
      </c>
      <c r="AC693" s="78" t="s">
        <v>3837</v>
      </c>
      <c r="AE693" t="b">
        <v>0</v>
      </c>
      <c r="AF693">
        <v>0</v>
      </c>
      <c r="AG693" s="78" t="s">
        <v>4640</v>
      </c>
      <c r="AH693" t="b">
        <v>0</v>
      </c>
      <c r="AI693" t="s">
        <v>4829</v>
      </c>
      <c r="AK693" s="78" t="s">
        <v>4640</v>
      </c>
      <c r="AL693" t="b">
        <v>0</v>
      </c>
      <c r="AM693">
        <v>60</v>
      </c>
      <c r="AN693" s="78" t="s">
        <v>4360</v>
      </c>
      <c r="AO693" s="78" t="s">
        <v>4866</v>
      </c>
      <c r="AP693" t="b">
        <v>0</v>
      </c>
      <c r="AQ693" s="78" t="s">
        <v>4360</v>
      </c>
      <c r="AR693" t="s">
        <v>179</v>
      </c>
      <c r="AS693">
        <v>0</v>
      </c>
      <c r="AT693">
        <v>0</v>
      </c>
    </row>
    <row r="694" spans="1:46" x14ac:dyDescent="0.45">
      <c r="A694" s="62" t="s">
        <v>576</v>
      </c>
      <c r="B694" s="62" t="s">
        <v>242</v>
      </c>
      <c r="C694" s="63"/>
      <c r="D694" s="64"/>
      <c r="E694" s="65"/>
      <c r="F694" s="66"/>
      <c r="G694" s="63"/>
      <c r="H694" s="67"/>
      <c r="I694" s="68"/>
      <c r="J694" s="68"/>
      <c r="K694" s="32"/>
      <c r="L694" s="75"/>
      <c r="M694" s="75"/>
      <c r="N694" s="70"/>
      <c r="O694" t="s">
        <v>1570</v>
      </c>
      <c r="P694" s="76">
        <v>44958.809664351851</v>
      </c>
      <c r="Q694" t="s">
        <v>1817</v>
      </c>
      <c r="R69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4" t="s">
        <v>2285</v>
      </c>
      <c r="V694" s="77" t="str">
        <f>HYPERLINK("https://pbs.twimg.com/profile_images/1413193160839290885/Pb3FN5l1_normal.png")</f>
        <v>https://pbs.twimg.com/profile_images/1413193160839290885/Pb3FN5l1_normal.png</v>
      </c>
      <c r="W694" s="76">
        <v>44958.809664351851</v>
      </c>
      <c r="X694" s="80">
        <v>44958</v>
      </c>
      <c r="Y694" s="78" t="s">
        <v>2800</v>
      </c>
      <c r="Z694" s="77" t="str">
        <f>HYPERLINK("https://twitter.com/whas11/status/1620866051385819138")</f>
        <v>https://twitter.com/whas11/status/1620866051385819138</v>
      </c>
      <c r="AC694" s="78" t="s">
        <v>3838</v>
      </c>
      <c r="AE694" t="b">
        <v>0</v>
      </c>
      <c r="AF694">
        <v>0</v>
      </c>
      <c r="AG694" s="78" t="s">
        <v>4640</v>
      </c>
      <c r="AH694" t="b">
        <v>0</v>
      </c>
      <c r="AI694" t="s">
        <v>4829</v>
      </c>
      <c r="AK694" s="78" t="s">
        <v>4640</v>
      </c>
      <c r="AL694" t="b">
        <v>0</v>
      </c>
      <c r="AM694">
        <v>60</v>
      </c>
      <c r="AN694" s="78" t="s">
        <v>4360</v>
      </c>
      <c r="AO694" s="78" t="s">
        <v>4866</v>
      </c>
      <c r="AP694" t="b">
        <v>0</v>
      </c>
      <c r="AQ694" s="78" t="s">
        <v>4360</v>
      </c>
      <c r="AR694" t="s">
        <v>179</v>
      </c>
      <c r="AS694">
        <v>0</v>
      </c>
      <c r="AT694">
        <v>0</v>
      </c>
    </row>
    <row r="695" spans="1:46" x14ac:dyDescent="0.45">
      <c r="A695" s="62" t="s">
        <v>576</v>
      </c>
      <c r="B695" s="62" t="s">
        <v>1006</v>
      </c>
      <c r="C695" s="63"/>
      <c r="D695" s="64"/>
      <c r="E695" s="65"/>
      <c r="F695" s="66"/>
      <c r="G695" s="63"/>
      <c r="H695" s="67"/>
      <c r="I695" s="68"/>
      <c r="J695" s="68"/>
      <c r="K695" s="32"/>
      <c r="L695" s="75"/>
      <c r="M695" s="75"/>
      <c r="N695" s="70"/>
      <c r="O695" t="s">
        <v>1569</v>
      </c>
      <c r="P695" s="76">
        <v>44958.809664351851</v>
      </c>
      <c r="Q695" t="s">
        <v>1817</v>
      </c>
      <c r="R69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5" t="s">
        <v>2285</v>
      </c>
      <c r="V695" s="77" t="str">
        <f>HYPERLINK("https://pbs.twimg.com/profile_images/1413193160839290885/Pb3FN5l1_normal.png")</f>
        <v>https://pbs.twimg.com/profile_images/1413193160839290885/Pb3FN5l1_normal.png</v>
      </c>
      <c r="W695" s="76">
        <v>44958.809664351851</v>
      </c>
      <c r="X695" s="80">
        <v>44958</v>
      </c>
      <c r="Y695" s="78" t="s">
        <v>2800</v>
      </c>
      <c r="Z695" s="77" t="str">
        <f>HYPERLINK("https://twitter.com/whas11/status/1620866051385819138")</f>
        <v>https://twitter.com/whas11/status/1620866051385819138</v>
      </c>
      <c r="AC695" s="78" t="s">
        <v>3838</v>
      </c>
      <c r="AE695" t="b">
        <v>0</v>
      </c>
      <c r="AF695">
        <v>0</v>
      </c>
      <c r="AG695" s="78" t="s">
        <v>4640</v>
      </c>
      <c r="AH695" t="b">
        <v>0</v>
      </c>
      <c r="AI695" t="s">
        <v>4829</v>
      </c>
      <c r="AK695" s="78" t="s">
        <v>4640</v>
      </c>
      <c r="AL695" t="b">
        <v>0</v>
      </c>
      <c r="AM695">
        <v>60</v>
      </c>
      <c r="AN695" s="78" t="s">
        <v>4360</v>
      </c>
      <c r="AO695" s="78" t="s">
        <v>4866</v>
      </c>
      <c r="AP695" t="b">
        <v>0</v>
      </c>
      <c r="AQ695" s="78" t="s">
        <v>4360</v>
      </c>
      <c r="AR695" t="s">
        <v>179</v>
      </c>
      <c r="AS695">
        <v>0</v>
      </c>
      <c r="AT695">
        <v>0</v>
      </c>
    </row>
    <row r="696" spans="1:46" x14ac:dyDescent="0.45">
      <c r="A696" s="62" t="s">
        <v>577</v>
      </c>
      <c r="B696" s="62" t="s">
        <v>242</v>
      </c>
      <c r="C696" s="63"/>
      <c r="D696" s="64"/>
      <c r="E696" s="65"/>
      <c r="F696" s="66"/>
      <c r="G696" s="63"/>
      <c r="H696" s="67"/>
      <c r="I696" s="68"/>
      <c r="J696" s="68"/>
      <c r="K696" s="32"/>
      <c r="L696" s="75"/>
      <c r="M696" s="75"/>
      <c r="N696" s="70"/>
      <c r="O696" t="s">
        <v>1570</v>
      </c>
      <c r="P696" s="76">
        <v>44958.809664351851</v>
      </c>
      <c r="Q696" t="s">
        <v>1817</v>
      </c>
      <c r="R69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6" t="s">
        <v>2285</v>
      </c>
      <c r="V696" s="77" t="str">
        <f>HYPERLINK("https://pbs.twimg.com/profile_images/715223305100386307/PmAuS5BH_normal.jpg")</f>
        <v>https://pbs.twimg.com/profile_images/715223305100386307/PmAuS5BH_normal.jpg</v>
      </c>
      <c r="W696" s="76">
        <v>44958.809664351851</v>
      </c>
      <c r="X696" s="80">
        <v>44958</v>
      </c>
      <c r="Y696" s="78" t="s">
        <v>2800</v>
      </c>
      <c r="Z696" s="77" t="str">
        <f>HYPERLINK("https://twitter.com/wnep/status/1620866051389984782")</f>
        <v>https://twitter.com/wnep/status/1620866051389984782</v>
      </c>
      <c r="AC696" s="78" t="s">
        <v>3839</v>
      </c>
      <c r="AE696" t="b">
        <v>0</v>
      </c>
      <c r="AF696">
        <v>0</v>
      </c>
      <c r="AG696" s="78" t="s">
        <v>4640</v>
      </c>
      <c r="AH696" t="b">
        <v>0</v>
      </c>
      <c r="AI696" t="s">
        <v>4829</v>
      </c>
      <c r="AK696" s="78" t="s">
        <v>4640</v>
      </c>
      <c r="AL696" t="b">
        <v>0</v>
      </c>
      <c r="AM696">
        <v>60</v>
      </c>
      <c r="AN696" s="78" t="s">
        <v>4360</v>
      </c>
      <c r="AO696" s="78" t="s">
        <v>4866</v>
      </c>
      <c r="AP696" t="b">
        <v>0</v>
      </c>
      <c r="AQ696" s="78" t="s">
        <v>4360</v>
      </c>
      <c r="AR696" t="s">
        <v>179</v>
      </c>
      <c r="AS696">
        <v>0</v>
      </c>
      <c r="AT696">
        <v>0</v>
      </c>
    </row>
    <row r="697" spans="1:46" x14ac:dyDescent="0.45">
      <c r="A697" s="62" t="s">
        <v>577</v>
      </c>
      <c r="B697" s="62" t="s">
        <v>1006</v>
      </c>
      <c r="C697" s="63"/>
      <c r="D697" s="64"/>
      <c r="E697" s="65"/>
      <c r="F697" s="66"/>
      <c r="G697" s="63"/>
      <c r="H697" s="67"/>
      <c r="I697" s="68"/>
      <c r="J697" s="68"/>
      <c r="K697" s="32"/>
      <c r="L697" s="75"/>
      <c r="M697" s="75"/>
      <c r="N697" s="70"/>
      <c r="O697" t="s">
        <v>1569</v>
      </c>
      <c r="P697" s="76">
        <v>44958.809664351851</v>
      </c>
      <c r="Q697" t="s">
        <v>1817</v>
      </c>
      <c r="R69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7" t="s">
        <v>2285</v>
      </c>
      <c r="V697" s="77" t="str">
        <f>HYPERLINK("https://pbs.twimg.com/profile_images/715223305100386307/PmAuS5BH_normal.jpg")</f>
        <v>https://pbs.twimg.com/profile_images/715223305100386307/PmAuS5BH_normal.jpg</v>
      </c>
      <c r="W697" s="76">
        <v>44958.809664351851</v>
      </c>
      <c r="X697" s="80">
        <v>44958</v>
      </c>
      <c r="Y697" s="78" t="s">
        <v>2800</v>
      </c>
      <c r="Z697" s="77" t="str">
        <f>HYPERLINK("https://twitter.com/wnep/status/1620866051389984782")</f>
        <v>https://twitter.com/wnep/status/1620866051389984782</v>
      </c>
      <c r="AC697" s="78" t="s">
        <v>3839</v>
      </c>
      <c r="AE697" t="b">
        <v>0</v>
      </c>
      <c r="AF697">
        <v>0</v>
      </c>
      <c r="AG697" s="78" t="s">
        <v>4640</v>
      </c>
      <c r="AH697" t="b">
        <v>0</v>
      </c>
      <c r="AI697" t="s">
        <v>4829</v>
      </c>
      <c r="AK697" s="78" t="s">
        <v>4640</v>
      </c>
      <c r="AL697" t="b">
        <v>0</v>
      </c>
      <c r="AM697">
        <v>60</v>
      </c>
      <c r="AN697" s="78" t="s">
        <v>4360</v>
      </c>
      <c r="AO697" s="78" t="s">
        <v>4866</v>
      </c>
      <c r="AP697" t="b">
        <v>0</v>
      </c>
      <c r="AQ697" s="78" t="s">
        <v>4360</v>
      </c>
      <c r="AR697" t="s">
        <v>179</v>
      </c>
      <c r="AS697">
        <v>0</v>
      </c>
      <c r="AT697">
        <v>0</v>
      </c>
    </row>
    <row r="698" spans="1:46" x14ac:dyDescent="0.45">
      <c r="A698" s="62" t="s">
        <v>578</v>
      </c>
      <c r="B698" s="62" t="s">
        <v>242</v>
      </c>
      <c r="C698" s="63"/>
      <c r="D698" s="64"/>
      <c r="E698" s="65"/>
      <c r="F698" s="66"/>
      <c r="G698" s="63"/>
      <c r="H698" s="67"/>
      <c r="I698" s="68"/>
      <c r="J698" s="68"/>
      <c r="K698" s="32"/>
      <c r="L698" s="75"/>
      <c r="M698" s="75"/>
      <c r="N698" s="70"/>
      <c r="O698" t="s">
        <v>1570</v>
      </c>
      <c r="P698" s="76">
        <v>44958.809664351851</v>
      </c>
      <c r="Q698" t="s">
        <v>1817</v>
      </c>
      <c r="R69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8" t="s">
        <v>2285</v>
      </c>
      <c r="V698" s="77" t="str">
        <f>HYPERLINK("https://pbs.twimg.com/profile_images/1196441238880342016/VEDg6A0R_normal.png")</f>
        <v>https://pbs.twimg.com/profile_images/1196441238880342016/VEDg6A0R_normal.png</v>
      </c>
      <c r="W698" s="76">
        <v>44958.809664351851</v>
      </c>
      <c r="X698" s="80">
        <v>44958</v>
      </c>
      <c r="Y698" s="78" t="s">
        <v>2800</v>
      </c>
      <c r="Z698" s="77" t="str">
        <f>HYPERLINK("https://twitter.com/cbs8/status/1620866051394117634")</f>
        <v>https://twitter.com/cbs8/status/1620866051394117634</v>
      </c>
      <c r="AC698" s="78" t="s">
        <v>3840</v>
      </c>
      <c r="AE698" t="b">
        <v>0</v>
      </c>
      <c r="AF698">
        <v>0</v>
      </c>
      <c r="AG698" s="78" t="s">
        <v>4640</v>
      </c>
      <c r="AH698" t="b">
        <v>0</v>
      </c>
      <c r="AI698" t="s">
        <v>4829</v>
      </c>
      <c r="AK698" s="78" t="s">
        <v>4640</v>
      </c>
      <c r="AL698" t="b">
        <v>0</v>
      </c>
      <c r="AM698">
        <v>60</v>
      </c>
      <c r="AN698" s="78" t="s">
        <v>4360</v>
      </c>
      <c r="AO698" s="78" t="s">
        <v>4866</v>
      </c>
      <c r="AP698" t="b">
        <v>0</v>
      </c>
      <c r="AQ698" s="78" t="s">
        <v>4360</v>
      </c>
      <c r="AR698" t="s">
        <v>179</v>
      </c>
      <c r="AS698">
        <v>0</v>
      </c>
      <c r="AT698">
        <v>0</v>
      </c>
    </row>
    <row r="699" spans="1:46" x14ac:dyDescent="0.45">
      <c r="A699" s="62" t="s">
        <v>578</v>
      </c>
      <c r="B699" s="62" t="s">
        <v>1006</v>
      </c>
      <c r="C699" s="63"/>
      <c r="D699" s="64"/>
      <c r="E699" s="65"/>
      <c r="F699" s="66"/>
      <c r="G699" s="63"/>
      <c r="H699" s="67"/>
      <c r="I699" s="68"/>
      <c r="J699" s="68"/>
      <c r="K699" s="32"/>
      <c r="L699" s="75"/>
      <c r="M699" s="75"/>
      <c r="N699" s="70"/>
      <c r="O699" t="s">
        <v>1569</v>
      </c>
      <c r="P699" s="76">
        <v>44958.809664351851</v>
      </c>
      <c r="Q699" t="s">
        <v>1817</v>
      </c>
      <c r="R69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699" t="s">
        <v>2285</v>
      </c>
      <c r="V699" s="77" t="str">
        <f>HYPERLINK("https://pbs.twimg.com/profile_images/1196441238880342016/VEDg6A0R_normal.png")</f>
        <v>https://pbs.twimg.com/profile_images/1196441238880342016/VEDg6A0R_normal.png</v>
      </c>
      <c r="W699" s="76">
        <v>44958.809664351851</v>
      </c>
      <c r="X699" s="80">
        <v>44958</v>
      </c>
      <c r="Y699" s="78" t="s">
        <v>2800</v>
      </c>
      <c r="Z699" s="77" t="str">
        <f>HYPERLINK("https://twitter.com/cbs8/status/1620866051394117634")</f>
        <v>https://twitter.com/cbs8/status/1620866051394117634</v>
      </c>
      <c r="AC699" s="78" t="s">
        <v>3840</v>
      </c>
      <c r="AE699" t="b">
        <v>0</v>
      </c>
      <c r="AF699">
        <v>0</v>
      </c>
      <c r="AG699" s="78" t="s">
        <v>4640</v>
      </c>
      <c r="AH699" t="b">
        <v>0</v>
      </c>
      <c r="AI699" t="s">
        <v>4829</v>
      </c>
      <c r="AK699" s="78" t="s">
        <v>4640</v>
      </c>
      <c r="AL699" t="b">
        <v>0</v>
      </c>
      <c r="AM699">
        <v>60</v>
      </c>
      <c r="AN699" s="78" t="s">
        <v>4360</v>
      </c>
      <c r="AO699" s="78" t="s">
        <v>4866</v>
      </c>
      <c r="AP699" t="b">
        <v>0</v>
      </c>
      <c r="AQ699" s="78" t="s">
        <v>4360</v>
      </c>
      <c r="AR699" t="s">
        <v>179</v>
      </c>
      <c r="AS699">
        <v>0</v>
      </c>
      <c r="AT699">
        <v>0</v>
      </c>
    </row>
    <row r="700" spans="1:46" x14ac:dyDescent="0.45">
      <c r="A700" s="62" t="s">
        <v>579</v>
      </c>
      <c r="B700" s="62" t="s">
        <v>242</v>
      </c>
      <c r="C700" s="63"/>
      <c r="D700" s="64"/>
      <c r="E700" s="65"/>
      <c r="F700" s="66"/>
      <c r="G700" s="63"/>
      <c r="H700" s="67"/>
      <c r="I700" s="68"/>
      <c r="J700" s="68"/>
      <c r="K700" s="32"/>
      <c r="L700" s="75"/>
      <c r="M700" s="75"/>
      <c r="N700" s="70"/>
      <c r="O700" t="s">
        <v>1570</v>
      </c>
      <c r="P700" s="76">
        <v>44958.809664351851</v>
      </c>
      <c r="Q700" t="s">
        <v>1817</v>
      </c>
      <c r="R70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0" t="s">
        <v>2285</v>
      </c>
      <c r="V700" s="77" t="str">
        <f>HYPERLINK("https://pbs.twimg.com/profile_images/1385690821589049347/FiQmiK_f_normal.jpg")</f>
        <v>https://pbs.twimg.com/profile_images/1385690821589049347/FiQmiK_f_normal.jpg</v>
      </c>
      <c r="W700" s="76">
        <v>44958.809664351851</v>
      </c>
      <c r="X700" s="80">
        <v>44958</v>
      </c>
      <c r="Y700" s="78" t="s">
        <v>2800</v>
      </c>
      <c r="Z700" s="77" t="str">
        <f>HYPERLINK("https://twitter.com/khou/status/1620866051394211840")</f>
        <v>https://twitter.com/khou/status/1620866051394211840</v>
      </c>
      <c r="AC700" s="78" t="s">
        <v>3841</v>
      </c>
      <c r="AE700" t="b">
        <v>0</v>
      </c>
      <c r="AF700">
        <v>0</v>
      </c>
      <c r="AG700" s="78" t="s">
        <v>4640</v>
      </c>
      <c r="AH700" t="b">
        <v>0</v>
      </c>
      <c r="AI700" t="s">
        <v>4829</v>
      </c>
      <c r="AK700" s="78" t="s">
        <v>4640</v>
      </c>
      <c r="AL700" t="b">
        <v>0</v>
      </c>
      <c r="AM700">
        <v>60</v>
      </c>
      <c r="AN700" s="78" t="s">
        <v>4360</v>
      </c>
      <c r="AO700" s="78" t="s">
        <v>4866</v>
      </c>
      <c r="AP700" t="b">
        <v>0</v>
      </c>
      <c r="AQ700" s="78" t="s">
        <v>4360</v>
      </c>
      <c r="AR700" t="s">
        <v>179</v>
      </c>
      <c r="AS700">
        <v>0</v>
      </c>
      <c r="AT700">
        <v>0</v>
      </c>
    </row>
    <row r="701" spans="1:46" x14ac:dyDescent="0.45">
      <c r="A701" s="62" t="s">
        <v>579</v>
      </c>
      <c r="B701" s="62" t="s">
        <v>1006</v>
      </c>
      <c r="C701" s="63"/>
      <c r="D701" s="64"/>
      <c r="E701" s="65"/>
      <c r="F701" s="66"/>
      <c r="G701" s="63"/>
      <c r="H701" s="67"/>
      <c r="I701" s="68"/>
      <c r="J701" s="68"/>
      <c r="K701" s="32"/>
      <c r="L701" s="75"/>
      <c r="M701" s="75"/>
      <c r="N701" s="70"/>
      <c r="O701" t="s">
        <v>1569</v>
      </c>
      <c r="P701" s="76">
        <v>44958.809664351851</v>
      </c>
      <c r="Q701" t="s">
        <v>1817</v>
      </c>
      <c r="R70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1" t="s">
        <v>2285</v>
      </c>
      <c r="V701" s="77" t="str">
        <f>HYPERLINK("https://pbs.twimg.com/profile_images/1385690821589049347/FiQmiK_f_normal.jpg")</f>
        <v>https://pbs.twimg.com/profile_images/1385690821589049347/FiQmiK_f_normal.jpg</v>
      </c>
      <c r="W701" s="76">
        <v>44958.809664351851</v>
      </c>
      <c r="X701" s="80">
        <v>44958</v>
      </c>
      <c r="Y701" s="78" t="s">
        <v>2800</v>
      </c>
      <c r="Z701" s="77" t="str">
        <f>HYPERLINK("https://twitter.com/khou/status/1620866051394211840")</f>
        <v>https://twitter.com/khou/status/1620866051394211840</v>
      </c>
      <c r="AC701" s="78" t="s">
        <v>3841</v>
      </c>
      <c r="AE701" t="b">
        <v>0</v>
      </c>
      <c r="AF701">
        <v>0</v>
      </c>
      <c r="AG701" s="78" t="s">
        <v>4640</v>
      </c>
      <c r="AH701" t="b">
        <v>0</v>
      </c>
      <c r="AI701" t="s">
        <v>4829</v>
      </c>
      <c r="AK701" s="78" t="s">
        <v>4640</v>
      </c>
      <c r="AL701" t="b">
        <v>0</v>
      </c>
      <c r="AM701">
        <v>60</v>
      </c>
      <c r="AN701" s="78" t="s">
        <v>4360</v>
      </c>
      <c r="AO701" s="78" t="s">
        <v>4866</v>
      </c>
      <c r="AP701" t="b">
        <v>0</v>
      </c>
      <c r="AQ701" s="78" t="s">
        <v>4360</v>
      </c>
      <c r="AR701" t="s">
        <v>179</v>
      </c>
      <c r="AS701">
        <v>0</v>
      </c>
      <c r="AT701">
        <v>0</v>
      </c>
    </row>
    <row r="702" spans="1:46" x14ac:dyDescent="0.45">
      <c r="A702" s="62" t="s">
        <v>580</v>
      </c>
      <c r="B702" s="62" t="s">
        <v>242</v>
      </c>
      <c r="C702" s="63"/>
      <c r="D702" s="64"/>
      <c r="E702" s="65"/>
      <c r="F702" s="66"/>
      <c r="G702" s="63"/>
      <c r="H702" s="67"/>
      <c r="I702" s="68"/>
      <c r="J702" s="68"/>
      <c r="K702" s="32"/>
      <c r="L702" s="75"/>
      <c r="M702" s="75"/>
      <c r="N702" s="70"/>
      <c r="O702" t="s">
        <v>1570</v>
      </c>
      <c r="P702" s="76">
        <v>44958.809664351851</v>
      </c>
      <c r="Q702" t="s">
        <v>1817</v>
      </c>
      <c r="R70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2" t="s">
        <v>2285</v>
      </c>
      <c r="V702" s="77" t="str">
        <f>HYPERLINK("https://pbs.twimg.com/profile_images/1103733698698989568/7l1xSlli_normal.png")</f>
        <v>https://pbs.twimg.com/profile_images/1103733698698989568/7l1xSlli_normal.png</v>
      </c>
      <c r="W702" s="76">
        <v>44958.809664351851</v>
      </c>
      <c r="X702" s="80">
        <v>44958</v>
      </c>
      <c r="Y702" s="78" t="s">
        <v>2800</v>
      </c>
      <c r="Z702" s="77" t="str">
        <f>HYPERLINK("https://twitter.com/ktvb/status/1620866051406761994")</f>
        <v>https://twitter.com/ktvb/status/1620866051406761994</v>
      </c>
      <c r="AC702" s="78" t="s">
        <v>3842</v>
      </c>
      <c r="AE702" t="b">
        <v>0</v>
      </c>
      <c r="AF702">
        <v>0</v>
      </c>
      <c r="AG702" s="78" t="s">
        <v>4640</v>
      </c>
      <c r="AH702" t="b">
        <v>0</v>
      </c>
      <c r="AI702" t="s">
        <v>4829</v>
      </c>
      <c r="AK702" s="78" t="s">
        <v>4640</v>
      </c>
      <c r="AL702" t="b">
        <v>0</v>
      </c>
      <c r="AM702">
        <v>60</v>
      </c>
      <c r="AN702" s="78" t="s">
        <v>4360</v>
      </c>
      <c r="AO702" s="78" t="s">
        <v>4866</v>
      </c>
      <c r="AP702" t="b">
        <v>0</v>
      </c>
      <c r="AQ702" s="78" t="s">
        <v>4360</v>
      </c>
      <c r="AR702" t="s">
        <v>179</v>
      </c>
      <c r="AS702">
        <v>0</v>
      </c>
      <c r="AT702">
        <v>0</v>
      </c>
    </row>
    <row r="703" spans="1:46" x14ac:dyDescent="0.45">
      <c r="A703" s="62" t="s">
        <v>580</v>
      </c>
      <c r="B703" s="62" t="s">
        <v>1006</v>
      </c>
      <c r="C703" s="63"/>
      <c r="D703" s="64"/>
      <c r="E703" s="65"/>
      <c r="F703" s="66"/>
      <c r="G703" s="63"/>
      <c r="H703" s="67"/>
      <c r="I703" s="68"/>
      <c r="J703" s="68"/>
      <c r="K703" s="32"/>
      <c r="L703" s="75"/>
      <c r="M703" s="75"/>
      <c r="N703" s="70"/>
      <c r="O703" t="s">
        <v>1569</v>
      </c>
      <c r="P703" s="76">
        <v>44958.809664351851</v>
      </c>
      <c r="Q703" t="s">
        <v>1817</v>
      </c>
      <c r="R70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3" t="s">
        <v>2285</v>
      </c>
      <c r="V703" s="77" t="str">
        <f>HYPERLINK("https://pbs.twimg.com/profile_images/1103733698698989568/7l1xSlli_normal.png")</f>
        <v>https://pbs.twimg.com/profile_images/1103733698698989568/7l1xSlli_normal.png</v>
      </c>
      <c r="W703" s="76">
        <v>44958.809664351851</v>
      </c>
      <c r="X703" s="80">
        <v>44958</v>
      </c>
      <c r="Y703" s="78" t="s">
        <v>2800</v>
      </c>
      <c r="Z703" s="77" t="str">
        <f>HYPERLINK("https://twitter.com/ktvb/status/1620866051406761994")</f>
        <v>https://twitter.com/ktvb/status/1620866051406761994</v>
      </c>
      <c r="AC703" s="78" t="s">
        <v>3842</v>
      </c>
      <c r="AE703" t="b">
        <v>0</v>
      </c>
      <c r="AF703">
        <v>0</v>
      </c>
      <c r="AG703" s="78" t="s">
        <v>4640</v>
      </c>
      <c r="AH703" t="b">
        <v>0</v>
      </c>
      <c r="AI703" t="s">
        <v>4829</v>
      </c>
      <c r="AK703" s="78" t="s">
        <v>4640</v>
      </c>
      <c r="AL703" t="b">
        <v>0</v>
      </c>
      <c r="AM703">
        <v>60</v>
      </c>
      <c r="AN703" s="78" t="s">
        <v>4360</v>
      </c>
      <c r="AO703" s="78" t="s">
        <v>4866</v>
      </c>
      <c r="AP703" t="b">
        <v>0</v>
      </c>
      <c r="AQ703" s="78" t="s">
        <v>4360</v>
      </c>
      <c r="AR703" t="s">
        <v>179</v>
      </c>
      <c r="AS703">
        <v>0</v>
      </c>
      <c r="AT703">
        <v>0</v>
      </c>
    </row>
    <row r="704" spans="1:46" x14ac:dyDescent="0.45">
      <c r="A704" s="62" t="s">
        <v>581</v>
      </c>
      <c r="B704" s="62" t="s">
        <v>242</v>
      </c>
      <c r="C704" s="63"/>
      <c r="D704" s="64"/>
      <c r="E704" s="65"/>
      <c r="F704" s="66"/>
      <c r="G704" s="63"/>
      <c r="H704" s="67"/>
      <c r="I704" s="68"/>
      <c r="J704" s="68"/>
      <c r="K704" s="32"/>
      <c r="L704" s="75"/>
      <c r="M704" s="75"/>
      <c r="N704" s="70"/>
      <c r="O704" t="s">
        <v>1570</v>
      </c>
      <c r="P704" s="76">
        <v>44958.809664351851</v>
      </c>
      <c r="Q704" t="s">
        <v>1817</v>
      </c>
      <c r="R70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4" t="s">
        <v>2285</v>
      </c>
      <c r="V704" s="77" t="str">
        <f>HYPERLINK("https://pbs.twimg.com/profile_images/1523774946173984777/cRAjtyya_normal.png")</f>
        <v>https://pbs.twimg.com/profile_images/1523774946173984777/cRAjtyya_normal.png</v>
      </c>
      <c r="W704" s="76">
        <v>44958.809664351851</v>
      </c>
      <c r="X704" s="80">
        <v>44958</v>
      </c>
      <c r="Y704" s="78" t="s">
        <v>2800</v>
      </c>
      <c r="Z704" s="77" t="str">
        <f>HYPERLINK("https://twitter.com/weareiowa5news/status/1620866051427688448")</f>
        <v>https://twitter.com/weareiowa5news/status/1620866051427688448</v>
      </c>
      <c r="AC704" s="78" t="s">
        <v>3843</v>
      </c>
      <c r="AE704" t="b">
        <v>0</v>
      </c>
      <c r="AF704">
        <v>0</v>
      </c>
      <c r="AG704" s="78" t="s">
        <v>4640</v>
      </c>
      <c r="AH704" t="b">
        <v>0</v>
      </c>
      <c r="AI704" t="s">
        <v>4829</v>
      </c>
      <c r="AK704" s="78" t="s">
        <v>4640</v>
      </c>
      <c r="AL704" t="b">
        <v>0</v>
      </c>
      <c r="AM704">
        <v>60</v>
      </c>
      <c r="AN704" s="78" t="s">
        <v>4360</v>
      </c>
      <c r="AO704" s="78" t="s">
        <v>4866</v>
      </c>
      <c r="AP704" t="b">
        <v>0</v>
      </c>
      <c r="AQ704" s="78" t="s">
        <v>4360</v>
      </c>
      <c r="AR704" t="s">
        <v>179</v>
      </c>
      <c r="AS704">
        <v>0</v>
      </c>
      <c r="AT704">
        <v>0</v>
      </c>
    </row>
    <row r="705" spans="1:46" x14ac:dyDescent="0.45">
      <c r="A705" s="62" t="s">
        <v>581</v>
      </c>
      <c r="B705" s="62" t="s">
        <v>1006</v>
      </c>
      <c r="C705" s="63"/>
      <c r="D705" s="64"/>
      <c r="E705" s="65"/>
      <c r="F705" s="66"/>
      <c r="G705" s="63"/>
      <c r="H705" s="67"/>
      <c r="I705" s="68"/>
      <c r="J705" s="68"/>
      <c r="K705" s="32"/>
      <c r="L705" s="75"/>
      <c r="M705" s="75"/>
      <c r="N705" s="70"/>
      <c r="O705" t="s">
        <v>1569</v>
      </c>
      <c r="P705" s="76">
        <v>44958.809664351851</v>
      </c>
      <c r="Q705" t="s">
        <v>1817</v>
      </c>
      <c r="R70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5" t="s">
        <v>2285</v>
      </c>
      <c r="V705" s="77" t="str">
        <f>HYPERLINK("https://pbs.twimg.com/profile_images/1523774946173984777/cRAjtyya_normal.png")</f>
        <v>https://pbs.twimg.com/profile_images/1523774946173984777/cRAjtyya_normal.png</v>
      </c>
      <c r="W705" s="76">
        <v>44958.809664351851</v>
      </c>
      <c r="X705" s="80">
        <v>44958</v>
      </c>
      <c r="Y705" s="78" t="s">
        <v>2800</v>
      </c>
      <c r="Z705" s="77" t="str">
        <f>HYPERLINK("https://twitter.com/weareiowa5news/status/1620866051427688448")</f>
        <v>https://twitter.com/weareiowa5news/status/1620866051427688448</v>
      </c>
      <c r="AC705" s="78" t="s">
        <v>3843</v>
      </c>
      <c r="AE705" t="b">
        <v>0</v>
      </c>
      <c r="AF705">
        <v>0</v>
      </c>
      <c r="AG705" s="78" t="s">
        <v>4640</v>
      </c>
      <c r="AH705" t="b">
        <v>0</v>
      </c>
      <c r="AI705" t="s">
        <v>4829</v>
      </c>
      <c r="AK705" s="78" t="s">
        <v>4640</v>
      </c>
      <c r="AL705" t="b">
        <v>0</v>
      </c>
      <c r="AM705">
        <v>60</v>
      </c>
      <c r="AN705" s="78" t="s">
        <v>4360</v>
      </c>
      <c r="AO705" s="78" t="s">
        <v>4866</v>
      </c>
      <c r="AP705" t="b">
        <v>0</v>
      </c>
      <c r="AQ705" s="78" t="s">
        <v>4360</v>
      </c>
      <c r="AR705" t="s">
        <v>179</v>
      </c>
      <c r="AS705">
        <v>0</v>
      </c>
      <c r="AT705">
        <v>0</v>
      </c>
    </row>
    <row r="706" spans="1:46" x14ac:dyDescent="0.45">
      <c r="A706" s="62" t="s">
        <v>582</v>
      </c>
      <c r="B706" s="62" t="s">
        <v>242</v>
      </c>
      <c r="C706" s="63"/>
      <c r="D706" s="64"/>
      <c r="E706" s="65"/>
      <c r="F706" s="66"/>
      <c r="G706" s="63"/>
      <c r="H706" s="67"/>
      <c r="I706" s="68"/>
      <c r="J706" s="68"/>
      <c r="K706" s="32"/>
      <c r="L706" s="75"/>
      <c r="M706" s="75"/>
      <c r="N706" s="70"/>
      <c r="O706" t="s">
        <v>1570</v>
      </c>
      <c r="P706" s="76">
        <v>44958.809664351851</v>
      </c>
      <c r="Q706" t="s">
        <v>1817</v>
      </c>
      <c r="R70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6" t="s">
        <v>2285</v>
      </c>
      <c r="V706" s="77" t="str">
        <f>HYPERLINK("https://pbs.twimg.com/profile_images/1280200443642052615/kgy48xzs_normal.jpg")</f>
        <v>https://pbs.twimg.com/profile_images/1280200443642052615/kgy48xzs_normal.jpg</v>
      </c>
      <c r="W706" s="76">
        <v>44958.809664351851</v>
      </c>
      <c r="X706" s="80">
        <v>44958</v>
      </c>
      <c r="Y706" s="78" t="s">
        <v>2800</v>
      </c>
      <c r="Z706" s="77" t="str">
        <f>HYPERLINK("https://twitter.com/abc10/status/1620866051461287938")</f>
        <v>https://twitter.com/abc10/status/1620866051461287938</v>
      </c>
      <c r="AC706" s="78" t="s">
        <v>3844</v>
      </c>
      <c r="AE706" t="b">
        <v>0</v>
      </c>
      <c r="AF706">
        <v>0</v>
      </c>
      <c r="AG706" s="78" t="s">
        <v>4640</v>
      </c>
      <c r="AH706" t="b">
        <v>0</v>
      </c>
      <c r="AI706" t="s">
        <v>4829</v>
      </c>
      <c r="AK706" s="78" t="s">
        <v>4640</v>
      </c>
      <c r="AL706" t="b">
        <v>0</v>
      </c>
      <c r="AM706">
        <v>60</v>
      </c>
      <c r="AN706" s="78" t="s">
        <v>4360</v>
      </c>
      <c r="AO706" s="78" t="s">
        <v>4866</v>
      </c>
      <c r="AP706" t="b">
        <v>0</v>
      </c>
      <c r="AQ706" s="78" t="s">
        <v>4360</v>
      </c>
      <c r="AR706" t="s">
        <v>179</v>
      </c>
      <c r="AS706">
        <v>0</v>
      </c>
      <c r="AT706">
        <v>0</v>
      </c>
    </row>
    <row r="707" spans="1:46" x14ac:dyDescent="0.45">
      <c r="A707" s="62" t="s">
        <v>582</v>
      </c>
      <c r="B707" s="62" t="s">
        <v>1006</v>
      </c>
      <c r="C707" s="63"/>
      <c r="D707" s="64"/>
      <c r="E707" s="65"/>
      <c r="F707" s="66"/>
      <c r="G707" s="63"/>
      <c r="H707" s="67"/>
      <c r="I707" s="68"/>
      <c r="J707" s="68"/>
      <c r="K707" s="32"/>
      <c r="L707" s="75"/>
      <c r="M707" s="75"/>
      <c r="N707" s="70"/>
      <c r="O707" t="s">
        <v>1569</v>
      </c>
      <c r="P707" s="76">
        <v>44958.809664351851</v>
      </c>
      <c r="Q707" t="s">
        <v>1817</v>
      </c>
      <c r="R70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7" t="s">
        <v>2285</v>
      </c>
      <c r="V707" s="77" t="str">
        <f>HYPERLINK("https://pbs.twimg.com/profile_images/1280200443642052615/kgy48xzs_normal.jpg")</f>
        <v>https://pbs.twimg.com/profile_images/1280200443642052615/kgy48xzs_normal.jpg</v>
      </c>
      <c r="W707" s="76">
        <v>44958.809664351851</v>
      </c>
      <c r="X707" s="80">
        <v>44958</v>
      </c>
      <c r="Y707" s="78" t="s">
        <v>2800</v>
      </c>
      <c r="Z707" s="77" t="str">
        <f>HYPERLINK("https://twitter.com/abc10/status/1620866051461287938")</f>
        <v>https://twitter.com/abc10/status/1620866051461287938</v>
      </c>
      <c r="AC707" s="78" t="s">
        <v>3844</v>
      </c>
      <c r="AE707" t="b">
        <v>0</v>
      </c>
      <c r="AF707">
        <v>0</v>
      </c>
      <c r="AG707" s="78" t="s">
        <v>4640</v>
      </c>
      <c r="AH707" t="b">
        <v>0</v>
      </c>
      <c r="AI707" t="s">
        <v>4829</v>
      </c>
      <c r="AK707" s="78" t="s">
        <v>4640</v>
      </c>
      <c r="AL707" t="b">
        <v>0</v>
      </c>
      <c r="AM707">
        <v>60</v>
      </c>
      <c r="AN707" s="78" t="s">
        <v>4360</v>
      </c>
      <c r="AO707" s="78" t="s">
        <v>4866</v>
      </c>
      <c r="AP707" t="b">
        <v>0</v>
      </c>
      <c r="AQ707" s="78" t="s">
        <v>4360</v>
      </c>
      <c r="AR707" t="s">
        <v>179</v>
      </c>
      <c r="AS707">
        <v>0</v>
      </c>
      <c r="AT707">
        <v>0</v>
      </c>
    </row>
    <row r="708" spans="1:46" x14ac:dyDescent="0.45">
      <c r="A708" s="62" t="s">
        <v>583</v>
      </c>
      <c r="B708" s="62" t="s">
        <v>242</v>
      </c>
      <c r="C708" s="63"/>
      <c r="D708" s="64"/>
      <c r="E708" s="65"/>
      <c r="F708" s="66"/>
      <c r="G708" s="63"/>
      <c r="H708" s="67"/>
      <c r="I708" s="68"/>
      <c r="J708" s="68"/>
      <c r="K708" s="32"/>
      <c r="L708" s="75"/>
      <c r="M708" s="75"/>
      <c r="N708" s="70"/>
      <c r="O708" t="s">
        <v>1570</v>
      </c>
      <c r="P708" s="76">
        <v>44958.809664351851</v>
      </c>
      <c r="Q708" t="s">
        <v>1817</v>
      </c>
      <c r="R70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8" t="s">
        <v>2285</v>
      </c>
      <c r="V708" s="77" t="str">
        <f>HYPERLINK("https://pbs.twimg.com/profile_images/1160954812663574529/P6NGk6u-_normal.jpg")</f>
        <v>https://pbs.twimg.com/profile_images/1160954812663574529/P6NGk6u-_normal.jpg</v>
      </c>
      <c r="W708" s="76">
        <v>44958.809664351851</v>
      </c>
      <c r="X708" s="80">
        <v>44958</v>
      </c>
      <c r="Y708" s="78" t="s">
        <v>2800</v>
      </c>
      <c r="Z708" s="77" t="str">
        <f>HYPERLINK("https://twitter.com/foxwesttexas/status/1620866051511648261")</f>
        <v>https://twitter.com/foxwesttexas/status/1620866051511648261</v>
      </c>
      <c r="AC708" s="78" t="s">
        <v>3845</v>
      </c>
      <c r="AE708" t="b">
        <v>0</v>
      </c>
      <c r="AF708">
        <v>0</v>
      </c>
      <c r="AG708" s="78" t="s">
        <v>4640</v>
      </c>
      <c r="AH708" t="b">
        <v>0</v>
      </c>
      <c r="AI708" t="s">
        <v>4829</v>
      </c>
      <c r="AK708" s="78" t="s">
        <v>4640</v>
      </c>
      <c r="AL708" t="b">
        <v>0</v>
      </c>
      <c r="AM708">
        <v>60</v>
      </c>
      <c r="AN708" s="78" t="s">
        <v>4360</v>
      </c>
      <c r="AO708" s="78" t="s">
        <v>4866</v>
      </c>
      <c r="AP708" t="b">
        <v>0</v>
      </c>
      <c r="AQ708" s="78" t="s">
        <v>4360</v>
      </c>
      <c r="AR708" t="s">
        <v>179</v>
      </c>
      <c r="AS708">
        <v>0</v>
      </c>
      <c r="AT708">
        <v>0</v>
      </c>
    </row>
    <row r="709" spans="1:46" x14ac:dyDescent="0.45">
      <c r="A709" s="62" t="s">
        <v>583</v>
      </c>
      <c r="B709" s="62" t="s">
        <v>1006</v>
      </c>
      <c r="C709" s="63"/>
      <c r="D709" s="64"/>
      <c r="E709" s="65"/>
      <c r="F709" s="66"/>
      <c r="G709" s="63"/>
      <c r="H709" s="67"/>
      <c r="I709" s="68"/>
      <c r="J709" s="68"/>
      <c r="K709" s="32"/>
      <c r="L709" s="75"/>
      <c r="M709" s="75"/>
      <c r="N709" s="70"/>
      <c r="O709" t="s">
        <v>1569</v>
      </c>
      <c r="P709" s="76">
        <v>44958.809664351851</v>
      </c>
      <c r="Q709" t="s">
        <v>1817</v>
      </c>
      <c r="R70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09" t="s">
        <v>2285</v>
      </c>
      <c r="V709" s="77" t="str">
        <f>HYPERLINK("https://pbs.twimg.com/profile_images/1160954812663574529/P6NGk6u-_normal.jpg")</f>
        <v>https://pbs.twimg.com/profile_images/1160954812663574529/P6NGk6u-_normal.jpg</v>
      </c>
      <c r="W709" s="76">
        <v>44958.809664351851</v>
      </c>
      <c r="X709" s="80">
        <v>44958</v>
      </c>
      <c r="Y709" s="78" t="s">
        <v>2800</v>
      </c>
      <c r="Z709" s="77" t="str">
        <f>HYPERLINK("https://twitter.com/foxwesttexas/status/1620866051511648261")</f>
        <v>https://twitter.com/foxwesttexas/status/1620866051511648261</v>
      </c>
      <c r="AC709" s="78" t="s">
        <v>3845</v>
      </c>
      <c r="AE709" t="b">
        <v>0</v>
      </c>
      <c r="AF709">
        <v>0</v>
      </c>
      <c r="AG709" s="78" t="s">
        <v>4640</v>
      </c>
      <c r="AH709" t="b">
        <v>0</v>
      </c>
      <c r="AI709" t="s">
        <v>4829</v>
      </c>
      <c r="AK709" s="78" t="s">
        <v>4640</v>
      </c>
      <c r="AL709" t="b">
        <v>0</v>
      </c>
      <c r="AM709">
        <v>60</v>
      </c>
      <c r="AN709" s="78" t="s">
        <v>4360</v>
      </c>
      <c r="AO709" s="78" t="s">
        <v>4866</v>
      </c>
      <c r="AP709" t="b">
        <v>0</v>
      </c>
      <c r="AQ709" s="78" t="s">
        <v>4360</v>
      </c>
      <c r="AR709" t="s">
        <v>179</v>
      </c>
      <c r="AS709">
        <v>0</v>
      </c>
      <c r="AT709">
        <v>0</v>
      </c>
    </row>
    <row r="710" spans="1:46" x14ac:dyDescent="0.45">
      <c r="A710" s="62" t="s">
        <v>584</v>
      </c>
      <c r="B710" s="62" t="s">
        <v>242</v>
      </c>
      <c r="C710" s="63"/>
      <c r="D710" s="64"/>
      <c r="E710" s="65"/>
      <c r="F710" s="66"/>
      <c r="G710" s="63"/>
      <c r="H710" s="67"/>
      <c r="I710" s="68"/>
      <c r="J710" s="68"/>
      <c r="K710" s="32"/>
      <c r="L710" s="75"/>
      <c r="M710" s="75"/>
      <c r="N710" s="70"/>
      <c r="O710" t="s">
        <v>1570</v>
      </c>
      <c r="P710" s="76">
        <v>44958.809664351851</v>
      </c>
      <c r="Q710" t="s">
        <v>1817</v>
      </c>
      <c r="R71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0" t="s">
        <v>2285</v>
      </c>
      <c r="V710" s="77" t="str">
        <f>HYPERLINK("https://pbs.twimg.com/profile_images/1542966726643662849/ueFSM1sv_normal.jpg")</f>
        <v>https://pbs.twimg.com/profile_images/1542966726643662849/ueFSM1sv_normal.jpg</v>
      </c>
      <c r="W710" s="76">
        <v>44958.809664351851</v>
      </c>
      <c r="X710" s="80">
        <v>44958</v>
      </c>
      <c r="Y710" s="78" t="s">
        <v>2800</v>
      </c>
      <c r="Z710" s="77" t="str">
        <f>HYPERLINK("https://twitter.com/wusa9/status/1620866051540918272")</f>
        <v>https://twitter.com/wusa9/status/1620866051540918272</v>
      </c>
      <c r="AC710" s="78" t="s">
        <v>3846</v>
      </c>
      <c r="AE710" t="b">
        <v>0</v>
      </c>
      <c r="AF710">
        <v>0</v>
      </c>
      <c r="AG710" s="78" t="s">
        <v>4640</v>
      </c>
      <c r="AH710" t="b">
        <v>0</v>
      </c>
      <c r="AI710" t="s">
        <v>4829</v>
      </c>
      <c r="AK710" s="78" t="s">
        <v>4640</v>
      </c>
      <c r="AL710" t="b">
        <v>0</v>
      </c>
      <c r="AM710">
        <v>60</v>
      </c>
      <c r="AN710" s="78" t="s">
        <v>4360</v>
      </c>
      <c r="AO710" s="78" t="s">
        <v>4866</v>
      </c>
      <c r="AP710" t="b">
        <v>0</v>
      </c>
      <c r="AQ710" s="78" t="s">
        <v>4360</v>
      </c>
      <c r="AR710" t="s">
        <v>179</v>
      </c>
      <c r="AS710">
        <v>0</v>
      </c>
      <c r="AT710">
        <v>0</v>
      </c>
    </row>
    <row r="711" spans="1:46" x14ac:dyDescent="0.45">
      <c r="A711" s="62" t="s">
        <v>584</v>
      </c>
      <c r="B711" s="62" t="s">
        <v>1006</v>
      </c>
      <c r="C711" s="63"/>
      <c r="D711" s="64"/>
      <c r="E711" s="65"/>
      <c r="F711" s="66"/>
      <c r="G711" s="63"/>
      <c r="H711" s="67"/>
      <c r="I711" s="68"/>
      <c r="J711" s="68"/>
      <c r="K711" s="32"/>
      <c r="L711" s="75"/>
      <c r="M711" s="75"/>
      <c r="N711" s="70"/>
      <c r="O711" t="s">
        <v>1569</v>
      </c>
      <c r="P711" s="76">
        <v>44958.809664351851</v>
      </c>
      <c r="Q711" t="s">
        <v>1817</v>
      </c>
      <c r="R71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1" t="s">
        <v>2285</v>
      </c>
      <c r="V711" s="77" t="str">
        <f>HYPERLINK("https://pbs.twimg.com/profile_images/1542966726643662849/ueFSM1sv_normal.jpg")</f>
        <v>https://pbs.twimg.com/profile_images/1542966726643662849/ueFSM1sv_normal.jpg</v>
      </c>
      <c r="W711" s="76">
        <v>44958.809664351851</v>
      </c>
      <c r="X711" s="80">
        <v>44958</v>
      </c>
      <c r="Y711" s="78" t="s">
        <v>2800</v>
      </c>
      <c r="Z711" s="77" t="str">
        <f>HYPERLINK("https://twitter.com/wusa9/status/1620866051540918272")</f>
        <v>https://twitter.com/wusa9/status/1620866051540918272</v>
      </c>
      <c r="AC711" s="78" t="s">
        <v>3846</v>
      </c>
      <c r="AE711" t="b">
        <v>0</v>
      </c>
      <c r="AF711">
        <v>0</v>
      </c>
      <c r="AG711" s="78" t="s">
        <v>4640</v>
      </c>
      <c r="AH711" t="b">
        <v>0</v>
      </c>
      <c r="AI711" t="s">
        <v>4829</v>
      </c>
      <c r="AK711" s="78" t="s">
        <v>4640</v>
      </c>
      <c r="AL711" t="b">
        <v>0</v>
      </c>
      <c r="AM711">
        <v>60</v>
      </c>
      <c r="AN711" s="78" t="s">
        <v>4360</v>
      </c>
      <c r="AO711" s="78" t="s">
        <v>4866</v>
      </c>
      <c r="AP711" t="b">
        <v>0</v>
      </c>
      <c r="AQ711" s="78" t="s">
        <v>4360</v>
      </c>
      <c r="AR711" t="s">
        <v>179</v>
      </c>
      <c r="AS711">
        <v>0</v>
      </c>
      <c r="AT711">
        <v>0</v>
      </c>
    </row>
    <row r="712" spans="1:46" x14ac:dyDescent="0.45">
      <c r="A712" s="62" t="s">
        <v>585</v>
      </c>
      <c r="B712" s="62" t="s">
        <v>242</v>
      </c>
      <c r="C712" s="63"/>
      <c r="D712" s="64"/>
      <c r="E712" s="65"/>
      <c r="F712" s="66"/>
      <c r="G712" s="63"/>
      <c r="H712" s="67"/>
      <c r="I712" s="68"/>
      <c r="J712" s="68"/>
      <c r="K712" s="32"/>
      <c r="L712" s="75"/>
      <c r="M712" s="75"/>
      <c r="N712" s="70"/>
      <c r="O712" t="s">
        <v>1570</v>
      </c>
      <c r="P712" s="76">
        <v>44958.809664351851</v>
      </c>
      <c r="Q712" t="s">
        <v>1817</v>
      </c>
      <c r="R71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2" t="s">
        <v>2285</v>
      </c>
      <c r="V712" s="77" t="str">
        <f>HYPERLINK("https://pbs.twimg.com/profile_images/1271450526425677824/np8YNnn0_normal.jpg")</f>
        <v>https://pbs.twimg.com/profile_images/1271450526425677824/np8YNnn0_normal.jpg</v>
      </c>
      <c r="W712" s="76">
        <v>44958.809664351851</v>
      </c>
      <c r="X712" s="80">
        <v>44958</v>
      </c>
      <c r="Y712" s="78" t="s">
        <v>2800</v>
      </c>
      <c r="Z712" s="77" t="str">
        <f>HYPERLINK("https://twitter.com/wqad/status/1620866051553607681")</f>
        <v>https://twitter.com/wqad/status/1620866051553607681</v>
      </c>
      <c r="AC712" s="78" t="s">
        <v>3847</v>
      </c>
      <c r="AE712" t="b">
        <v>0</v>
      </c>
      <c r="AF712">
        <v>0</v>
      </c>
      <c r="AG712" s="78" t="s">
        <v>4640</v>
      </c>
      <c r="AH712" t="b">
        <v>0</v>
      </c>
      <c r="AI712" t="s">
        <v>4829</v>
      </c>
      <c r="AK712" s="78" t="s">
        <v>4640</v>
      </c>
      <c r="AL712" t="b">
        <v>0</v>
      </c>
      <c r="AM712">
        <v>60</v>
      </c>
      <c r="AN712" s="78" t="s">
        <v>4360</v>
      </c>
      <c r="AO712" s="78" t="s">
        <v>4866</v>
      </c>
      <c r="AP712" t="b">
        <v>0</v>
      </c>
      <c r="AQ712" s="78" t="s">
        <v>4360</v>
      </c>
      <c r="AR712" t="s">
        <v>179</v>
      </c>
      <c r="AS712">
        <v>0</v>
      </c>
      <c r="AT712">
        <v>0</v>
      </c>
    </row>
    <row r="713" spans="1:46" x14ac:dyDescent="0.45">
      <c r="A713" s="62" t="s">
        <v>585</v>
      </c>
      <c r="B713" s="62" t="s">
        <v>1006</v>
      </c>
      <c r="C713" s="63"/>
      <c r="D713" s="64"/>
      <c r="E713" s="65"/>
      <c r="F713" s="66"/>
      <c r="G713" s="63"/>
      <c r="H713" s="67"/>
      <c r="I713" s="68"/>
      <c r="J713" s="68"/>
      <c r="K713" s="32"/>
      <c r="L713" s="75"/>
      <c r="M713" s="75"/>
      <c r="N713" s="70"/>
      <c r="O713" t="s">
        <v>1569</v>
      </c>
      <c r="P713" s="76">
        <v>44958.809664351851</v>
      </c>
      <c r="Q713" t="s">
        <v>1817</v>
      </c>
      <c r="R71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3" t="s">
        <v>2285</v>
      </c>
      <c r="V713" s="77" t="str">
        <f>HYPERLINK("https://pbs.twimg.com/profile_images/1271450526425677824/np8YNnn0_normal.jpg")</f>
        <v>https://pbs.twimg.com/profile_images/1271450526425677824/np8YNnn0_normal.jpg</v>
      </c>
      <c r="W713" s="76">
        <v>44958.809664351851</v>
      </c>
      <c r="X713" s="80">
        <v>44958</v>
      </c>
      <c r="Y713" s="78" t="s">
        <v>2800</v>
      </c>
      <c r="Z713" s="77" t="str">
        <f>HYPERLINK("https://twitter.com/wqad/status/1620866051553607681")</f>
        <v>https://twitter.com/wqad/status/1620866051553607681</v>
      </c>
      <c r="AC713" s="78" t="s">
        <v>3847</v>
      </c>
      <c r="AE713" t="b">
        <v>0</v>
      </c>
      <c r="AF713">
        <v>0</v>
      </c>
      <c r="AG713" s="78" t="s">
        <v>4640</v>
      </c>
      <c r="AH713" t="b">
        <v>0</v>
      </c>
      <c r="AI713" t="s">
        <v>4829</v>
      </c>
      <c r="AK713" s="78" t="s">
        <v>4640</v>
      </c>
      <c r="AL713" t="b">
        <v>0</v>
      </c>
      <c r="AM713">
        <v>60</v>
      </c>
      <c r="AN713" s="78" t="s">
        <v>4360</v>
      </c>
      <c r="AO713" s="78" t="s">
        <v>4866</v>
      </c>
      <c r="AP713" t="b">
        <v>0</v>
      </c>
      <c r="AQ713" s="78" t="s">
        <v>4360</v>
      </c>
      <c r="AR713" t="s">
        <v>179</v>
      </c>
      <c r="AS713">
        <v>0</v>
      </c>
      <c r="AT713">
        <v>0</v>
      </c>
    </row>
    <row r="714" spans="1:46" x14ac:dyDescent="0.45">
      <c r="A714" s="62" t="s">
        <v>586</v>
      </c>
      <c r="B714" s="62" t="s">
        <v>242</v>
      </c>
      <c r="C714" s="63"/>
      <c r="D714" s="64"/>
      <c r="E714" s="65"/>
      <c r="F714" s="66"/>
      <c r="G714" s="63"/>
      <c r="H714" s="67"/>
      <c r="I714" s="68"/>
      <c r="J714" s="68"/>
      <c r="K714" s="32"/>
      <c r="L714" s="75"/>
      <c r="M714" s="75"/>
      <c r="N714" s="70"/>
      <c r="O714" t="s">
        <v>1570</v>
      </c>
      <c r="P714" s="76">
        <v>44958.809664351851</v>
      </c>
      <c r="Q714" t="s">
        <v>1817</v>
      </c>
      <c r="R71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4" t="s">
        <v>2285</v>
      </c>
      <c r="V714" s="77" t="str">
        <f>HYPERLINK("https://pbs.twimg.com/profile_images/1221210557686132740/aimc8D8F_normal.png")</f>
        <v>https://pbs.twimg.com/profile_images/1221210557686132740/aimc8D8F_normal.png</v>
      </c>
      <c r="W714" s="76">
        <v>44958.809664351851</v>
      </c>
      <c r="X714" s="80">
        <v>44958</v>
      </c>
      <c r="Y714" s="78" t="s">
        <v>2800</v>
      </c>
      <c r="Z714" s="77" t="str">
        <f>HYPERLINK("https://twitter.com/wcnc/status/1620866051557801984")</f>
        <v>https://twitter.com/wcnc/status/1620866051557801984</v>
      </c>
      <c r="AC714" s="78" t="s">
        <v>3848</v>
      </c>
      <c r="AE714" t="b">
        <v>0</v>
      </c>
      <c r="AF714">
        <v>0</v>
      </c>
      <c r="AG714" s="78" t="s">
        <v>4640</v>
      </c>
      <c r="AH714" t="b">
        <v>0</v>
      </c>
      <c r="AI714" t="s">
        <v>4829</v>
      </c>
      <c r="AK714" s="78" t="s">
        <v>4640</v>
      </c>
      <c r="AL714" t="b">
        <v>0</v>
      </c>
      <c r="AM714">
        <v>60</v>
      </c>
      <c r="AN714" s="78" t="s">
        <v>4360</v>
      </c>
      <c r="AO714" s="78" t="s">
        <v>4866</v>
      </c>
      <c r="AP714" t="b">
        <v>0</v>
      </c>
      <c r="AQ714" s="78" t="s">
        <v>4360</v>
      </c>
      <c r="AR714" t="s">
        <v>179</v>
      </c>
      <c r="AS714">
        <v>0</v>
      </c>
      <c r="AT714">
        <v>0</v>
      </c>
    </row>
    <row r="715" spans="1:46" x14ac:dyDescent="0.45">
      <c r="A715" s="62" t="s">
        <v>586</v>
      </c>
      <c r="B715" s="62" t="s">
        <v>1006</v>
      </c>
      <c r="C715" s="63"/>
      <c r="D715" s="64"/>
      <c r="E715" s="65"/>
      <c r="F715" s="66"/>
      <c r="G715" s="63"/>
      <c r="H715" s="67"/>
      <c r="I715" s="68"/>
      <c r="J715" s="68"/>
      <c r="K715" s="32"/>
      <c r="L715" s="75"/>
      <c r="M715" s="75"/>
      <c r="N715" s="70"/>
      <c r="O715" t="s">
        <v>1569</v>
      </c>
      <c r="P715" s="76">
        <v>44958.809664351851</v>
      </c>
      <c r="Q715" t="s">
        <v>1817</v>
      </c>
      <c r="R71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5" t="s">
        <v>2285</v>
      </c>
      <c r="V715" s="77" t="str">
        <f>HYPERLINK("https://pbs.twimg.com/profile_images/1221210557686132740/aimc8D8F_normal.png")</f>
        <v>https://pbs.twimg.com/profile_images/1221210557686132740/aimc8D8F_normal.png</v>
      </c>
      <c r="W715" s="76">
        <v>44958.809664351851</v>
      </c>
      <c r="X715" s="80">
        <v>44958</v>
      </c>
      <c r="Y715" s="78" t="s">
        <v>2800</v>
      </c>
      <c r="Z715" s="77" t="str">
        <f>HYPERLINK("https://twitter.com/wcnc/status/1620866051557801984")</f>
        <v>https://twitter.com/wcnc/status/1620866051557801984</v>
      </c>
      <c r="AC715" s="78" t="s">
        <v>3848</v>
      </c>
      <c r="AE715" t="b">
        <v>0</v>
      </c>
      <c r="AF715">
        <v>0</v>
      </c>
      <c r="AG715" s="78" t="s">
        <v>4640</v>
      </c>
      <c r="AH715" t="b">
        <v>0</v>
      </c>
      <c r="AI715" t="s">
        <v>4829</v>
      </c>
      <c r="AK715" s="78" t="s">
        <v>4640</v>
      </c>
      <c r="AL715" t="b">
        <v>0</v>
      </c>
      <c r="AM715">
        <v>60</v>
      </c>
      <c r="AN715" s="78" t="s">
        <v>4360</v>
      </c>
      <c r="AO715" s="78" t="s">
        <v>4866</v>
      </c>
      <c r="AP715" t="b">
        <v>0</v>
      </c>
      <c r="AQ715" s="78" t="s">
        <v>4360</v>
      </c>
      <c r="AR715" t="s">
        <v>179</v>
      </c>
      <c r="AS715">
        <v>0</v>
      </c>
      <c r="AT715">
        <v>0</v>
      </c>
    </row>
    <row r="716" spans="1:46" x14ac:dyDescent="0.45">
      <c r="A716" s="62" t="s">
        <v>587</v>
      </c>
      <c r="B716" s="62" t="s">
        <v>242</v>
      </c>
      <c r="C716" s="63"/>
      <c r="D716" s="64"/>
      <c r="E716" s="65"/>
      <c r="F716" s="66"/>
      <c r="G716" s="63"/>
      <c r="H716" s="67"/>
      <c r="I716" s="68"/>
      <c r="J716" s="68"/>
      <c r="K716" s="32"/>
      <c r="L716" s="75"/>
      <c r="M716" s="75"/>
      <c r="N716" s="70"/>
      <c r="O716" t="s">
        <v>1570</v>
      </c>
      <c r="P716" s="76">
        <v>44958.809664351851</v>
      </c>
      <c r="Q716" t="s">
        <v>1817</v>
      </c>
      <c r="R71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6" t="s">
        <v>2285</v>
      </c>
      <c r="V716" s="77" t="str">
        <f>HYPERLINK("https://pbs.twimg.com/profile_images/1045675428893970433/RPLzJ5Ku_normal.jpg")</f>
        <v>https://pbs.twimg.com/profile_images/1045675428893970433/RPLzJ5Ku_normal.jpg</v>
      </c>
      <c r="W716" s="76">
        <v>44958.809664351851</v>
      </c>
      <c r="X716" s="80">
        <v>44958</v>
      </c>
      <c r="Y716" s="78" t="s">
        <v>2800</v>
      </c>
      <c r="Z716" s="77" t="str">
        <f>HYPERLINK("https://twitter.com/13wmaznews/status/1620866051578728452")</f>
        <v>https://twitter.com/13wmaznews/status/1620866051578728452</v>
      </c>
      <c r="AC716" s="78" t="s">
        <v>3849</v>
      </c>
      <c r="AE716" t="b">
        <v>0</v>
      </c>
      <c r="AF716">
        <v>0</v>
      </c>
      <c r="AG716" s="78" t="s">
        <v>4640</v>
      </c>
      <c r="AH716" t="b">
        <v>0</v>
      </c>
      <c r="AI716" t="s">
        <v>4829</v>
      </c>
      <c r="AK716" s="78" t="s">
        <v>4640</v>
      </c>
      <c r="AL716" t="b">
        <v>0</v>
      </c>
      <c r="AM716">
        <v>60</v>
      </c>
      <c r="AN716" s="78" t="s">
        <v>4360</v>
      </c>
      <c r="AO716" s="78" t="s">
        <v>4866</v>
      </c>
      <c r="AP716" t="b">
        <v>0</v>
      </c>
      <c r="AQ716" s="78" t="s">
        <v>4360</v>
      </c>
      <c r="AR716" t="s">
        <v>179</v>
      </c>
      <c r="AS716">
        <v>0</v>
      </c>
      <c r="AT716">
        <v>0</v>
      </c>
    </row>
    <row r="717" spans="1:46" x14ac:dyDescent="0.45">
      <c r="A717" s="62" t="s">
        <v>587</v>
      </c>
      <c r="B717" s="62" t="s">
        <v>1006</v>
      </c>
      <c r="C717" s="63"/>
      <c r="D717" s="64"/>
      <c r="E717" s="65"/>
      <c r="F717" s="66"/>
      <c r="G717" s="63"/>
      <c r="H717" s="67"/>
      <c r="I717" s="68"/>
      <c r="J717" s="68"/>
      <c r="K717" s="32"/>
      <c r="L717" s="75"/>
      <c r="M717" s="75"/>
      <c r="N717" s="70"/>
      <c r="O717" t="s">
        <v>1569</v>
      </c>
      <c r="P717" s="76">
        <v>44958.809664351851</v>
      </c>
      <c r="Q717" t="s">
        <v>1817</v>
      </c>
      <c r="R71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7" t="s">
        <v>2285</v>
      </c>
      <c r="V717" s="77" t="str">
        <f>HYPERLINK("https://pbs.twimg.com/profile_images/1045675428893970433/RPLzJ5Ku_normal.jpg")</f>
        <v>https://pbs.twimg.com/profile_images/1045675428893970433/RPLzJ5Ku_normal.jpg</v>
      </c>
      <c r="W717" s="76">
        <v>44958.809664351851</v>
      </c>
      <c r="X717" s="80">
        <v>44958</v>
      </c>
      <c r="Y717" s="78" t="s">
        <v>2800</v>
      </c>
      <c r="Z717" s="77" t="str">
        <f>HYPERLINK("https://twitter.com/13wmaznews/status/1620866051578728452")</f>
        <v>https://twitter.com/13wmaznews/status/1620866051578728452</v>
      </c>
      <c r="AC717" s="78" t="s">
        <v>3849</v>
      </c>
      <c r="AE717" t="b">
        <v>0</v>
      </c>
      <c r="AF717">
        <v>0</v>
      </c>
      <c r="AG717" s="78" t="s">
        <v>4640</v>
      </c>
      <c r="AH717" t="b">
        <v>0</v>
      </c>
      <c r="AI717" t="s">
        <v>4829</v>
      </c>
      <c r="AK717" s="78" t="s">
        <v>4640</v>
      </c>
      <c r="AL717" t="b">
        <v>0</v>
      </c>
      <c r="AM717">
        <v>60</v>
      </c>
      <c r="AN717" s="78" t="s">
        <v>4360</v>
      </c>
      <c r="AO717" s="78" t="s">
        <v>4866</v>
      </c>
      <c r="AP717" t="b">
        <v>0</v>
      </c>
      <c r="AQ717" s="78" t="s">
        <v>4360</v>
      </c>
      <c r="AR717" t="s">
        <v>179</v>
      </c>
      <c r="AS717">
        <v>0</v>
      </c>
      <c r="AT717">
        <v>0</v>
      </c>
    </row>
    <row r="718" spans="1:46" x14ac:dyDescent="0.45">
      <c r="A718" s="62" t="s">
        <v>588</v>
      </c>
      <c r="B718" s="62" t="s">
        <v>242</v>
      </c>
      <c r="C718" s="63"/>
      <c r="D718" s="64"/>
      <c r="E718" s="65"/>
      <c r="F718" s="66"/>
      <c r="G718" s="63"/>
      <c r="H718" s="67"/>
      <c r="I718" s="68"/>
      <c r="J718" s="68"/>
      <c r="K718" s="32"/>
      <c r="L718" s="75"/>
      <c r="M718" s="75"/>
      <c r="N718" s="70"/>
      <c r="O718" t="s">
        <v>1570</v>
      </c>
      <c r="P718" s="76">
        <v>44958.809664351851</v>
      </c>
      <c r="Q718" t="s">
        <v>1817</v>
      </c>
      <c r="R71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8" t="s">
        <v>2285</v>
      </c>
      <c r="V718" s="77" t="str">
        <f>HYPERLINK("https://pbs.twimg.com/profile_images/943583595482046464/h5ePo5gp_normal.jpg")</f>
        <v>https://pbs.twimg.com/profile_images/943583595482046464/h5ePo5gp_normal.jpg</v>
      </c>
      <c r="W718" s="76">
        <v>44958.809664351851</v>
      </c>
      <c r="X718" s="80">
        <v>44958</v>
      </c>
      <c r="Y718" s="78" t="s">
        <v>2800</v>
      </c>
      <c r="Z718" s="77" t="str">
        <f>HYPERLINK("https://twitter.com/9news/status/1620866051591311361")</f>
        <v>https://twitter.com/9news/status/1620866051591311361</v>
      </c>
      <c r="AC718" s="78" t="s">
        <v>3850</v>
      </c>
      <c r="AE718" t="b">
        <v>0</v>
      </c>
      <c r="AF718">
        <v>0</v>
      </c>
      <c r="AG718" s="78" t="s">
        <v>4640</v>
      </c>
      <c r="AH718" t="b">
        <v>0</v>
      </c>
      <c r="AI718" t="s">
        <v>4829</v>
      </c>
      <c r="AK718" s="78" t="s">
        <v>4640</v>
      </c>
      <c r="AL718" t="b">
        <v>0</v>
      </c>
      <c r="AM718">
        <v>60</v>
      </c>
      <c r="AN718" s="78" t="s">
        <v>4360</v>
      </c>
      <c r="AO718" s="78" t="s">
        <v>4866</v>
      </c>
      <c r="AP718" t="b">
        <v>0</v>
      </c>
      <c r="AQ718" s="78" t="s">
        <v>4360</v>
      </c>
      <c r="AR718" t="s">
        <v>179</v>
      </c>
      <c r="AS718">
        <v>0</v>
      </c>
      <c r="AT718">
        <v>0</v>
      </c>
    </row>
    <row r="719" spans="1:46" x14ac:dyDescent="0.45">
      <c r="A719" s="62" t="s">
        <v>588</v>
      </c>
      <c r="B719" s="62" t="s">
        <v>1006</v>
      </c>
      <c r="C719" s="63"/>
      <c r="D719" s="64"/>
      <c r="E719" s="65"/>
      <c r="F719" s="66"/>
      <c r="G719" s="63"/>
      <c r="H719" s="67"/>
      <c r="I719" s="68"/>
      <c r="J719" s="68"/>
      <c r="K719" s="32"/>
      <c r="L719" s="75"/>
      <c r="M719" s="75"/>
      <c r="N719" s="70"/>
      <c r="O719" t="s">
        <v>1569</v>
      </c>
      <c r="P719" s="76">
        <v>44958.809664351851</v>
      </c>
      <c r="Q719" t="s">
        <v>1817</v>
      </c>
      <c r="R71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19" t="s">
        <v>2285</v>
      </c>
      <c r="V719" s="77" t="str">
        <f>HYPERLINK("https://pbs.twimg.com/profile_images/943583595482046464/h5ePo5gp_normal.jpg")</f>
        <v>https://pbs.twimg.com/profile_images/943583595482046464/h5ePo5gp_normal.jpg</v>
      </c>
      <c r="W719" s="76">
        <v>44958.809664351851</v>
      </c>
      <c r="X719" s="80">
        <v>44958</v>
      </c>
      <c r="Y719" s="78" t="s">
        <v>2800</v>
      </c>
      <c r="Z719" s="77" t="str">
        <f>HYPERLINK("https://twitter.com/9news/status/1620866051591311361")</f>
        <v>https://twitter.com/9news/status/1620866051591311361</v>
      </c>
      <c r="AC719" s="78" t="s">
        <v>3850</v>
      </c>
      <c r="AE719" t="b">
        <v>0</v>
      </c>
      <c r="AF719">
        <v>0</v>
      </c>
      <c r="AG719" s="78" t="s">
        <v>4640</v>
      </c>
      <c r="AH719" t="b">
        <v>0</v>
      </c>
      <c r="AI719" t="s">
        <v>4829</v>
      </c>
      <c r="AK719" s="78" t="s">
        <v>4640</v>
      </c>
      <c r="AL719" t="b">
        <v>0</v>
      </c>
      <c r="AM719">
        <v>60</v>
      </c>
      <c r="AN719" s="78" t="s">
        <v>4360</v>
      </c>
      <c r="AO719" s="78" t="s">
        <v>4866</v>
      </c>
      <c r="AP719" t="b">
        <v>0</v>
      </c>
      <c r="AQ719" s="78" t="s">
        <v>4360</v>
      </c>
      <c r="AR719" t="s">
        <v>179</v>
      </c>
      <c r="AS719">
        <v>0</v>
      </c>
      <c r="AT719">
        <v>0</v>
      </c>
    </row>
    <row r="720" spans="1:46" x14ac:dyDescent="0.45">
      <c r="A720" s="62" t="s">
        <v>589</v>
      </c>
      <c r="B720" s="62" t="s">
        <v>242</v>
      </c>
      <c r="C720" s="63"/>
      <c r="D720" s="64"/>
      <c r="E720" s="65"/>
      <c r="F720" s="66"/>
      <c r="G720" s="63"/>
      <c r="H720" s="67"/>
      <c r="I720" s="68"/>
      <c r="J720" s="68"/>
      <c r="K720" s="32"/>
      <c r="L720" s="75"/>
      <c r="M720" s="75"/>
      <c r="N720" s="70"/>
      <c r="O720" t="s">
        <v>1570</v>
      </c>
      <c r="P720" s="76">
        <v>44958.809664351851</v>
      </c>
      <c r="Q720" t="s">
        <v>1817</v>
      </c>
      <c r="R72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0" t="s">
        <v>2285</v>
      </c>
      <c r="V720" s="77" t="str">
        <f>HYPERLINK("https://pbs.twimg.com/profile_images/1379823713684627459/RyoT1mTT_normal.jpg")</f>
        <v>https://pbs.twimg.com/profile_images/1379823713684627459/RyoT1mTT_normal.jpg</v>
      </c>
      <c r="W720" s="76">
        <v>44958.809664351851</v>
      </c>
      <c r="X720" s="80">
        <v>44958</v>
      </c>
      <c r="Y720" s="78" t="s">
        <v>2800</v>
      </c>
      <c r="Z720" s="77" t="str">
        <f>HYPERLINK("https://twitter.com/12news/status/1620866051599745025")</f>
        <v>https://twitter.com/12news/status/1620866051599745025</v>
      </c>
      <c r="AC720" s="78" t="s">
        <v>3851</v>
      </c>
      <c r="AE720" t="b">
        <v>0</v>
      </c>
      <c r="AF720">
        <v>0</v>
      </c>
      <c r="AG720" s="78" t="s">
        <v>4640</v>
      </c>
      <c r="AH720" t="b">
        <v>0</v>
      </c>
      <c r="AI720" t="s">
        <v>4829</v>
      </c>
      <c r="AK720" s="78" t="s">
        <v>4640</v>
      </c>
      <c r="AL720" t="b">
        <v>0</v>
      </c>
      <c r="AM720">
        <v>60</v>
      </c>
      <c r="AN720" s="78" t="s">
        <v>4360</v>
      </c>
      <c r="AO720" s="78" t="s">
        <v>4866</v>
      </c>
      <c r="AP720" t="b">
        <v>0</v>
      </c>
      <c r="AQ720" s="78" t="s">
        <v>4360</v>
      </c>
      <c r="AR720" t="s">
        <v>179</v>
      </c>
      <c r="AS720">
        <v>0</v>
      </c>
      <c r="AT720">
        <v>0</v>
      </c>
    </row>
    <row r="721" spans="1:46" x14ac:dyDescent="0.45">
      <c r="A721" s="62" t="s">
        <v>589</v>
      </c>
      <c r="B721" s="62" t="s">
        <v>1006</v>
      </c>
      <c r="C721" s="63"/>
      <c r="D721" s="64"/>
      <c r="E721" s="65"/>
      <c r="F721" s="66"/>
      <c r="G721" s="63"/>
      <c r="H721" s="67"/>
      <c r="I721" s="68"/>
      <c r="J721" s="68"/>
      <c r="K721" s="32"/>
      <c r="L721" s="75"/>
      <c r="M721" s="75"/>
      <c r="N721" s="70"/>
      <c r="O721" t="s">
        <v>1569</v>
      </c>
      <c r="P721" s="76">
        <v>44958.809664351851</v>
      </c>
      <c r="Q721" t="s">
        <v>1817</v>
      </c>
      <c r="R72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1" t="s">
        <v>2285</v>
      </c>
      <c r="V721" s="77" t="str">
        <f>HYPERLINK("https://pbs.twimg.com/profile_images/1379823713684627459/RyoT1mTT_normal.jpg")</f>
        <v>https://pbs.twimg.com/profile_images/1379823713684627459/RyoT1mTT_normal.jpg</v>
      </c>
      <c r="W721" s="76">
        <v>44958.809664351851</v>
      </c>
      <c r="X721" s="80">
        <v>44958</v>
      </c>
      <c r="Y721" s="78" t="s">
        <v>2800</v>
      </c>
      <c r="Z721" s="77" t="str">
        <f>HYPERLINK("https://twitter.com/12news/status/1620866051599745025")</f>
        <v>https://twitter.com/12news/status/1620866051599745025</v>
      </c>
      <c r="AC721" s="78" t="s">
        <v>3851</v>
      </c>
      <c r="AE721" t="b">
        <v>0</v>
      </c>
      <c r="AF721">
        <v>0</v>
      </c>
      <c r="AG721" s="78" t="s">
        <v>4640</v>
      </c>
      <c r="AH721" t="b">
        <v>0</v>
      </c>
      <c r="AI721" t="s">
        <v>4829</v>
      </c>
      <c r="AK721" s="78" t="s">
        <v>4640</v>
      </c>
      <c r="AL721" t="b">
        <v>0</v>
      </c>
      <c r="AM721">
        <v>60</v>
      </c>
      <c r="AN721" s="78" t="s">
        <v>4360</v>
      </c>
      <c r="AO721" s="78" t="s">
        <v>4866</v>
      </c>
      <c r="AP721" t="b">
        <v>0</v>
      </c>
      <c r="AQ721" s="78" t="s">
        <v>4360</v>
      </c>
      <c r="AR721" t="s">
        <v>179</v>
      </c>
      <c r="AS721">
        <v>0</v>
      </c>
      <c r="AT721">
        <v>0</v>
      </c>
    </row>
    <row r="722" spans="1:46" x14ac:dyDescent="0.45">
      <c r="A722" s="62" t="s">
        <v>590</v>
      </c>
      <c r="B722" s="62" t="s">
        <v>242</v>
      </c>
      <c r="C722" s="63"/>
      <c r="D722" s="64"/>
      <c r="E722" s="65"/>
      <c r="F722" s="66"/>
      <c r="G722" s="63"/>
      <c r="H722" s="67"/>
      <c r="I722" s="68"/>
      <c r="J722" s="68"/>
      <c r="K722" s="32"/>
      <c r="L722" s="75"/>
      <c r="M722" s="75"/>
      <c r="N722" s="70"/>
      <c r="O722" t="s">
        <v>1570</v>
      </c>
      <c r="P722" s="76">
        <v>44958.809664351851</v>
      </c>
      <c r="Q722" t="s">
        <v>1817</v>
      </c>
      <c r="R72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2" t="s">
        <v>2285</v>
      </c>
      <c r="V722" s="77" t="str">
        <f>HYPERLINK("https://pbs.twimg.com/profile_images/1507467919931838470/CMjkSawQ_normal.jpg")</f>
        <v>https://pbs.twimg.com/profile_images/1507467919931838470/CMjkSawQ_normal.jpg</v>
      </c>
      <c r="W722" s="76">
        <v>44958.809664351851</v>
      </c>
      <c r="X722" s="80">
        <v>44958</v>
      </c>
      <c r="Y722" s="78" t="s">
        <v>2800</v>
      </c>
      <c r="Z722" s="77" t="str">
        <f>HYPERLINK("https://twitter.com/krem2/status/1620866051608088583")</f>
        <v>https://twitter.com/krem2/status/1620866051608088583</v>
      </c>
      <c r="AC722" s="78" t="s">
        <v>3852</v>
      </c>
      <c r="AE722" t="b">
        <v>0</v>
      </c>
      <c r="AF722">
        <v>0</v>
      </c>
      <c r="AG722" s="78" t="s">
        <v>4640</v>
      </c>
      <c r="AH722" t="b">
        <v>0</v>
      </c>
      <c r="AI722" t="s">
        <v>4829</v>
      </c>
      <c r="AK722" s="78" t="s">
        <v>4640</v>
      </c>
      <c r="AL722" t="b">
        <v>0</v>
      </c>
      <c r="AM722">
        <v>60</v>
      </c>
      <c r="AN722" s="78" t="s">
        <v>4360</v>
      </c>
      <c r="AO722" s="78" t="s">
        <v>4866</v>
      </c>
      <c r="AP722" t="b">
        <v>0</v>
      </c>
      <c r="AQ722" s="78" t="s">
        <v>4360</v>
      </c>
      <c r="AR722" t="s">
        <v>179</v>
      </c>
      <c r="AS722">
        <v>0</v>
      </c>
      <c r="AT722">
        <v>0</v>
      </c>
    </row>
    <row r="723" spans="1:46" x14ac:dyDescent="0.45">
      <c r="A723" s="62" t="s">
        <v>590</v>
      </c>
      <c r="B723" s="62" t="s">
        <v>1006</v>
      </c>
      <c r="C723" s="63"/>
      <c r="D723" s="64"/>
      <c r="E723" s="65"/>
      <c r="F723" s="66"/>
      <c r="G723" s="63"/>
      <c r="H723" s="67"/>
      <c r="I723" s="68"/>
      <c r="J723" s="68"/>
      <c r="K723" s="32"/>
      <c r="L723" s="75"/>
      <c r="M723" s="75"/>
      <c r="N723" s="70"/>
      <c r="O723" t="s">
        <v>1569</v>
      </c>
      <c r="P723" s="76">
        <v>44958.809664351851</v>
      </c>
      <c r="Q723" t="s">
        <v>1817</v>
      </c>
      <c r="R72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3" t="s">
        <v>2285</v>
      </c>
      <c r="V723" s="77" t="str">
        <f>HYPERLINK("https://pbs.twimg.com/profile_images/1507467919931838470/CMjkSawQ_normal.jpg")</f>
        <v>https://pbs.twimg.com/profile_images/1507467919931838470/CMjkSawQ_normal.jpg</v>
      </c>
      <c r="W723" s="76">
        <v>44958.809664351851</v>
      </c>
      <c r="X723" s="80">
        <v>44958</v>
      </c>
      <c r="Y723" s="78" t="s">
        <v>2800</v>
      </c>
      <c r="Z723" s="77" t="str">
        <f>HYPERLINK("https://twitter.com/krem2/status/1620866051608088583")</f>
        <v>https://twitter.com/krem2/status/1620866051608088583</v>
      </c>
      <c r="AC723" s="78" t="s">
        <v>3852</v>
      </c>
      <c r="AE723" t="b">
        <v>0</v>
      </c>
      <c r="AF723">
        <v>0</v>
      </c>
      <c r="AG723" s="78" t="s">
        <v>4640</v>
      </c>
      <c r="AH723" t="b">
        <v>0</v>
      </c>
      <c r="AI723" t="s">
        <v>4829</v>
      </c>
      <c r="AK723" s="78" t="s">
        <v>4640</v>
      </c>
      <c r="AL723" t="b">
        <v>0</v>
      </c>
      <c r="AM723">
        <v>60</v>
      </c>
      <c r="AN723" s="78" t="s">
        <v>4360</v>
      </c>
      <c r="AO723" s="78" t="s">
        <v>4866</v>
      </c>
      <c r="AP723" t="b">
        <v>0</v>
      </c>
      <c r="AQ723" s="78" t="s">
        <v>4360</v>
      </c>
      <c r="AR723" t="s">
        <v>179</v>
      </c>
      <c r="AS723">
        <v>0</v>
      </c>
      <c r="AT723">
        <v>0</v>
      </c>
    </row>
    <row r="724" spans="1:46" x14ac:dyDescent="0.45">
      <c r="A724" s="62" t="s">
        <v>591</v>
      </c>
      <c r="B724" s="62" t="s">
        <v>242</v>
      </c>
      <c r="C724" s="63"/>
      <c r="D724" s="64"/>
      <c r="E724" s="65"/>
      <c r="F724" s="66"/>
      <c r="G724" s="63"/>
      <c r="H724" s="67"/>
      <c r="I724" s="68"/>
      <c r="J724" s="68"/>
      <c r="K724" s="32"/>
      <c r="L724" s="75"/>
      <c r="M724" s="75"/>
      <c r="N724" s="70"/>
      <c r="O724" t="s">
        <v>1570</v>
      </c>
      <c r="P724" s="76">
        <v>44958.809664351851</v>
      </c>
      <c r="Q724" t="s">
        <v>1817</v>
      </c>
      <c r="R72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4" t="s">
        <v>2285</v>
      </c>
      <c r="V724" s="77" t="str">
        <f>HYPERLINK("https://pbs.twimg.com/profile_images/1544291488607178752/EGHccxXS_normal.jpg")</f>
        <v>https://pbs.twimg.com/profile_images/1544291488607178752/EGHccxXS_normal.jpg</v>
      </c>
      <c r="W724" s="76">
        <v>44958.809664351851</v>
      </c>
      <c r="X724" s="80">
        <v>44958</v>
      </c>
      <c r="Y724" s="78" t="s">
        <v>2800</v>
      </c>
      <c r="Z724" s="77" t="str">
        <f>HYPERLINK("https://twitter.com/12newsnow/status/1620866051629088769")</f>
        <v>https://twitter.com/12newsnow/status/1620866051629088769</v>
      </c>
      <c r="AC724" s="78" t="s">
        <v>3853</v>
      </c>
      <c r="AE724" t="b">
        <v>0</v>
      </c>
      <c r="AF724">
        <v>0</v>
      </c>
      <c r="AG724" s="78" t="s">
        <v>4640</v>
      </c>
      <c r="AH724" t="b">
        <v>0</v>
      </c>
      <c r="AI724" t="s">
        <v>4829</v>
      </c>
      <c r="AK724" s="78" t="s">
        <v>4640</v>
      </c>
      <c r="AL724" t="b">
        <v>0</v>
      </c>
      <c r="AM724">
        <v>60</v>
      </c>
      <c r="AN724" s="78" t="s">
        <v>4360</v>
      </c>
      <c r="AO724" s="78" t="s">
        <v>4866</v>
      </c>
      <c r="AP724" t="b">
        <v>0</v>
      </c>
      <c r="AQ724" s="78" t="s">
        <v>4360</v>
      </c>
      <c r="AR724" t="s">
        <v>179</v>
      </c>
      <c r="AS724">
        <v>0</v>
      </c>
      <c r="AT724">
        <v>0</v>
      </c>
    </row>
    <row r="725" spans="1:46" x14ac:dyDescent="0.45">
      <c r="A725" s="62" t="s">
        <v>591</v>
      </c>
      <c r="B725" s="62" t="s">
        <v>1006</v>
      </c>
      <c r="C725" s="63"/>
      <c r="D725" s="64"/>
      <c r="E725" s="65"/>
      <c r="F725" s="66"/>
      <c r="G725" s="63"/>
      <c r="H725" s="67"/>
      <c r="I725" s="68"/>
      <c r="J725" s="68"/>
      <c r="K725" s="32"/>
      <c r="L725" s="75"/>
      <c r="M725" s="75"/>
      <c r="N725" s="70"/>
      <c r="O725" t="s">
        <v>1569</v>
      </c>
      <c r="P725" s="76">
        <v>44958.809664351851</v>
      </c>
      <c r="Q725" t="s">
        <v>1817</v>
      </c>
      <c r="R72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5" t="s">
        <v>2285</v>
      </c>
      <c r="V725" s="77" t="str">
        <f>HYPERLINK("https://pbs.twimg.com/profile_images/1544291488607178752/EGHccxXS_normal.jpg")</f>
        <v>https://pbs.twimg.com/profile_images/1544291488607178752/EGHccxXS_normal.jpg</v>
      </c>
      <c r="W725" s="76">
        <v>44958.809664351851</v>
      </c>
      <c r="X725" s="80">
        <v>44958</v>
      </c>
      <c r="Y725" s="78" t="s">
        <v>2800</v>
      </c>
      <c r="Z725" s="77" t="str">
        <f>HYPERLINK("https://twitter.com/12newsnow/status/1620866051629088769")</f>
        <v>https://twitter.com/12newsnow/status/1620866051629088769</v>
      </c>
      <c r="AC725" s="78" t="s">
        <v>3853</v>
      </c>
      <c r="AE725" t="b">
        <v>0</v>
      </c>
      <c r="AF725">
        <v>0</v>
      </c>
      <c r="AG725" s="78" t="s">
        <v>4640</v>
      </c>
      <c r="AH725" t="b">
        <v>0</v>
      </c>
      <c r="AI725" t="s">
        <v>4829</v>
      </c>
      <c r="AK725" s="78" t="s">
        <v>4640</v>
      </c>
      <c r="AL725" t="b">
        <v>0</v>
      </c>
      <c r="AM725">
        <v>60</v>
      </c>
      <c r="AN725" s="78" t="s">
        <v>4360</v>
      </c>
      <c r="AO725" s="78" t="s">
        <v>4866</v>
      </c>
      <c r="AP725" t="b">
        <v>0</v>
      </c>
      <c r="AQ725" s="78" t="s">
        <v>4360</v>
      </c>
      <c r="AR725" t="s">
        <v>179</v>
      </c>
      <c r="AS725">
        <v>0</v>
      </c>
      <c r="AT725">
        <v>0</v>
      </c>
    </row>
    <row r="726" spans="1:46" x14ac:dyDescent="0.45">
      <c r="A726" s="62" t="s">
        <v>592</v>
      </c>
      <c r="B726" s="62" t="s">
        <v>242</v>
      </c>
      <c r="C726" s="63"/>
      <c r="D726" s="64"/>
      <c r="E726" s="65"/>
      <c r="F726" s="66"/>
      <c r="G726" s="63"/>
      <c r="H726" s="67"/>
      <c r="I726" s="68"/>
      <c r="J726" s="68"/>
      <c r="K726" s="32"/>
      <c r="L726" s="75"/>
      <c r="M726" s="75"/>
      <c r="N726" s="70"/>
      <c r="O726" t="s">
        <v>1570</v>
      </c>
      <c r="P726" s="76">
        <v>44958.809664351851</v>
      </c>
      <c r="Q726" t="s">
        <v>1817</v>
      </c>
      <c r="R72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6" t="s">
        <v>2285</v>
      </c>
      <c r="V726" s="77" t="str">
        <f>HYPERLINK("https://pbs.twimg.com/profile_images/1607815719391043593/ovQEQTys_normal.jpg")</f>
        <v>https://pbs.twimg.com/profile_images/1607815719391043593/ovQEQTys_normal.jpg</v>
      </c>
      <c r="W726" s="76">
        <v>44958.809664351851</v>
      </c>
      <c r="X726" s="80">
        <v>44958</v>
      </c>
      <c r="Y726" s="78" t="s">
        <v>2800</v>
      </c>
      <c r="Z726" s="77" t="str">
        <f>HYPERLINK("https://twitter.com/kytxcbs19/status/1620866051645775872")</f>
        <v>https://twitter.com/kytxcbs19/status/1620866051645775872</v>
      </c>
      <c r="AC726" s="78" t="s">
        <v>3854</v>
      </c>
      <c r="AE726" t="b">
        <v>0</v>
      </c>
      <c r="AF726">
        <v>0</v>
      </c>
      <c r="AG726" s="78" t="s">
        <v>4640</v>
      </c>
      <c r="AH726" t="b">
        <v>0</v>
      </c>
      <c r="AI726" t="s">
        <v>4829</v>
      </c>
      <c r="AK726" s="78" t="s">
        <v>4640</v>
      </c>
      <c r="AL726" t="b">
        <v>0</v>
      </c>
      <c r="AM726">
        <v>60</v>
      </c>
      <c r="AN726" s="78" t="s">
        <v>4360</v>
      </c>
      <c r="AO726" s="78" t="s">
        <v>4866</v>
      </c>
      <c r="AP726" t="b">
        <v>0</v>
      </c>
      <c r="AQ726" s="78" t="s">
        <v>4360</v>
      </c>
      <c r="AR726" t="s">
        <v>179</v>
      </c>
      <c r="AS726">
        <v>0</v>
      </c>
      <c r="AT726">
        <v>0</v>
      </c>
    </row>
    <row r="727" spans="1:46" x14ac:dyDescent="0.45">
      <c r="A727" s="62" t="s">
        <v>592</v>
      </c>
      <c r="B727" s="62" t="s">
        <v>1006</v>
      </c>
      <c r="C727" s="63"/>
      <c r="D727" s="64"/>
      <c r="E727" s="65"/>
      <c r="F727" s="66"/>
      <c r="G727" s="63"/>
      <c r="H727" s="67"/>
      <c r="I727" s="68"/>
      <c r="J727" s="68"/>
      <c r="K727" s="32"/>
      <c r="L727" s="75"/>
      <c r="M727" s="75"/>
      <c r="N727" s="70"/>
      <c r="O727" t="s">
        <v>1569</v>
      </c>
      <c r="P727" s="76">
        <v>44958.809664351851</v>
      </c>
      <c r="Q727" t="s">
        <v>1817</v>
      </c>
      <c r="R72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7" t="s">
        <v>2285</v>
      </c>
      <c r="V727" s="77" t="str">
        <f>HYPERLINK("https://pbs.twimg.com/profile_images/1607815719391043593/ovQEQTys_normal.jpg")</f>
        <v>https://pbs.twimg.com/profile_images/1607815719391043593/ovQEQTys_normal.jpg</v>
      </c>
      <c r="W727" s="76">
        <v>44958.809664351851</v>
      </c>
      <c r="X727" s="80">
        <v>44958</v>
      </c>
      <c r="Y727" s="78" t="s">
        <v>2800</v>
      </c>
      <c r="Z727" s="77" t="str">
        <f>HYPERLINK("https://twitter.com/kytxcbs19/status/1620866051645775872")</f>
        <v>https://twitter.com/kytxcbs19/status/1620866051645775872</v>
      </c>
      <c r="AC727" s="78" t="s">
        <v>3854</v>
      </c>
      <c r="AE727" t="b">
        <v>0</v>
      </c>
      <c r="AF727">
        <v>0</v>
      </c>
      <c r="AG727" s="78" t="s">
        <v>4640</v>
      </c>
      <c r="AH727" t="b">
        <v>0</v>
      </c>
      <c r="AI727" t="s">
        <v>4829</v>
      </c>
      <c r="AK727" s="78" t="s">
        <v>4640</v>
      </c>
      <c r="AL727" t="b">
        <v>0</v>
      </c>
      <c r="AM727">
        <v>60</v>
      </c>
      <c r="AN727" s="78" t="s">
        <v>4360</v>
      </c>
      <c r="AO727" s="78" t="s">
        <v>4866</v>
      </c>
      <c r="AP727" t="b">
        <v>0</v>
      </c>
      <c r="AQ727" s="78" t="s">
        <v>4360</v>
      </c>
      <c r="AR727" t="s">
        <v>179</v>
      </c>
      <c r="AS727">
        <v>0</v>
      </c>
      <c r="AT727">
        <v>0</v>
      </c>
    </row>
    <row r="728" spans="1:46" x14ac:dyDescent="0.45">
      <c r="A728" s="62" t="s">
        <v>593</v>
      </c>
      <c r="B728" s="62" t="s">
        <v>242</v>
      </c>
      <c r="C728" s="63"/>
      <c r="D728" s="64"/>
      <c r="E728" s="65"/>
      <c r="F728" s="66"/>
      <c r="G728" s="63"/>
      <c r="H728" s="67"/>
      <c r="I728" s="68"/>
      <c r="J728" s="68"/>
      <c r="K728" s="32"/>
      <c r="L728" s="75"/>
      <c r="M728" s="75"/>
      <c r="N728" s="70"/>
      <c r="O728" t="s">
        <v>1570</v>
      </c>
      <c r="P728" s="76">
        <v>44958.809664351851</v>
      </c>
      <c r="Q728" t="s">
        <v>1817</v>
      </c>
      <c r="R72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8" t="s">
        <v>2285</v>
      </c>
      <c r="V728" s="77" t="str">
        <f>HYPERLINK("https://pbs.twimg.com/profile_images/1430936085404729344/HLHv3APY_normal.jpg")</f>
        <v>https://pbs.twimg.com/profile_images/1430936085404729344/HLHv3APY_normal.jpg</v>
      </c>
      <c r="W728" s="76">
        <v>44958.809664351851</v>
      </c>
      <c r="X728" s="80">
        <v>44958</v>
      </c>
      <c r="Y728" s="78" t="s">
        <v>2800</v>
      </c>
      <c r="Z728" s="77" t="str">
        <f>HYPERLINK("https://twitter.com/kagsnews/status/1620866051704504321")</f>
        <v>https://twitter.com/kagsnews/status/1620866051704504321</v>
      </c>
      <c r="AC728" s="78" t="s">
        <v>3855</v>
      </c>
      <c r="AE728" t="b">
        <v>0</v>
      </c>
      <c r="AF728">
        <v>0</v>
      </c>
      <c r="AG728" s="78" t="s">
        <v>4640</v>
      </c>
      <c r="AH728" t="b">
        <v>0</v>
      </c>
      <c r="AI728" t="s">
        <v>4829</v>
      </c>
      <c r="AK728" s="78" t="s">
        <v>4640</v>
      </c>
      <c r="AL728" t="b">
        <v>0</v>
      </c>
      <c r="AM728">
        <v>60</v>
      </c>
      <c r="AN728" s="78" t="s">
        <v>4360</v>
      </c>
      <c r="AO728" s="78" t="s">
        <v>4866</v>
      </c>
      <c r="AP728" t="b">
        <v>0</v>
      </c>
      <c r="AQ728" s="78" t="s">
        <v>4360</v>
      </c>
      <c r="AR728" t="s">
        <v>179</v>
      </c>
      <c r="AS728">
        <v>0</v>
      </c>
      <c r="AT728">
        <v>0</v>
      </c>
    </row>
    <row r="729" spans="1:46" x14ac:dyDescent="0.45">
      <c r="A729" s="62" t="s">
        <v>593</v>
      </c>
      <c r="B729" s="62" t="s">
        <v>1006</v>
      </c>
      <c r="C729" s="63"/>
      <c r="D729" s="64"/>
      <c r="E729" s="65"/>
      <c r="F729" s="66"/>
      <c r="G729" s="63"/>
      <c r="H729" s="67"/>
      <c r="I729" s="68"/>
      <c r="J729" s="68"/>
      <c r="K729" s="32"/>
      <c r="L729" s="75"/>
      <c r="M729" s="75"/>
      <c r="N729" s="70"/>
      <c r="O729" t="s">
        <v>1569</v>
      </c>
      <c r="P729" s="76">
        <v>44958.809664351851</v>
      </c>
      <c r="Q729" t="s">
        <v>1817</v>
      </c>
      <c r="R72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29" t="s">
        <v>2285</v>
      </c>
      <c r="V729" s="77" t="str">
        <f>HYPERLINK("https://pbs.twimg.com/profile_images/1430936085404729344/HLHv3APY_normal.jpg")</f>
        <v>https://pbs.twimg.com/profile_images/1430936085404729344/HLHv3APY_normal.jpg</v>
      </c>
      <c r="W729" s="76">
        <v>44958.809664351851</v>
      </c>
      <c r="X729" s="80">
        <v>44958</v>
      </c>
      <c r="Y729" s="78" t="s">
        <v>2800</v>
      </c>
      <c r="Z729" s="77" t="str">
        <f>HYPERLINK("https://twitter.com/kagsnews/status/1620866051704504321")</f>
        <v>https://twitter.com/kagsnews/status/1620866051704504321</v>
      </c>
      <c r="AC729" s="78" t="s">
        <v>3855</v>
      </c>
      <c r="AE729" t="b">
        <v>0</v>
      </c>
      <c r="AF729">
        <v>0</v>
      </c>
      <c r="AG729" s="78" t="s">
        <v>4640</v>
      </c>
      <c r="AH729" t="b">
        <v>0</v>
      </c>
      <c r="AI729" t="s">
        <v>4829</v>
      </c>
      <c r="AK729" s="78" t="s">
        <v>4640</v>
      </c>
      <c r="AL729" t="b">
        <v>0</v>
      </c>
      <c r="AM729">
        <v>60</v>
      </c>
      <c r="AN729" s="78" t="s">
        <v>4360</v>
      </c>
      <c r="AO729" s="78" t="s">
        <v>4866</v>
      </c>
      <c r="AP729" t="b">
        <v>0</v>
      </c>
      <c r="AQ729" s="78" t="s">
        <v>4360</v>
      </c>
      <c r="AR729" t="s">
        <v>179</v>
      </c>
      <c r="AS729">
        <v>0</v>
      </c>
      <c r="AT729">
        <v>0</v>
      </c>
    </row>
    <row r="730" spans="1:46" x14ac:dyDescent="0.45">
      <c r="A730" s="62" t="s">
        <v>594</v>
      </c>
      <c r="B730" s="62" t="s">
        <v>242</v>
      </c>
      <c r="C730" s="63"/>
      <c r="D730" s="64"/>
      <c r="E730" s="65"/>
      <c r="F730" s="66"/>
      <c r="G730" s="63"/>
      <c r="H730" s="67"/>
      <c r="I730" s="68"/>
      <c r="J730" s="68"/>
      <c r="K730" s="32"/>
      <c r="L730" s="75"/>
      <c r="M730" s="75"/>
      <c r="N730" s="70"/>
      <c r="O730" t="s">
        <v>1570</v>
      </c>
      <c r="P730" s="76">
        <v>44958.809664351851</v>
      </c>
      <c r="Q730" t="s">
        <v>1817</v>
      </c>
      <c r="R73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0" t="s">
        <v>2285</v>
      </c>
      <c r="V730" s="77" t="str">
        <f>HYPERLINK("https://pbs.twimg.com/profile_images/1095051798614822914/obPxDgCM_normal.jpg")</f>
        <v>https://pbs.twimg.com/profile_images/1095051798614822914/obPxDgCM_normal.jpg</v>
      </c>
      <c r="W730" s="76">
        <v>44958.809664351851</v>
      </c>
      <c r="X730" s="80">
        <v>44958</v>
      </c>
      <c r="Y730" s="78" t="s">
        <v>2800</v>
      </c>
      <c r="Z730" s="77" t="str">
        <f>HYPERLINK("https://twitter.com/wgrz/status/1620866051704590337")</f>
        <v>https://twitter.com/wgrz/status/1620866051704590337</v>
      </c>
      <c r="AC730" s="78" t="s">
        <v>3856</v>
      </c>
      <c r="AE730" t="b">
        <v>0</v>
      </c>
      <c r="AF730">
        <v>0</v>
      </c>
      <c r="AG730" s="78" t="s">
        <v>4640</v>
      </c>
      <c r="AH730" t="b">
        <v>0</v>
      </c>
      <c r="AI730" t="s">
        <v>4829</v>
      </c>
      <c r="AK730" s="78" t="s">
        <v>4640</v>
      </c>
      <c r="AL730" t="b">
        <v>0</v>
      </c>
      <c r="AM730">
        <v>60</v>
      </c>
      <c r="AN730" s="78" t="s">
        <v>4360</v>
      </c>
      <c r="AO730" s="78" t="s">
        <v>4866</v>
      </c>
      <c r="AP730" t="b">
        <v>0</v>
      </c>
      <c r="AQ730" s="78" t="s">
        <v>4360</v>
      </c>
      <c r="AR730" t="s">
        <v>179</v>
      </c>
      <c r="AS730">
        <v>0</v>
      </c>
      <c r="AT730">
        <v>0</v>
      </c>
    </row>
    <row r="731" spans="1:46" x14ac:dyDescent="0.45">
      <c r="A731" s="62" t="s">
        <v>594</v>
      </c>
      <c r="B731" s="62" t="s">
        <v>1006</v>
      </c>
      <c r="C731" s="63"/>
      <c r="D731" s="64"/>
      <c r="E731" s="65"/>
      <c r="F731" s="66"/>
      <c r="G731" s="63"/>
      <c r="H731" s="67"/>
      <c r="I731" s="68"/>
      <c r="J731" s="68"/>
      <c r="K731" s="32"/>
      <c r="L731" s="75"/>
      <c r="M731" s="75"/>
      <c r="N731" s="70"/>
      <c r="O731" t="s">
        <v>1569</v>
      </c>
      <c r="P731" s="76">
        <v>44958.809664351851</v>
      </c>
      <c r="Q731" t="s">
        <v>1817</v>
      </c>
      <c r="R73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1" t="s">
        <v>2285</v>
      </c>
      <c r="V731" s="77" t="str">
        <f>HYPERLINK("https://pbs.twimg.com/profile_images/1095051798614822914/obPxDgCM_normal.jpg")</f>
        <v>https://pbs.twimg.com/profile_images/1095051798614822914/obPxDgCM_normal.jpg</v>
      </c>
      <c r="W731" s="76">
        <v>44958.809664351851</v>
      </c>
      <c r="X731" s="80">
        <v>44958</v>
      </c>
      <c r="Y731" s="78" t="s">
        <v>2800</v>
      </c>
      <c r="Z731" s="77" t="str">
        <f>HYPERLINK("https://twitter.com/wgrz/status/1620866051704590337")</f>
        <v>https://twitter.com/wgrz/status/1620866051704590337</v>
      </c>
      <c r="AC731" s="78" t="s">
        <v>3856</v>
      </c>
      <c r="AE731" t="b">
        <v>0</v>
      </c>
      <c r="AF731">
        <v>0</v>
      </c>
      <c r="AG731" s="78" t="s">
        <v>4640</v>
      </c>
      <c r="AH731" t="b">
        <v>0</v>
      </c>
      <c r="AI731" t="s">
        <v>4829</v>
      </c>
      <c r="AK731" s="78" t="s">
        <v>4640</v>
      </c>
      <c r="AL731" t="b">
        <v>0</v>
      </c>
      <c r="AM731">
        <v>60</v>
      </c>
      <c r="AN731" s="78" t="s">
        <v>4360</v>
      </c>
      <c r="AO731" s="78" t="s">
        <v>4866</v>
      </c>
      <c r="AP731" t="b">
        <v>0</v>
      </c>
      <c r="AQ731" s="78" t="s">
        <v>4360</v>
      </c>
      <c r="AR731" t="s">
        <v>179</v>
      </c>
      <c r="AS731">
        <v>0</v>
      </c>
      <c r="AT731">
        <v>0</v>
      </c>
    </row>
    <row r="732" spans="1:46" x14ac:dyDescent="0.45">
      <c r="A732" s="62" t="s">
        <v>595</v>
      </c>
      <c r="B732" s="62" t="s">
        <v>242</v>
      </c>
      <c r="C732" s="63"/>
      <c r="D732" s="64"/>
      <c r="E732" s="65"/>
      <c r="F732" s="66"/>
      <c r="G732" s="63"/>
      <c r="H732" s="67"/>
      <c r="I732" s="68"/>
      <c r="J732" s="68"/>
      <c r="K732" s="32"/>
      <c r="L732" s="75"/>
      <c r="M732" s="75"/>
      <c r="N732" s="70"/>
      <c r="O732" t="s">
        <v>1570</v>
      </c>
      <c r="P732" s="76">
        <v>44958.809664351851</v>
      </c>
      <c r="Q732" t="s">
        <v>1817</v>
      </c>
      <c r="R73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2" t="s">
        <v>2285</v>
      </c>
      <c r="V732" s="77" t="str">
        <f>HYPERLINK("https://pbs.twimg.com/profile_images/786718413838127104/1-AHEPaH_normal.jpg")</f>
        <v>https://pbs.twimg.com/profile_images/786718413838127104/1-AHEPaH_normal.jpg</v>
      </c>
      <c r="W732" s="76">
        <v>44958.809664351851</v>
      </c>
      <c r="X732" s="80">
        <v>44958</v>
      </c>
      <c r="Y732" s="78" t="s">
        <v>2800</v>
      </c>
      <c r="Z732" s="77" t="str">
        <f>HYPERLINK("https://twitter.com/king5seattle/status/1620866051738112004")</f>
        <v>https://twitter.com/king5seattle/status/1620866051738112004</v>
      </c>
      <c r="AC732" s="78" t="s">
        <v>3857</v>
      </c>
      <c r="AE732" t="b">
        <v>0</v>
      </c>
      <c r="AF732">
        <v>0</v>
      </c>
      <c r="AG732" s="78" t="s">
        <v>4640</v>
      </c>
      <c r="AH732" t="b">
        <v>0</v>
      </c>
      <c r="AI732" t="s">
        <v>4829</v>
      </c>
      <c r="AK732" s="78" t="s">
        <v>4640</v>
      </c>
      <c r="AL732" t="b">
        <v>0</v>
      </c>
      <c r="AM732">
        <v>60</v>
      </c>
      <c r="AN732" s="78" t="s">
        <v>4360</v>
      </c>
      <c r="AO732" s="78" t="s">
        <v>4866</v>
      </c>
      <c r="AP732" t="b">
        <v>0</v>
      </c>
      <c r="AQ732" s="78" t="s">
        <v>4360</v>
      </c>
      <c r="AR732" t="s">
        <v>179</v>
      </c>
      <c r="AS732">
        <v>0</v>
      </c>
      <c r="AT732">
        <v>0</v>
      </c>
    </row>
    <row r="733" spans="1:46" x14ac:dyDescent="0.45">
      <c r="A733" s="62" t="s">
        <v>595</v>
      </c>
      <c r="B733" s="62" t="s">
        <v>1006</v>
      </c>
      <c r="C733" s="63"/>
      <c r="D733" s="64"/>
      <c r="E733" s="65"/>
      <c r="F733" s="66"/>
      <c r="G733" s="63"/>
      <c r="H733" s="67"/>
      <c r="I733" s="68"/>
      <c r="J733" s="68"/>
      <c r="K733" s="32"/>
      <c r="L733" s="75"/>
      <c r="M733" s="75"/>
      <c r="N733" s="70"/>
      <c r="O733" t="s">
        <v>1569</v>
      </c>
      <c r="P733" s="76">
        <v>44958.809664351851</v>
      </c>
      <c r="Q733" t="s">
        <v>1817</v>
      </c>
      <c r="R73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3" t="s">
        <v>2285</v>
      </c>
      <c r="V733" s="77" t="str">
        <f>HYPERLINK("https://pbs.twimg.com/profile_images/786718413838127104/1-AHEPaH_normal.jpg")</f>
        <v>https://pbs.twimg.com/profile_images/786718413838127104/1-AHEPaH_normal.jpg</v>
      </c>
      <c r="W733" s="76">
        <v>44958.809664351851</v>
      </c>
      <c r="X733" s="80">
        <v>44958</v>
      </c>
      <c r="Y733" s="78" t="s">
        <v>2800</v>
      </c>
      <c r="Z733" s="77" t="str">
        <f>HYPERLINK("https://twitter.com/king5seattle/status/1620866051738112004")</f>
        <v>https://twitter.com/king5seattle/status/1620866051738112004</v>
      </c>
      <c r="AC733" s="78" t="s">
        <v>3857</v>
      </c>
      <c r="AE733" t="b">
        <v>0</v>
      </c>
      <c r="AF733">
        <v>0</v>
      </c>
      <c r="AG733" s="78" t="s">
        <v>4640</v>
      </c>
      <c r="AH733" t="b">
        <v>0</v>
      </c>
      <c r="AI733" t="s">
        <v>4829</v>
      </c>
      <c r="AK733" s="78" t="s">
        <v>4640</v>
      </c>
      <c r="AL733" t="b">
        <v>0</v>
      </c>
      <c r="AM733">
        <v>60</v>
      </c>
      <c r="AN733" s="78" t="s">
        <v>4360</v>
      </c>
      <c r="AO733" s="78" t="s">
        <v>4866</v>
      </c>
      <c r="AP733" t="b">
        <v>0</v>
      </c>
      <c r="AQ733" s="78" t="s">
        <v>4360</v>
      </c>
      <c r="AR733" t="s">
        <v>179</v>
      </c>
      <c r="AS733">
        <v>0</v>
      </c>
      <c r="AT733">
        <v>0</v>
      </c>
    </row>
    <row r="734" spans="1:46" x14ac:dyDescent="0.45">
      <c r="A734" s="62" t="s">
        <v>596</v>
      </c>
      <c r="B734" s="62" t="s">
        <v>242</v>
      </c>
      <c r="C734" s="63"/>
      <c r="D734" s="64"/>
      <c r="E734" s="65"/>
      <c r="F734" s="66"/>
      <c r="G734" s="63"/>
      <c r="H734" s="67"/>
      <c r="I734" s="68"/>
      <c r="J734" s="68"/>
      <c r="K734" s="32"/>
      <c r="L734" s="75"/>
      <c r="M734" s="75"/>
      <c r="N734" s="70"/>
      <c r="O734" t="s">
        <v>1570</v>
      </c>
      <c r="P734" s="76">
        <v>44958.809664351851</v>
      </c>
      <c r="Q734" t="s">
        <v>1817</v>
      </c>
      <c r="R73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4" t="s">
        <v>2285</v>
      </c>
      <c r="V734" s="77" t="str">
        <f>HYPERLINK("https://pbs.twimg.com/profile_images/1567429898955808768/-SXZPYVH_normal.png")</f>
        <v>https://pbs.twimg.com/profile_images/1567429898955808768/-SXZPYVH_normal.png</v>
      </c>
      <c r="W734" s="76">
        <v>44958.809664351851</v>
      </c>
      <c r="X734" s="80">
        <v>44958</v>
      </c>
      <c r="Y734" s="78" t="s">
        <v>2800</v>
      </c>
      <c r="Z734" s="77" t="str">
        <f>HYPERLINK("https://twitter.com/wwltv/status/1620866051738148866")</f>
        <v>https://twitter.com/wwltv/status/1620866051738148866</v>
      </c>
      <c r="AC734" s="78" t="s">
        <v>3858</v>
      </c>
      <c r="AE734" t="b">
        <v>0</v>
      </c>
      <c r="AF734">
        <v>0</v>
      </c>
      <c r="AG734" s="78" t="s">
        <v>4640</v>
      </c>
      <c r="AH734" t="b">
        <v>0</v>
      </c>
      <c r="AI734" t="s">
        <v>4829</v>
      </c>
      <c r="AK734" s="78" t="s">
        <v>4640</v>
      </c>
      <c r="AL734" t="b">
        <v>0</v>
      </c>
      <c r="AM734">
        <v>60</v>
      </c>
      <c r="AN734" s="78" t="s">
        <v>4360</v>
      </c>
      <c r="AO734" s="78" t="s">
        <v>4866</v>
      </c>
      <c r="AP734" t="b">
        <v>0</v>
      </c>
      <c r="AQ734" s="78" t="s">
        <v>4360</v>
      </c>
      <c r="AR734" t="s">
        <v>179</v>
      </c>
      <c r="AS734">
        <v>0</v>
      </c>
      <c r="AT734">
        <v>0</v>
      </c>
    </row>
    <row r="735" spans="1:46" x14ac:dyDescent="0.45">
      <c r="A735" s="62" t="s">
        <v>596</v>
      </c>
      <c r="B735" s="62" t="s">
        <v>1006</v>
      </c>
      <c r="C735" s="63"/>
      <c r="D735" s="64"/>
      <c r="E735" s="65"/>
      <c r="F735" s="66"/>
      <c r="G735" s="63"/>
      <c r="H735" s="67"/>
      <c r="I735" s="68"/>
      <c r="J735" s="68"/>
      <c r="K735" s="32"/>
      <c r="L735" s="75"/>
      <c r="M735" s="75"/>
      <c r="N735" s="70"/>
      <c r="O735" t="s">
        <v>1569</v>
      </c>
      <c r="P735" s="76">
        <v>44958.809664351851</v>
      </c>
      <c r="Q735" t="s">
        <v>1817</v>
      </c>
      <c r="R73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5" t="s">
        <v>2285</v>
      </c>
      <c r="V735" s="77" t="str">
        <f>HYPERLINK("https://pbs.twimg.com/profile_images/1567429898955808768/-SXZPYVH_normal.png")</f>
        <v>https://pbs.twimg.com/profile_images/1567429898955808768/-SXZPYVH_normal.png</v>
      </c>
      <c r="W735" s="76">
        <v>44958.809664351851</v>
      </c>
      <c r="X735" s="80">
        <v>44958</v>
      </c>
      <c r="Y735" s="78" t="s">
        <v>2800</v>
      </c>
      <c r="Z735" s="77" t="str">
        <f>HYPERLINK("https://twitter.com/wwltv/status/1620866051738148866")</f>
        <v>https://twitter.com/wwltv/status/1620866051738148866</v>
      </c>
      <c r="AC735" s="78" t="s">
        <v>3858</v>
      </c>
      <c r="AE735" t="b">
        <v>0</v>
      </c>
      <c r="AF735">
        <v>0</v>
      </c>
      <c r="AG735" s="78" t="s">
        <v>4640</v>
      </c>
      <c r="AH735" t="b">
        <v>0</v>
      </c>
      <c r="AI735" t="s">
        <v>4829</v>
      </c>
      <c r="AK735" s="78" t="s">
        <v>4640</v>
      </c>
      <c r="AL735" t="b">
        <v>0</v>
      </c>
      <c r="AM735">
        <v>60</v>
      </c>
      <c r="AN735" s="78" t="s">
        <v>4360</v>
      </c>
      <c r="AO735" s="78" t="s">
        <v>4866</v>
      </c>
      <c r="AP735" t="b">
        <v>0</v>
      </c>
      <c r="AQ735" s="78" t="s">
        <v>4360</v>
      </c>
      <c r="AR735" t="s">
        <v>179</v>
      </c>
      <c r="AS735">
        <v>0</v>
      </c>
      <c r="AT735">
        <v>0</v>
      </c>
    </row>
    <row r="736" spans="1:46" x14ac:dyDescent="0.45">
      <c r="A736" s="62" t="s">
        <v>597</v>
      </c>
      <c r="B736" s="62" t="s">
        <v>242</v>
      </c>
      <c r="C736" s="63"/>
      <c r="D736" s="64"/>
      <c r="E736" s="65"/>
      <c r="F736" s="66"/>
      <c r="G736" s="63"/>
      <c r="H736" s="67"/>
      <c r="I736" s="68"/>
      <c r="J736" s="68"/>
      <c r="K736" s="32"/>
      <c r="L736" s="75"/>
      <c r="M736" s="75"/>
      <c r="N736" s="70"/>
      <c r="O736" t="s">
        <v>1570</v>
      </c>
      <c r="P736" s="76">
        <v>44958.809664351851</v>
      </c>
      <c r="Q736" t="s">
        <v>1817</v>
      </c>
      <c r="R73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6" t="s">
        <v>2285</v>
      </c>
      <c r="V736" s="77" t="str">
        <f>HYPERLINK("https://pbs.twimg.com/profile_images/1345928858651021313/RfkWQG-o_normal.jpg")</f>
        <v>https://pbs.twimg.com/profile_images/1345928858651021313/RfkWQG-o_normal.jpg</v>
      </c>
      <c r="W736" s="76">
        <v>44958.809664351851</v>
      </c>
      <c r="X736" s="80">
        <v>44958</v>
      </c>
      <c r="Y736" s="78" t="s">
        <v>2800</v>
      </c>
      <c r="Z736" s="77" t="str">
        <f>HYPERLINK("https://twitter.com/kens5/status/1620866051746500609")</f>
        <v>https://twitter.com/kens5/status/1620866051746500609</v>
      </c>
      <c r="AC736" s="78" t="s">
        <v>3859</v>
      </c>
      <c r="AE736" t="b">
        <v>0</v>
      </c>
      <c r="AF736">
        <v>0</v>
      </c>
      <c r="AG736" s="78" t="s">
        <v>4640</v>
      </c>
      <c r="AH736" t="b">
        <v>0</v>
      </c>
      <c r="AI736" t="s">
        <v>4829</v>
      </c>
      <c r="AK736" s="78" t="s">
        <v>4640</v>
      </c>
      <c r="AL736" t="b">
        <v>0</v>
      </c>
      <c r="AM736">
        <v>60</v>
      </c>
      <c r="AN736" s="78" t="s">
        <v>4360</v>
      </c>
      <c r="AO736" s="78" t="s">
        <v>4866</v>
      </c>
      <c r="AP736" t="b">
        <v>0</v>
      </c>
      <c r="AQ736" s="78" t="s">
        <v>4360</v>
      </c>
      <c r="AR736" t="s">
        <v>179</v>
      </c>
      <c r="AS736">
        <v>0</v>
      </c>
      <c r="AT736">
        <v>0</v>
      </c>
    </row>
    <row r="737" spans="1:46" x14ac:dyDescent="0.45">
      <c r="A737" s="62" t="s">
        <v>597</v>
      </c>
      <c r="B737" s="62" t="s">
        <v>1006</v>
      </c>
      <c r="C737" s="63"/>
      <c r="D737" s="64"/>
      <c r="E737" s="65"/>
      <c r="F737" s="66"/>
      <c r="G737" s="63"/>
      <c r="H737" s="67"/>
      <c r="I737" s="68"/>
      <c r="J737" s="68"/>
      <c r="K737" s="32"/>
      <c r="L737" s="75"/>
      <c r="M737" s="75"/>
      <c r="N737" s="70"/>
      <c r="O737" t="s">
        <v>1569</v>
      </c>
      <c r="P737" s="76">
        <v>44958.809664351851</v>
      </c>
      <c r="Q737" t="s">
        <v>1817</v>
      </c>
      <c r="R73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7" t="s">
        <v>2285</v>
      </c>
      <c r="V737" s="77" t="str">
        <f>HYPERLINK("https://pbs.twimg.com/profile_images/1345928858651021313/RfkWQG-o_normal.jpg")</f>
        <v>https://pbs.twimg.com/profile_images/1345928858651021313/RfkWQG-o_normal.jpg</v>
      </c>
      <c r="W737" s="76">
        <v>44958.809664351851</v>
      </c>
      <c r="X737" s="80">
        <v>44958</v>
      </c>
      <c r="Y737" s="78" t="s">
        <v>2800</v>
      </c>
      <c r="Z737" s="77" t="str">
        <f>HYPERLINK("https://twitter.com/kens5/status/1620866051746500609")</f>
        <v>https://twitter.com/kens5/status/1620866051746500609</v>
      </c>
      <c r="AC737" s="78" t="s">
        <v>3859</v>
      </c>
      <c r="AE737" t="b">
        <v>0</v>
      </c>
      <c r="AF737">
        <v>0</v>
      </c>
      <c r="AG737" s="78" t="s">
        <v>4640</v>
      </c>
      <c r="AH737" t="b">
        <v>0</v>
      </c>
      <c r="AI737" t="s">
        <v>4829</v>
      </c>
      <c r="AK737" s="78" t="s">
        <v>4640</v>
      </c>
      <c r="AL737" t="b">
        <v>0</v>
      </c>
      <c r="AM737">
        <v>60</v>
      </c>
      <c r="AN737" s="78" t="s">
        <v>4360</v>
      </c>
      <c r="AO737" s="78" t="s">
        <v>4866</v>
      </c>
      <c r="AP737" t="b">
        <v>0</v>
      </c>
      <c r="AQ737" s="78" t="s">
        <v>4360</v>
      </c>
      <c r="AR737" t="s">
        <v>179</v>
      </c>
      <c r="AS737">
        <v>0</v>
      </c>
      <c r="AT737">
        <v>0</v>
      </c>
    </row>
    <row r="738" spans="1:46" x14ac:dyDescent="0.45">
      <c r="A738" s="62" t="s">
        <v>598</v>
      </c>
      <c r="B738" s="62" t="s">
        <v>242</v>
      </c>
      <c r="C738" s="63"/>
      <c r="D738" s="64"/>
      <c r="E738" s="65"/>
      <c r="F738" s="66"/>
      <c r="G738" s="63"/>
      <c r="H738" s="67"/>
      <c r="I738" s="68"/>
      <c r="J738" s="68"/>
      <c r="K738" s="32"/>
      <c r="L738" s="75"/>
      <c r="M738" s="75"/>
      <c r="N738" s="70"/>
      <c r="O738" t="s">
        <v>1570</v>
      </c>
      <c r="P738" s="76">
        <v>44958.809664351851</v>
      </c>
      <c r="Q738" t="s">
        <v>1817</v>
      </c>
      <c r="R73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8" t="s">
        <v>2285</v>
      </c>
      <c r="V738" s="77" t="str">
        <f>HYPERLINK("https://pbs.twimg.com/profile_images/1245814234782588928/c_5V2Ljf_normal.jpg")</f>
        <v>https://pbs.twimg.com/profile_images/1245814234782588928/c_5V2Ljf_normal.jpg</v>
      </c>
      <c r="W738" s="76">
        <v>44958.809664351851</v>
      </c>
      <c r="X738" s="80">
        <v>44958</v>
      </c>
      <c r="Y738" s="78" t="s">
        <v>2800</v>
      </c>
      <c r="Z738" s="77" t="str">
        <f>HYPERLINK("https://twitter.com/10tv/status/1620866051771715584")</f>
        <v>https://twitter.com/10tv/status/1620866051771715584</v>
      </c>
      <c r="AC738" s="78" t="s">
        <v>3860</v>
      </c>
      <c r="AE738" t="b">
        <v>0</v>
      </c>
      <c r="AF738">
        <v>0</v>
      </c>
      <c r="AG738" s="78" t="s">
        <v>4640</v>
      </c>
      <c r="AH738" t="b">
        <v>0</v>
      </c>
      <c r="AI738" t="s">
        <v>4829</v>
      </c>
      <c r="AK738" s="78" t="s">
        <v>4640</v>
      </c>
      <c r="AL738" t="b">
        <v>0</v>
      </c>
      <c r="AM738">
        <v>60</v>
      </c>
      <c r="AN738" s="78" t="s">
        <v>4360</v>
      </c>
      <c r="AO738" s="78" t="s">
        <v>4866</v>
      </c>
      <c r="AP738" t="b">
        <v>0</v>
      </c>
      <c r="AQ738" s="78" t="s">
        <v>4360</v>
      </c>
      <c r="AR738" t="s">
        <v>179</v>
      </c>
      <c r="AS738">
        <v>0</v>
      </c>
      <c r="AT738">
        <v>0</v>
      </c>
    </row>
    <row r="739" spans="1:46" x14ac:dyDescent="0.45">
      <c r="A739" s="62" t="s">
        <v>598</v>
      </c>
      <c r="B739" s="62" t="s">
        <v>1006</v>
      </c>
      <c r="C739" s="63"/>
      <c r="D739" s="64"/>
      <c r="E739" s="65"/>
      <c r="F739" s="66"/>
      <c r="G739" s="63"/>
      <c r="H739" s="67"/>
      <c r="I739" s="68"/>
      <c r="J739" s="68"/>
      <c r="K739" s="32"/>
      <c r="L739" s="75"/>
      <c r="M739" s="75"/>
      <c r="N739" s="70"/>
      <c r="O739" t="s">
        <v>1569</v>
      </c>
      <c r="P739" s="76">
        <v>44958.809664351851</v>
      </c>
      <c r="Q739" t="s">
        <v>1817</v>
      </c>
      <c r="R73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39" t="s">
        <v>2285</v>
      </c>
      <c r="V739" s="77" t="str">
        <f>HYPERLINK("https://pbs.twimg.com/profile_images/1245814234782588928/c_5V2Ljf_normal.jpg")</f>
        <v>https://pbs.twimg.com/profile_images/1245814234782588928/c_5V2Ljf_normal.jpg</v>
      </c>
      <c r="W739" s="76">
        <v>44958.809664351851</v>
      </c>
      <c r="X739" s="80">
        <v>44958</v>
      </c>
      <c r="Y739" s="78" t="s">
        <v>2800</v>
      </c>
      <c r="Z739" s="77" t="str">
        <f>HYPERLINK("https://twitter.com/10tv/status/1620866051771715584")</f>
        <v>https://twitter.com/10tv/status/1620866051771715584</v>
      </c>
      <c r="AC739" s="78" t="s">
        <v>3860</v>
      </c>
      <c r="AE739" t="b">
        <v>0</v>
      </c>
      <c r="AF739">
        <v>0</v>
      </c>
      <c r="AG739" s="78" t="s">
        <v>4640</v>
      </c>
      <c r="AH739" t="b">
        <v>0</v>
      </c>
      <c r="AI739" t="s">
        <v>4829</v>
      </c>
      <c r="AK739" s="78" t="s">
        <v>4640</v>
      </c>
      <c r="AL739" t="b">
        <v>0</v>
      </c>
      <c r="AM739">
        <v>60</v>
      </c>
      <c r="AN739" s="78" t="s">
        <v>4360</v>
      </c>
      <c r="AO739" s="78" t="s">
        <v>4866</v>
      </c>
      <c r="AP739" t="b">
        <v>0</v>
      </c>
      <c r="AQ739" s="78" t="s">
        <v>4360</v>
      </c>
      <c r="AR739" t="s">
        <v>179</v>
      </c>
      <c r="AS739">
        <v>0</v>
      </c>
      <c r="AT739">
        <v>0</v>
      </c>
    </row>
    <row r="740" spans="1:46" x14ac:dyDescent="0.45">
      <c r="A740" s="62" t="s">
        <v>599</v>
      </c>
      <c r="B740" s="62" t="s">
        <v>242</v>
      </c>
      <c r="C740" s="63"/>
      <c r="D740" s="64"/>
      <c r="E740" s="65"/>
      <c r="F740" s="66"/>
      <c r="G740" s="63"/>
      <c r="H740" s="67"/>
      <c r="I740" s="68"/>
      <c r="J740" s="68"/>
      <c r="K740" s="32"/>
      <c r="L740" s="75"/>
      <c r="M740" s="75"/>
      <c r="N740" s="70"/>
      <c r="O740" t="s">
        <v>1570</v>
      </c>
      <c r="P740" s="76">
        <v>44958.809664351851</v>
      </c>
      <c r="Q740" t="s">
        <v>1817</v>
      </c>
      <c r="R74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0" t="s">
        <v>2285</v>
      </c>
      <c r="V740" s="77" t="str">
        <f>HYPERLINK("https://pbs.twimg.com/profile_images/1222575548507004929/Lb5U0GjO_normal.png")</f>
        <v>https://pbs.twimg.com/profile_images/1222575548507004929/Lb5U0GjO_normal.png</v>
      </c>
      <c r="W740" s="76">
        <v>44958.809664351851</v>
      </c>
      <c r="X740" s="80">
        <v>44958</v>
      </c>
      <c r="Y740" s="78" t="s">
        <v>2800</v>
      </c>
      <c r="Z740" s="77" t="str">
        <f>HYPERLINK("https://twitter.com/5news/status/1620866051822034944")</f>
        <v>https://twitter.com/5news/status/1620866051822034944</v>
      </c>
      <c r="AC740" s="78" t="s">
        <v>3861</v>
      </c>
      <c r="AE740" t="b">
        <v>0</v>
      </c>
      <c r="AF740">
        <v>0</v>
      </c>
      <c r="AG740" s="78" t="s">
        <v>4640</v>
      </c>
      <c r="AH740" t="b">
        <v>0</v>
      </c>
      <c r="AI740" t="s">
        <v>4829</v>
      </c>
      <c r="AK740" s="78" t="s">
        <v>4640</v>
      </c>
      <c r="AL740" t="b">
        <v>0</v>
      </c>
      <c r="AM740">
        <v>60</v>
      </c>
      <c r="AN740" s="78" t="s">
        <v>4360</v>
      </c>
      <c r="AO740" s="78" t="s">
        <v>4866</v>
      </c>
      <c r="AP740" t="b">
        <v>0</v>
      </c>
      <c r="AQ740" s="78" t="s">
        <v>4360</v>
      </c>
      <c r="AR740" t="s">
        <v>179</v>
      </c>
      <c r="AS740">
        <v>0</v>
      </c>
      <c r="AT740">
        <v>0</v>
      </c>
    </row>
    <row r="741" spans="1:46" x14ac:dyDescent="0.45">
      <c r="A741" s="62" t="s">
        <v>599</v>
      </c>
      <c r="B741" s="62" t="s">
        <v>1006</v>
      </c>
      <c r="C741" s="63"/>
      <c r="D741" s="64"/>
      <c r="E741" s="65"/>
      <c r="F741" s="66"/>
      <c r="G741" s="63"/>
      <c r="H741" s="67"/>
      <c r="I741" s="68"/>
      <c r="J741" s="68"/>
      <c r="K741" s="32"/>
      <c r="L741" s="75"/>
      <c r="M741" s="75"/>
      <c r="N741" s="70"/>
      <c r="O741" t="s">
        <v>1569</v>
      </c>
      <c r="P741" s="76">
        <v>44958.809664351851</v>
      </c>
      <c r="Q741" t="s">
        <v>1817</v>
      </c>
      <c r="R74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1" t="s">
        <v>2285</v>
      </c>
      <c r="V741" s="77" t="str">
        <f>HYPERLINK("https://pbs.twimg.com/profile_images/1222575548507004929/Lb5U0GjO_normal.png")</f>
        <v>https://pbs.twimg.com/profile_images/1222575548507004929/Lb5U0GjO_normal.png</v>
      </c>
      <c r="W741" s="76">
        <v>44958.809664351851</v>
      </c>
      <c r="X741" s="80">
        <v>44958</v>
      </c>
      <c r="Y741" s="78" t="s">
        <v>2800</v>
      </c>
      <c r="Z741" s="77" t="str">
        <f>HYPERLINK("https://twitter.com/5news/status/1620866051822034944")</f>
        <v>https://twitter.com/5news/status/1620866051822034944</v>
      </c>
      <c r="AC741" s="78" t="s">
        <v>3861</v>
      </c>
      <c r="AE741" t="b">
        <v>0</v>
      </c>
      <c r="AF741">
        <v>0</v>
      </c>
      <c r="AG741" s="78" t="s">
        <v>4640</v>
      </c>
      <c r="AH741" t="b">
        <v>0</v>
      </c>
      <c r="AI741" t="s">
        <v>4829</v>
      </c>
      <c r="AK741" s="78" t="s">
        <v>4640</v>
      </c>
      <c r="AL741" t="b">
        <v>0</v>
      </c>
      <c r="AM741">
        <v>60</v>
      </c>
      <c r="AN741" s="78" t="s">
        <v>4360</v>
      </c>
      <c r="AO741" s="78" t="s">
        <v>4866</v>
      </c>
      <c r="AP741" t="b">
        <v>0</v>
      </c>
      <c r="AQ741" s="78" t="s">
        <v>4360</v>
      </c>
      <c r="AR741" t="s">
        <v>179</v>
      </c>
      <c r="AS741">
        <v>0</v>
      </c>
      <c r="AT741">
        <v>0</v>
      </c>
    </row>
    <row r="742" spans="1:46" x14ac:dyDescent="0.45">
      <c r="A742" s="62" t="s">
        <v>600</v>
      </c>
      <c r="B742" s="62" t="s">
        <v>242</v>
      </c>
      <c r="C742" s="63"/>
      <c r="D742" s="64"/>
      <c r="E742" s="65"/>
      <c r="F742" s="66"/>
      <c r="G742" s="63"/>
      <c r="H742" s="67"/>
      <c r="I742" s="68"/>
      <c r="J742" s="68"/>
      <c r="K742" s="32"/>
      <c r="L742" s="75"/>
      <c r="M742" s="75"/>
      <c r="N742" s="70"/>
      <c r="O742" t="s">
        <v>1570</v>
      </c>
      <c r="P742" s="76">
        <v>44958.809664351851</v>
      </c>
      <c r="Q742" t="s">
        <v>1817</v>
      </c>
      <c r="R74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2" t="s">
        <v>2285</v>
      </c>
      <c r="V742" s="77" t="str">
        <f>HYPERLINK("https://pbs.twimg.com/profile_images/1442588217727881219/ANSInkL0_normal.jpg")</f>
        <v>https://pbs.twimg.com/profile_images/1442588217727881219/ANSInkL0_normal.jpg</v>
      </c>
      <c r="W742" s="76">
        <v>44958.809664351851</v>
      </c>
      <c r="X742" s="80">
        <v>44958</v>
      </c>
      <c r="Y742" s="78" t="s">
        <v>2800</v>
      </c>
      <c r="Z742" s="77" t="str">
        <f>HYPERLINK("https://twitter.com/fox54news/status/1620866051914317824")</f>
        <v>https://twitter.com/fox54news/status/1620866051914317824</v>
      </c>
      <c r="AC742" s="78" t="s">
        <v>3862</v>
      </c>
      <c r="AE742" t="b">
        <v>0</v>
      </c>
      <c r="AF742">
        <v>0</v>
      </c>
      <c r="AG742" s="78" t="s">
        <v>4640</v>
      </c>
      <c r="AH742" t="b">
        <v>0</v>
      </c>
      <c r="AI742" t="s">
        <v>4829</v>
      </c>
      <c r="AK742" s="78" t="s">
        <v>4640</v>
      </c>
      <c r="AL742" t="b">
        <v>0</v>
      </c>
      <c r="AM742">
        <v>60</v>
      </c>
      <c r="AN742" s="78" t="s">
        <v>4360</v>
      </c>
      <c r="AO742" s="78" t="s">
        <v>4866</v>
      </c>
      <c r="AP742" t="b">
        <v>0</v>
      </c>
      <c r="AQ742" s="78" t="s">
        <v>4360</v>
      </c>
      <c r="AR742" t="s">
        <v>179</v>
      </c>
      <c r="AS742">
        <v>0</v>
      </c>
      <c r="AT742">
        <v>0</v>
      </c>
    </row>
    <row r="743" spans="1:46" x14ac:dyDescent="0.45">
      <c r="A743" s="62" t="s">
        <v>600</v>
      </c>
      <c r="B743" s="62" t="s">
        <v>1006</v>
      </c>
      <c r="C743" s="63"/>
      <c r="D743" s="64"/>
      <c r="E743" s="65"/>
      <c r="F743" s="66"/>
      <c r="G743" s="63"/>
      <c r="H743" s="67"/>
      <c r="I743" s="68"/>
      <c r="J743" s="68"/>
      <c r="K743" s="32"/>
      <c r="L743" s="75"/>
      <c r="M743" s="75"/>
      <c r="N743" s="70"/>
      <c r="O743" t="s">
        <v>1569</v>
      </c>
      <c r="P743" s="76">
        <v>44958.809664351851</v>
      </c>
      <c r="Q743" t="s">
        <v>1817</v>
      </c>
      <c r="R74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3" t="s">
        <v>2285</v>
      </c>
      <c r="V743" s="77" t="str">
        <f>HYPERLINK("https://pbs.twimg.com/profile_images/1442588217727881219/ANSInkL0_normal.jpg")</f>
        <v>https://pbs.twimg.com/profile_images/1442588217727881219/ANSInkL0_normal.jpg</v>
      </c>
      <c r="W743" s="76">
        <v>44958.809664351851</v>
      </c>
      <c r="X743" s="80">
        <v>44958</v>
      </c>
      <c r="Y743" s="78" t="s">
        <v>2800</v>
      </c>
      <c r="Z743" s="77" t="str">
        <f>HYPERLINK("https://twitter.com/fox54news/status/1620866051914317824")</f>
        <v>https://twitter.com/fox54news/status/1620866051914317824</v>
      </c>
      <c r="AC743" s="78" t="s">
        <v>3862</v>
      </c>
      <c r="AE743" t="b">
        <v>0</v>
      </c>
      <c r="AF743">
        <v>0</v>
      </c>
      <c r="AG743" s="78" t="s">
        <v>4640</v>
      </c>
      <c r="AH743" t="b">
        <v>0</v>
      </c>
      <c r="AI743" t="s">
        <v>4829</v>
      </c>
      <c r="AK743" s="78" t="s">
        <v>4640</v>
      </c>
      <c r="AL743" t="b">
        <v>0</v>
      </c>
      <c r="AM743">
        <v>60</v>
      </c>
      <c r="AN743" s="78" t="s">
        <v>4360</v>
      </c>
      <c r="AO743" s="78" t="s">
        <v>4866</v>
      </c>
      <c r="AP743" t="b">
        <v>0</v>
      </c>
      <c r="AQ743" s="78" t="s">
        <v>4360</v>
      </c>
      <c r="AR743" t="s">
        <v>179</v>
      </c>
      <c r="AS743">
        <v>0</v>
      </c>
      <c r="AT743">
        <v>0</v>
      </c>
    </row>
    <row r="744" spans="1:46" x14ac:dyDescent="0.45">
      <c r="A744" s="62" t="s">
        <v>601</v>
      </c>
      <c r="B744" s="62" t="s">
        <v>242</v>
      </c>
      <c r="C744" s="63"/>
      <c r="D744" s="64"/>
      <c r="E744" s="65"/>
      <c r="F744" s="66"/>
      <c r="G744" s="63"/>
      <c r="H744" s="67"/>
      <c r="I744" s="68"/>
      <c r="J744" s="68"/>
      <c r="K744" s="32"/>
      <c r="L744" s="75"/>
      <c r="M744" s="75"/>
      <c r="N744" s="70"/>
      <c r="O744" t="s">
        <v>1570</v>
      </c>
      <c r="P744" s="76">
        <v>44958.809664351851</v>
      </c>
      <c r="Q744" t="s">
        <v>1817</v>
      </c>
      <c r="R74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4" t="s">
        <v>2285</v>
      </c>
      <c r="V744" s="77" t="str">
        <f>HYPERLINK("https://pbs.twimg.com/profile_images/1441530457372254213/pe0MaT68_normal.png")</f>
        <v>https://pbs.twimg.com/profile_images/1441530457372254213/pe0MaT68_normal.png</v>
      </c>
      <c r="W744" s="76">
        <v>44958.809664351851</v>
      </c>
      <c r="X744" s="80">
        <v>44958</v>
      </c>
      <c r="Y744" s="78" t="s">
        <v>2800</v>
      </c>
      <c r="Z744" s="77" t="str">
        <f>HYPERLINK("https://twitter.com/kvue/status/1620866052119793666")</f>
        <v>https://twitter.com/kvue/status/1620866052119793666</v>
      </c>
      <c r="AC744" s="78" t="s">
        <v>3863</v>
      </c>
      <c r="AE744" t="b">
        <v>0</v>
      </c>
      <c r="AF744">
        <v>0</v>
      </c>
      <c r="AG744" s="78" t="s">
        <v>4640</v>
      </c>
      <c r="AH744" t="b">
        <v>0</v>
      </c>
      <c r="AI744" t="s">
        <v>4829</v>
      </c>
      <c r="AK744" s="78" t="s">
        <v>4640</v>
      </c>
      <c r="AL744" t="b">
        <v>0</v>
      </c>
      <c r="AM744">
        <v>60</v>
      </c>
      <c r="AN744" s="78" t="s">
        <v>4360</v>
      </c>
      <c r="AO744" s="78" t="s">
        <v>4866</v>
      </c>
      <c r="AP744" t="b">
        <v>0</v>
      </c>
      <c r="AQ744" s="78" t="s">
        <v>4360</v>
      </c>
      <c r="AR744" t="s">
        <v>179</v>
      </c>
      <c r="AS744">
        <v>0</v>
      </c>
      <c r="AT744">
        <v>0</v>
      </c>
    </row>
    <row r="745" spans="1:46" x14ac:dyDescent="0.45">
      <c r="A745" s="62" t="s">
        <v>601</v>
      </c>
      <c r="B745" s="62" t="s">
        <v>1006</v>
      </c>
      <c r="C745" s="63"/>
      <c r="D745" s="64"/>
      <c r="E745" s="65"/>
      <c r="F745" s="66"/>
      <c r="G745" s="63"/>
      <c r="H745" s="67"/>
      <c r="I745" s="68"/>
      <c r="J745" s="68"/>
      <c r="K745" s="32"/>
      <c r="L745" s="75"/>
      <c r="M745" s="75"/>
      <c r="N745" s="70"/>
      <c r="O745" t="s">
        <v>1569</v>
      </c>
      <c r="P745" s="76">
        <v>44958.809664351851</v>
      </c>
      <c r="Q745" t="s">
        <v>1817</v>
      </c>
      <c r="R74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5" t="s">
        <v>2285</v>
      </c>
      <c r="V745" s="77" t="str">
        <f>HYPERLINK("https://pbs.twimg.com/profile_images/1441530457372254213/pe0MaT68_normal.png")</f>
        <v>https://pbs.twimg.com/profile_images/1441530457372254213/pe0MaT68_normal.png</v>
      </c>
      <c r="W745" s="76">
        <v>44958.809664351851</v>
      </c>
      <c r="X745" s="80">
        <v>44958</v>
      </c>
      <c r="Y745" s="78" t="s">
        <v>2800</v>
      </c>
      <c r="Z745" s="77" t="str">
        <f>HYPERLINK("https://twitter.com/kvue/status/1620866052119793666")</f>
        <v>https://twitter.com/kvue/status/1620866052119793666</v>
      </c>
      <c r="AC745" s="78" t="s">
        <v>3863</v>
      </c>
      <c r="AE745" t="b">
        <v>0</v>
      </c>
      <c r="AF745">
        <v>0</v>
      </c>
      <c r="AG745" s="78" t="s">
        <v>4640</v>
      </c>
      <c r="AH745" t="b">
        <v>0</v>
      </c>
      <c r="AI745" t="s">
        <v>4829</v>
      </c>
      <c r="AK745" s="78" t="s">
        <v>4640</v>
      </c>
      <c r="AL745" t="b">
        <v>0</v>
      </c>
      <c r="AM745">
        <v>60</v>
      </c>
      <c r="AN745" s="78" t="s">
        <v>4360</v>
      </c>
      <c r="AO745" s="78" t="s">
        <v>4866</v>
      </c>
      <c r="AP745" t="b">
        <v>0</v>
      </c>
      <c r="AQ745" s="78" t="s">
        <v>4360</v>
      </c>
      <c r="AR745" t="s">
        <v>179</v>
      </c>
      <c r="AS745">
        <v>0</v>
      </c>
      <c r="AT745">
        <v>0</v>
      </c>
    </row>
    <row r="746" spans="1:46" x14ac:dyDescent="0.45">
      <c r="A746" s="62" t="s">
        <v>606</v>
      </c>
      <c r="B746" s="62" t="s">
        <v>242</v>
      </c>
      <c r="C746" s="63"/>
      <c r="D746" s="64"/>
      <c r="E746" s="65"/>
      <c r="F746" s="66"/>
      <c r="G746" s="63"/>
      <c r="H746" s="67"/>
      <c r="I746" s="68"/>
      <c r="J746" s="68"/>
      <c r="K746" s="32"/>
      <c r="L746" s="75"/>
      <c r="M746" s="75"/>
      <c r="N746" s="70"/>
      <c r="O746" t="s">
        <v>1570</v>
      </c>
      <c r="P746" s="76">
        <v>44958.810972222222</v>
      </c>
      <c r="Q746" t="s">
        <v>1817</v>
      </c>
      <c r="R74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6" t="s">
        <v>2285</v>
      </c>
      <c r="V746" s="77" t="str">
        <f>HYPERLINK("https://pbs.twimg.com/profile_images/1579963660729974789/9HuqDqbd_normal.jpg")</f>
        <v>https://pbs.twimg.com/profile_images/1579963660729974789/9HuqDqbd_normal.jpg</v>
      </c>
      <c r="W746" s="76">
        <v>44958.810972222222</v>
      </c>
      <c r="X746" s="80">
        <v>44958</v>
      </c>
      <c r="Y746" s="78" t="s">
        <v>2807</v>
      </c>
      <c r="Z746" s="77" t="str">
        <f>HYPERLINK("https://twitter.com/bjorn501/status/1620866526562881542")</f>
        <v>https://twitter.com/bjorn501/status/1620866526562881542</v>
      </c>
      <c r="AC746" s="78" t="s">
        <v>3870</v>
      </c>
      <c r="AE746" t="b">
        <v>0</v>
      </c>
      <c r="AF746">
        <v>0</v>
      </c>
      <c r="AG746" s="78" t="s">
        <v>4640</v>
      </c>
      <c r="AH746" t="b">
        <v>0</v>
      </c>
      <c r="AI746" t="s">
        <v>4829</v>
      </c>
      <c r="AK746" s="78" t="s">
        <v>4640</v>
      </c>
      <c r="AL746" t="b">
        <v>0</v>
      </c>
      <c r="AM746">
        <v>60</v>
      </c>
      <c r="AN746" s="78" t="s">
        <v>4360</v>
      </c>
      <c r="AO746" s="78" t="s">
        <v>4852</v>
      </c>
      <c r="AP746" t="b">
        <v>0</v>
      </c>
      <c r="AQ746" s="78" t="s">
        <v>4360</v>
      </c>
      <c r="AR746" t="s">
        <v>179</v>
      </c>
      <c r="AS746">
        <v>0</v>
      </c>
      <c r="AT746">
        <v>0</v>
      </c>
    </row>
    <row r="747" spans="1:46" x14ac:dyDescent="0.45">
      <c r="A747" s="62" t="s">
        <v>606</v>
      </c>
      <c r="B747" s="62" t="s">
        <v>1006</v>
      </c>
      <c r="C747" s="63"/>
      <c r="D747" s="64"/>
      <c r="E747" s="65"/>
      <c r="F747" s="66"/>
      <c r="G747" s="63"/>
      <c r="H747" s="67"/>
      <c r="I747" s="68"/>
      <c r="J747" s="68"/>
      <c r="K747" s="32"/>
      <c r="L747" s="75"/>
      <c r="M747" s="75"/>
      <c r="N747" s="70"/>
      <c r="O747" t="s">
        <v>1569</v>
      </c>
      <c r="P747" s="76">
        <v>44958.810972222222</v>
      </c>
      <c r="Q747" t="s">
        <v>1817</v>
      </c>
      <c r="R74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7" t="s">
        <v>2285</v>
      </c>
      <c r="V747" s="77" t="str">
        <f>HYPERLINK("https://pbs.twimg.com/profile_images/1579963660729974789/9HuqDqbd_normal.jpg")</f>
        <v>https://pbs.twimg.com/profile_images/1579963660729974789/9HuqDqbd_normal.jpg</v>
      </c>
      <c r="W747" s="76">
        <v>44958.810972222222</v>
      </c>
      <c r="X747" s="80">
        <v>44958</v>
      </c>
      <c r="Y747" s="78" t="s">
        <v>2807</v>
      </c>
      <c r="Z747" s="77" t="str">
        <f>HYPERLINK("https://twitter.com/bjorn501/status/1620866526562881542")</f>
        <v>https://twitter.com/bjorn501/status/1620866526562881542</v>
      </c>
      <c r="AC747" s="78" t="s">
        <v>3870</v>
      </c>
      <c r="AE747" t="b">
        <v>0</v>
      </c>
      <c r="AF747">
        <v>0</v>
      </c>
      <c r="AG747" s="78" t="s">
        <v>4640</v>
      </c>
      <c r="AH747" t="b">
        <v>0</v>
      </c>
      <c r="AI747" t="s">
        <v>4829</v>
      </c>
      <c r="AK747" s="78" t="s">
        <v>4640</v>
      </c>
      <c r="AL747" t="b">
        <v>0</v>
      </c>
      <c r="AM747">
        <v>60</v>
      </c>
      <c r="AN747" s="78" t="s">
        <v>4360</v>
      </c>
      <c r="AO747" s="78" t="s">
        <v>4852</v>
      </c>
      <c r="AP747" t="b">
        <v>0</v>
      </c>
      <c r="AQ747" s="78" t="s">
        <v>4360</v>
      </c>
      <c r="AR747" t="s">
        <v>179</v>
      </c>
      <c r="AS747">
        <v>0</v>
      </c>
      <c r="AT747">
        <v>0</v>
      </c>
    </row>
    <row r="748" spans="1:46" x14ac:dyDescent="0.45">
      <c r="A748" s="62" t="s">
        <v>609</v>
      </c>
      <c r="B748" s="62" t="s">
        <v>242</v>
      </c>
      <c r="C748" s="63"/>
      <c r="D748" s="64"/>
      <c r="E748" s="65"/>
      <c r="F748" s="66"/>
      <c r="G748" s="63"/>
      <c r="H748" s="67"/>
      <c r="I748" s="68"/>
      <c r="J748" s="68"/>
      <c r="K748" s="32"/>
      <c r="L748" s="75"/>
      <c r="M748" s="75"/>
      <c r="N748" s="70"/>
      <c r="O748" t="s">
        <v>1570</v>
      </c>
      <c r="P748" s="76">
        <v>44958.815034722225</v>
      </c>
      <c r="Q748" t="s">
        <v>1817</v>
      </c>
      <c r="R74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8" t="s">
        <v>2285</v>
      </c>
      <c r="V748" s="77" t="str">
        <f>HYPERLINK("https://pbs.twimg.com/profile_images/1232963088275492865/ZPGfAdsS_normal.jpg")</f>
        <v>https://pbs.twimg.com/profile_images/1232963088275492865/ZPGfAdsS_normal.jpg</v>
      </c>
      <c r="W748" s="76">
        <v>44958.815034722225</v>
      </c>
      <c r="X748" s="80">
        <v>44958</v>
      </c>
      <c r="Y748" s="78" t="s">
        <v>2810</v>
      </c>
      <c r="Z748" s="77" t="str">
        <f>HYPERLINK("https://twitter.com/oregakitaworld/status/1620867998729871361")</f>
        <v>https://twitter.com/oregakitaworld/status/1620867998729871361</v>
      </c>
      <c r="AC748" s="78" t="s">
        <v>3873</v>
      </c>
      <c r="AE748" t="b">
        <v>0</v>
      </c>
      <c r="AF748">
        <v>0</v>
      </c>
      <c r="AG748" s="78" t="s">
        <v>4640</v>
      </c>
      <c r="AH748" t="b">
        <v>0</v>
      </c>
      <c r="AI748" t="s">
        <v>4829</v>
      </c>
      <c r="AK748" s="78" t="s">
        <v>4640</v>
      </c>
      <c r="AL748" t="b">
        <v>0</v>
      </c>
      <c r="AM748">
        <v>60</v>
      </c>
      <c r="AN748" s="78" t="s">
        <v>4360</v>
      </c>
      <c r="AO748" s="78" t="s">
        <v>4867</v>
      </c>
      <c r="AP748" t="b">
        <v>0</v>
      </c>
      <c r="AQ748" s="78" t="s">
        <v>4360</v>
      </c>
      <c r="AR748" t="s">
        <v>179</v>
      </c>
      <c r="AS748">
        <v>0</v>
      </c>
      <c r="AT748">
        <v>0</v>
      </c>
    </row>
    <row r="749" spans="1:46" x14ac:dyDescent="0.45">
      <c r="A749" s="62" t="s">
        <v>609</v>
      </c>
      <c r="B749" s="62" t="s">
        <v>1006</v>
      </c>
      <c r="C749" s="63"/>
      <c r="D749" s="64"/>
      <c r="E749" s="65"/>
      <c r="F749" s="66"/>
      <c r="G749" s="63"/>
      <c r="H749" s="67"/>
      <c r="I749" s="68"/>
      <c r="J749" s="68"/>
      <c r="K749" s="32"/>
      <c r="L749" s="75"/>
      <c r="M749" s="75"/>
      <c r="N749" s="70"/>
      <c r="O749" t="s">
        <v>1569</v>
      </c>
      <c r="P749" s="76">
        <v>44958.815034722225</v>
      </c>
      <c r="Q749" t="s">
        <v>1817</v>
      </c>
      <c r="R74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49" t="s">
        <v>2285</v>
      </c>
      <c r="V749" s="77" t="str">
        <f>HYPERLINK("https://pbs.twimg.com/profile_images/1232963088275492865/ZPGfAdsS_normal.jpg")</f>
        <v>https://pbs.twimg.com/profile_images/1232963088275492865/ZPGfAdsS_normal.jpg</v>
      </c>
      <c r="W749" s="76">
        <v>44958.815034722225</v>
      </c>
      <c r="X749" s="80">
        <v>44958</v>
      </c>
      <c r="Y749" s="78" t="s">
        <v>2810</v>
      </c>
      <c r="Z749" s="77" t="str">
        <f>HYPERLINK("https://twitter.com/oregakitaworld/status/1620867998729871361")</f>
        <v>https://twitter.com/oregakitaworld/status/1620867998729871361</v>
      </c>
      <c r="AC749" s="78" t="s">
        <v>3873</v>
      </c>
      <c r="AE749" t="b">
        <v>0</v>
      </c>
      <c r="AF749">
        <v>0</v>
      </c>
      <c r="AG749" s="78" t="s">
        <v>4640</v>
      </c>
      <c r="AH749" t="b">
        <v>0</v>
      </c>
      <c r="AI749" t="s">
        <v>4829</v>
      </c>
      <c r="AK749" s="78" t="s">
        <v>4640</v>
      </c>
      <c r="AL749" t="b">
        <v>0</v>
      </c>
      <c r="AM749">
        <v>60</v>
      </c>
      <c r="AN749" s="78" t="s">
        <v>4360</v>
      </c>
      <c r="AO749" s="78" t="s">
        <v>4867</v>
      </c>
      <c r="AP749" t="b">
        <v>0</v>
      </c>
      <c r="AQ749" s="78" t="s">
        <v>4360</v>
      </c>
      <c r="AR749" t="s">
        <v>179</v>
      </c>
      <c r="AS749">
        <v>0</v>
      </c>
      <c r="AT749">
        <v>0</v>
      </c>
    </row>
    <row r="750" spans="1:46" x14ac:dyDescent="0.45">
      <c r="A750" s="62" t="s">
        <v>610</v>
      </c>
      <c r="B750" s="62" t="s">
        <v>242</v>
      </c>
      <c r="C750" s="63"/>
      <c r="D750" s="64"/>
      <c r="E750" s="65"/>
      <c r="F750" s="66"/>
      <c r="G750" s="63"/>
      <c r="H750" s="67"/>
      <c r="I750" s="68"/>
      <c r="J750" s="68"/>
      <c r="K750" s="32"/>
      <c r="L750" s="75"/>
      <c r="M750" s="75"/>
      <c r="N750" s="70"/>
      <c r="O750" t="s">
        <v>1570</v>
      </c>
      <c r="P750" s="76">
        <v>44958.815740740742</v>
      </c>
      <c r="Q750" t="s">
        <v>1817</v>
      </c>
      <c r="R75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0" t="s">
        <v>2285</v>
      </c>
      <c r="V750" s="77" t="str">
        <f>HYPERLINK("https://pbs.twimg.com/profile_images/1603599858748624898/1TTguING_normal.jpg")</f>
        <v>https://pbs.twimg.com/profile_images/1603599858748624898/1TTguING_normal.jpg</v>
      </c>
      <c r="W750" s="76">
        <v>44958.815740740742</v>
      </c>
      <c r="X750" s="80">
        <v>44958</v>
      </c>
      <c r="Y750" s="78" t="s">
        <v>2811</v>
      </c>
      <c r="Z750" s="77" t="str">
        <f>HYPERLINK("https://twitter.com/dcomcustomized/status/1620868252808404992")</f>
        <v>https://twitter.com/dcomcustomized/status/1620868252808404992</v>
      </c>
      <c r="AC750" s="78" t="s">
        <v>3874</v>
      </c>
      <c r="AE750" t="b">
        <v>0</v>
      </c>
      <c r="AF750">
        <v>0</v>
      </c>
      <c r="AG750" s="78" t="s">
        <v>4640</v>
      </c>
      <c r="AH750" t="b">
        <v>0</v>
      </c>
      <c r="AI750" t="s">
        <v>4829</v>
      </c>
      <c r="AK750" s="78" t="s">
        <v>4640</v>
      </c>
      <c r="AL750" t="b">
        <v>0</v>
      </c>
      <c r="AM750">
        <v>60</v>
      </c>
      <c r="AN750" s="78" t="s">
        <v>4360</v>
      </c>
      <c r="AO750" s="78" t="s">
        <v>4850</v>
      </c>
      <c r="AP750" t="b">
        <v>0</v>
      </c>
      <c r="AQ750" s="78" t="s">
        <v>4360</v>
      </c>
      <c r="AR750" t="s">
        <v>179</v>
      </c>
      <c r="AS750">
        <v>0</v>
      </c>
      <c r="AT750">
        <v>0</v>
      </c>
    </row>
    <row r="751" spans="1:46" x14ac:dyDescent="0.45">
      <c r="A751" s="62" t="s">
        <v>610</v>
      </c>
      <c r="B751" s="62" t="s">
        <v>1006</v>
      </c>
      <c r="C751" s="63"/>
      <c r="D751" s="64"/>
      <c r="E751" s="65"/>
      <c r="F751" s="66"/>
      <c r="G751" s="63"/>
      <c r="H751" s="67"/>
      <c r="I751" s="68"/>
      <c r="J751" s="68"/>
      <c r="K751" s="32"/>
      <c r="L751" s="75"/>
      <c r="M751" s="75"/>
      <c r="N751" s="70"/>
      <c r="O751" t="s">
        <v>1569</v>
      </c>
      <c r="P751" s="76">
        <v>44958.815740740742</v>
      </c>
      <c r="Q751" t="s">
        <v>1817</v>
      </c>
      <c r="R751"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1" t="s">
        <v>2285</v>
      </c>
      <c r="V751" s="77" t="str">
        <f>HYPERLINK("https://pbs.twimg.com/profile_images/1603599858748624898/1TTguING_normal.jpg")</f>
        <v>https://pbs.twimg.com/profile_images/1603599858748624898/1TTguING_normal.jpg</v>
      </c>
      <c r="W751" s="76">
        <v>44958.815740740742</v>
      </c>
      <c r="X751" s="80">
        <v>44958</v>
      </c>
      <c r="Y751" s="78" t="s">
        <v>2811</v>
      </c>
      <c r="Z751" s="77" t="str">
        <f>HYPERLINK("https://twitter.com/dcomcustomized/status/1620868252808404992")</f>
        <v>https://twitter.com/dcomcustomized/status/1620868252808404992</v>
      </c>
      <c r="AC751" s="78" t="s">
        <v>3874</v>
      </c>
      <c r="AE751" t="b">
        <v>0</v>
      </c>
      <c r="AF751">
        <v>0</v>
      </c>
      <c r="AG751" s="78" t="s">
        <v>4640</v>
      </c>
      <c r="AH751" t="b">
        <v>0</v>
      </c>
      <c r="AI751" t="s">
        <v>4829</v>
      </c>
      <c r="AK751" s="78" t="s">
        <v>4640</v>
      </c>
      <c r="AL751" t="b">
        <v>0</v>
      </c>
      <c r="AM751">
        <v>60</v>
      </c>
      <c r="AN751" s="78" t="s">
        <v>4360</v>
      </c>
      <c r="AO751" s="78" t="s">
        <v>4850</v>
      </c>
      <c r="AP751" t="b">
        <v>0</v>
      </c>
      <c r="AQ751" s="78" t="s">
        <v>4360</v>
      </c>
      <c r="AR751" t="s">
        <v>179</v>
      </c>
      <c r="AS751">
        <v>0</v>
      </c>
      <c r="AT751">
        <v>0</v>
      </c>
    </row>
    <row r="752" spans="1:46" x14ac:dyDescent="0.45">
      <c r="A752" s="62" t="s">
        <v>612</v>
      </c>
      <c r="B752" s="62" t="s">
        <v>242</v>
      </c>
      <c r="C752" s="63"/>
      <c r="D752" s="64"/>
      <c r="E752" s="65"/>
      <c r="F752" s="66"/>
      <c r="G752" s="63"/>
      <c r="H752" s="67"/>
      <c r="I752" s="68"/>
      <c r="J752" s="68"/>
      <c r="K752" s="32"/>
      <c r="L752" s="75"/>
      <c r="M752" s="75"/>
      <c r="N752" s="70"/>
      <c r="O752" t="s">
        <v>1570</v>
      </c>
      <c r="P752" s="76">
        <v>44958.818935185183</v>
      </c>
      <c r="Q752" t="s">
        <v>1817</v>
      </c>
      <c r="R75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2" t="s">
        <v>2285</v>
      </c>
      <c r="V752" s="77" t="str">
        <f>HYPERLINK("https://pbs.twimg.com/profile_images/1593458622213799937/naVOCEOJ_normal.jpg")</f>
        <v>https://pbs.twimg.com/profile_images/1593458622213799937/naVOCEOJ_normal.jpg</v>
      </c>
      <c r="W752" s="76">
        <v>44958.818935185183</v>
      </c>
      <c r="X752" s="80">
        <v>44958</v>
      </c>
      <c r="Y752" s="78" t="s">
        <v>2813</v>
      </c>
      <c r="Z752" s="77" t="str">
        <f>HYPERLINK("https://twitter.com/prestonsteger/status/1620869410868060161")</f>
        <v>https://twitter.com/prestonsteger/status/1620869410868060161</v>
      </c>
      <c r="AC752" s="78" t="s">
        <v>3876</v>
      </c>
      <c r="AE752" t="b">
        <v>0</v>
      </c>
      <c r="AF752">
        <v>0</v>
      </c>
      <c r="AG752" s="78" t="s">
        <v>4640</v>
      </c>
      <c r="AH752" t="b">
        <v>0</v>
      </c>
      <c r="AI752" t="s">
        <v>4829</v>
      </c>
      <c r="AK752" s="78" t="s">
        <v>4640</v>
      </c>
      <c r="AL752" t="b">
        <v>0</v>
      </c>
      <c r="AM752">
        <v>60</v>
      </c>
      <c r="AN752" s="78" t="s">
        <v>4360</v>
      </c>
      <c r="AO752" s="78" t="s">
        <v>4856</v>
      </c>
      <c r="AP752" t="b">
        <v>0</v>
      </c>
      <c r="AQ752" s="78" t="s">
        <v>4360</v>
      </c>
      <c r="AR752" t="s">
        <v>179</v>
      </c>
      <c r="AS752">
        <v>0</v>
      </c>
      <c r="AT752">
        <v>0</v>
      </c>
    </row>
    <row r="753" spans="1:46" x14ac:dyDescent="0.45">
      <c r="A753" s="62" t="s">
        <v>612</v>
      </c>
      <c r="B753" s="62" t="s">
        <v>1006</v>
      </c>
      <c r="C753" s="63"/>
      <c r="D753" s="64"/>
      <c r="E753" s="65"/>
      <c r="F753" s="66"/>
      <c r="G753" s="63"/>
      <c r="H753" s="67"/>
      <c r="I753" s="68"/>
      <c r="J753" s="68"/>
      <c r="K753" s="32"/>
      <c r="L753" s="75"/>
      <c r="M753" s="75"/>
      <c r="N753" s="70"/>
      <c r="O753" t="s">
        <v>1569</v>
      </c>
      <c r="P753" s="76">
        <v>44958.818935185183</v>
      </c>
      <c r="Q753" t="s">
        <v>1817</v>
      </c>
      <c r="R75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3" t="s">
        <v>2285</v>
      </c>
      <c r="V753" s="77" t="str">
        <f>HYPERLINK("https://pbs.twimg.com/profile_images/1593458622213799937/naVOCEOJ_normal.jpg")</f>
        <v>https://pbs.twimg.com/profile_images/1593458622213799937/naVOCEOJ_normal.jpg</v>
      </c>
      <c r="W753" s="76">
        <v>44958.818935185183</v>
      </c>
      <c r="X753" s="80">
        <v>44958</v>
      </c>
      <c r="Y753" s="78" t="s">
        <v>2813</v>
      </c>
      <c r="Z753" s="77" t="str">
        <f>HYPERLINK("https://twitter.com/prestonsteger/status/1620869410868060161")</f>
        <v>https://twitter.com/prestonsteger/status/1620869410868060161</v>
      </c>
      <c r="AC753" s="78" t="s">
        <v>3876</v>
      </c>
      <c r="AE753" t="b">
        <v>0</v>
      </c>
      <c r="AF753">
        <v>0</v>
      </c>
      <c r="AG753" s="78" t="s">
        <v>4640</v>
      </c>
      <c r="AH753" t="b">
        <v>0</v>
      </c>
      <c r="AI753" t="s">
        <v>4829</v>
      </c>
      <c r="AK753" s="78" t="s">
        <v>4640</v>
      </c>
      <c r="AL753" t="b">
        <v>0</v>
      </c>
      <c r="AM753">
        <v>60</v>
      </c>
      <c r="AN753" s="78" t="s">
        <v>4360</v>
      </c>
      <c r="AO753" s="78" t="s">
        <v>4856</v>
      </c>
      <c r="AP753" t="b">
        <v>0</v>
      </c>
      <c r="AQ753" s="78" t="s">
        <v>4360</v>
      </c>
      <c r="AR753" t="s">
        <v>179</v>
      </c>
      <c r="AS753">
        <v>0</v>
      </c>
      <c r="AT753">
        <v>0</v>
      </c>
    </row>
    <row r="754" spans="1:46" x14ac:dyDescent="0.45">
      <c r="A754" s="62" t="s">
        <v>614</v>
      </c>
      <c r="B754" s="62" t="s">
        <v>242</v>
      </c>
      <c r="C754" s="63"/>
      <c r="D754" s="64"/>
      <c r="E754" s="65"/>
      <c r="F754" s="66"/>
      <c r="G754" s="63"/>
      <c r="H754" s="67"/>
      <c r="I754" s="68"/>
      <c r="J754" s="68"/>
      <c r="K754" s="32"/>
      <c r="L754" s="75"/>
      <c r="M754" s="75"/>
      <c r="N754" s="70"/>
      <c r="O754" t="s">
        <v>1570</v>
      </c>
      <c r="P754" s="76">
        <v>44958.820011574076</v>
      </c>
      <c r="Q754" t="s">
        <v>1817</v>
      </c>
      <c r="R75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4" t="s">
        <v>2285</v>
      </c>
      <c r="V754" s="77" t="str">
        <f>HYPERLINK("https://pbs.twimg.com/profile_images/816314359383228416/h10Jjeib_normal.jpg")</f>
        <v>https://pbs.twimg.com/profile_images/816314359383228416/h10Jjeib_normal.jpg</v>
      </c>
      <c r="W754" s="76">
        <v>44958.820011574076</v>
      </c>
      <c r="X754" s="80">
        <v>44958</v>
      </c>
      <c r="Y754" s="78" t="s">
        <v>2815</v>
      </c>
      <c r="Z754" s="77" t="str">
        <f>HYPERLINK("https://twitter.com/myseattlenews/status/1620869801089372164")</f>
        <v>https://twitter.com/myseattlenews/status/1620869801089372164</v>
      </c>
      <c r="AC754" s="78" t="s">
        <v>3878</v>
      </c>
      <c r="AE754" t="b">
        <v>0</v>
      </c>
      <c r="AF754">
        <v>0</v>
      </c>
      <c r="AG754" s="78" t="s">
        <v>4640</v>
      </c>
      <c r="AH754" t="b">
        <v>0</v>
      </c>
      <c r="AI754" t="s">
        <v>4829</v>
      </c>
      <c r="AK754" s="78" t="s">
        <v>4640</v>
      </c>
      <c r="AL754" t="b">
        <v>0</v>
      </c>
      <c r="AM754">
        <v>60</v>
      </c>
      <c r="AN754" s="78" t="s">
        <v>4360</v>
      </c>
      <c r="AO754" s="78" t="s">
        <v>4868</v>
      </c>
      <c r="AP754" t="b">
        <v>0</v>
      </c>
      <c r="AQ754" s="78" t="s">
        <v>4360</v>
      </c>
      <c r="AR754" t="s">
        <v>179</v>
      </c>
      <c r="AS754">
        <v>0</v>
      </c>
      <c r="AT754">
        <v>0</v>
      </c>
    </row>
    <row r="755" spans="1:46" x14ac:dyDescent="0.45">
      <c r="A755" s="62" t="s">
        <v>614</v>
      </c>
      <c r="B755" s="62" t="s">
        <v>1006</v>
      </c>
      <c r="C755" s="63"/>
      <c r="D755" s="64"/>
      <c r="E755" s="65"/>
      <c r="F755" s="66"/>
      <c r="G755" s="63"/>
      <c r="H755" s="67"/>
      <c r="I755" s="68"/>
      <c r="J755" s="68"/>
      <c r="K755" s="32"/>
      <c r="L755" s="75"/>
      <c r="M755" s="75"/>
      <c r="N755" s="70"/>
      <c r="O755" t="s">
        <v>1569</v>
      </c>
      <c r="P755" s="76">
        <v>44958.820011574076</v>
      </c>
      <c r="Q755" t="s">
        <v>1817</v>
      </c>
      <c r="R75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5" t="s">
        <v>2285</v>
      </c>
      <c r="V755" s="77" t="str">
        <f>HYPERLINK("https://pbs.twimg.com/profile_images/816314359383228416/h10Jjeib_normal.jpg")</f>
        <v>https://pbs.twimg.com/profile_images/816314359383228416/h10Jjeib_normal.jpg</v>
      </c>
      <c r="W755" s="76">
        <v>44958.820011574076</v>
      </c>
      <c r="X755" s="80">
        <v>44958</v>
      </c>
      <c r="Y755" s="78" t="s">
        <v>2815</v>
      </c>
      <c r="Z755" s="77" t="str">
        <f>HYPERLINK("https://twitter.com/myseattlenews/status/1620869801089372164")</f>
        <v>https://twitter.com/myseattlenews/status/1620869801089372164</v>
      </c>
      <c r="AC755" s="78" t="s">
        <v>3878</v>
      </c>
      <c r="AE755" t="b">
        <v>0</v>
      </c>
      <c r="AF755">
        <v>0</v>
      </c>
      <c r="AG755" s="78" t="s">
        <v>4640</v>
      </c>
      <c r="AH755" t="b">
        <v>0</v>
      </c>
      <c r="AI755" t="s">
        <v>4829</v>
      </c>
      <c r="AK755" s="78" t="s">
        <v>4640</v>
      </c>
      <c r="AL755" t="b">
        <v>0</v>
      </c>
      <c r="AM755">
        <v>60</v>
      </c>
      <c r="AN755" s="78" t="s">
        <v>4360</v>
      </c>
      <c r="AO755" s="78" t="s">
        <v>4868</v>
      </c>
      <c r="AP755" t="b">
        <v>0</v>
      </c>
      <c r="AQ755" s="78" t="s">
        <v>4360</v>
      </c>
      <c r="AR755" t="s">
        <v>179</v>
      </c>
      <c r="AS755">
        <v>0</v>
      </c>
      <c r="AT755">
        <v>0</v>
      </c>
    </row>
    <row r="756" spans="1:46" x14ac:dyDescent="0.45">
      <c r="A756" s="62" t="s">
        <v>623</v>
      </c>
      <c r="B756" s="62" t="s">
        <v>242</v>
      </c>
      <c r="C756" s="63"/>
      <c r="D756" s="64"/>
      <c r="E756" s="65"/>
      <c r="F756" s="66"/>
      <c r="G756" s="63"/>
      <c r="H756" s="67"/>
      <c r="I756" s="68"/>
      <c r="J756" s="68"/>
      <c r="K756" s="32"/>
      <c r="L756" s="75"/>
      <c r="M756" s="75"/>
      <c r="N756" s="70"/>
      <c r="O756" t="s">
        <v>1570</v>
      </c>
      <c r="P756" s="76">
        <v>44958.831736111111</v>
      </c>
      <c r="Q756" t="s">
        <v>1817</v>
      </c>
      <c r="R75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6" t="s">
        <v>2285</v>
      </c>
      <c r="V756" s="77" t="str">
        <f>HYPERLINK("https://pbs.twimg.com/profile_images/1403204443336691716/AV2twLLa_normal.jpg")</f>
        <v>https://pbs.twimg.com/profile_images/1403204443336691716/AV2twLLa_normal.jpg</v>
      </c>
      <c r="W756" s="76">
        <v>44958.831736111111</v>
      </c>
      <c r="X756" s="80">
        <v>44958</v>
      </c>
      <c r="Y756" s="78" t="s">
        <v>2824</v>
      </c>
      <c r="Z756" s="77" t="str">
        <f>HYPERLINK("https://twitter.com/crystal4obama/status/1620874051416883200")</f>
        <v>https://twitter.com/crystal4obama/status/1620874051416883200</v>
      </c>
      <c r="AC756" s="78" t="s">
        <v>3887</v>
      </c>
      <c r="AE756" t="b">
        <v>0</v>
      </c>
      <c r="AF756">
        <v>0</v>
      </c>
      <c r="AG756" s="78" t="s">
        <v>4640</v>
      </c>
      <c r="AH756" t="b">
        <v>0</v>
      </c>
      <c r="AI756" t="s">
        <v>4829</v>
      </c>
      <c r="AK756" s="78" t="s">
        <v>4640</v>
      </c>
      <c r="AL756" t="b">
        <v>0</v>
      </c>
      <c r="AM756">
        <v>60</v>
      </c>
      <c r="AN756" s="78" t="s">
        <v>4360</v>
      </c>
      <c r="AO756" s="78" t="s">
        <v>4849</v>
      </c>
      <c r="AP756" t="b">
        <v>0</v>
      </c>
      <c r="AQ756" s="78" t="s">
        <v>4360</v>
      </c>
      <c r="AR756" t="s">
        <v>179</v>
      </c>
      <c r="AS756">
        <v>0</v>
      </c>
      <c r="AT756">
        <v>0</v>
      </c>
    </row>
    <row r="757" spans="1:46" x14ac:dyDescent="0.45">
      <c r="A757" s="62" t="s">
        <v>623</v>
      </c>
      <c r="B757" s="62" t="s">
        <v>1006</v>
      </c>
      <c r="C757" s="63"/>
      <c r="D757" s="64"/>
      <c r="E757" s="65"/>
      <c r="F757" s="66"/>
      <c r="G757" s="63"/>
      <c r="H757" s="67"/>
      <c r="I757" s="68"/>
      <c r="J757" s="68"/>
      <c r="K757" s="32"/>
      <c r="L757" s="75"/>
      <c r="M757" s="75"/>
      <c r="N757" s="70"/>
      <c r="O757" t="s">
        <v>1569</v>
      </c>
      <c r="P757" s="76">
        <v>44958.831736111111</v>
      </c>
      <c r="Q757" t="s">
        <v>1817</v>
      </c>
      <c r="R75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7" t="s">
        <v>2285</v>
      </c>
      <c r="V757" s="77" t="str">
        <f>HYPERLINK("https://pbs.twimg.com/profile_images/1403204443336691716/AV2twLLa_normal.jpg")</f>
        <v>https://pbs.twimg.com/profile_images/1403204443336691716/AV2twLLa_normal.jpg</v>
      </c>
      <c r="W757" s="76">
        <v>44958.831736111111</v>
      </c>
      <c r="X757" s="80">
        <v>44958</v>
      </c>
      <c r="Y757" s="78" t="s">
        <v>2824</v>
      </c>
      <c r="Z757" s="77" t="str">
        <f>HYPERLINK("https://twitter.com/crystal4obama/status/1620874051416883200")</f>
        <v>https://twitter.com/crystal4obama/status/1620874051416883200</v>
      </c>
      <c r="AC757" s="78" t="s">
        <v>3887</v>
      </c>
      <c r="AE757" t="b">
        <v>0</v>
      </c>
      <c r="AF757">
        <v>0</v>
      </c>
      <c r="AG757" s="78" t="s">
        <v>4640</v>
      </c>
      <c r="AH757" t="b">
        <v>0</v>
      </c>
      <c r="AI757" t="s">
        <v>4829</v>
      </c>
      <c r="AK757" s="78" t="s">
        <v>4640</v>
      </c>
      <c r="AL757" t="b">
        <v>0</v>
      </c>
      <c r="AM757">
        <v>60</v>
      </c>
      <c r="AN757" s="78" t="s">
        <v>4360</v>
      </c>
      <c r="AO757" s="78" t="s">
        <v>4849</v>
      </c>
      <c r="AP757" t="b">
        <v>0</v>
      </c>
      <c r="AQ757" s="78" t="s">
        <v>4360</v>
      </c>
      <c r="AR757" t="s">
        <v>179</v>
      </c>
      <c r="AS757">
        <v>0</v>
      </c>
      <c r="AT757">
        <v>0</v>
      </c>
    </row>
    <row r="758" spans="1:46" x14ac:dyDescent="0.45">
      <c r="A758" s="62" t="s">
        <v>630</v>
      </c>
      <c r="B758" s="62" t="s">
        <v>242</v>
      </c>
      <c r="C758" s="63"/>
      <c r="D758" s="64"/>
      <c r="E758" s="65"/>
      <c r="F758" s="66"/>
      <c r="G758" s="63"/>
      <c r="H758" s="67"/>
      <c r="I758" s="68"/>
      <c r="J758" s="68"/>
      <c r="K758" s="32"/>
      <c r="L758" s="75"/>
      <c r="M758" s="75"/>
      <c r="N758" s="70"/>
      <c r="O758" t="s">
        <v>1570</v>
      </c>
      <c r="P758" s="76">
        <v>44958.809664351851</v>
      </c>
      <c r="Q758" t="s">
        <v>1817</v>
      </c>
      <c r="R758"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8" t="s">
        <v>2285</v>
      </c>
      <c r="V758" s="77" t="str">
        <f>HYPERLINK("https://pbs.twimg.com/profile_images/1234999131594055681/PBSrLVO2_normal.jpg")</f>
        <v>https://pbs.twimg.com/profile_images/1234999131594055681/PBSrLVO2_normal.jpg</v>
      </c>
      <c r="W758" s="76">
        <v>44958.809664351851</v>
      </c>
      <c r="X758" s="80">
        <v>44958</v>
      </c>
      <c r="Y758" s="78" t="s">
        <v>2800</v>
      </c>
      <c r="Z758" s="77" t="str">
        <f>HYPERLINK("https://twitter.com/kgwnews/status/1620866050710556672")</f>
        <v>https://twitter.com/kgwnews/status/1620866050710556672</v>
      </c>
      <c r="AC758" s="78" t="s">
        <v>3894</v>
      </c>
      <c r="AE758" t="b">
        <v>0</v>
      </c>
      <c r="AF758">
        <v>0</v>
      </c>
      <c r="AG758" s="78" t="s">
        <v>4640</v>
      </c>
      <c r="AH758" t="b">
        <v>0</v>
      </c>
      <c r="AI758" t="s">
        <v>4829</v>
      </c>
      <c r="AK758" s="78" t="s">
        <v>4640</v>
      </c>
      <c r="AL758" t="b">
        <v>0</v>
      </c>
      <c r="AM758">
        <v>60</v>
      </c>
      <c r="AN758" s="78" t="s">
        <v>4360</v>
      </c>
      <c r="AO758" s="78" t="s">
        <v>4866</v>
      </c>
      <c r="AP758" t="b">
        <v>0</v>
      </c>
      <c r="AQ758" s="78" t="s">
        <v>4360</v>
      </c>
      <c r="AR758" t="s">
        <v>179</v>
      </c>
      <c r="AS758">
        <v>0</v>
      </c>
      <c r="AT758">
        <v>0</v>
      </c>
    </row>
    <row r="759" spans="1:46" x14ac:dyDescent="0.45">
      <c r="A759" s="62" t="s">
        <v>630</v>
      </c>
      <c r="B759" s="62" t="s">
        <v>1006</v>
      </c>
      <c r="C759" s="63"/>
      <c r="D759" s="64"/>
      <c r="E759" s="65"/>
      <c r="F759" s="66"/>
      <c r="G759" s="63"/>
      <c r="H759" s="67"/>
      <c r="I759" s="68"/>
      <c r="J759" s="68"/>
      <c r="K759" s="32"/>
      <c r="L759" s="75"/>
      <c r="M759" s="75"/>
      <c r="N759" s="70"/>
      <c r="O759" t="s">
        <v>1569</v>
      </c>
      <c r="P759" s="76">
        <v>44958.809664351851</v>
      </c>
      <c r="Q759" t="s">
        <v>1817</v>
      </c>
      <c r="R75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59" t="s">
        <v>2285</v>
      </c>
      <c r="V759" s="77" t="str">
        <f>HYPERLINK("https://pbs.twimg.com/profile_images/1234999131594055681/PBSrLVO2_normal.jpg")</f>
        <v>https://pbs.twimg.com/profile_images/1234999131594055681/PBSrLVO2_normal.jpg</v>
      </c>
      <c r="W759" s="76">
        <v>44958.809664351851</v>
      </c>
      <c r="X759" s="80">
        <v>44958</v>
      </c>
      <c r="Y759" s="78" t="s">
        <v>2800</v>
      </c>
      <c r="Z759" s="77" t="str">
        <f>HYPERLINK("https://twitter.com/kgwnews/status/1620866050710556672")</f>
        <v>https://twitter.com/kgwnews/status/1620866050710556672</v>
      </c>
      <c r="AC759" s="78" t="s">
        <v>3894</v>
      </c>
      <c r="AE759" t="b">
        <v>0</v>
      </c>
      <c r="AF759">
        <v>0</v>
      </c>
      <c r="AG759" s="78" t="s">
        <v>4640</v>
      </c>
      <c r="AH759" t="b">
        <v>0</v>
      </c>
      <c r="AI759" t="s">
        <v>4829</v>
      </c>
      <c r="AK759" s="78" t="s">
        <v>4640</v>
      </c>
      <c r="AL759" t="b">
        <v>0</v>
      </c>
      <c r="AM759">
        <v>60</v>
      </c>
      <c r="AN759" s="78" t="s">
        <v>4360</v>
      </c>
      <c r="AO759" s="78" t="s">
        <v>4866</v>
      </c>
      <c r="AP759" t="b">
        <v>0</v>
      </c>
      <c r="AQ759" s="78" t="s">
        <v>4360</v>
      </c>
      <c r="AR759" t="s">
        <v>179</v>
      </c>
      <c r="AS759">
        <v>0</v>
      </c>
      <c r="AT759">
        <v>0</v>
      </c>
    </row>
    <row r="760" spans="1:46" x14ac:dyDescent="0.45">
      <c r="A760" s="62" t="s">
        <v>632</v>
      </c>
      <c r="B760" s="62" t="s">
        <v>1006</v>
      </c>
      <c r="C760" s="63"/>
      <c r="D760" s="64"/>
      <c r="E760" s="65"/>
      <c r="F760" s="66"/>
      <c r="G760" s="63"/>
      <c r="H760" s="67"/>
      <c r="I760" s="68"/>
      <c r="J760" s="68"/>
      <c r="K760" s="32"/>
      <c r="L760" s="75"/>
      <c r="M760" s="75"/>
      <c r="N760" s="70"/>
      <c r="O760" t="s">
        <v>1569</v>
      </c>
      <c r="P760" s="76">
        <v>44958.838217592594</v>
      </c>
      <c r="Q760" t="s">
        <v>1834</v>
      </c>
      <c r="R760" s="77" t="str">
        <f>HYPERLINK("https://www.verifythis.com/Email")</f>
        <v>https://www.verifythis.com/Email</v>
      </c>
      <c r="S760" t="s">
        <v>2285</v>
      </c>
      <c r="V760" s="77" t="str">
        <f>HYPERLINK("https://pbs.twimg.com/profile_images/816564289230295040/ysFhH8aY_normal.jpg")</f>
        <v>https://pbs.twimg.com/profile_images/816564289230295040/ysFhH8aY_normal.jpg</v>
      </c>
      <c r="W760" s="76">
        <v>44958.838217592594</v>
      </c>
      <c r="X760" s="80">
        <v>44958</v>
      </c>
      <c r="Y760" s="78" t="s">
        <v>2832</v>
      </c>
      <c r="Z760" s="77" t="str">
        <f>HYPERLINK("https://twitter.com/ianhillmedia/status/1620876398972833805")</f>
        <v>https://twitter.com/ianhillmedia/status/1620876398972833805</v>
      </c>
      <c r="AC760" s="78" t="s">
        <v>3896</v>
      </c>
      <c r="AE760" t="b">
        <v>0</v>
      </c>
      <c r="AF760">
        <v>0</v>
      </c>
      <c r="AG760" s="78" t="s">
        <v>4640</v>
      </c>
      <c r="AH760" t="b">
        <v>0</v>
      </c>
      <c r="AI760" t="s">
        <v>4829</v>
      </c>
      <c r="AK760" s="78" t="s">
        <v>4640</v>
      </c>
      <c r="AL760" t="b">
        <v>0</v>
      </c>
      <c r="AM760">
        <v>1</v>
      </c>
      <c r="AN760" s="78" t="s">
        <v>4361</v>
      </c>
      <c r="AO760" s="78" t="s">
        <v>4866</v>
      </c>
      <c r="AP760" t="b">
        <v>0</v>
      </c>
      <c r="AQ760" s="78" t="s">
        <v>4361</v>
      </c>
      <c r="AR760" t="s">
        <v>179</v>
      </c>
      <c r="AS760">
        <v>0</v>
      </c>
      <c r="AT760">
        <v>0</v>
      </c>
    </row>
    <row r="761" spans="1:46" x14ac:dyDescent="0.45">
      <c r="A761" s="62" t="s">
        <v>632</v>
      </c>
      <c r="B761" s="62" t="s">
        <v>242</v>
      </c>
      <c r="C761" s="63"/>
      <c r="D761" s="64"/>
      <c r="E761" s="65"/>
      <c r="F761" s="66"/>
      <c r="G761" s="63"/>
      <c r="H761" s="67"/>
      <c r="I761" s="68"/>
      <c r="J761" s="68"/>
      <c r="K761" s="32"/>
      <c r="L761" s="75"/>
      <c r="M761" s="75"/>
      <c r="N761" s="70"/>
      <c r="O761" t="s">
        <v>1567</v>
      </c>
      <c r="P761" s="76">
        <v>44958.838217592594</v>
      </c>
      <c r="Q761" t="s">
        <v>1834</v>
      </c>
      <c r="R761" s="77" t="str">
        <f>HYPERLINK("https://www.verifythis.com/Email")</f>
        <v>https://www.verifythis.com/Email</v>
      </c>
      <c r="S761" t="s">
        <v>2285</v>
      </c>
      <c r="V761" s="77" t="str">
        <f>HYPERLINK("https://pbs.twimg.com/profile_images/816564289230295040/ysFhH8aY_normal.jpg")</f>
        <v>https://pbs.twimg.com/profile_images/816564289230295040/ysFhH8aY_normal.jpg</v>
      </c>
      <c r="W761" s="76">
        <v>44958.838217592594</v>
      </c>
      <c r="X761" s="80">
        <v>44958</v>
      </c>
      <c r="Y761" s="78" t="s">
        <v>2832</v>
      </c>
      <c r="Z761" s="77" t="str">
        <f>HYPERLINK("https://twitter.com/ianhillmedia/status/1620876398972833805")</f>
        <v>https://twitter.com/ianhillmedia/status/1620876398972833805</v>
      </c>
      <c r="AC761" s="78" t="s">
        <v>3896</v>
      </c>
      <c r="AE761" t="b">
        <v>0</v>
      </c>
      <c r="AF761">
        <v>0</v>
      </c>
      <c r="AG761" s="78" t="s">
        <v>4640</v>
      </c>
      <c r="AH761" t="b">
        <v>0</v>
      </c>
      <c r="AI761" t="s">
        <v>4829</v>
      </c>
      <c r="AK761" s="78" t="s">
        <v>4640</v>
      </c>
      <c r="AL761" t="b">
        <v>0</v>
      </c>
      <c r="AM761">
        <v>1</v>
      </c>
      <c r="AN761" s="78" t="s">
        <v>4361</v>
      </c>
      <c r="AO761" s="78" t="s">
        <v>4866</v>
      </c>
      <c r="AP761" t="b">
        <v>0</v>
      </c>
      <c r="AQ761" s="78" t="s">
        <v>4361</v>
      </c>
      <c r="AR761" t="s">
        <v>179</v>
      </c>
      <c r="AS761">
        <v>0</v>
      </c>
      <c r="AT761">
        <v>0</v>
      </c>
    </row>
    <row r="762" spans="1:46" x14ac:dyDescent="0.45">
      <c r="A762" s="62" t="s">
        <v>657</v>
      </c>
      <c r="B762" s="62" t="s">
        <v>242</v>
      </c>
      <c r="C762" s="63"/>
      <c r="D762" s="64"/>
      <c r="E762" s="65"/>
      <c r="F762" s="66"/>
      <c r="G762" s="63"/>
      <c r="H762" s="67"/>
      <c r="I762" s="68"/>
      <c r="J762" s="68"/>
      <c r="K762" s="32"/>
      <c r="L762" s="75"/>
      <c r="M762" s="75"/>
      <c r="N762" s="70"/>
      <c r="O762" t="s">
        <v>1570</v>
      </c>
      <c r="P762" s="76">
        <v>44958.860717592594</v>
      </c>
      <c r="Q762" t="s">
        <v>1817</v>
      </c>
      <c r="R762"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62" t="s">
        <v>2285</v>
      </c>
      <c r="V762" s="77" t="str">
        <f>HYPERLINK("https://pbs.twimg.com/profile_images/993602343299047424/rk8j-n7t_normal.jpg")</f>
        <v>https://pbs.twimg.com/profile_images/993602343299047424/rk8j-n7t_normal.jpg</v>
      </c>
      <c r="W762" s="76">
        <v>44958.860717592594</v>
      </c>
      <c r="X762" s="80">
        <v>44958</v>
      </c>
      <c r="Y762" s="78" t="s">
        <v>2858</v>
      </c>
      <c r="Z762" s="77" t="str">
        <f>HYPERLINK("https://twitter.com/ibeanewsie/status/1620884553849085977")</f>
        <v>https://twitter.com/ibeanewsie/status/1620884553849085977</v>
      </c>
      <c r="AC762" s="78" t="s">
        <v>3923</v>
      </c>
      <c r="AE762" t="b">
        <v>0</v>
      </c>
      <c r="AF762">
        <v>0</v>
      </c>
      <c r="AG762" s="78" t="s">
        <v>4640</v>
      </c>
      <c r="AH762" t="b">
        <v>0</v>
      </c>
      <c r="AI762" t="s">
        <v>4829</v>
      </c>
      <c r="AK762" s="78" t="s">
        <v>4640</v>
      </c>
      <c r="AL762" t="b">
        <v>0</v>
      </c>
      <c r="AM762">
        <v>60</v>
      </c>
      <c r="AN762" s="78" t="s">
        <v>4360</v>
      </c>
      <c r="AO762" s="78" t="s">
        <v>4856</v>
      </c>
      <c r="AP762" t="b">
        <v>0</v>
      </c>
      <c r="AQ762" s="78" t="s">
        <v>4360</v>
      </c>
      <c r="AR762" t="s">
        <v>179</v>
      </c>
      <c r="AS762">
        <v>0</v>
      </c>
      <c r="AT762">
        <v>0</v>
      </c>
    </row>
    <row r="763" spans="1:46" x14ac:dyDescent="0.45">
      <c r="A763" s="62" t="s">
        <v>657</v>
      </c>
      <c r="B763" s="62" t="s">
        <v>1006</v>
      </c>
      <c r="C763" s="63"/>
      <c r="D763" s="64"/>
      <c r="E763" s="65"/>
      <c r="F763" s="66"/>
      <c r="G763" s="63"/>
      <c r="H763" s="67"/>
      <c r="I763" s="68"/>
      <c r="J763" s="68"/>
      <c r="K763" s="32"/>
      <c r="L763" s="75"/>
      <c r="M763" s="75"/>
      <c r="N763" s="70"/>
      <c r="O763" t="s">
        <v>1569</v>
      </c>
      <c r="P763" s="76">
        <v>44958.860717592594</v>
      </c>
      <c r="Q763" t="s">
        <v>1817</v>
      </c>
      <c r="R763"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63" t="s">
        <v>2285</v>
      </c>
      <c r="V763" s="77" t="str">
        <f>HYPERLINK("https://pbs.twimg.com/profile_images/993602343299047424/rk8j-n7t_normal.jpg")</f>
        <v>https://pbs.twimg.com/profile_images/993602343299047424/rk8j-n7t_normal.jpg</v>
      </c>
      <c r="W763" s="76">
        <v>44958.860717592594</v>
      </c>
      <c r="X763" s="80">
        <v>44958</v>
      </c>
      <c r="Y763" s="78" t="s">
        <v>2858</v>
      </c>
      <c r="Z763" s="77" t="str">
        <f>HYPERLINK("https://twitter.com/ibeanewsie/status/1620884553849085977")</f>
        <v>https://twitter.com/ibeanewsie/status/1620884553849085977</v>
      </c>
      <c r="AC763" s="78" t="s">
        <v>3923</v>
      </c>
      <c r="AE763" t="b">
        <v>0</v>
      </c>
      <c r="AF763">
        <v>0</v>
      </c>
      <c r="AG763" s="78" t="s">
        <v>4640</v>
      </c>
      <c r="AH763" t="b">
        <v>0</v>
      </c>
      <c r="AI763" t="s">
        <v>4829</v>
      </c>
      <c r="AK763" s="78" t="s">
        <v>4640</v>
      </c>
      <c r="AL763" t="b">
        <v>0</v>
      </c>
      <c r="AM763">
        <v>60</v>
      </c>
      <c r="AN763" s="78" t="s">
        <v>4360</v>
      </c>
      <c r="AO763" s="78" t="s">
        <v>4856</v>
      </c>
      <c r="AP763" t="b">
        <v>0</v>
      </c>
      <c r="AQ763" s="78" t="s">
        <v>4360</v>
      </c>
      <c r="AR763" t="s">
        <v>179</v>
      </c>
      <c r="AS763">
        <v>0</v>
      </c>
      <c r="AT763">
        <v>0</v>
      </c>
    </row>
    <row r="764" spans="1:46" x14ac:dyDescent="0.45">
      <c r="A764" s="62" t="s">
        <v>660</v>
      </c>
      <c r="B764" s="62" t="s">
        <v>242</v>
      </c>
      <c r="C764" s="63"/>
      <c r="D764" s="64"/>
      <c r="E764" s="65"/>
      <c r="F764" s="66"/>
      <c r="G764" s="63"/>
      <c r="H764" s="67"/>
      <c r="I764" s="68"/>
      <c r="J764" s="68"/>
      <c r="K764" s="32"/>
      <c r="L764" s="75"/>
      <c r="M764" s="75"/>
      <c r="N764" s="70"/>
      <c r="O764" t="s">
        <v>1570</v>
      </c>
      <c r="P764" s="76">
        <v>44958.86178240741</v>
      </c>
      <c r="Q764" t="s">
        <v>1817</v>
      </c>
      <c r="R764"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64" t="s">
        <v>2285</v>
      </c>
      <c r="V764" s="77" t="str">
        <f>HYPERLINK("https://pbs.twimg.com/profile_images/1645676940/gr8mvBandW_-_Copy_normal.jpg")</f>
        <v>https://pbs.twimg.com/profile_images/1645676940/gr8mvBandW_-_Copy_normal.jpg</v>
      </c>
      <c r="W764" s="76">
        <v>44958.86178240741</v>
      </c>
      <c r="X764" s="80">
        <v>44958</v>
      </c>
      <c r="Y764" s="78" t="s">
        <v>2861</v>
      </c>
      <c r="Z764" s="77" t="str">
        <f>HYPERLINK("https://twitter.com/gr8musicvenues/status/1620884938907340800")</f>
        <v>https://twitter.com/gr8musicvenues/status/1620884938907340800</v>
      </c>
      <c r="AC764" s="78" t="s">
        <v>3926</v>
      </c>
      <c r="AE764" t="b">
        <v>0</v>
      </c>
      <c r="AF764">
        <v>0</v>
      </c>
      <c r="AG764" s="78" t="s">
        <v>4640</v>
      </c>
      <c r="AH764" t="b">
        <v>0</v>
      </c>
      <c r="AI764" t="s">
        <v>4829</v>
      </c>
      <c r="AK764" s="78" t="s">
        <v>4640</v>
      </c>
      <c r="AL764" t="b">
        <v>0</v>
      </c>
      <c r="AM764">
        <v>60</v>
      </c>
      <c r="AN764" s="78" t="s">
        <v>4360</v>
      </c>
      <c r="AO764" s="78" t="s">
        <v>4851</v>
      </c>
      <c r="AP764" t="b">
        <v>0</v>
      </c>
      <c r="AQ764" s="78" t="s">
        <v>4360</v>
      </c>
      <c r="AR764" t="s">
        <v>179</v>
      </c>
      <c r="AS764">
        <v>0</v>
      </c>
      <c r="AT764">
        <v>0</v>
      </c>
    </row>
    <row r="765" spans="1:46" x14ac:dyDescent="0.45">
      <c r="A765" s="62" t="s">
        <v>660</v>
      </c>
      <c r="B765" s="62" t="s">
        <v>1006</v>
      </c>
      <c r="C765" s="63"/>
      <c r="D765" s="64"/>
      <c r="E765" s="65"/>
      <c r="F765" s="66"/>
      <c r="G765" s="63"/>
      <c r="H765" s="67"/>
      <c r="I765" s="68"/>
      <c r="J765" s="68"/>
      <c r="K765" s="32"/>
      <c r="L765" s="75"/>
      <c r="M765" s="75"/>
      <c r="N765" s="70"/>
      <c r="O765" t="s">
        <v>1569</v>
      </c>
      <c r="P765" s="76">
        <v>44958.86178240741</v>
      </c>
      <c r="Q765" t="s">
        <v>1817</v>
      </c>
      <c r="R765"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65" t="s">
        <v>2285</v>
      </c>
      <c r="V765" s="77" t="str">
        <f>HYPERLINK("https://pbs.twimg.com/profile_images/1645676940/gr8mvBandW_-_Copy_normal.jpg")</f>
        <v>https://pbs.twimg.com/profile_images/1645676940/gr8mvBandW_-_Copy_normal.jpg</v>
      </c>
      <c r="W765" s="76">
        <v>44958.86178240741</v>
      </c>
      <c r="X765" s="80">
        <v>44958</v>
      </c>
      <c r="Y765" s="78" t="s">
        <v>2861</v>
      </c>
      <c r="Z765" s="77" t="str">
        <f>HYPERLINK("https://twitter.com/gr8musicvenues/status/1620884938907340800")</f>
        <v>https://twitter.com/gr8musicvenues/status/1620884938907340800</v>
      </c>
      <c r="AC765" s="78" t="s">
        <v>3926</v>
      </c>
      <c r="AE765" t="b">
        <v>0</v>
      </c>
      <c r="AF765">
        <v>0</v>
      </c>
      <c r="AG765" s="78" t="s">
        <v>4640</v>
      </c>
      <c r="AH765" t="b">
        <v>0</v>
      </c>
      <c r="AI765" t="s">
        <v>4829</v>
      </c>
      <c r="AK765" s="78" t="s">
        <v>4640</v>
      </c>
      <c r="AL765" t="b">
        <v>0</v>
      </c>
      <c r="AM765">
        <v>60</v>
      </c>
      <c r="AN765" s="78" t="s">
        <v>4360</v>
      </c>
      <c r="AO765" s="78" t="s">
        <v>4851</v>
      </c>
      <c r="AP765" t="b">
        <v>0</v>
      </c>
      <c r="AQ765" s="78" t="s">
        <v>4360</v>
      </c>
      <c r="AR765" t="s">
        <v>179</v>
      </c>
      <c r="AS765">
        <v>0</v>
      </c>
      <c r="AT765">
        <v>0</v>
      </c>
    </row>
    <row r="766" spans="1:46" x14ac:dyDescent="0.45">
      <c r="A766" s="62" t="s">
        <v>859</v>
      </c>
      <c r="B766" s="62" t="s">
        <v>242</v>
      </c>
      <c r="C766" s="63"/>
      <c r="D766" s="64"/>
      <c r="E766" s="65"/>
      <c r="F766" s="66"/>
      <c r="G766" s="63"/>
      <c r="H766" s="67"/>
      <c r="I766" s="68"/>
      <c r="J766" s="68"/>
      <c r="K766" s="32"/>
      <c r="L766" s="75"/>
      <c r="M766" s="75"/>
      <c r="N766" s="70"/>
      <c r="O766" t="s">
        <v>1570</v>
      </c>
      <c r="P766" s="76">
        <v>44959.032337962963</v>
      </c>
      <c r="Q766" t="s">
        <v>1817</v>
      </c>
      <c r="R766"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66" t="s">
        <v>2285</v>
      </c>
      <c r="V766" s="77" t="str">
        <f>HYPERLINK("https://pbs.twimg.com/profile_images/1927726827/TrayvonMartin_1_normal.jpg")</f>
        <v>https://pbs.twimg.com/profile_images/1927726827/TrayvonMartin_1_normal.jpg</v>
      </c>
      <c r="W766" s="76">
        <v>44959.032337962963</v>
      </c>
      <c r="X766" s="80">
        <v>44959</v>
      </c>
      <c r="Y766" s="78" t="s">
        <v>3119</v>
      </c>
      <c r="Z766" s="77" t="str">
        <f>HYPERLINK("https://twitter.com/boneknightmare/status/1620946747299344390")</f>
        <v>https://twitter.com/boneknightmare/status/1620946747299344390</v>
      </c>
      <c r="AC766" s="78" t="s">
        <v>4184</v>
      </c>
      <c r="AE766" t="b">
        <v>0</v>
      </c>
      <c r="AF766">
        <v>0</v>
      </c>
      <c r="AG766" s="78" t="s">
        <v>4640</v>
      </c>
      <c r="AH766" t="b">
        <v>0</v>
      </c>
      <c r="AI766" t="s">
        <v>4829</v>
      </c>
      <c r="AK766" s="78" t="s">
        <v>4640</v>
      </c>
      <c r="AL766" t="b">
        <v>0</v>
      </c>
      <c r="AM766">
        <v>60</v>
      </c>
      <c r="AN766" s="78" t="s">
        <v>4360</v>
      </c>
      <c r="AO766" s="78" t="s">
        <v>4850</v>
      </c>
      <c r="AP766" t="b">
        <v>0</v>
      </c>
      <c r="AQ766" s="78" t="s">
        <v>4360</v>
      </c>
      <c r="AR766" t="s">
        <v>179</v>
      </c>
      <c r="AS766">
        <v>0</v>
      </c>
      <c r="AT766">
        <v>0</v>
      </c>
    </row>
    <row r="767" spans="1:46" x14ac:dyDescent="0.45">
      <c r="A767" s="62" t="s">
        <v>859</v>
      </c>
      <c r="B767" s="62" t="s">
        <v>1006</v>
      </c>
      <c r="C767" s="63"/>
      <c r="D767" s="64"/>
      <c r="E767" s="65"/>
      <c r="F767" s="66"/>
      <c r="G767" s="63"/>
      <c r="H767" s="67"/>
      <c r="I767" s="68"/>
      <c r="J767" s="68"/>
      <c r="K767" s="32"/>
      <c r="L767" s="75"/>
      <c r="M767" s="75"/>
      <c r="N767" s="70"/>
      <c r="O767" t="s">
        <v>1569</v>
      </c>
      <c r="P767" s="76">
        <v>44959.032337962963</v>
      </c>
      <c r="Q767" t="s">
        <v>1817</v>
      </c>
      <c r="R767"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67" t="s">
        <v>2285</v>
      </c>
      <c r="V767" s="77" t="str">
        <f>HYPERLINK("https://pbs.twimg.com/profile_images/1927726827/TrayvonMartin_1_normal.jpg")</f>
        <v>https://pbs.twimg.com/profile_images/1927726827/TrayvonMartin_1_normal.jpg</v>
      </c>
      <c r="W767" s="76">
        <v>44959.032337962963</v>
      </c>
      <c r="X767" s="80">
        <v>44959</v>
      </c>
      <c r="Y767" s="78" t="s">
        <v>3119</v>
      </c>
      <c r="Z767" s="77" t="str">
        <f>HYPERLINK("https://twitter.com/boneknightmare/status/1620946747299344390")</f>
        <v>https://twitter.com/boneknightmare/status/1620946747299344390</v>
      </c>
      <c r="AC767" s="78" t="s">
        <v>4184</v>
      </c>
      <c r="AE767" t="b">
        <v>0</v>
      </c>
      <c r="AF767">
        <v>0</v>
      </c>
      <c r="AG767" s="78" t="s">
        <v>4640</v>
      </c>
      <c r="AH767" t="b">
        <v>0</v>
      </c>
      <c r="AI767" t="s">
        <v>4829</v>
      </c>
      <c r="AK767" s="78" t="s">
        <v>4640</v>
      </c>
      <c r="AL767" t="b">
        <v>0</v>
      </c>
      <c r="AM767">
        <v>60</v>
      </c>
      <c r="AN767" s="78" t="s">
        <v>4360</v>
      </c>
      <c r="AO767" s="78" t="s">
        <v>4850</v>
      </c>
      <c r="AP767" t="b">
        <v>0</v>
      </c>
      <c r="AQ767" s="78" t="s">
        <v>4360</v>
      </c>
      <c r="AR767" t="s">
        <v>179</v>
      </c>
      <c r="AS767">
        <v>0</v>
      </c>
      <c r="AT767">
        <v>0</v>
      </c>
    </row>
    <row r="768" spans="1:46" x14ac:dyDescent="0.45">
      <c r="A768" s="62" t="s">
        <v>1006</v>
      </c>
      <c r="B768" s="62" t="s">
        <v>242</v>
      </c>
      <c r="C768" s="63"/>
      <c r="D768" s="64"/>
      <c r="E768" s="65"/>
      <c r="F768" s="66"/>
      <c r="G768" s="63"/>
      <c r="H768" s="67"/>
      <c r="I768" s="68"/>
      <c r="J768" s="68"/>
      <c r="K768" s="32"/>
      <c r="L768" s="75"/>
      <c r="M768" s="75"/>
      <c r="N768" s="70"/>
      <c r="O768" t="s">
        <v>1567</v>
      </c>
      <c r="P768" s="76">
        <v>44958.808807870373</v>
      </c>
      <c r="Q768" t="s">
        <v>1834</v>
      </c>
      <c r="R768" s="77" t="str">
        <f>HYPERLINK("https://www.verifythis.com/Email")</f>
        <v>https://www.verifythis.com/Email</v>
      </c>
      <c r="S768" t="s">
        <v>2285</v>
      </c>
      <c r="V768" s="77" t="str">
        <f>HYPERLINK("https://pbs.twimg.com/profile_images/1378066197929988101/LSM1tFKD_normal.png")</f>
        <v>https://pbs.twimg.com/profile_images/1378066197929988101/LSM1tFKD_normal.png</v>
      </c>
      <c r="W768" s="76">
        <v>44958.808807870373</v>
      </c>
      <c r="X768" s="80">
        <v>44958</v>
      </c>
      <c r="Y768" s="78" t="s">
        <v>3296</v>
      </c>
      <c r="Z768" s="77" t="str">
        <f>HYPERLINK("https://twitter.com/verifythis/status/1620865741137317888")</f>
        <v>https://twitter.com/verifythis/status/1620865741137317888</v>
      </c>
      <c r="AC768" s="78" t="s">
        <v>4361</v>
      </c>
      <c r="AD768" s="78" t="s">
        <v>4360</v>
      </c>
      <c r="AE768" t="b">
        <v>0</v>
      </c>
      <c r="AF768">
        <v>0</v>
      </c>
      <c r="AG768" s="78" t="s">
        <v>4720</v>
      </c>
      <c r="AH768" t="b">
        <v>0</v>
      </c>
      <c r="AI768" t="s">
        <v>4829</v>
      </c>
      <c r="AK768" s="78" t="s">
        <v>4640</v>
      </c>
      <c r="AL768" t="b">
        <v>0</v>
      </c>
      <c r="AM768">
        <v>1</v>
      </c>
      <c r="AN768" s="78" t="s">
        <v>4640</v>
      </c>
      <c r="AO768" s="78" t="s">
        <v>4866</v>
      </c>
      <c r="AP768" t="b">
        <v>0</v>
      </c>
      <c r="AQ768" s="78" t="s">
        <v>4360</v>
      </c>
      <c r="AR768" t="s">
        <v>179</v>
      </c>
      <c r="AS768">
        <v>0</v>
      </c>
      <c r="AT768">
        <v>0</v>
      </c>
    </row>
    <row r="769" spans="1:46" x14ac:dyDescent="0.45">
      <c r="A769" s="62" t="s">
        <v>1007</v>
      </c>
      <c r="B769" s="62" t="s">
        <v>1006</v>
      </c>
      <c r="C769" s="63"/>
      <c r="D769" s="64"/>
      <c r="E769" s="65"/>
      <c r="F769" s="66"/>
      <c r="G769" s="63"/>
      <c r="H769" s="67"/>
      <c r="I769" s="68"/>
      <c r="J769" s="68"/>
      <c r="K769" s="32"/>
      <c r="L769" s="75"/>
      <c r="M769" s="75"/>
      <c r="N769" s="70"/>
      <c r="O769" t="s">
        <v>1569</v>
      </c>
      <c r="P769" s="76">
        <v>44959.319074074076</v>
      </c>
      <c r="Q769" t="s">
        <v>1817</v>
      </c>
      <c r="R769"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69" t="s">
        <v>2285</v>
      </c>
      <c r="V769" s="77" t="str">
        <f>HYPERLINK("https://pbs.twimg.com/profile_images/917232990308114433/STN-yA7F_normal.jpg")</f>
        <v>https://pbs.twimg.com/profile_images/917232990308114433/STN-yA7F_normal.jpg</v>
      </c>
      <c r="W769" s="76">
        <v>44959.319074074076</v>
      </c>
      <c r="X769" s="80">
        <v>44959</v>
      </c>
      <c r="Y769" s="78" t="s">
        <v>3297</v>
      </c>
      <c r="Z769" s="77" t="str">
        <f>HYPERLINK("https://twitter.com/he1fineartist/status/1621050655799648257")</f>
        <v>https://twitter.com/he1fineartist/status/1621050655799648257</v>
      </c>
      <c r="AC769" s="78" t="s">
        <v>4362</v>
      </c>
      <c r="AE769" t="b">
        <v>0</v>
      </c>
      <c r="AF769">
        <v>0</v>
      </c>
      <c r="AG769" s="78" t="s">
        <v>4640</v>
      </c>
      <c r="AH769" t="b">
        <v>0</v>
      </c>
      <c r="AI769" t="s">
        <v>4829</v>
      </c>
      <c r="AK769" s="78" t="s">
        <v>4640</v>
      </c>
      <c r="AL769" t="b">
        <v>0</v>
      </c>
      <c r="AM769">
        <v>60</v>
      </c>
      <c r="AN769" s="78" t="s">
        <v>4360</v>
      </c>
      <c r="AO769" s="78" t="s">
        <v>4851</v>
      </c>
      <c r="AP769" t="b">
        <v>0</v>
      </c>
      <c r="AQ769" s="78" t="s">
        <v>4360</v>
      </c>
      <c r="AR769" t="s">
        <v>179</v>
      </c>
      <c r="AS769">
        <v>0</v>
      </c>
      <c r="AT769">
        <v>0</v>
      </c>
    </row>
    <row r="770" spans="1:46" x14ac:dyDescent="0.45">
      <c r="A770" s="62" t="s">
        <v>1007</v>
      </c>
      <c r="B770" s="62" t="s">
        <v>242</v>
      </c>
      <c r="C770" s="63"/>
      <c r="D770" s="64"/>
      <c r="E770" s="65"/>
      <c r="F770" s="66"/>
      <c r="G770" s="63"/>
      <c r="H770" s="67"/>
      <c r="I770" s="68"/>
      <c r="J770" s="68"/>
      <c r="K770" s="32"/>
      <c r="L770" s="75"/>
      <c r="M770" s="75"/>
      <c r="N770" s="70"/>
      <c r="O770" t="s">
        <v>1570</v>
      </c>
      <c r="P770" s="76">
        <v>44959.319074074076</v>
      </c>
      <c r="Q770" t="s">
        <v>1817</v>
      </c>
      <c r="R770" s="77" t="str">
        <f>HYPERLINK("https://www.verifythis.com/article/news/verify/money-verify/walmart-not-charging-one-dollar-for-carts-fact-check/536-52f10baf-b016-4264-8c74-36325f9660d9")</f>
        <v>https://www.verifythis.com/article/news/verify/money-verify/walmart-not-charging-one-dollar-for-carts-fact-check/536-52f10baf-b016-4264-8c74-36325f9660d9</v>
      </c>
      <c r="S770" t="s">
        <v>2285</v>
      </c>
      <c r="V770" s="77" t="str">
        <f>HYPERLINK("https://pbs.twimg.com/profile_images/917232990308114433/STN-yA7F_normal.jpg")</f>
        <v>https://pbs.twimg.com/profile_images/917232990308114433/STN-yA7F_normal.jpg</v>
      </c>
      <c r="W770" s="76">
        <v>44959.319074074076</v>
      </c>
      <c r="X770" s="80">
        <v>44959</v>
      </c>
      <c r="Y770" s="78" t="s">
        <v>3297</v>
      </c>
      <c r="Z770" s="77" t="str">
        <f>HYPERLINK("https://twitter.com/he1fineartist/status/1621050655799648257")</f>
        <v>https://twitter.com/he1fineartist/status/1621050655799648257</v>
      </c>
      <c r="AC770" s="78" t="s">
        <v>4362</v>
      </c>
      <c r="AE770" t="b">
        <v>0</v>
      </c>
      <c r="AF770">
        <v>0</v>
      </c>
      <c r="AG770" s="78" t="s">
        <v>4640</v>
      </c>
      <c r="AH770" t="b">
        <v>0</v>
      </c>
      <c r="AI770" t="s">
        <v>4829</v>
      </c>
      <c r="AK770" s="78" t="s">
        <v>4640</v>
      </c>
      <c r="AL770" t="b">
        <v>0</v>
      </c>
      <c r="AM770">
        <v>60</v>
      </c>
      <c r="AN770" s="78" t="s">
        <v>4360</v>
      </c>
      <c r="AO770" s="78" t="s">
        <v>4851</v>
      </c>
      <c r="AP770" t="b">
        <v>0</v>
      </c>
      <c r="AQ770" s="78" t="s">
        <v>4360</v>
      </c>
      <c r="AR770" t="s">
        <v>179</v>
      </c>
      <c r="AS770">
        <v>0</v>
      </c>
      <c r="AT770">
        <v>0</v>
      </c>
    </row>
    <row r="771" spans="1:46" x14ac:dyDescent="0.45">
      <c r="A771" s="62" t="s">
        <v>455</v>
      </c>
      <c r="B771" s="62" t="s">
        <v>242</v>
      </c>
      <c r="C771" s="63"/>
      <c r="D771" s="64"/>
      <c r="E771" s="65"/>
      <c r="F771" s="66"/>
      <c r="G771" s="63"/>
      <c r="H771" s="67"/>
      <c r="I771" s="68"/>
      <c r="J771" s="68"/>
      <c r="K771" s="32"/>
      <c r="L771" s="75"/>
      <c r="M771" s="75"/>
      <c r="N771" s="70"/>
      <c r="O771" t="s">
        <v>1568</v>
      </c>
      <c r="P771" s="76">
        <v>44958.729178240741</v>
      </c>
      <c r="Q771" t="s">
        <v>1753</v>
      </c>
      <c r="R771" s="77" t="str">
        <f>HYPERLINK("https://marketplace.walmart.com/sellercloud-blog?utm_content=236635496&amp;utm_medium=social&amp;utm_source=twitter&amp;hss_channel=tw-110227898")</f>
        <v>https://marketplace.walmart.com/sellercloud-blog?utm_content=236635496&amp;utm_medium=social&amp;utm_source=twitter&amp;hss_channel=tw-110227898</v>
      </c>
      <c r="S771" t="s">
        <v>2266</v>
      </c>
      <c r="T771" s="78" t="s">
        <v>2341</v>
      </c>
      <c r="U771" s="77" t="str">
        <f>HYPERLINK("https://pbs.twimg.com/media/Fn5ejkrXkAEMetG.jpg")</f>
        <v>https://pbs.twimg.com/media/Fn5ejkrXkAEMetG.jpg</v>
      </c>
      <c r="V771" s="77" t="str">
        <f>HYPERLINK("https://pbs.twimg.com/media/Fn5ejkrXkAEMetG.jpg")</f>
        <v>https://pbs.twimg.com/media/Fn5ejkrXkAEMetG.jpg</v>
      </c>
      <c r="W771" s="76">
        <v>44958.729178240741</v>
      </c>
      <c r="X771" s="80">
        <v>44958</v>
      </c>
      <c r="Y771" s="78" t="s">
        <v>2685</v>
      </c>
      <c r="Z771" s="77" t="str">
        <f>HYPERLINK("https://twitter.com/sellercloud/status/1620836883818225664")</f>
        <v>https://twitter.com/sellercloud/status/1620836883818225664</v>
      </c>
      <c r="AC771" s="78" t="s">
        <v>3703</v>
      </c>
      <c r="AE771" t="b">
        <v>0</v>
      </c>
      <c r="AF771">
        <v>0</v>
      </c>
      <c r="AG771" s="78" t="s">
        <v>4640</v>
      </c>
      <c r="AH771" t="b">
        <v>0</v>
      </c>
      <c r="AI771" t="s">
        <v>4829</v>
      </c>
      <c r="AK771" s="78" t="s">
        <v>4640</v>
      </c>
      <c r="AL771" t="b">
        <v>0</v>
      </c>
      <c r="AM771">
        <v>0</v>
      </c>
      <c r="AN771" s="78" t="s">
        <v>4640</v>
      </c>
      <c r="AO771" s="78" t="s">
        <v>4863</v>
      </c>
      <c r="AP771" t="b">
        <v>0</v>
      </c>
      <c r="AQ771" s="78" t="s">
        <v>3703</v>
      </c>
      <c r="AR771" t="s">
        <v>179</v>
      </c>
      <c r="AS771">
        <v>0</v>
      </c>
      <c r="AT771">
        <v>0</v>
      </c>
    </row>
    <row r="772" spans="1:46" x14ac:dyDescent="0.45">
      <c r="A772" s="62" t="s">
        <v>668</v>
      </c>
      <c r="B772" s="62" t="s">
        <v>242</v>
      </c>
      <c r="C772" s="63"/>
      <c r="D772" s="64"/>
      <c r="E772" s="65"/>
      <c r="F772" s="66"/>
      <c r="G772" s="63"/>
      <c r="H772" s="67"/>
      <c r="I772" s="68"/>
      <c r="J772" s="68"/>
      <c r="K772" s="32"/>
      <c r="L772" s="75"/>
      <c r="M772" s="75"/>
      <c r="N772" s="70"/>
      <c r="O772" t="s">
        <v>1568</v>
      </c>
      <c r="P772" s="76">
        <v>44958.866412037038</v>
      </c>
      <c r="Q772" t="s">
        <v>1857</v>
      </c>
      <c r="R772" s="77" t="str">
        <f>HYPERLINK("https://www.walmart.com/search?q=kyvan")</f>
        <v>https://www.walmart.com/search?q=kyvan</v>
      </c>
      <c r="S772" t="s">
        <v>2266</v>
      </c>
      <c r="T772" s="78" t="s">
        <v>2356</v>
      </c>
      <c r="U772" s="77" t="str">
        <f>HYPERLINK("https://pbs.twimg.com/media/Fn6LySnXoBEh7fG.jpg")</f>
        <v>https://pbs.twimg.com/media/Fn6LySnXoBEh7fG.jpg</v>
      </c>
      <c r="V772" s="77" t="str">
        <f>HYPERLINK("https://pbs.twimg.com/media/Fn6LySnXoBEh7fG.jpg")</f>
        <v>https://pbs.twimg.com/media/Fn6LySnXoBEh7fG.jpg</v>
      </c>
      <c r="W772" s="76">
        <v>44958.866412037038</v>
      </c>
      <c r="X772" s="80">
        <v>44958</v>
      </c>
      <c r="Y772" s="78" t="s">
        <v>2869</v>
      </c>
      <c r="Z772" s="77" t="str">
        <f>HYPERLINK("https://twitter.com/kyvan82/status/1620886615597158401")</f>
        <v>https://twitter.com/kyvan82/status/1620886615597158401</v>
      </c>
      <c r="AC772" s="78" t="s">
        <v>3934</v>
      </c>
      <c r="AE772" t="b">
        <v>0</v>
      </c>
      <c r="AF772">
        <v>0</v>
      </c>
      <c r="AG772" s="78" t="s">
        <v>4640</v>
      </c>
      <c r="AH772" t="b">
        <v>0</v>
      </c>
      <c r="AI772" t="s">
        <v>4829</v>
      </c>
      <c r="AK772" s="78" t="s">
        <v>4640</v>
      </c>
      <c r="AL772" t="b">
        <v>0</v>
      </c>
      <c r="AM772">
        <v>0</v>
      </c>
      <c r="AN772" s="78" t="s">
        <v>4640</v>
      </c>
      <c r="AO772" s="78" t="s">
        <v>4849</v>
      </c>
      <c r="AP772" t="b">
        <v>0</v>
      </c>
      <c r="AQ772" s="78" t="s">
        <v>3934</v>
      </c>
      <c r="AR772" t="s">
        <v>179</v>
      </c>
      <c r="AS772">
        <v>0</v>
      </c>
      <c r="AT772">
        <v>0</v>
      </c>
    </row>
    <row r="773" spans="1:46" x14ac:dyDescent="0.45">
      <c r="A773" s="62" t="s">
        <v>867</v>
      </c>
      <c r="B773" s="62" t="s">
        <v>1408</v>
      </c>
      <c r="C773" s="63"/>
      <c r="D773" s="64"/>
      <c r="E773" s="65"/>
      <c r="F773" s="66"/>
      <c r="G773" s="63"/>
      <c r="H773" s="67"/>
      <c r="I773" s="68"/>
      <c r="J773" s="68"/>
      <c r="K773" s="32"/>
      <c r="L773" s="75"/>
      <c r="M773" s="75"/>
      <c r="N773" s="70"/>
      <c r="O773" t="s">
        <v>1568</v>
      </c>
      <c r="P773" s="76">
        <v>44944.869733796295</v>
      </c>
      <c r="Q773" t="s">
        <v>2040</v>
      </c>
      <c r="R773" s="77" t="str">
        <f>HYPERLINK("https://www.walmart.com/ip/ArtSkills-Essentials-9-x-12-Watercolor-Paper-Pad-30-Sheets-with-Paints-Art-Craft-Kit/999613119")</f>
        <v>https://www.walmart.com/ip/ArtSkills-Essentials-9-x-12-Watercolor-Paper-Pad-30-Sheets-with-Paints-Art-Craft-Kit/999613119</v>
      </c>
      <c r="S773" t="s">
        <v>2266</v>
      </c>
      <c r="T773" s="78" t="s">
        <v>2386</v>
      </c>
      <c r="U773" s="77" t="str">
        <f>HYPERLINK("https://pbs.twimg.com/media/FmyGl4CXECQWilL.jpg")</f>
        <v>https://pbs.twimg.com/media/FmyGl4CXECQWilL.jpg</v>
      </c>
      <c r="V773" s="77" t="str">
        <f>HYPERLINK("https://pbs.twimg.com/media/FmyGl4CXECQWilL.jpg")</f>
        <v>https://pbs.twimg.com/media/FmyGl4CXECQWilL.jpg</v>
      </c>
      <c r="W773" s="76">
        <v>44944.869733796295</v>
      </c>
      <c r="X773" s="80">
        <v>44944</v>
      </c>
      <c r="Y773" s="78" t="s">
        <v>3127</v>
      </c>
      <c r="Z773" s="77" t="str">
        <f>HYPERLINK("https://twitter.com/artskills/status/1615814389990363173")</f>
        <v>https://twitter.com/artskills/status/1615814389990363173</v>
      </c>
      <c r="AC773" s="78" t="s">
        <v>4192</v>
      </c>
      <c r="AE773" t="b">
        <v>0</v>
      </c>
      <c r="AF773">
        <v>3</v>
      </c>
      <c r="AG773" s="78" t="s">
        <v>4640</v>
      </c>
      <c r="AH773" t="b">
        <v>0</v>
      </c>
      <c r="AI773" t="s">
        <v>4829</v>
      </c>
      <c r="AK773" s="78" t="s">
        <v>4640</v>
      </c>
      <c r="AL773" t="b">
        <v>0</v>
      </c>
      <c r="AM773">
        <v>1</v>
      </c>
      <c r="AN773" s="78" t="s">
        <v>4640</v>
      </c>
      <c r="AO773" s="78" t="s">
        <v>4851</v>
      </c>
      <c r="AP773" t="b">
        <v>0</v>
      </c>
      <c r="AQ773" s="78" t="s">
        <v>4192</v>
      </c>
      <c r="AR773" t="s">
        <v>1569</v>
      </c>
      <c r="AS773">
        <v>0</v>
      </c>
      <c r="AT773">
        <v>0</v>
      </c>
    </row>
    <row r="774" spans="1:46" x14ac:dyDescent="0.45">
      <c r="A774" s="62" t="s">
        <v>867</v>
      </c>
      <c r="B774" s="62" t="s">
        <v>242</v>
      </c>
      <c r="C774" s="63"/>
      <c r="D774" s="64"/>
      <c r="E774" s="65"/>
      <c r="F774" s="66"/>
      <c r="G774" s="63"/>
      <c r="H774" s="67"/>
      <c r="I774" s="68"/>
      <c r="J774" s="68"/>
      <c r="K774" s="32"/>
      <c r="L774" s="75"/>
      <c r="M774" s="75"/>
      <c r="N774" s="70"/>
      <c r="O774" t="s">
        <v>1568</v>
      </c>
      <c r="P774" s="76">
        <v>44944.869733796295</v>
      </c>
      <c r="Q774" t="s">
        <v>2040</v>
      </c>
      <c r="R774" s="77" t="str">
        <f>HYPERLINK("https://www.walmart.com/ip/ArtSkills-Essentials-9-x-12-Watercolor-Paper-Pad-30-Sheets-with-Paints-Art-Craft-Kit/999613119")</f>
        <v>https://www.walmart.com/ip/ArtSkills-Essentials-9-x-12-Watercolor-Paper-Pad-30-Sheets-with-Paints-Art-Craft-Kit/999613119</v>
      </c>
      <c r="S774" t="s">
        <v>2266</v>
      </c>
      <c r="T774" s="78" t="s">
        <v>2386</v>
      </c>
      <c r="U774" s="77" t="str">
        <f>HYPERLINK("https://pbs.twimg.com/media/FmyGl4CXECQWilL.jpg")</f>
        <v>https://pbs.twimg.com/media/FmyGl4CXECQWilL.jpg</v>
      </c>
      <c r="V774" s="77" t="str">
        <f>HYPERLINK("https://pbs.twimg.com/media/FmyGl4CXECQWilL.jpg")</f>
        <v>https://pbs.twimg.com/media/FmyGl4CXECQWilL.jpg</v>
      </c>
      <c r="W774" s="76">
        <v>44944.869733796295</v>
      </c>
      <c r="X774" s="80">
        <v>44944</v>
      </c>
      <c r="Y774" s="78" t="s">
        <v>3127</v>
      </c>
      <c r="Z774" s="77" t="str">
        <f>HYPERLINK("https://twitter.com/artskills/status/1615814389990363173")</f>
        <v>https://twitter.com/artskills/status/1615814389990363173</v>
      </c>
      <c r="AC774" s="78" t="s">
        <v>4192</v>
      </c>
      <c r="AE774" t="b">
        <v>0</v>
      </c>
      <c r="AF774">
        <v>3</v>
      </c>
      <c r="AG774" s="78" t="s">
        <v>4640</v>
      </c>
      <c r="AH774" t="b">
        <v>0</v>
      </c>
      <c r="AI774" t="s">
        <v>4829</v>
      </c>
      <c r="AK774" s="78" t="s">
        <v>4640</v>
      </c>
      <c r="AL774" t="b">
        <v>0</v>
      </c>
      <c r="AM774">
        <v>1</v>
      </c>
      <c r="AN774" s="78" t="s">
        <v>4640</v>
      </c>
      <c r="AO774" s="78" t="s">
        <v>4851</v>
      </c>
      <c r="AP774" t="b">
        <v>0</v>
      </c>
      <c r="AQ774" s="78" t="s">
        <v>4192</v>
      </c>
      <c r="AR774" t="s">
        <v>1569</v>
      </c>
      <c r="AS774">
        <v>0</v>
      </c>
      <c r="AT774">
        <v>0</v>
      </c>
    </row>
    <row r="775" spans="1:46" x14ac:dyDescent="0.45">
      <c r="A775" s="62" t="s">
        <v>868</v>
      </c>
      <c r="B775" s="62" t="s">
        <v>1408</v>
      </c>
      <c r="C775" s="63"/>
      <c r="D775" s="64"/>
      <c r="E775" s="65"/>
      <c r="F775" s="66"/>
      <c r="G775" s="63"/>
      <c r="H775" s="67"/>
      <c r="I775" s="68"/>
      <c r="J775" s="68"/>
      <c r="K775" s="32"/>
      <c r="L775" s="75"/>
      <c r="M775" s="75"/>
      <c r="N775" s="70"/>
      <c r="O775" t="s">
        <v>1570</v>
      </c>
      <c r="P775" s="76">
        <v>44959.053032407406</v>
      </c>
      <c r="Q775" t="s">
        <v>2040</v>
      </c>
      <c r="R775" s="77" t="str">
        <f>HYPERLINK("https://www.walmart.com/ip/ArtSkills-Essentials-9-x-12-Watercolor-Paper-Pad-30-Sheets-with-Paints-Art-Craft-Kit/999613119")</f>
        <v>https://www.walmart.com/ip/ArtSkills-Essentials-9-x-12-Watercolor-Paper-Pad-30-Sheets-with-Paints-Art-Craft-Kit/999613119</v>
      </c>
      <c r="S775" t="s">
        <v>2266</v>
      </c>
      <c r="T775" s="78" t="s">
        <v>2386</v>
      </c>
      <c r="U775" s="77" t="str">
        <f>HYPERLINK("https://pbs.twimg.com/media/FmyGl4CXECQWilL.jpg")</f>
        <v>https://pbs.twimg.com/media/FmyGl4CXECQWilL.jpg</v>
      </c>
      <c r="V775" s="77" t="str">
        <f>HYPERLINK("https://pbs.twimg.com/media/FmyGl4CXECQWilL.jpg")</f>
        <v>https://pbs.twimg.com/media/FmyGl4CXECQWilL.jpg</v>
      </c>
      <c r="W775" s="76">
        <v>44959.053032407406</v>
      </c>
      <c r="X775" s="80">
        <v>44959</v>
      </c>
      <c r="Y775" s="78" t="s">
        <v>3128</v>
      </c>
      <c r="Z775" s="77" t="str">
        <f>HYPERLINK("https://twitter.com/vikingirishgod/status/1620954245217263618")</f>
        <v>https://twitter.com/vikingirishgod/status/1620954245217263618</v>
      </c>
      <c r="AC775" s="78" t="s">
        <v>4193</v>
      </c>
      <c r="AE775" t="b">
        <v>0</v>
      </c>
      <c r="AF775">
        <v>0</v>
      </c>
      <c r="AG775" s="78" t="s">
        <v>4640</v>
      </c>
      <c r="AH775" t="b">
        <v>0</v>
      </c>
      <c r="AI775" t="s">
        <v>4829</v>
      </c>
      <c r="AK775" s="78" t="s">
        <v>4640</v>
      </c>
      <c r="AL775" t="b">
        <v>0</v>
      </c>
      <c r="AM775">
        <v>1</v>
      </c>
      <c r="AN775" s="78" t="s">
        <v>4192</v>
      </c>
      <c r="AO775" s="78" t="s">
        <v>4850</v>
      </c>
      <c r="AP775" t="b">
        <v>0</v>
      </c>
      <c r="AQ775" s="78" t="s">
        <v>4192</v>
      </c>
      <c r="AR775" t="s">
        <v>179</v>
      </c>
      <c r="AS775">
        <v>0</v>
      </c>
      <c r="AT775">
        <v>0</v>
      </c>
    </row>
    <row r="776" spans="1:46" x14ac:dyDescent="0.45">
      <c r="A776" s="62" t="s">
        <v>868</v>
      </c>
      <c r="B776" s="62" t="s">
        <v>867</v>
      </c>
      <c r="C776" s="63"/>
      <c r="D776" s="64"/>
      <c r="E776" s="65"/>
      <c r="F776" s="66"/>
      <c r="G776" s="63"/>
      <c r="H776" s="67"/>
      <c r="I776" s="68"/>
      <c r="J776" s="68"/>
      <c r="K776" s="32"/>
      <c r="L776" s="75"/>
      <c r="M776" s="75"/>
      <c r="N776" s="70"/>
      <c r="O776" t="s">
        <v>1569</v>
      </c>
      <c r="P776" s="76">
        <v>44959.053032407406</v>
      </c>
      <c r="Q776" t="s">
        <v>2040</v>
      </c>
      <c r="R776" s="77" t="str">
        <f>HYPERLINK("https://www.walmart.com/ip/ArtSkills-Essentials-9-x-12-Watercolor-Paper-Pad-30-Sheets-with-Paints-Art-Craft-Kit/999613119")</f>
        <v>https://www.walmart.com/ip/ArtSkills-Essentials-9-x-12-Watercolor-Paper-Pad-30-Sheets-with-Paints-Art-Craft-Kit/999613119</v>
      </c>
      <c r="S776" t="s">
        <v>2266</v>
      </c>
      <c r="T776" s="78" t="s">
        <v>2386</v>
      </c>
      <c r="U776" s="77" t="str">
        <f>HYPERLINK("https://pbs.twimg.com/media/FmyGl4CXECQWilL.jpg")</f>
        <v>https://pbs.twimg.com/media/FmyGl4CXECQWilL.jpg</v>
      </c>
      <c r="V776" s="77" t="str">
        <f>HYPERLINK("https://pbs.twimg.com/media/FmyGl4CXECQWilL.jpg")</f>
        <v>https://pbs.twimg.com/media/FmyGl4CXECQWilL.jpg</v>
      </c>
      <c r="W776" s="76">
        <v>44959.053032407406</v>
      </c>
      <c r="X776" s="80">
        <v>44959</v>
      </c>
      <c r="Y776" s="78" t="s">
        <v>3128</v>
      </c>
      <c r="Z776" s="77" t="str">
        <f>HYPERLINK("https://twitter.com/vikingirishgod/status/1620954245217263618")</f>
        <v>https://twitter.com/vikingirishgod/status/1620954245217263618</v>
      </c>
      <c r="AC776" s="78" t="s">
        <v>4193</v>
      </c>
      <c r="AE776" t="b">
        <v>0</v>
      </c>
      <c r="AF776">
        <v>0</v>
      </c>
      <c r="AG776" s="78" t="s">
        <v>4640</v>
      </c>
      <c r="AH776" t="b">
        <v>0</v>
      </c>
      <c r="AI776" t="s">
        <v>4829</v>
      </c>
      <c r="AK776" s="78" t="s">
        <v>4640</v>
      </c>
      <c r="AL776" t="b">
        <v>0</v>
      </c>
      <c r="AM776">
        <v>1</v>
      </c>
      <c r="AN776" s="78" t="s">
        <v>4192</v>
      </c>
      <c r="AO776" s="78" t="s">
        <v>4850</v>
      </c>
      <c r="AP776" t="b">
        <v>0</v>
      </c>
      <c r="AQ776" s="78" t="s">
        <v>4192</v>
      </c>
      <c r="AR776" t="s">
        <v>179</v>
      </c>
      <c r="AS776">
        <v>0</v>
      </c>
      <c r="AT776">
        <v>0</v>
      </c>
    </row>
    <row r="777" spans="1:46" x14ac:dyDescent="0.45">
      <c r="A777" s="62" t="s">
        <v>868</v>
      </c>
      <c r="B777" s="62" t="s">
        <v>242</v>
      </c>
      <c r="C777" s="63"/>
      <c r="D777" s="64"/>
      <c r="E777" s="65"/>
      <c r="F777" s="66"/>
      <c r="G777" s="63"/>
      <c r="H777" s="67"/>
      <c r="I777" s="68"/>
      <c r="J777" s="68"/>
      <c r="K777" s="32"/>
      <c r="L777" s="75"/>
      <c r="M777" s="75"/>
      <c r="N777" s="70"/>
      <c r="O777" t="s">
        <v>1570</v>
      </c>
      <c r="P777" s="76">
        <v>44959.053032407406</v>
      </c>
      <c r="Q777" t="s">
        <v>2040</v>
      </c>
      <c r="R777" s="77" t="str">
        <f>HYPERLINK("https://www.walmart.com/ip/ArtSkills-Essentials-9-x-12-Watercolor-Paper-Pad-30-Sheets-with-Paints-Art-Craft-Kit/999613119")</f>
        <v>https://www.walmart.com/ip/ArtSkills-Essentials-9-x-12-Watercolor-Paper-Pad-30-Sheets-with-Paints-Art-Craft-Kit/999613119</v>
      </c>
      <c r="S777" t="s">
        <v>2266</v>
      </c>
      <c r="T777" s="78" t="s">
        <v>2386</v>
      </c>
      <c r="U777" s="77" t="str">
        <f>HYPERLINK("https://pbs.twimg.com/media/FmyGl4CXECQWilL.jpg")</f>
        <v>https://pbs.twimg.com/media/FmyGl4CXECQWilL.jpg</v>
      </c>
      <c r="V777" s="77" t="str">
        <f>HYPERLINK("https://pbs.twimg.com/media/FmyGl4CXECQWilL.jpg")</f>
        <v>https://pbs.twimg.com/media/FmyGl4CXECQWilL.jpg</v>
      </c>
      <c r="W777" s="76">
        <v>44959.053032407406</v>
      </c>
      <c r="X777" s="80">
        <v>44959</v>
      </c>
      <c r="Y777" s="78" t="s">
        <v>3128</v>
      </c>
      <c r="Z777" s="77" t="str">
        <f>HYPERLINK("https://twitter.com/vikingirishgod/status/1620954245217263618")</f>
        <v>https://twitter.com/vikingirishgod/status/1620954245217263618</v>
      </c>
      <c r="AC777" s="78" t="s">
        <v>4193</v>
      </c>
      <c r="AE777" t="b">
        <v>0</v>
      </c>
      <c r="AF777">
        <v>0</v>
      </c>
      <c r="AG777" s="78" t="s">
        <v>4640</v>
      </c>
      <c r="AH777" t="b">
        <v>0</v>
      </c>
      <c r="AI777" t="s">
        <v>4829</v>
      </c>
      <c r="AK777" s="78" t="s">
        <v>4640</v>
      </c>
      <c r="AL777" t="b">
        <v>0</v>
      </c>
      <c r="AM777">
        <v>1</v>
      </c>
      <c r="AN777" s="78" t="s">
        <v>4192</v>
      </c>
      <c r="AO777" s="78" t="s">
        <v>4850</v>
      </c>
      <c r="AP777" t="b">
        <v>0</v>
      </c>
      <c r="AQ777" s="78" t="s">
        <v>4192</v>
      </c>
      <c r="AR777" t="s">
        <v>179</v>
      </c>
      <c r="AS777">
        <v>0</v>
      </c>
      <c r="AT777">
        <v>0</v>
      </c>
    </row>
    <row r="778" spans="1:46" x14ac:dyDescent="0.45">
      <c r="A778" s="62" t="s">
        <v>242</v>
      </c>
      <c r="B778" s="62" t="s">
        <v>242</v>
      </c>
      <c r="C778" s="63"/>
      <c r="D778" s="64"/>
      <c r="E778" s="65"/>
      <c r="F778" s="66"/>
      <c r="G778" s="63"/>
      <c r="H778" s="67"/>
      <c r="I778" s="68"/>
      <c r="J778" s="68"/>
      <c r="K778" s="32"/>
      <c r="L778" s="75"/>
      <c r="M778" s="75"/>
      <c r="N778" s="70"/>
      <c r="O778" t="s">
        <v>179</v>
      </c>
      <c r="P778" s="76">
        <v>44915.753923611112</v>
      </c>
      <c r="Q778" t="s">
        <v>1913</v>
      </c>
      <c r="R778" s="77" t="str">
        <f>HYPERLINK("https://www.walmart.com/ip/Apple-Watch-SE-1st-Gen-GPS-40mm-Space-Gray-Aluminum-Case-with-Midnight-Sport-Band-Regular/645876604?veh=brs&amp;adid=soc-twfeed_122022&amp;cn=FY23Holiday%20_Apple")</f>
        <v>https://www.walmart.com/ip/Apple-Watch-SE-1st-Gen-GPS-40mm-Space-Gray-Aluminum-Case-with-Midnight-Sport-Band-Regular/645876604?veh=brs&amp;adid=soc-twfeed_122022&amp;cn=FY23Holiday%20_Apple</v>
      </c>
      <c r="S778" t="s">
        <v>2266</v>
      </c>
      <c r="U778" s="77" t="str">
        <f>HYPERLINK("https://pbs.twimg.com/media/FkcKWQjWYAENmvb.jpg")</f>
        <v>https://pbs.twimg.com/media/FkcKWQjWYAENmvb.jpg</v>
      </c>
      <c r="V778" s="77" t="str">
        <f>HYPERLINK("https://pbs.twimg.com/media/FkcKWQjWYAENmvb.jpg")</f>
        <v>https://pbs.twimg.com/media/FkcKWQjWYAENmvb.jpg</v>
      </c>
      <c r="W778" s="76">
        <v>44915.753923611112</v>
      </c>
      <c r="X778" s="80">
        <v>44915</v>
      </c>
      <c r="Y778" s="78" t="s">
        <v>3429</v>
      </c>
      <c r="Z778" s="77" t="str">
        <f>HYPERLINK("https://twitter.com/walmart/status/1605263171429834753")</f>
        <v>https://twitter.com/walmart/status/1605263171429834753</v>
      </c>
      <c r="AC778" s="78" t="s">
        <v>4494</v>
      </c>
      <c r="AE778" t="b">
        <v>0</v>
      </c>
      <c r="AF778">
        <v>103</v>
      </c>
      <c r="AG778" s="78" t="s">
        <v>4640</v>
      </c>
      <c r="AH778" t="b">
        <v>0</v>
      </c>
      <c r="AI778" t="s">
        <v>4829</v>
      </c>
      <c r="AK778" s="78" t="s">
        <v>4640</v>
      </c>
      <c r="AL778" t="b">
        <v>0</v>
      </c>
      <c r="AM778">
        <v>11</v>
      </c>
      <c r="AN778" s="78" t="s">
        <v>4640</v>
      </c>
      <c r="AO778" s="78" t="s">
        <v>4855</v>
      </c>
      <c r="AP778" t="b">
        <v>0</v>
      </c>
      <c r="AQ778" s="78" t="s">
        <v>4494</v>
      </c>
      <c r="AR778" t="s">
        <v>1569</v>
      </c>
      <c r="AS778">
        <v>0</v>
      </c>
      <c r="AT778">
        <v>0</v>
      </c>
    </row>
    <row r="779" spans="1:46" x14ac:dyDescent="0.45">
      <c r="A779" s="62" t="s">
        <v>872</v>
      </c>
      <c r="B779" s="62" t="s">
        <v>242</v>
      </c>
      <c r="C779" s="63"/>
      <c r="D779" s="64"/>
      <c r="E779" s="65"/>
      <c r="F779" s="66"/>
      <c r="G779" s="63"/>
      <c r="H779" s="67"/>
      <c r="I779" s="68"/>
      <c r="J779" s="68"/>
      <c r="K779" s="32"/>
      <c r="L779" s="75"/>
      <c r="M779" s="75"/>
      <c r="N779" s="70"/>
      <c r="O779" t="s">
        <v>1568</v>
      </c>
      <c r="P779" s="76">
        <v>44957.843888888892</v>
      </c>
      <c r="Q779" t="s">
        <v>1623</v>
      </c>
      <c r="R779" s="77" t="str">
        <f>HYPERLINK("https://www.walmart.com/ip/New-Gods-Yang-Jian-Blu-ray-DVD-Includes-New-Gods-poster-gift-with-purchase-while-supplies-last/1266950228")</f>
        <v>https://www.walmart.com/ip/New-Gods-Yang-Jian-Blu-ray-DVD-Includes-New-Gods-poster-gift-with-purchase-while-supplies-last/1266950228</v>
      </c>
      <c r="S779" t="s">
        <v>2266</v>
      </c>
      <c r="U779" s="77" t="str">
        <f>HYPERLINK("https://pbs.twimg.com/media/Fn06jWeXEAQUck-.jpg")</f>
        <v>https://pbs.twimg.com/media/Fn06jWeXEAQUck-.jpg</v>
      </c>
      <c r="V779" s="77" t="str">
        <f>HYPERLINK("https://pbs.twimg.com/media/Fn06jWeXEAQUck-.jpg")</f>
        <v>https://pbs.twimg.com/media/Fn06jWeXEAQUck-.jpg</v>
      </c>
      <c r="W779" s="76">
        <v>44957.843888888892</v>
      </c>
      <c r="X779" s="80">
        <v>44957</v>
      </c>
      <c r="Y779" s="78" t="s">
        <v>3133</v>
      </c>
      <c r="Z779" s="77" t="str">
        <f>HYPERLINK("https://twitter.com/shoutfactory/status/1620516063950831621")</f>
        <v>https://twitter.com/shoutfactory/status/1620516063950831621</v>
      </c>
      <c r="AC779" s="78" t="s">
        <v>4198</v>
      </c>
      <c r="AE779" t="b">
        <v>0</v>
      </c>
      <c r="AF779">
        <v>77</v>
      </c>
      <c r="AG779" s="78" t="s">
        <v>4640</v>
      </c>
      <c r="AH779" t="b">
        <v>0</v>
      </c>
      <c r="AI779" t="s">
        <v>4829</v>
      </c>
      <c r="AK779" s="78" t="s">
        <v>4640</v>
      </c>
      <c r="AL779" t="b">
        <v>0</v>
      </c>
      <c r="AM779">
        <v>10</v>
      </c>
      <c r="AN779" s="78" t="s">
        <v>4640</v>
      </c>
      <c r="AO779" s="78" t="s">
        <v>4851</v>
      </c>
      <c r="AP779" t="b">
        <v>0</v>
      </c>
      <c r="AQ779" s="78" t="s">
        <v>4198</v>
      </c>
      <c r="AR779" t="s">
        <v>1569</v>
      </c>
      <c r="AS779">
        <v>0</v>
      </c>
      <c r="AT779">
        <v>0</v>
      </c>
    </row>
    <row r="780" spans="1:46" x14ac:dyDescent="0.45">
      <c r="A780" s="62" t="s">
        <v>242</v>
      </c>
      <c r="B780" s="62" t="s">
        <v>242</v>
      </c>
      <c r="C780" s="63"/>
      <c r="D780" s="64"/>
      <c r="E780" s="65"/>
      <c r="F780" s="66"/>
      <c r="G780" s="63"/>
      <c r="H780" s="67"/>
      <c r="I780" s="68"/>
      <c r="J780" s="68"/>
      <c r="K780" s="32"/>
      <c r="L780" s="75"/>
      <c r="M780" s="75"/>
      <c r="N780" s="70"/>
      <c r="O780" t="s">
        <v>179</v>
      </c>
      <c r="P780" s="76">
        <v>44958.83153935185</v>
      </c>
      <c r="Q780" t="s">
        <v>1830</v>
      </c>
      <c r="R780" s="77" t="str">
        <f>HYPERLINK("https://www.walmart.com/shop/col/samsung-galaxy-collection?veh=brs&amp;adid=_20230201&amp;cn=_&amp;linkId=100000182848001")</f>
        <v>https://www.walmart.com/shop/col/samsung-galaxy-collection?veh=brs&amp;adid=_20230201&amp;cn=_&amp;linkId=100000182848001</v>
      </c>
      <c r="S780" t="s">
        <v>2266</v>
      </c>
      <c r="U780" s="77" t="str">
        <f>HYPERLINK("https://pbs.twimg.com/amplify_video_thumb/1620873850387894275/img/zYjAbN0HBTB9-O9K.jpg")</f>
        <v>https://pbs.twimg.com/amplify_video_thumb/1620873850387894275/img/zYjAbN0HBTB9-O9K.jpg</v>
      </c>
      <c r="V780" s="77" t="str">
        <f>HYPERLINK("https://pbs.twimg.com/amplify_video_thumb/1620873850387894275/img/zYjAbN0HBTB9-O9K.jpg")</f>
        <v>https://pbs.twimg.com/amplify_video_thumb/1620873850387894275/img/zYjAbN0HBTB9-O9K.jpg</v>
      </c>
      <c r="W780" s="76">
        <v>44958.83153935185</v>
      </c>
      <c r="X780" s="80">
        <v>44958</v>
      </c>
      <c r="Y780" s="78" t="s">
        <v>3430</v>
      </c>
      <c r="Z780" s="77" t="str">
        <f>HYPERLINK("https://twitter.com/walmart/status/1620873979719258135")</f>
        <v>https://twitter.com/walmart/status/1620873979719258135</v>
      </c>
      <c r="AC780" s="78" t="s">
        <v>4495</v>
      </c>
      <c r="AE780" t="b">
        <v>0</v>
      </c>
      <c r="AF780">
        <v>29</v>
      </c>
      <c r="AG780" s="78" t="s">
        <v>4640</v>
      </c>
      <c r="AH780" t="b">
        <v>0</v>
      </c>
      <c r="AI780" t="s">
        <v>4829</v>
      </c>
      <c r="AK780" s="78" t="s">
        <v>4640</v>
      </c>
      <c r="AL780" t="b">
        <v>0</v>
      </c>
      <c r="AM780">
        <v>5</v>
      </c>
      <c r="AN780" s="78" t="s">
        <v>4640</v>
      </c>
      <c r="AO780" s="78" t="s">
        <v>4855</v>
      </c>
      <c r="AP780" t="b">
        <v>0</v>
      </c>
      <c r="AQ780" s="78" t="s">
        <v>4495</v>
      </c>
      <c r="AR780" t="s">
        <v>1569</v>
      </c>
      <c r="AS780">
        <v>0</v>
      </c>
      <c r="AT780">
        <v>0</v>
      </c>
    </row>
    <row r="781" spans="1:46" x14ac:dyDescent="0.45">
      <c r="A781" s="62" t="s">
        <v>400</v>
      </c>
      <c r="B781" s="62" t="s">
        <v>242</v>
      </c>
      <c r="C781" s="63"/>
      <c r="D781" s="64"/>
      <c r="E781" s="65"/>
      <c r="F781" s="66"/>
      <c r="G781" s="63"/>
      <c r="H781" s="67"/>
      <c r="I781" s="68"/>
      <c r="J781" s="68"/>
      <c r="K781" s="32"/>
      <c r="L781" s="75"/>
      <c r="M781" s="75"/>
      <c r="N781" s="70"/>
      <c r="O781" t="s">
        <v>1568</v>
      </c>
      <c r="P781" s="76">
        <v>44958.500625000001</v>
      </c>
      <c r="Q781" t="s">
        <v>1730</v>
      </c>
      <c r="R781" s="77" t="str">
        <f>HYPERLINK("https://www.walmart.com/ip/VTech-KidiZoom-Smartwatch-DX3-Award-Winning-Watch-Walmart-Exclusive/618246557")</f>
        <v>https://www.walmart.com/ip/VTech-KidiZoom-Smartwatch-DX3-Award-Winning-Watch-Walmart-Exclusive/618246557</v>
      </c>
      <c r="S781" t="s">
        <v>2266</v>
      </c>
      <c r="U781" s="77" t="str">
        <f>HYPERLINK("https://pbs.twimg.com/ext_tw_video_thumb/1620753984402112512/pu/img/Id9IVJoBeJ3KvUzR.jpg")</f>
        <v>https://pbs.twimg.com/ext_tw_video_thumb/1620753984402112512/pu/img/Id9IVJoBeJ3KvUzR.jpg</v>
      </c>
      <c r="V781" s="77" t="str">
        <f>HYPERLINK("https://pbs.twimg.com/ext_tw_video_thumb/1620753984402112512/pu/img/Id9IVJoBeJ3KvUzR.jpg")</f>
        <v>https://pbs.twimg.com/ext_tw_video_thumb/1620753984402112512/pu/img/Id9IVJoBeJ3KvUzR.jpg</v>
      </c>
      <c r="W781" s="76">
        <v>44958.500625000001</v>
      </c>
      <c r="X781" s="80">
        <v>44958</v>
      </c>
      <c r="Y781" s="78" t="s">
        <v>2628</v>
      </c>
      <c r="Z781" s="77" t="str">
        <f>HYPERLINK("https://twitter.com/vtechtoys/status/1620754058272280579")</f>
        <v>https://twitter.com/vtechtoys/status/1620754058272280579</v>
      </c>
      <c r="AC781" s="78" t="s">
        <v>3645</v>
      </c>
      <c r="AE781" t="b">
        <v>0</v>
      </c>
      <c r="AF781">
        <v>5</v>
      </c>
      <c r="AG781" s="78" t="s">
        <v>4640</v>
      </c>
      <c r="AH781" t="b">
        <v>0</v>
      </c>
      <c r="AI781" t="s">
        <v>4829</v>
      </c>
      <c r="AK781" s="78" t="s">
        <v>4640</v>
      </c>
      <c r="AL781" t="b">
        <v>0</v>
      </c>
      <c r="AM781">
        <v>1</v>
      </c>
      <c r="AN781" s="78" t="s">
        <v>4640</v>
      </c>
      <c r="AO781" s="78" t="s">
        <v>4862</v>
      </c>
      <c r="AP781" t="b">
        <v>0</v>
      </c>
      <c r="AQ781" s="78" t="s">
        <v>3645</v>
      </c>
      <c r="AR781" t="s">
        <v>179</v>
      </c>
      <c r="AS781">
        <v>0</v>
      </c>
      <c r="AT781">
        <v>0</v>
      </c>
    </row>
    <row r="782" spans="1:46" x14ac:dyDescent="0.45">
      <c r="A782" s="62" t="s">
        <v>299</v>
      </c>
      <c r="B782" s="62" t="s">
        <v>242</v>
      </c>
      <c r="C782" s="63"/>
      <c r="D782" s="64"/>
      <c r="E782" s="65"/>
      <c r="F782" s="66"/>
      <c r="G782" s="63"/>
      <c r="H782" s="67"/>
      <c r="I782" s="68"/>
      <c r="J782" s="68"/>
      <c r="K782" s="32"/>
      <c r="L782" s="75"/>
      <c r="M782" s="75"/>
      <c r="N782" s="70"/>
      <c r="O782" t="s">
        <v>1568</v>
      </c>
      <c r="P782" s="76">
        <v>44957.584537037037</v>
      </c>
      <c r="Q782" t="s">
        <v>1642</v>
      </c>
      <c r="R782" s="77" t="str">
        <f>HYPERLINK("https://www.walmart.com/search?q=little+debbie+ice+cream")</f>
        <v>https://www.walmart.com/search?q=little+debbie+ice+cream</v>
      </c>
      <c r="S782" t="s">
        <v>2266</v>
      </c>
      <c r="V782" s="77" t="str">
        <f>HYPERLINK("https://pbs.twimg.com/profile_images/1613231973430079491/gPyDZLWx_normal.jpg")</f>
        <v>https://pbs.twimg.com/profile_images/1613231973430079491/gPyDZLWx_normal.jpg</v>
      </c>
      <c r="W782" s="76">
        <v>44957.584537037037</v>
      </c>
      <c r="X782" s="80">
        <v>44957</v>
      </c>
      <c r="Y782" s="78" t="s">
        <v>2508</v>
      </c>
      <c r="Z782" s="77" t="str">
        <f>HYPERLINK("https://twitter.com/nickpagliochini/status/1620422079576424448")</f>
        <v>https://twitter.com/nickpagliochini/status/1620422079576424448</v>
      </c>
      <c r="AC782" s="78" t="s">
        <v>3523</v>
      </c>
      <c r="AD782" s="78" t="s">
        <v>4519</v>
      </c>
      <c r="AE782" t="b">
        <v>0</v>
      </c>
      <c r="AF782">
        <v>2</v>
      </c>
      <c r="AG782" s="78" t="s">
        <v>4669</v>
      </c>
      <c r="AH782" t="b">
        <v>0</v>
      </c>
      <c r="AI782" t="s">
        <v>4829</v>
      </c>
      <c r="AK782" s="78" t="s">
        <v>4640</v>
      </c>
      <c r="AL782" t="b">
        <v>0</v>
      </c>
      <c r="AM782">
        <v>1</v>
      </c>
      <c r="AN782" s="78" t="s">
        <v>4640</v>
      </c>
      <c r="AO782" s="78" t="s">
        <v>4851</v>
      </c>
      <c r="AP782" t="b">
        <v>0</v>
      </c>
      <c r="AQ782" s="78" t="s">
        <v>4519</v>
      </c>
      <c r="AR782" t="s">
        <v>1569</v>
      </c>
      <c r="AS782">
        <v>0</v>
      </c>
      <c r="AT782">
        <v>0</v>
      </c>
    </row>
    <row r="783" spans="1:46" x14ac:dyDescent="0.45">
      <c r="A783" s="62" t="s">
        <v>280</v>
      </c>
      <c r="B783" s="62" t="s">
        <v>242</v>
      </c>
      <c r="C783" s="63"/>
      <c r="D783" s="64"/>
      <c r="E783" s="65"/>
      <c r="F783" s="66"/>
      <c r="G783" s="63"/>
      <c r="H783" s="67"/>
      <c r="I783" s="68"/>
      <c r="J783" s="68"/>
      <c r="K783" s="32"/>
      <c r="L783" s="75"/>
      <c r="M783" s="75"/>
      <c r="N783" s="70"/>
      <c r="O783" t="s">
        <v>1570</v>
      </c>
      <c r="P783" s="76">
        <v>44958.537962962961</v>
      </c>
      <c r="Q783" t="s">
        <v>1623</v>
      </c>
      <c r="R783" s="77" t="str">
        <f>HYPERLINK("https://www.walmart.com/ip/New-Gods-Yang-Jian-Blu-ray-DVD-Includes-New-Gods-poster-gift-with-purchase-while-supplies-last/1266950228")</f>
        <v>https://www.walmart.com/ip/New-Gods-Yang-Jian-Blu-ray-DVD-Includes-New-Gods-poster-gift-with-purchase-while-supplies-last/1266950228</v>
      </c>
      <c r="S783" t="s">
        <v>2266</v>
      </c>
      <c r="U783" s="77" t="str">
        <f>HYPERLINK("https://pbs.twimg.com/media/Fn06jWeXEAQUck-.jpg")</f>
        <v>https://pbs.twimg.com/media/Fn06jWeXEAQUck-.jpg</v>
      </c>
      <c r="V783" s="77" t="str">
        <f>HYPERLINK("https://pbs.twimg.com/media/Fn06jWeXEAQUck-.jpg")</f>
        <v>https://pbs.twimg.com/media/Fn06jWeXEAQUck-.jpg</v>
      </c>
      <c r="W783" s="76">
        <v>44958.537962962961</v>
      </c>
      <c r="X783" s="80">
        <v>44958</v>
      </c>
      <c r="Y783" s="78" t="s">
        <v>2487</v>
      </c>
      <c r="Z783" s="77" t="str">
        <f>HYPERLINK("https://twitter.com/d34nlolol/status/1620767590594543616")</f>
        <v>https://twitter.com/d34nlolol/status/1620767590594543616</v>
      </c>
      <c r="AC783" s="78" t="s">
        <v>3502</v>
      </c>
      <c r="AE783" t="b">
        <v>0</v>
      </c>
      <c r="AF783">
        <v>0</v>
      </c>
      <c r="AG783" s="78" t="s">
        <v>4640</v>
      </c>
      <c r="AH783" t="b">
        <v>0</v>
      </c>
      <c r="AI783" t="s">
        <v>4829</v>
      </c>
      <c r="AK783" s="78" t="s">
        <v>4640</v>
      </c>
      <c r="AL783" t="b">
        <v>0</v>
      </c>
      <c r="AM783">
        <v>10</v>
      </c>
      <c r="AN783" s="78" t="s">
        <v>4198</v>
      </c>
      <c r="AO783" s="78" t="s">
        <v>4849</v>
      </c>
      <c r="AP783" t="b">
        <v>0</v>
      </c>
      <c r="AQ783" s="78" t="s">
        <v>4198</v>
      </c>
      <c r="AR783" t="s">
        <v>179</v>
      </c>
      <c r="AS783">
        <v>0</v>
      </c>
      <c r="AT783">
        <v>0</v>
      </c>
    </row>
    <row r="784" spans="1:46" x14ac:dyDescent="0.45">
      <c r="A784" s="62" t="s">
        <v>280</v>
      </c>
      <c r="B784" s="62" t="s">
        <v>872</v>
      </c>
      <c r="C784" s="63"/>
      <c r="D784" s="64"/>
      <c r="E784" s="65"/>
      <c r="F784" s="66"/>
      <c r="G784" s="63"/>
      <c r="H784" s="67"/>
      <c r="I784" s="68"/>
      <c r="J784" s="68"/>
      <c r="K784" s="32"/>
      <c r="L784" s="75"/>
      <c r="M784" s="75"/>
      <c r="N784" s="70"/>
      <c r="O784" t="s">
        <v>1569</v>
      </c>
      <c r="P784" s="76">
        <v>44958.537962962961</v>
      </c>
      <c r="Q784" t="s">
        <v>1623</v>
      </c>
      <c r="R784" s="77" t="str">
        <f>HYPERLINK("https://www.walmart.com/ip/New-Gods-Yang-Jian-Blu-ray-DVD-Includes-New-Gods-poster-gift-with-purchase-while-supplies-last/1266950228")</f>
        <v>https://www.walmart.com/ip/New-Gods-Yang-Jian-Blu-ray-DVD-Includes-New-Gods-poster-gift-with-purchase-while-supplies-last/1266950228</v>
      </c>
      <c r="S784" t="s">
        <v>2266</v>
      </c>
      <c r="U784" s="77" t="str">
        <f>HYPERLINK("https://pbs.twimg.com/media/Fn06jWeXEAQUck-.jpg")</f>
        <v>https://pbs.twimg.com/media/Fn06jWeXEAQUck-.jpg</v>
      </c>
      <c r="V784" s="77" t="str">
        <f>HYPERLINK("https://pbs.twimg.com/media/Fn06jWeXEAQUck-.jpg")</f>
        <v>https://pbs.twimg.com/media/Fn06jWeXEAQUck-.jpg</v>
      </c>
      <c r="W784" s="76">
        <v>44958.537962962961</v>
      </c>
      <c r="X784" s="80">
        <v>44958</v>
      </c>
      <c r="Y784" s="78" t="s">
        <v>2487</v>
      </c>
      <c r="Z784" s="77" t="str">
        <f>HYPERLINK("https://twitter.com/d34nlolol/status/1620767590594543616")</f>
        <v>https://twitter.com/d34nlolol/status/1620767590594543616</v>
      </c>
      <c r="AC784" s="78" t="s">
        <v>3502</v>
      </c>
      <c r="AE784" t="b">
        <v>0</v>
      </c>
      <c r="AF784">
        <v>0</v>
      </c>
      <c r="AG784" s="78" t="s">
        <v>4640</v>
      </c>
      <c r="AH784" t="b">
        <v>0</v>
      </c>
      <c r="AI784" t="s">
        <v>4829</v>
      </c>
      <c r="AK784" s="78" t="s">
        <v>4640</v>
      </c>
      <c r="AL784" t="b">
        <v>0</v>
      </c>
      <c r="AM784">
        <v>10</v>
      </c>
      <c r="AN784" s="78" t="s">
        <v>4198</v>
      </c>
      <c r="AO784" s="78" t="s">
        <v>4849</v>
      </c>
      <c r="AP784" t="b">
        <v>0</v>
      </c>
      <c r="AQ784" s="78" t="s">
        <v>4198</v>
      </c>
      <c r="AR784" t="s">
        <v>179</v>
      </c>
      <c r="AS784">
        <v>0</v>
      </c>
      <c r="AT784">
        <v>0</v>
      </c>
    </row>
    <row r="785" spans="1:46" x14ac:dyDescent="0.45">
      <c r="A785" s="62" t="s">
        <v>300</v>
      </c>
      <c r="B785" s="62" t="s">
        <v>299</v>
      </c>
      <c r="C785" s="63"/>
      <c r="D785" s="64"/>
      <c r="E785" s="65"/>
      <c r="F785" s="66"/>
      <c r="G785" s="63"/>
      <c r="H785" s="67"/>
      <c r="I785" s="68"/>
      <c r="J785" s="68"/>
      <c r="K785" s="32"/>
      <c r="L785" s="75"/>
      <c r="M785" s="75"/>
      <c r="N785" s="70"/>
      <c r="O785" t="s">
        <v>1569</v>
      </c>
      <c r="P785" s="76">
        <v>44958.589675925927</v>
      </c>
      <c r="Q785" t="s">
        <v>1642</v>
      </c>
      <c r="R785" s="77" t="str">
        <f>HYPERLINK("https://www.walmart.com/search?q=little+debbie+ice+cream")</f>
        <v>https://www.walmart.com/search?q=little+debbie+ice+cream</v>
      </c>
      <c r="S785" t="s">
        <v>2266</v>
      </c>
      <c r="V785" s="77" t="str">
        <f>HYPERLINK("https://pbs.twimg.com/profile_images/1222910968285413376/wrk5FTom_normal.jpg")</f>
        <v>https://pbs.twimg.com/profile_images/1222910968285413376/wrk5FTom_normal.jpg</v>
      </c>
      <c r="W785" s="76">
        <v>44958.589675925927</v>
      </c>
      <c r="X785" s="80">
        <v>44958</v>
      </c>
      <c r="Y785" s="78" t="s">
        <v>2509</v>
      </c>
      <c r="Z785" s="77" t="str">
        <f>HYPERLINK("https://twitter.com/15minutefoodie/status/1620786328375029760")</f>
        <v>https://twitter.com/15minutefoodie/status/1620786328375029760</v>
      </c>
      <c r="AC785" s="78" t="s">
        <v>3524</v>
      </c>
      <c r="AE785" t="b">
        <v>0</v>
      </c>
      <c r="AF785">
        <v>0</v>
      </c>
      <c r="AG785" s="78" t="s">
        <v>4640</v>
      </c>
      <c r="AH785" t="b">
        <v>0</v>
      </c>
      <c r="AI785" t="s">
        <v>4829</v>
      </c>
      <c r="AK785" s="78" t="s">
        <v>4640</v>
      </c>
      <c r="AL785" t="b">
        <v>0</v>
      </c>
      <c r="AM785">
        <v>1</v>
      </c>
      <c r="AN785" s="78" t="s">
        <v>3523</v>
      </c>
      <c r="AO785" s="78" t="s">
        <v>4851</v>
      </c>
      <c r="AP785" t="b">
        <v>0</v>
      </c>
      <c r="AQ785" s="78" t="s">
        <v>3523</v>
      </c>
      <c r="AR785" t="s">
        <v>179</v>
      </c>
      <c r="AS785">
        <v>0</v>
      </c>
      <c r="AT785">
        <v>0</v>
      </c>
    </row>
    <row r="786" spans="1:46" x14ac:dyDescent="0.45">
      <c r="A786" s="62" t="s">
        <v>300</v>
      </c>
      <c r="B786" s="62" t="s">
        <v>242</v>
      </c>
      <c r="C786" s="63"/>
      <c r="D786" s="64"/>
      <c r="E786" s="65"/>
      <c r="F786" s="66"/>
      <c r="G786" s="63"/>
      <c r="H786" s="67"/>
      <c r="I786" s="68"/>
      <c r="J786" s="68"/>
      <c r="K786" s="32"/>
      <c r="L786" s="75"/>
      <c r="M786" s="75"/>
      <c r="N786" s="70"/>
      <c r="O786" t="s">
        <v>1570</v>
      </c>
      <c r="P786" s="76">
        <v>44958.589675925927</v>
      </c>
      <c r="Q786" t="s">
        <v>1642</v>
      </c>
      <c r="R786" s="77" t="str">
        <f>HYPERLINK("https://www.walmart.com/search?q=little+debbie+ice+cream")</f>
        <v>https://www.walmart.com/search?q=little+debbie+ice+cream</v>
      </c>
      <c r="S786" t="s">
        <v>2266</v>
      </c>
      <c r="V786" s="77" t="str">
        <f>HYPERLINK("https://pbs.twimg.com/profile_images/1222910968285413376/wrk5FTom_normal.jpg")</f>
        <v>https://pbs.twimg.com/profile_images/1222910968285413376/wrk5FTom_normal.jpg</v>
      </c>
      <c r="W786" s="76">
        <v>44958.589675925927</v>
      </c>
      <c r="X786" s="80">
        <v>44958</v>
      </c>
      <c r="Y786" s="78" t="s">
        <v>2509</v>
      </c>
      <c r="Z786" s="77" t="str">
        <f>HYPERLINK("https://twitter.com/15minutefoodie/status/1620786328375029760")</f>
        <v>https://twitter.com/15minutefoodie/status/1620786328375029760</v>
      </c>
      <c r="AC786" s="78" t="s">
        <v>3524</v>
      </c>
      <c r="AE786" t="b">
        <v>0</v>
      </c>
      <c r="AF786">
        <v>0</v>
      </c>
      <c r="AG786" s="78" t="s">
        <v>4640</v>
      </c>
      <c r="AH786" t="b">
        <v>0</v>
      </c>
      <c r="AI786" t="s">
        <v>4829</v>
      </c>
      <c r="AK786" s="78" t="s">
        <v>4640</v>
      </c>
      <c r="AL786" t="b">
        <v>0</v>
      </c>
      <c r="AM786">
        <v>1</v>
      </c>
      <c r="AN786" s="78" t="s">
        <v>3523</v>
      </c>
      <c r="AO786" s="78" t="s">
        <v>4851</v>
      </c>
      <c r="AP786" t="b">
        <v>0</v>
      </c>
      <c r="AQ786" s="78" t="s">
        <v>3523</v>
      </c>
      <c r="AR786" t="s">
        <v>179</v>
      </c>
      <c r="AS786">
        <v>0</v>
      </c>
      <c r="AT786">
        <v>0</v>
      </c>
    </row>
    <row r="787" spans="1:46" x14ac:dyDescent="0.45">
      <c r="A787" s="62" t="s">
        <v>401</v>
      </c>
      <c r="B787" s="62" t="s">
        <v>400</v>
      </c>
      <c r="C787" s="63"/>
      <c r="D787" s="64"/>
      <c r="E787" s="65"/>
      <c r="F787" s="66"/>
      <c r="G787" s="63"/>
      <c r="H787" s="67"/>
      <c r="I787" s="68"/>
      <c r="J787" s="68"/>
      <c r="K787" s="32"/>
      <c r="L787" s="75"/>
      <c r="M787" s="75"/>
      <c r="N787" s="70"/>
      <c r="O787" t="s">
        <v>1569</v>
      </c>
      <c r="P787" s="76">
        <v>44958.705729166664</v>
      </c>
      <c r="Q787" t="s">
        <v>1730</v>
      </c>
      <c r="R787" s="77" t="str">
        <f>HYPERLINK("https://www.walmart.com/ip/VTech-KidiZoom-Smartwatch-DX3-Award-Winning-Watch-Walmart-Exclusive/618246557")</f>
        <v>https://www.walmart.com/ip/VTech-KidiZoom-Smartwatch-DX3-Award-Winning-Watch-Walmart-Exclusive/618246557</v>
      </c>
      <c r="S787" t="s">
        <v>2266</v>
      </c>
      <c r="U787" s="77" t="str">
        <f>HYPERLINK("https://pbs.twimg.com/ext_tw_video_thumb/1620753984402112512/pu/img/Id9IVJoBeJ3KvUzR.jpg")</f>
        <v>https://pbs.twimg.com/ext_tw_video_thumb/1620753984402112512/pu/img/Id9IVJoBeJ3KvUzR.jpg</v>
      </c>
      <c r="V787" s="77" t="str">
        <f>HYPERLINK("https://pbs.twimg.com/ext_tw_video_thumb/1620753984402112512/pu/img/Id9IVJoBeJ3KvUzR.jpg")</f>
        <v>https://pbs.twimg.com/ext_tw_video_thumb/1620753984402112512/pu/img/Id9IVJoBeJ3KvUzR.jpg</v>
      </c>
      <c r="W787" s="76">
        <v>44958.705729166664</v>
      </c>
      <c r="X787" s="80">
        <v>44958</v>
      </c>
      <c r="Y787" s="78" t="s">
        <v>2629</v>
      </c>
      <c r="Z787" s="77" t="str">
        <f>HYPERLINK("https://twitter.com/thetoyinsider/status/1620828388352221184")</f>
        <v>https://twitter.com/thetoyinsider/status/1620828388352221184</v>
      </c>
      <c r="AC787" s="78" t="s">
        <v>3646</v>
      </c>
      <c r="AE787" t="b">
        <v>0</v>
      </c>
      <c r="AF787">
        <v>0</v>
      </c>
      <c r="AG787" s="78" t="s">
        <v>4640</v>
      </c>
      <c r="AH787" t="b">
        <v>0</v>
      </c>
      <c r="AI787" t="s">
        <v>4829</v>
      </c>
      <c r="AK787" s="78" t="s">
        <v>4640</v>
      </c>
      <c r="AL787" t="b">
        <v>0</v>
      </c>
      <c r="AM787">
        <v>1</v>
      </c>
      <c r="AN787" s="78" t="s">
        <v>3645</v>
      </c>
      <c r="AO787" s="78" t="s">
        <v>4851</v>
      </c>
      <c r="AP787" t="b">
        <v>0</v>
      </c>
      <c r="AQ787" s="78" t="s">
        <v>3645</v>
      </c>
      <c r="AR787" t="s">
        <v>179</v>
      </c>
      <c r="AS787">
        <v>0</v>
      </c>
      <c r="AT787">
        <v>0</v>
      </c>
    </row>
    <row r="788" spans="1:46" x14ac:dyDescent="0.45">
      <c r="A788" s="62" t="s">
        <v>401</v>
      </c>
      <c r="B788" s="62" t="s">
        <v>242</v>
      </c>
      <c r="C788" s="63"/>
      <c r="D788" s="64"/>
      <c r="E788" s="65"/>
      <c r="F788" s="66"/>
      <c r="G788" s="63"/>
      <c r="H788" s="67"/>
      <c r="I788" s="68"/>
      <c r="J788" s="68"/>
      <c r="K788" s="32"/>
      <c r="L788" s="75"/>
      <c r="M788" s="75"/>
      <c r="N788" s="70"/>
      <c r="O788" t="s">
        <v>1570</v>
      </c>
      <c r="P788" s="76">
        <v>44958.705729166664</v>
      </c>
      <c r="Q788" t="s">
        <v>1730</v>
      </c>
      <c r="R788" s="77" t="str">
        <f>HYPERLINK("https://www.walmart.com/ip/VTech-KidiZoom-Smartwatch-DX3-Award-Winning-Watch-Walmart-Exclusive/618246557")</f>
        <v>https://www.walmart.com/ip/VTech-KidiZoom-Smartwatch-DX3-Award-Winning-Watch-Walmart-Exclusive/618246557</v>
      </c>
      <c r="S788" t="s">
        <v>2266</v>
      </c>
      <c r="U788" s="77" t="str">
        <f>HYPERLINK("https://pbs.twimg.com/ext_tw_video_thumb/1620753984402112512/pu/img/Id9IVJoBeJ3KvUzR.jpg")</f>
        <v>https://pbs.twimg.com/ext_tw_video_thumb/1620753984402112512/pu/img/Id9IVJoBeJ3KvUzR.jpg</v>
      </c>
      <c r="V788" s="77" t="str">
        <f>HYPERLINK("https://pbs.twimg.com/ext_tw_video_thumb/1620753984402112512/pu/img/Id9IVJoBeJ3KvUzR.jpg")</f>
        <v>https://pbs.twimg.com/ext_tw_video_thumb/1620753984402112512/pu/img/Id9IVJoBeJ3KvUzR.jpg</v>
      </c>
      <c r="W788" s="76">
        <v>44958.705729166664</v>
      </c>
      <c r="X788" s="80">
        <v>44958</v>
      </c>
      <c r="Y788" s="78" t="s">
        <v>2629</v>
      </c>
      <c r="Z788" s="77" t="str">
        <f>HYPERLINK("https://twitter.com/thetoyinsider/status/1620828388352221184")</f>
        <v>https://twitter.com/thetoyinsider/status/1620828388352221184</v>
      </c>
      <c r="AC788" s="78" t="s">
        <v>3646</v>
      </c>
      <c r="AE788" t="b">
        <v>0</v>
      </c>
      <c r="AF788">
        <v>0</v>
      </c>
      <c r="AG788" s="78" t="s">
        <v>4640</v>
      </c>
      <c r="AH788" t="b">
        <v>0</v>
      </c>
      <c r="AI788" t="s">
        <v>4829</v>
      </c>
      <c r="AK788" s="78" t="s">
        <v>4640</v>
      </c>
      <c r="AL788" t="b">
        <v>0</v>
      </c>
      <c r="AM788">
        <v>1</v>
      </c>
      <c r="AN788" s="78" t="s">
        <v>3645</v>
      </c>
      <c r="AO788" s="78" t="s">
        <v>4851</v>
      </c>
      <c r="AP788" t="b">
        <v>0</v>
      </c>
      <c r="AQ788" s="78" t="s">
        <v>3645</v>
      </c>
      <c r="AR788" t="s">
        <v>179</v>
      </c>
      <c r="AS788">
        <v>0</v>
      </c>
      <c r="AT788">
        <v>0</v>
      </c>
    </row>
    <row r="789" spans="1:46" x14ac:dyDescent="0.45">
      <c r="A789" s="62" t="s">
        <v>625</v>
      </c>
      <c r="B789" s="62" t="s">
        <v>242</v>
      </c>
      <c r="C789" s="63"/>
      <c r="D789" s="64"/>
      <c r="E789" s="65"/>
      <c r="F789" s="66"/>
      <c r="G789" s="63"/>
      <c r="H789" s="67"/>
      <c r="I789" s="68"/>
      <c r="J789" s="68"/>
      <c r="K789" s="32"/>
      <c r="L789" s="75"/>
      <c r="M789" s="75"/>
      <c r="N789" s="70"/>
      <c r="O789" t="s">
        <v>1569</v>
      </c>
      <c r="P789" s="76">
        <v>44958.83488425926</v>
      </c>
      <c r="Q789" t="s">
        <v>1830</v>
      </c>
      <c r="R789" s="77" t="str">
        <f>HYPERLINK("https://www.walmart.com/shop/col/samsung-galaxy-collection?veh=brs&amp;adid=_20230201&amp;cn=_&amp;linkId=100000182848001")</f>
        <v>https://www.walmart.com/shop/col/samsung-galaxy-collection?veh=brs&amp;adid=_20230201&amp;cn=_&amp;linkId=100000182848001</v>
      </c>
      <c r="S789" t="s">
        <v>2266</v>
      </c>
      <c r="U789" s="77" t="str">
        <f>HYPERLINK("https://pbs.twimg.com/amplify_video_thumb/1620873850387894275/img/zYjAbN0HBTB9-O9K.jpg")</f>
        <v>https://pbs.twimg.com/amplify_video_thumb/1620873850387894275/img/zYjAbN0HBTB9-O9K.jpg</v>
      </c>
      <c r="V789" s="77" t="str">
        <f>HYPERLINK("https://pbs.twimg.com/amplify_video_thumb/1620873850387894275/img/zYjAbN0HBTB9-O9K.jpg")</f>
        <v>https://pbs.twimg.com/amplify_video_thumb/1620873850387894275/img/zYjAbN0HBTB9-O9K.jpg</v>
      </c>
      <c r="W789" s="76">
        <v>44958.83488425926</v>
      </c>
      <c r="X789" s="80">
        <v>44958</v>
      </c>
      <c r="Y789" s="78" t="s">
        <v>2826</v>
      </c>
      <c r="Z789" s="77" t="str">
        <f>HYPERLINK("https://twitter.com/dolce11312940/status/1620875191969808385")</f>
        <v>https://twitter.com/dolce11312940/status/1620875191969808385</v>
      </c>
      <c r="AC789" s="78" t="s">
        <v>3889</v>
      </c>
      <c r="AE789" t="b">
        <v>0</v>
      </c>
      <c r="AF789">
        <v>0</v>
      </c>
      <c r="AG789" s="78" t="s">
        <v>4640</v>
      </c>
      <c r="AH789" t="b">
        <v>0</v>
      </c>
      <c r="AI789" t="s">
        <v>4829</v>
      </c>
      <c r="AK789" s="78" t="s">
        <v>4640</v>
      </c>
      <c r="AL789" t="b">
        <v>0</v>
      </c>
      <c r="AM789">
        <v>5</v>
      </c>
      <c r="AN789" s="78" t="s">
        <v>4495</v>
      </c>
      <c r="AO789" s="78" t="s">
        <v>4852</v>
      </c>
      <c r="AP789" t="b">
        <v>0</v>
      </c>
      <c r="AQ789" s="78" t="s">
        <v>4495</v>
      </c>
      <c r="AR789" t="s">
        <v>179</v>
      </c>
      <c r="AS789">
        <v>0</v>
      </c>
      <c r="AT789">
        <v>0</v>
      </c>
    </row>
    <row r="790" spans="1:46" x14ac:dyDescent="0.45">
      <c r="A790" s="62" t="s">
        <v>647</v>
      </c>
      <c r="B790" s="62" t="s">
        <v>1316</v>
      </c>
      <c r="C790" s="63"/>
      <c r="D790" s="64"/>
      <c r="E790" s="65"/>
      <c r="F790" s="66"/>
      <c r="G790" s="63"/>
      <c r="H790" s="67"/>
      <c r="I790" s="68"/>
      <c r="J790" s="68"/>
      <c r="K790" s="32"/>
      <c r="L790" s="75"/>
      <c r="M790" s="75"/>
      <c r="N790" s="70"/>
      <c r="O790" t="s">
        <v>1568</v>
      </c>
      <c r="P790" s="76">
        <v>44958.852500000001</v>
      </c>
      <c r="Q790" t="s">
        <v>1843</v>
      </c>
      <c r="R790" s="77" t="str">
        <f>HYPERLINK("https://www.walmart.com/cp/supporting-black-communities/5486926?q=black+history+month")</f>
        <v>https://www.walmart.com/cp/supporting-black-communities/5486926?q=black+history+month</v>
      </c>
      <c r="S790" t="s">
        <v>2266</v>
      </c>
      <c r="V790" s="77" t="str">
        <f>HYPERLINK("https://pbs.twimg.com/profile_images/1197628009919979543/Urgk9dBo_normal.jpg")</f>
        <v>https://pbs.twimg.com/profile_images/1197628009919979543/Urgk9dBo_normal.jpg</v>
      </c>
      <c r="W790" s="76">
        <v>44958.852500000001</v>
      </c>
      <c r="X790" s="80">
        <v>44958</v>
      </c>
      <c r="Y790" s="78" t="s">
        <v>2847</v>
      </c>
      <c r="Z790" s="77" t="str">
        <f>HYPERLINK("https://twitter.com/drtimcavell/status/1620881574224093185")</f>
        <v>https://twitter.com/drtimcavell/status/1620881574224093185</v>
      </c>
      <c r="AC790" s="78" t="s">
        <v>3912</v>
      </c>
      <c r="AE790" t="b">
        <v>0</v>
      </c>
      <c r="AF790">
        <v>0</v>
      </c>
      <c r="AG790" s="78" t="s">
        <v>4640</v>
      </c>
      <c r="AH790" t="b">
        <v>0</v>
      </c>
      <c r="AI790" t="s">
        <v>4829</v>
      </c>
      <c r="AK790" s="78" t="s">
        <v>4640</v>
      </c>
      <c r="AL790" t="b">
        <v>0</v>
      </c>
      <c r="AM790">
        <v>0</v>
      </c>
      <c r="AN790" s="78" t="s">
        <v>4640</v>
      </c>
      <c r="AO790" s="78" t="s">
        <v>4851</v>
      </c>
      <c r="AP790" t="b">
        <v>0</v>
      </c>
      <c r="AQ790" s="78" t="s">
        <v>3912</v>
      </c>
      <c r="AR790" t="s">
        <v>179</v>
      </c>
      <c r="AS790">
        <v>0</v>
      </c>
      <c r="AT790">
        <v>0</v>
      </c>
    </row>
    <row r="791" spans="1:46" x14ac:dyDescent="0.45">
      <c r="A791" s="62" t="s">
        <v>647</v>
      </c>
      <c r="B791" s="62" t="s">
        <v>242</v>
      </c>
      <c r="C791" s="63"/>
      <c r="D791" s="64"/>
      <c r="E791" s="65"/>
      <c r="F791" s="66"/>
      <c r="G791" s="63"/>
      <c r="H791" s="67"/>
      <c r="I791" s="68"/>
      <c r="J791" s="68"/>
      <c r="K791" s="32"/>
      <c r="L791" s="75"/>
      <c r="M791" s="75"/>
      <c r="N791" s="70"/>
      <c r="O791" t="s">
        <v>1568</v>
      </c>
      <c r="P791" s="76">
        <v>44958.852500000001</v>
      </c>
      <c r="Q791" t="s">
        <v>1843</v>
      </c>
      <c r="R791" s="77" t="str">
        <f>HYPERLINK("https://www.walmart.com/cp/supporting-black-communities/5486926?q=black+history+month")</f>
        <v>https://www.walmart.com/cp/supporting-black-communities/5486926?q=black+history+month</v>
      </c>
      <c r="S791" t="s">
        <v>2266</v>
      </c>
      <c r="V791" s="77" t="str">
        <f>HYPERLINK("https://pbs.twimg.com/profile_images/1197628009919979543/Urgk9dBo_normal.jpg")</f>
        <v>https://pbs.twimg.com/profile_images/1197628009919979543/Urgk9dBo_normal.jpg</v>
      </c>
      <c r="W791" s="76">
        <v>44958.852500000001</v>
      </c>
      <c r="X791" s="80">
        <v>44958</v>
      </c>
      <c r="Y791" s="78" t="s">
        <v>2847</v>
      </c>
      <c r="Z791" s="77" t="str">
        <f>HYPERLINK("https://twitter.com/drtimcavell/status/1620881574224093185")</f>
        <v>https://twitter.com/drtimcavell/status/1620881574224093185</v>
      </c>
      <c r="AC791" s="78" t="s">
        <v>3912</v>
      </c>
      <c r="AE791" t="b">
        <v>0</v>
      </c>
      <c r="AF791">
        <v>0</v>
      </c>
      <c r="AG791" s="78" t="s">
        <v>4640</v>
      </c>
      <c r="AH791" t="b">
        <v>0</v>
      </c>
      <c r="AI791" t="s">
        <v>4829</v>
      </c>
      <c r="AK791" s="78" t="s">
        <v>4640</v>
      </c>
      <c r="AL791" t="b">
        <v>0</v>
      </c>
      <c r="AM791">
        <v>0</v>
      </c>
      <c r="AN791" s="78" t="s">
        <v>4640</v>
      </c>
      <c r="AO791" s="78" t="s">
        <v>4851</v>
      </c>
      <c r="AP791" t="b">
        <v>0</v>
      </c>
      <c r="AQ791" s="78" t="s">
        <v>3912</v>
      </c>
      <c r="AR791" t="s">
        <v>179</v>
      </c>
      <c r="AS791">
        <v>0</v>
      </c>
      <c r="AT791">
        <v>0</v>
      </c>
    </row>
    <row r="792" spans="1:46" x14ac:dyDescent="0.45">
      <c r="A792" s="62" t="s">
        <v>663</v>
      </c>
      <c r="B792" s="62" t="s">
        <v>242</v>
      </c>
      <c r="C792" s="63"/>
      <c r="D792" s="64"/>
      <c r="E792" s="65"/>
      <c r="F792" s="66"/>
      <c r="G792" s="63"/>
      <c r="H792" s="67"/>
      <c r="I792" s="68"/>
      <c r="J792" s="68"/>
      <c r="K792" s="32"/>
      <c r="L792" s="75"/>
      <c r="M792" s="75"/>
      <c r="N792" s="70"/>
      <c r="O792" t="s">
        <v>1569</v>
      </c>
      <c r="P792" s="76">
        <v>44958.863622685189</v>
      </c>
      <c r="Q792" t="s">
        <v>1830</v>
      </c>
      <c r="R792" s="77" t="str">
        <f>HYPERLINK("https://www.walmart.com/shop/col/samsung-galaxy-collection?veh=brs&amp;adid=_20230201&amp;cn=_&amp;linkId=100000182848001")</f>
        <v>https://www.walmart.com/shop/col/samsung-galaxy-collection?veh=brs&amp;adid=_20230201&amp;cn=_&amp;linkId=100000182848001</v>
      </c>
      <c r="S792" t="s">
        <v>2266</v>
      </c>
      <c r="U792" s="77" t="str">
        <f>HYPERLINK("https://pbs.twimg.com/amplify_video_thumb/1620873850387894275/img/zYjAbN0HBTB9-O9K.jpg")</f>
        <v>https://pbs.twimg.com/amplify_video_thumb/1620873850387894275/img/zYjAbN0HBTB9-O9K.jpg</v>
      </c>
      <c r="V792" s="77" t="str">
        <f>HYPERLINK("https://pbs.twimg.com/amplify_video_thumb/1620873850387894275/img/zYjAbN0HBTB9-O9K.jpg")</f>
        <v>https://pbs.twimg.com/amplify_video_thumb/1620873850387894275/img/zYjAbN0HBTB9-O9K.jpg</v>
      </c>
      <c r="W792" s="76">
        <v>44958.863622685189</v>
      </c>
      <c r="X792" s="80">
        <v>44958</v>
      </c>
      <c r="Y792" s="78" t="s">
        <v>2864</v>
      </c>
      <c r="Z792" s="77" t="str">
        <f>HYPERLINK("https://twitter.com/austinuzama/status/1620885606892208128")</f>
        <v>https://twitter.com/austinuzama/status/1620885606892208128</v>
      </c>
      <c r="AC792" s="78" t="s">
        <v>3929</v>
      </c>
      <c r="AE792" t="b">
        <v>0</v>
      </c>
      <c r="AF792">
        <v>0</v>
      </c>
      <c r="AG792" s="78" t="s">
        <v>4640</v>
      </c>
      <c r="AH792" t="b">
        <v>0</v>
      </c>
      <c r="AI792" t="s">
        <v>4829</v>
      </c>
      <c r="AK792" s="78" t="s">
        <v>4640</v>
      </c>
      <c r="AL792" t="b">
        <v>0</v>
      </c>
      <c r="AM792">
        <v>5</v>
      </c>
      <c r="AN792" s="78" t="s">
        <v>4495</v>
      </c>
      <c r="AO792" s="78" t="s">
        <v>4851</v>
      </c>
      <c r="AP792" t="b">
        <v>0</v>
      </c>
      <c r="AQ792" s="78" t="s">
        <v>4495</v>
      </c>
      <c r="AR792" t="s">
        <v>179</v>
      </c>
      <c r="AS792">
        <v>0</v>
      </c>
      <c r="AT792">
        <v>0</v>
      </c>
    </row>
    <row r="793" spans="1:46" x14ac:dyDescent="0.45">
      <c r="A793" s="62" t="s">
        <v>723</v>
      </c>
      <c r="B793" s="62" t="s">
        <v>242</v>
      </c>
      <c r="C793" s="63"/>
      <c r="D793" s="64"/>
      <c r="E793" s="65"/>
      <c r="F793" s="66"/>
      <c r="G793" s="63"/>
      <c r="H793" s="67"/>
      <c r="I793" s="68"/>
      <c r="J793" s="68"/>
      <c r="K793" s="32"/>
      <c r="L793" s="75"/>
      <c r="M793" s="75"/>
      <c r="N793" s="70"/>
      <c r="O793" t="s">
        <v>1569</v>
      </c>
      <c r="P793" s="76">
        <v>44958.917349537034</v>
      </c>
      <c r="Q793" t="s">
        <v>1913</v>
      </c>
      <c r="R793" s="77" t="str">
        <f>HYPERLINK("https://www.walmart.com/ip/Apple-Watch-SE-1st-Gen-GPS-40mm-Space-Gray-Aluminum-Case-with-Midnight-Sport-Band-Regular/645876604?veh=brs&amp;adid=soc-twfeed_122022&amp;cn=FY23Holiday%20_Apple")</f>
        <v>https://www.walmart.com/ip/Apple-Watch-SE-1st-Gen-GPS-40mm-Space-Gray-Aluminum-Case-with-Midnight-Sport-Band-Regular/645876604?veh=brs&amp;adid=soc-twfeed_122022&amp;cn=FY23Holiday%20_Apple</v>
      </c>
      <c r="S793" t="s">
        <v>2266</v>
      </c>
      <c r="U793" s="77" t="str">
        <f>HYPERLINK("https://pbs.twimg.com/media/FkcKWQjWYAENmvb.jpg")</f>
        <v>https://pbs.twimg.com/media/FkcKWQjWYAENmvb.jpg</v>
      </c>
      <c r="V793" s="77" t="str">
        <f>HYPERLINK("https://pbs.twimg.com/media/FkcKWQjWYAENmvb.jpg")</f>
        <v>https://pbs.twimg.com/media/FkcKWQjWYAENmvb.jpg</v>
      </c>
      <c r="W793" s="76">
        <v>44958.917349537034</v>
      </c>
      <c r="X793" s="80">
        <v>44958</v>
      </c>
      <c r="Y793" s="78" t="s">
        <v>2942</v>
      </c>
      <c r="Z793" s="77" t="str">
        <f>HYPERLINK("https://twitter.com/93_babybatch/status/1620905074343165961")</f>
        <v>https://twitter.com/93_babybatch/status/1620905074343165961</v>
      </c>
      <c r="AC793" s="78" t="s">
        <v>4007</v>
      </c>
      <c r="AE793" t="b">
        <v>0</v>
      </c>
      <c r="AF793">
        <v>0</v>
      </c>
      <c r="AG793" s="78" t="s">
        <v>4640</v>
      </c>
      <c r="AH793" t="b">
        <v>0</v>
      </c>
      <c r="AI793" t="s">
        <v>4829</v>
      </c>
      <c r="AK793" s="78" t="s">
        <v>4640</v>
      </c>
      <c r="AL793" t="b">
        <v>0</v>
      </c>
      <c r="AM793">
        <v>11</v>
      </c>
      <c r="AN793" s="78" t="s">
        <v>4494</v>
      </c>
      <c r="AO793" s="78" t="s">
        <v>4849</v>
      </c>
      <c r="AP793" t="b">
        <v>0</v>
      </c>
      <c r="AQ793" s="78" t="s">
        <v>4494</v>
      </c>
      <c r="AR793" t="s">
        <v>179</v>
      </c>
      <c r="AS793">
        <v>0</v>
      </c>
      <c r="AT793">
        <v>0</v>
      </c>
    </row>
    <row r="794" spans="1:46" x14ac:dyDescent="0.45">
      <c r="A794" s="62" t="s">
        <v>771</v>
      </c>
      <c r="B794" s="62" t="s">
        <v>242</v>
      </c>
      <c r="C794" s="63"/>
      <c r="D794" s="64"/>
      <c r="E794" s="65"/>
      <c r="F794" s="66"/>
      <c r="G794" s="63"/>
      <c r="H794" s="67"/>
      <c r="I794" s="68"/>
      <c r="J794" s="68"/>
      <c r="K794" s="32"/>
      <c r="L794" s="75"/>
      <c r="M794" s="75"/>
      <c r="N794" s="70"/>
      <c r="O794" t="s">
        <v>1570</v>
      </c>
      <c r="P794" s="76">
        <v>44958.955543981479</v>
      </c>
      <c r="Q794" t="s">
        <v>1623</v>
      </c>
      <c r="R794" s="77" t="str">
        <f>HYPERLINK("https://www.walmart.com/ip/New-Gods-Yang-Jian-Blu-ray-DVD-Includes-New-Gods-poster-gift-with-purchase-while-supplies-last/1266950228")</f>
        <v>https://www.walmart.com/ip/New-Gods-Yang-Jian-Blu-ray-DVD-Includes-New-Gods-poster-gift-with-purchase-while-supplies-last/1266950228</v>
      </c>
      <c r="S794" t="s">
        <v>2266</v>
      </c>
      <c r="U794" s="77" t="str">
        <f>HYPERLINK("https://pbs.twimg.com/media/Fn06jWeXEAQUck-.jpg")</f>
        <v>https://pbs.twimg.com/media/Fn06jWeXEAQUck-.jpg</v>
      </c>
      <c r="V794" s="77" t="str">
        <f>HYPERLINK("https://pbs.twimg.com/media/Fn06jWeXEAQUck-.jpg")</f>
        <v>https://pbs.twimg.com/media/Fn06jWeXEAQUck-.jpg</v>
      </c>
      <c r="W794" s="76">
        <v>44958.955543981479</v>
      </c>
      <c r="X794" s="80">
        <v>44958</v>
      </c>
      <c r="Y794" s="78" t="s">
        <v>2993</v>
      </c>
      <c r="Z794" s="77" t="str">
        <f>HYPERLINK("https://twitter.com/jrwoodwardmsw/status/1620918914120298496")</f>
        <v>https://twitter.com/jrwoodwardmsw/status/1620918914120298496</v>
      </c>
      <c r="AC794" s="78" t="s">
        <v>4058</v>
      </c>
      <c r="AE794" t="b">
        <v>0</v>
      </c>
      <c r="AF794">
        <v>0</v>
      </c>
      <c r="AG794" s="78" t="s">
        <v>4640</v>
      </c>
      <c r="AH794" t="b">
        <v>0</v>
      </c>
      <c r="AI794" t="s">
        <v>4829</v>
      </c>
      <c r="AK794" s="78" t="s">
        <v>4640</v>
      </c>
      <c r="AL794" t="b">
        <v>0</v>
      </c>
      <c r="AM794">
        <v>10</v>
      </c>
      <c r="AN794" s="78" t="s">
        <v>4198</v>
      </c>
      <c r="AO794" s="78" t="s">
        <v>4849</v>
      </c>
      <c r="AP794" t="b">
        <v>0</v>
      </c>
      <c r="AQ794" s="78" t="s">
        <v>4198</v>
      </c>
      <c r="AR794" t="s">
        <v>179</v>
      </c>
      <c r="AS794">
        <v>0</v>
      </c>
      <c r="AT794">
        <v>0</v>
      </c>
    </row>
    <row r="795" spans="1:46" x14ac:dyDescent="0.45">
      <c r="A795" s="62" t="s">
        <v>771</v>
      </c>
      <c r="B795" s="62" t="s">
        <v>872</v>
      </c>
      <c r="C795" s="63"/>
      <c r="D795" s="64"/>
      <c r="E795" s="65"/>
      <c r="F795" s="66"/>
      <c r="G795" s="63"/>
      <c r="H795" s="67"/>
      <c r="I795" s="68"/>
      <c r="J795" s="68"/>
      <c r="K795" s="32"/>
      <c r="L795" s="75"/>
      <c r="M795" s="75"/>
      <c r="N795" s="70"/>
      <c r="O795" t="s">
        <v>1569</v>
      </c>
      <c r="P795" s="76">
        <v>44958.955543981479</v>
      </c>
      <c r="Q795" t="s">
        <v>1623</v>
      </c>
      <c r="R795" s="77" t="str">
        <f>HYPERLINK("https://www.walmart.com/ip/New-Gods-Yang-Jian-Blu-ray-DVD-Includes-New-Gods-poster-gift-with-purchase-while-supplies-last/1266950228")</f>
        <v>https://www.walmart.com/ip/New-Gods-Yang-Jian-Blu-ray-DVD-Includes-New-Gods-poster-gift-with-purchase-while-supplies-last/1266950228</v>
      </c>
      <c r="S795" t="s">
        <v>2266</v>
      </c>
      <c r="U795" s="77" t="str">
        <f>HYPERLINK("https://pbs.twimg.com/media/Fn06jWeXEAQUck-.jpg")</f>
        <v>https://pbs.twimg.com/media/Fn06jWeXEAQUck-.jpg</v>
      </c>
      <c r="V795" s="77" t="str">
        <f>HYPERLINK("https://pbs.twimg.com/media/Fn06jWeXEAQUck-.jpg")</f>
        <v>https://pbs.twimg.com/media/Fn06jWeXEAQUck-.jpg</v>
      </c>
      <c r="W795" s="76">
        <v>44958.955543981479</v>
      </c>
      <c r="X795" s="80">
        <v>44958</v>
      </c>
      <c r="Y795" s="78" t="s">
        <v>2993</v>
      </c>
      <c r="Z795" s="77" t="str">
        <f>HYPERLINK("https://twitter.com/jrwoodwardmsw/status/1620918914120298496")</f>
        <v>https://twitter.com/jrwoodwardmsw/status/1620918914120298496</v>
      </c>
      <c r="AC795" s="78" t="s">
        <v>4058</v>
      </c>
      <c r="AE795" t="b">
        <v>0</v>
      </c>
      <c r="AF795">
        <v>0</v>
      </c>
      <c r="AG795" s="78" t="s">
        <v>4640</v>
      </c>
      <c r="AH795" t="b">
        <v>0</v>
      </c>
      <c r="AI795" t="s">
        <v>4829</v>
      </c>
      <c r="AK795" s="78" t="s">
        <v>4640</v>
      </c>
      <c r="AL795" t="b">
        <v>0</v>
      </c>
      <c r="AM795">
        <v>10</v>
      </c>
      <c r="AN795" s="78" t="s">
        <v>4198</v>
      </c>
      <c r="AO795" s="78" t="s">
        <v>4849</v>
      </c>
      <c r="AP795" t="b">
        <v>0</v>
      </c>
      <c r="AQ795" s="78" t="s">
        <v>4198</v>
      </c>
      <c r="AR795" t="s">
        <v>179</v>
      </c>
      <c r="AS795">
        <v>0</v>
      </c>
      <c r="AT795">
        <v>0</v>
      </c>
    </row>
    <row r="796" spans="1:46" x14ac:dyDescent="0.45">
      <c r="A796" s="62" t="s">
        <v>847</v>
      </c>
      <c r="B796" s="62" t="s">
        <v>846</v>
      </c>
      <c r="C796" s="63"/>
      <c r="D796" s="64"/>
      <c r="E796" s="65"/>
      <c r="F796" s="66"/>
      <c r="G796" s="63"/>
      <c r="H796" s="67"/>
      <c r="I796" s="68"/>
      <c r="J796" s="68"/>
      <c r="K796" s="32"/>
      <c r="L796" s="75"/>
      <c r="M796" s="75"/>
      <c r="N796" s="70"/>
      <c r="O796" t="s">
        <v>1569</v>
      </c>
      <c r="P796" s="76">
        <v>44959.017812500002</v>
      </c>
      <c r="Q796" t="s">
        <v>2025</v>
      </c>
      <c r="R796" s="77" t="str">
        <f>HYPERLINK("https://www.walmart.com/")</f>
        <v>https://www.walmart.com/</v>
      </c>
      <c r="S796" t="s">
        <v>2266</v>
      </c>
      <c r="U796" s="77" t="str">
        <f>HYPERLINK("https://pbs.twimg.com/media/Fn633kTWYAYFqod.jpg")</f>
        <v>https://pbs.twimg.com/media/Fn633kTWYAYFqod.jpg</v>
      </c>
      <c r="V796" s="77" t="str">
        <f>HYPERLINK("https://pbs.twimg.com/media/Fn633kTWYAYFqod.jpg")</f>
        <v>https://pbs.twimg.com/media/Fn633kTWYAYFqod.jpg</v>
      </c>
      <c r="W796" s="76">
        <v>44959.017812500002</v>
      </c>
      <c r="X796" s="80">
        <v>44959</v>
      </c>
      <c r="Y796" s="78" t="s">
        <v>3107</v>
      </c>
      <c r="Z796" s="77" t="str">
        <f>HYPERLINK("https://twitter.com/john1966olsen/status/1620941479693910017")</f>
        <v>https://twitter.com/john1966olsen/status/1620941479693910017</v>
      </c>
      <c r="AC796" s="78" t="s">
        <v>4172</v>
      </c>
      <c r="AE796" t="b">
        <v>0</v>
      </c>
      <c r="AF796">
        <v>0</v>
      </c>
      <c r="AG796" s="78" t="s">
        <v>4640</v>
      </c>
      <c r="AH796" t="b">
        <v>0</v>
      </c>
      <c r="AI796" t="s">
        <v>4829</v>
      </c>
      <c r="AK796" s="78" t="s">
        <v>4640</v>
      </c>
      <c r="AL796" t="b">
        <v>0</v>
      </c>
      <c r="AM796">
        <v>2</v>
      </c>
      <c r="AN796" s="78" t="s">
        <v>4171</v>
      </c>
      <c r="AO796" s="78" t="s">
        <v>4851</v>
      </c>
      <c r="AP796" t="b">
        <v>0</v>
      </c>
      <c r="AQ796" s="78" t="s">
        <v>4171</v>
      </c>
      <c r="AR796" t="s">
        <v>179</v>
      </c>
      <c r="AS796">
        <v>0</v>
      </c>
      <c r="AT796">
        <v>0</v>
      </c>
    </row>
    <row r="797" spans="1:46" x14ac:dyDescent="0.45">
      <c r="A797" s="62" t="s">
        <v>847</v>
      </c>
      <c r="B797" s="62" t="s">
        <v>242</v>
      </c>
      <c r="C797" s="63"/>
      <c r="D797" s="64"/>
      <c r="E797" s="65"/>
      <c r="F797" s="66"/>
      <c r="G797" s="63"/>
      <c r="H797" s="67"/>
      <c r="I797" s="68"/>
      <c r="J797" s="68"/>
      <c r="K797" s="32"/>
      <c r="L797" s="75"/>
      <c r="M797" s="75"/>
      <c r="N797" s="70"/>
      <c r="O797" t="s">
        <v>1570</v>
      </c>
      <c r="P797" s="76">
        <v>44959.017812500002</v>
      </c>
      <c r="Q797" t="s">
        <v>2025</v>
      </c>
      <c r="R797" s="77" t="str">
        <f>HYPERLINK("https://www.walmart.com/")</f>
        <v>https://www.walmart.com/</v>
      </c>
      <c r="S797" t="s">
        <v>2266</v>
      </c>
      <c r="U797" s="77" t="str">
        <f>HYPERLINK("https://pbs.twimg.com/media/Fn633kTWYAYFqod.jpg")</f>
        <v>https://pbs.twimg.com/media/Fn633kTWYAYFqod.jpg</v>
      </c>
      <c r="V797" s="77" t="str">
        <f>HYPERLINK("https://pbs.twimg.com/media/Fn633kTWYAYFqod.jpg")</f>
        <v>https://pbs.twimg.com/media/Fn633kTWYAYFqod.jpg</v>
      </c>
      <c r="W797" s="76">
        <v>44959.017812500002</v>
      </c>
      <c r="X797" s="80">
        <v>44959</v>
      </c>
      <c r="Y797" s="78" t="s">
        <v>3107</v>
      </c>
      <c r="Z797" s="77" t="str">
        <f>HYPERLINK("https://twitter.com/john1966olsen/status/1620941479693910017")</f>
        <v>https://twitter.com/john1966olsen/status/1620941479693910017</v>
      </c>
      <c r="AC797" s="78" t="s">
        <v>4172</v>
      </c>
      <c r="AE797" t="b">
        <v>0</v>
      </c>
      <c r="AF797">
        <v>0</v>
      </c>
      <c r="AG797" s="78" t="s">
        <v>4640</v>
      </c>
      <c r="AH797" t="b">
        <v>0</v>
      </c>
      <c r="AI797" t="s">
        <v>4829</v>
      </c>
      <c r="AK797" s="78" t="s">
        <v>4640</v>
      </c>
      <c r="AL797" t="b">
        <v>0</v>
      </c>
      <c r="AM797">
        <v>2</v>
      </c>
      <c r="AN797" s="78" t="s">
        <v>4171</v>
      </c>
      <c r="AO797" s="78" t="s">
        <v>4851</v>
      </c>
      <c r="AP797" t="b">
        <v>0</v>
      </c>
      <c r="AQ797" s="78" t="s">
        <v>4171</v>
      </c>
      <c r="AR797" t="s">
        <v>179</v>
      </c>
      <c r="AS797">
        <v>0</v>
      </c>
      <c r="AT797">
        <v>0</v>
      </c>
    </row>
    <row r="798" spans="1:46" x14ac:dyDescent="0.45">
      <c r="A798" s="62" t="s">
        <v>873</v>
      </c>
      <c r="B798" s="62" t="s">
        <v>872</v>
      </c>
      <c r="C798" s="63"/>
      <c r="D798" s="64"/>
      <c r="E798" s="65"/>
      <c r="F798" s="66"/>
      <c r="G798" s="63"/>
      <c r="H798" s="67"/>
      <c r="I798" s="68"/>
      <c r="J798" s="68"/>
      <c r="K798" s="32"/>
      <c r="L798" s="75"/>
      <c r="M798" s="75"/>
      <c r="N798" s="70"/>
      <c r="O798" t="s">
        <v>1569</v>
      </c>
      <c r="P798" s="76">
        <v>44959.061655092592</v>
      </c>
      <c r="Q798" t="s">
        <v>1623</v>
      </c>
      <c r="R798" s="77" t="str">
        <f>HYPERLINK("https://www.walmart.com/ip/New-Gods-Yang-Jian-Blu-ray-DVD-Includes-New-Gods-poster-gift-with-purchase-while-supplies-last/1266950228")</f>
        <v>https://www.walmart.com/ip/New-Gods-Yang-Jian-Blu-ray-DVD-Includes-New-Gods-poster-gift-with-purchase-while-supplies-last/1266950228</v>
      </c>
      <c r="S798" t="s">
        <v>2266</v>
      </c>
      <c r="U798" s="77" t="str">
        <f>HYPERLINK("https://pbs.twimg.com/media/Fn06jWeXEAQUck-.jpg")</f>
        <v>https://pbs.twimg.com/media/Fn06jWeXEAQUck-.jpg</v>
      </c>
      <c r="V798" s="77" t="str">
        <f>HYPERLINK("https://pbs.twimg.com/media/Fn06jWeXEAQUck-.jpg")</f>
        <v>https://pbs.twimg.com/media/Fn06jWeXEAQUck-.jpg</v>
      </c>
      <c r="W798" s="76">
        <v>44959.061655092592</v>
      </c>
      <c r="X798" s="80">
        <v>44959</v>
      </c>
      <c r="Y798" s="78" t="s">
        <v>3134</v>
      </c>
      <c r="Z798" s="77" t="str">
        <f>HYPERLINK("https://twitter.com/trinhnguynth18/status/1620957371022589955")</f>
        <v>https://twitter.com/trinhnguynth18/status/1620957371022589955</v>
      </c>
      <c r="AC798" s="78" t="s">
        <v>4199</v>
      </c>
      <c r="AE798" t="b">
        <v>0</v>
      </c>
      <c r="AF798">
        <v>0</v>
      </c>
      <c r="AG798" s="78" t="s">
        <v>4640</v>
      </c>
      <c r="AH798" t="b">
        <v>0</v>
      </c>
      <c r="AI798" t="s">
        <v>4829</v>
      </c>
      <c r="AK798" s="78" t="s">
        <v>4640</v>
      </c>
      <c r="AL798" t="b">
        <v>0</v>
      </c>
      <c r="AM798">
        <v>10</v>
      </c>
      <c r="AN798" s="78" t="s">
        <v>4198</v>
      </c>
      <c r="AO798" s="78" t="s">
        <v>4850</v>
      </c>
      <c r="AP798" t="b">
        <v>0</v>
      </c>
      <c r="AQ798" s="78" t="s">
        <v>4198</v>
      </c>
      <c r="AR798" t="s">
        <v>179</v>
      </c>
      <c r="AS798">
        <v>0</v>
      </c>
      <c r="AT798">
        <v>0</v>
      </c>
    </row>
    <row r="799" spans="1:46" x14ac:dyDescent="0.45">
      <c r="A799" s="62" t="s">
        <v>873</v>
      </c>
      <c r="B799" s="62" t="s">
        <v>242</v>
      </c>
      <c r="C799" s="63"/>
      <c r="D799" s="64"/>
      <c r="E799" s="65"/>
      <c r="F799" s="66"/>
      <c r="G799" s="63"/>
      <c r="H799" s="67"/>
      <c r="I799" s="68"/>
      <c r="J799" s="68"/>
      <c r="K799" s="32"/>
      <c r="L799" s="75"/>
      <c r="M799" s="75"/>
      <c r="N799" s="70"/>
      <c r="O799" t="s">
        <v>1570</v>
      </c>
      <c r="P799" s="76">
        <v>44959.061655092592</v>
      </c>
      <c r="Q799" t="s">
        <v>1623</v>
      </c>
      <c r="R799" s="77" t="str">
        <f>HYPERLINK("https://www.walmart.com/ip/New-Gods-Yang-Jian-Blu-ray-DVD-Includes-New-Gods-poster-gift-with-purchase-while-supplies-last/1266950228")</f>
        <v>https://www.walmart.com/ip/New-Gods-Yang-Jian-Blu-ray-DVD-Includes-New-Gods-poster-gift-with-purchase-while-supplies-last/1266950228</v>
      </c>
      <c r="S799" t="s">
        <v>2266</v>
      </c>
      <c r="U799" s="77" t="str">
        <f>HYPERLINK("https://pbs.twimg.com/media/Fn06jWeXEAQUck-.jpg")</f>
        <v>https://pbs.twimg.com/media/Fn06jWeXEAQUck-.jpg</v>
      </c>
      <c r="V799" s="77" t="str">
        <f>HYPERLINK("https://pbs.twimg.com/media/Fn06jWeXEAQUck-.jpg")</f>
        <v>https://pbs.twimg.com/media/Fn06jWeXEAQUck-.jpg</v>
      </c>
      <c r="W799" s="76">
        <v>44959.061655092592</v>
      </c>
      <c r="X799" s="80">
        <v>44959</v>
      </c>
      <c r="Y799" s="78" t="s">
        <v>3134</v>
      </c>
      <c r="Z799" s="77" t="str">
        <f>HYPERLINK("https://twitter.com/trinhnguynth18/status/1620957371022589955")</f>
        <v>https://twitter.com/trinhnguynth18/status/1620957371022589955</v>
      </c>
      <c r="AC799" s="78" t="s">
        <v>4199</v>
      </c>
      <c r="AE799" t="b">
        <v>0</v>
      </c>
      <c r="AF799">
        <v>0</v>
      </c>
      <c r="AG799" s="78" t="s">
        <v>4640</v>
      </c>
      <c r="AH799" t="b">
        <v>0</v>
      </c>
      <c r="AI799" t="s">
        <v>4829</v>
      </c>
      <c r="AK799" s="78" t="s">
        <v>4640</v>
      </c>
      <c r="AL799" t="b">
        <v>0</v>
      </c>
      <c r="AM799">
        <v>10</v>
      </c>
      <c r="AN799" s="78" t="s">
        <v>4198</v>
      </c>
      <c r="AO799" s="78" t="s">
        <v>4850</v>
      </c>
      <c r="AP799" t="b">
        <v>0</v>
      </c>
      <c r="AQ799" s="78" t="s">
        <v>4198</v>
      </c>
      <c r="AR799" t="s">
        <v>179</v>
      </c>
      <c r="AS799">
        <v>0</v>
      </c>
      <c r="AT799">
        <v>0</v>
      </c>
    </row>
    <row r="800" spans="1:46" x14ac:dyDescent="0.45">
      <c r="A800" s="62" t="s">
        <v>880</v>
      </c>
      <c r="B800" s="62" t="s">
        <v>242</v>
      </c>
      <c r="C800" s="63"/>
      <c r="D800" s="64"/>
      <c r="E800" s="65"/>
      <c r="F800" s="66"/>
      <c r="G800" s="63"/>
      <c r="H800" s="67"/>
      <c r="I800" s="68"/>
      <c r="J800" s="68"/>
      <c r="K800" s="32"/>
      <c r="L800" s="75"/>
      <c r="M800" s="75"/>
      <c r="N800" s="70"/>
      <c r="O800" t="s">
        <v>1569</v>
      </c>
      <c r="P800" s="76">
        <v>44959.064236111109</v>
      </c>
      <c r="Q800" t="s">
        <v>1830</v>
      </c>
      <c r="R800" s="77" t="str">
        <f>HYPERLINK("https://www.walmart.com/shop/col/samsung-galaxy-collection?veh=brs&amp;adid=_20230201&amp;cn=_&amp;linkId=100000182848001")</f>
        <v>https://www.walmart.com/shop/col/samsung-galaxy-collection?veh=brs&amp;adid=_20230201&amp;cn=_&amp;linkId=100000182848001</v>
      </c>
      <c r="S800" t="s">
        <v>2266</v>
      </c>
      <c r="U800" s="77" t="str">
        <f>HYPERLINK("https://pbs.twimg.com/amplify_video_thumb/1620873850387894275/img/zYjAbN0HBTB9-O9K.jpg")</f>
        <v>https://pbs.twimg.com/amplify_video_thumb/1620873850387894275/img/zYjAbN0HBTB9-O9K.jpg</v>
      </c>
      <c r="V800" s="77" t="str">
        <f>HYPERLINK("https://pbs.twimg.com/amplify_video_thumb/1620873850387894275/img/zYjAbN0HBTB9-O9K.jpg")</f>
        <v>https://pbs.twimg.com/amplify_video_thumb/1620873850387894275/img/zYjAbN0HBTB9-O9K.jpg</v>
      </c>
      <c r="W800" s="76">
        <v>44959.064236111109</v>
      </c>
      <c r="X800" s="80">
        <v>44959</v>
      </c>
      <c r="Y800" s="78" t="s">
        <v>3141</v>
      </c>
      <c r="Z800" s="77" t="str">
        <f>HYPERLINK("https://twitter.com/autonomymodelx/status/1620958304779341826")</f>
        <v>https://twitter.com/autonomymodelx/status/1620958304779341826</v>
      </c>
      <c r="AC800" s="78" t="s">
        <v>4206</v>
      </c>
      <c r="AE800" t="b">
        <v>0</v>
      </c>
      <c r="AF800">
        <v>0</v>
      </c>
      <c r="AG800" s="78" t="s">
        <v>4640</v>
      </c>
      <c r="AH800" t="b">
        <v>0</v>
      </c>
      <c r="AI800" t="s">
        <v>4829</v>
      </c>
      <c r="AK800" s="78" t="s">
        <v>4640</v>
      </c>
      <c r="AL800" t="b">
        <v>0</v>
      </c>
      <c r="AM800">
        <v>5</v>
      </c>
      <c r="AN800" s="78" t="s">
        <v>4495</v>
      </c>
      <c r="AO800" s="78" t="s">
        <v>4851</v>
      </c>
      <c r="AP800" t="b">
        <v>0</v>
      </c>
      <c r="AQ800" s="78" t="s">
        <v>4495</v>
      </c>
      <c r="AR800" t="s">
        <v>179</v>
      </c>
      <c r="AS800">
        <v>0</v>
      </c>
      <c r="AT800">
        <v>0</v>
      </c>
    </row>
    <row r="801" spans="1:46" x14ac:dyDescent="0.45">
      <c r="A801" s="62" t="s">
        <v>1097</v>
      </c>
      <c r="B801" s="62" t="s">
        <v>242</v>
      </c>
      <c r="C801" s="63"/>
      <c r="D801" s="64"/>
      <c r="E801" s="65"/>
      <c r="F801" s="66"/>
      <c r="G801" s="63"/>
      <c r="H801" s="67"/>
      <c r="I801" s="68"/>
      <c r="J801" s="68"/>
      <c r="K801" s="32"/>
      <c r="L801" s="75"/>
      <c r="M801" s="75"/>
      <c r="N801" s="70"/>
      <c r="O801" t="s">
        <v>1568</v>
      </c>
      <c r="P801" s="76">
        <v>44959.602141203701</v>
      </c>
      <c r="Q801" t="s">
        <v>2242</v>
      </c>
      <c r="R801" s="77" t="str">
        <f>HYPERLINK("https://www.walmart.com/search?q=the%20runway%20looks&amp;typeahead=the%20runway&amp;cat_id=1085666")</f>
        <v>https://www.walmart.com/search?q=the%20runway%20looks&amp;typeahead=the%20runway&amp;cat_id=1085666</v>
      </c>
      <c r="S801" t="s">
        <v>2266</v>
      </c>
      <c r="V801" s="77" t="str">
        <f>HYPERLINK("https://pbs.twimg.com/profile_images/1576325919530180612/tGnJUM5S_normal.jpg")</f>
        <v>https://pbs.twimg.com/profile_images/1576325919530180612/tGnJUM5S_normal.jpg</v>
      </c>
      <c r="W801" s="76">
        <v>44959.602141203701</v>
      </c>
      <c r="X801" s="80">
        <v>44959</v>
      </c>
      <c r="Y801" s="78" t="s">
        <v>3414</v>
      </c>
      <c r="Z801" s="77" t="str">
        <f>HYPERLINK("https://twitter.com/elinamaffeo/status/1621153236819537921")</f>
        <v>https://twitter.com/elinamaffeo/status/1621153236819537921</v>
      </c>
      <c r="AC801" s="78" t="s">
        <v>4479</v>
      </c>
      <c r="AE801" t="b">
        <v>0</v>
      </c>
      <c r="AF801">
        <v>0</v>
      </c>
      <c r="AG801" s="78" t="s">
        <v>4640</v>
      </c>
      <c r="AH801" t="b">
        <v>0</v>
      </c>
      <c r="AI801" t="s">
        <v>4829</v>
      </c>
      <c r="AK801" s="78" t="s">
        <v>4640</v>
      </c>
      <c r="AL801" t="b">
        <v>0</v>
      </c>
      <c r="AM801">
        <v>0</v>
      </c>
      <c r="AN801" s="78" t="s">
        <v>4640</v>
      </c>
      <c r="AO801" s="78" t="s">
        <v>4849</v>
      </c>
      <c r="AP801" t="b">
        <v>0</v>
      </c>
      <c r="AQ801" s="78" t="s">
        <v>4479</v>
      </c>
      <c r="AR801" t="s">
        <v>179</v>
      </c>
      <c r="AS801">
        <v>0</v>
      </c>
      <c r="AT801">
        <v>0</v>
      </c>
    </row>
    <row r="802" spans="1:46" x14ac:dyDescent="0.45">
      <c r="A802" s="62" t="s">
        <v>640</v>
      </c>
      <c r="B802" s="62" t="s">
        <v>1256</v>
      </c>
      <c r="C802" s="63"/>
      <c r="D802" s="64"/>
      <c r="E802" s="65"/>
      <c r="F802" s="66"/>
      <c r="G802" s="63"/>
      <c r="H802" s="67"/>
      <c r="I802" s="68"/>
      <c r="J802" s="68"/>
      <c r="K802" s="32"/>
      <c r="L802" s="75"/>
      <c r="M802" s="75"/>
      <c r="N802" s="70"/>
      <c r="O802" t="s">
        <v>1568</v>
      </c>
      <c r="P802" s="76">
        <v>44953.845833333333</v>
      </c>
      <c r="Q802" t="s">
        <v>1727</v>
      </c>
      <c r="R802" t="s">
        <v>2252</v>
      </c>
      <c r="S802" t="s">
        <v>2278</v>
      </c>
      <c r="T802" s="78" t="s">
        <v>2338</v>
      </c>
      <c r="U802" s="77" t="str">
        <f>HYPERLINK("https://pbs.twimg.com/media/FngVDOmacAArMrx.jpg")</f>
        <v>https://pbs.twimg.com/media/FngVDOmacAArMrx.jpg</v>
      </c>
      <c r="V802" s="77" t="str">
        <f>HYPERLINK("https://pbs.twimg.com/media/FngVDOmacAArMrx.jpg")</f>
        <v>https://pbs.twimg.com/media/FngVDOmacAArMrx.jpg</v>
      </c>
      <c r="W802" s="76">
        <v>44953.845833333333</v>
      </c>
      <c r="X802" s="80">
        <v>44953</v>
      </c>
      <c r="Y802" s="78" t="s">
        <v>2841</v>
      </c>
      <c r="Z802" s="77" t="str">
        <f>HYPERLINK("https://twitter.com/inndstock/status/1619067218691776513")</f>
        <v>https://twitter.com/inndstock/status/1619067218691776513</v>
      </c>
      <c r="AC802" s="78" t="s">
        <v>3905</v>
      </c>
      <c r="AE802" t="b">
        <v>0</v>
      </c>
      <c r="AF802">
        <v>140</v>
      </c>
      <c r="AG802" s="78" t="s">
        <v>4640</v>
      </c>
      <c r="AH802" t="b">
        <v>0</v>
      </c>
      <c r="AI802" t="s">
        <v>4829</v>
      </c>
      <c r="AK802" s="78" t="s">
        <v>4640</v>
      </c>
      <c r="AL802" t="b">
        <v>0</v>
      </c>
      <c r="AM802">
        <v>35</v>
      </c>
      <c r="AN802" s="78" t="s">
        <v>4640</v>
      </c>
      <c r="AO802" s="78" t="s">
        <v>4849</v>
      </c>
      <c r="AP802" t="b">
        <v>0</v>
      </c>
      <c r="AQ802" s="78" t="s">
        <v>3905</v>
      </c>
      <c r="AR802" t="s">
        <v>1569</v>
      </c>
      <c r="AS802">
        <v>0</v>
      </c>
      <c r="AT802">
        <v>0</v>
      </c>
    </row>
    <row r="803" spans="1:46" x14ac:dyDescent="0.45">
      <c r="A803" s="62" t="s">
        <v>640</v>
      </c>
      <c r="B803" s="62" t="s">
        <v>242</v>
      </c>
      <c r="C803" s="63"/>
      <c r="D803" s="64"/>
      <c r="E803" s="65"/>
      <c r="F803" s="66"/>
      <c r="G803" s="63"/>
      <c r="H803" s="67"/>
      <c r="I803" s="68"/>
      <c r="J803" s="68"/>
      <c r="K803" s="32"/>
      <c r="L803" s="75"/>
      <c r="M803" s="75"/>
      <c r="N803" s="70"/>
      <c r="O803" t="s">
        <v>1568</v>
      </c>
      <c r="P803" s="76">
        <v>44953.845833333333</v>
      </c>
      <c r="Q803" t="s">
        <v>1727</v>
      </c>
      <c r="R803" t="s">
        <v>2252</v>
      </c>
      <c r="S803" t="s">
        <v>2278</v>
      </c>
      <c r="T803" s="78" t="s">
        <v>2338</v>
      </c>
      <c r="U803" s="77" t="str">
        <f>HYPERLINK("https://pbs.twimg.com/media/FngVDOmacAArMrx.jpg")</f>
        <v>https://pbs.twimg.com/media/FngVDOmacAArMrx.jpg</v>
      </c>
      <c r="V803" s="77" t="str">
        <f>HYPERLINK("https://pbs.twimg.com/media/FngVDOmacAArMrx.jpg")</f>
        <v>https://pbs.twimg.com/media/FngVDOmacAArMrx.jpg</v>
      </c>
      <c r="W803" s="76">
        <v>44953.845833333333</v>
      </c>
      <c r="X803" s="80">
        <v>44953</v>
      </c>
      <c r="Y803" s="78" t="s">
        <v>2841</v>
      </c>
      <c r="Z803" s="77" t="str">
        <f>HYPERLINK("https://twitter.com/inndstock/status/1619067218691776513")</f>
        <v>https://twitter.com/inndstock/status/1619067218691776513</v>
      </c>
      <c r="AC803" s="78" t="s">
        <v>3905</v>
      </c>
      <c r="AE803" t="b">
        <v>0</v>
      </c>
      <c r="AF803">
        <v>140</v>
      </c>
      <c r="AG803" s="78" t="s">
        <v>4640</v>
      </c>
      <c r="AH803" t="b">
        <v>0</v>
      </c>
      <c r="AI803" t="s">
        <v>4829</v>
      </c>
      <c r="AK803" s="78" t="s">
        <v>4640</v>
      </c>
      <c r="AL803" t="b">
        <v>0</v>
      </c>
      <c r="AM803">
        <v>35</v>
      </c>
      <c r="AN803" s="78" t="s">
        <v>4640</v>
      </c>
      <c r="AO803" s="78" t="s">
        <v>4849</v>
      </c>
      <c r="AP803" t="b">
        <v>0</v>
      </c>
      <c r="AQ803" s="78" t="s">
        <v>3905</v>
      </c>
      <c r="AR803" t="s">
        <v>1569</v>
      </c>
      <c r="AS803">
        <v>0</v>
      </c>
      <c r="AT803">
        <v>0</v>
      </c>
    </row>
    <row r="804" spans="1:46" x14ac:dyDescent="0.45">
      <c r="A804" s="62" t="s">
        <v>394</v>
      </c>
      <c r="B804" s="62" t="s">
        <v>242</v>
      </c>
      <c r="C804" s="63"/>
      <c r="D804" s="64"/>
      <c r="E804" s="65"/>
      <c r="F804" s="66"/>
      <c r="G804" s="63"/>
      <c r="H804" s="67"/>
      <c r="I804" s="68"/>
      <c r="J804" s="68"/>
      <c r="K804" s="32"/>
      <c r="L804" s="75"/>
      <c r="M804" s="75"/>
      <c r="N804" s="70"/>
      <c r="O804" t="s">
        <v>1570</v>
      </c>
      <c r="P804" s="76">
        <v>44958.702974537038</v>
      </c>
      <c r="Q804" t="s">
        <v>1727</v>
      </c>
      <c r="R804" t="s">
        <v>2252</v>
      </c>
      <c r="S804" t="s">
        <v>2278</v>
      </c>
      <c r="T804" s="78" t="s">
        <v>2338</v>
      </c>
      <c r="U804" s="77" t="str">
        <f>HYPERLINK("https://pbs.twimg.com/media/FngVDOmacAArMrx.jpg")</f>
        <v>https://pbs.twimg.com/media/FngVDOmacAArMrx.jpg</v>
      </c>
      <c r="V804" s="77" t="str">
        <f>HYPERLINK("https://pbs.twimg.com/media/FngVDOmacAArMrx.jpg")</f>
        <v>https://pbs.twimg.com/media/FngVDOmacAArMrx.jpg</v>
      </c>
      <c r="W804" s="76">
        <v>44958.702974537038</v>
      </c>
      <c r="X804" s="80">
        <v>44958</v>
      </c>
      <c r="Y804" s="78" t="s">
        <v>2622</v>
      </c>
      <c r="Z804" s="77" t="str">
        <f>HYPERLINK("https://twitter.com/nk76202283/status/1620827389763911683")</f>
        <v>https://twitter.com/nk76202283/status/1620827389763911683</v>
      </c>
      <c r="AC804" s="78" t="s">
        <v>3639</v>
      </c>
      <c r="AE804" t="b">
        <v>0</v>
      </c>
      <c r="AF804">
        <v>0</v>
      </c>
      <c r="AG804" s="78" t="s">
        <v>4640</v>
      </c>
      <c r="AH804" t="b">
        <v>0</v>
      </c>
      <c r="AI804" t="s">
        <v>4829</v>
      </c>
      <c r="AK804" s="78" t="s">
        <v>4640</v>
      </c>
      <c r="AL804" t="b">
        <v>0</v>
      </c>
      <c r="AM804">
        <v>35</v>
      </c>
      <c r="AN804" s="78" t="s">
        <v>3905</v>
      </c>
      <c r="AO804" s="78" t="s">
        <v>4850</v>
      </c>
      <c r="AP804" t="b">
        <v>0</v>
      </c>
      <c r="AQ804" s="78" t="s">
        <v>3905</v>
      </c>
      <c r="AR804" t="s">
        <v>179</v>
      </c>
      <c r="AS804">
        <v>0</v>
      </c>
      <c r="AT804">
        <v>0</v>
      </c>
    </row>
    <row r="805" spans="1:46" x14ac:dyDescent="0.45">
      <c r="A805" s="62" t="s">
        <v>394</v>
      </c>
      <c r="B805" s="62" t="s">
        <v>1256</v>
      </c>
      <c r="C805" s="63"/>
      <c r="D805" s="64"/>
      <c r="E805" s="65"/>
      <c r="F805" s="66"/>
      <c r="G805" s="63"/>
      <c r="H805" s="67"/>
      <c r="I805" s="68"/>
      <c r="J805" s="68"/>
      <c r="K805" s="32"/>
      <c r="L805" s="75"/>
      <c r="M805" s="75"/>
      <c r="N805" s="70"/>
      <c r="O805" t="s">
        <v>1570</v>
      </c>
      <c r="P805" s="76">
        <v>44958.702974537038</v>
      </c>
      <c r="Q805" t="s">
        <v>1727</v>
      </c>
      <c r="R805" t="s">
        <v>2252</v>
      </c>
      <c r="S805" t="s">
        <v>2278</v>
      </c>
      <c r="T805" s="78" t="s">
        <v>2338</v>
      </c>
      <c r="U805" s="77" t="str">
        <f>HYPERLINK("https://pbs.twimg.com/media/FngVDOmacAArMrx.jpg")</f>
        <v>https://pbs.twimg.com/media/FngVDOmacAArMrx.jpg</v>
      </c>
      <c r="V805" s="77" t="str">
        <f>HYPERLINK("https://pbs.twimg.com/media/FngVDOmacAArMrx.jpg")</f>
        <v>https://pbs.twimg.com/media/FngVDOmacAArMrx.jpg</v>
      </c>
      <c r="W805" s="76">
        <v>44958.702974537038</v>
      </c>
      <c r="X805" s="80">
        <v>44958</v>
      </c>
      <c r="Y805" s="78" t="s">
        <v>2622</v>
      </c>
      <c r="Z805" s="77" t="str">
        <f>HYPERLINK("https://twitter.com/nk76202283/status/1620827389763911683")</f>
        <v>https://twitter.com/nk76202283/status/1620827389763911683</v>
      </c>
      <c r="AC805" s="78" t="s">
        <v>3639</v>
      </c>
      <c r="AE805" t="b">
        <v>0</v>
      </c>
      <c r="AF805">
        <v>0</v>
      </c>
      <c r="AG805" s="78" t="s">
        <v>4640</v>
      </c>
      <c r="AH805" t="b">
        <v>0</v>
      </c>
      <c r="AI805" t="s">
        <v>4829</v>
      </c>
      <c r="AK805" s="78" t="s">
        <v>4640</v>
      </c>
      <c r="AL805" t="b">
        <v>0</v>
      </c>
      <c r="AM805">
        <v>35</v>
      </c>
      <c r="AN805" s="78" t="s">
        <v>3905</v>
      </c>
      <c r="AO805" s="78" t="s">
        <v>4850</v>
      </c>
      <c r="AP805" t="b">
        <v>0</v>
      </c>
      <c r="AQ805" s="78" t="s">
        <v>3905</v>
      </c>
      <c r="AR805" t="s">
        <v>179</v>
      </c>
      <c r="AS805">
        <v>0</v>
      </c>
      <c r="AT805">
        <v>0</v>
      </c>
    </row>
    <row r="806" spans="1:46" x14ac:dyDescent="0.45">
      <c r="A806" s="62" t="s">
        <v>394</v>
      </c>
      <c r="B806" s="62" t="s">
        <v>640</v>
      </c>
      <c r="C806" s="63"/>
      <c r="D806" s="64"/>
      <c r="E806" s="65"/>
      <c r="F806" s="66"/>
      <c r="G806" s="63"/>
      <c r="H806" s="67"/>
      <c r="I806" s="68"/>
      <c r="J806" s="68"/>
      <c r="K806" s="32"/>
      <c r="L806" s="75"/>
      <c r="M806" s="75"/>
      <c r="N806" s="70"/>
      <c r="O806" t="s">
        <v>1569</v>
      </c>
      <c r="P806" s="76">
        <v>44958.702974537038</v>
      </c>
      <c r="Q806" t="s">
        <v>1727</v>
      </c>
      <c r="R806" t="s">
        <v>2252</v>
      </c>
      <c r="S806" t="s">
        <v>2278</v>
      </c>
      <c r="T806" s="78" t="s">
        <v>2338</v>
      </c>
      <c r="U806" s="77" t="str">
        <f>HYPERLINK("https://pbs.twimg.com/media/FngVDOmacAArMrx.jpg")</f>
        <v>https://pbs.twimg.com/media/FngVDOmacAArMrx.jpg</v>
      </c>
      <c r="V806" s="77" t="str">
        <f>HYPERLINK("https://pbs.twimg.com/media/FngVDOmacAArMrx.jpg")</f>
        <v>https://pbs.twimg.com/media/FngVDOmacAArMrx.jpg</v>
      </c>
      <c r="W806" s="76">
        <v>44958.702974537038</v>
      </c>
      <c r="X806" s="80">
        <v>44958</v>
      </c>
      <c r="Y806" s="78" t="s">
        <v>2622</v>
      </c>
      <c r="Z806" s="77" t="str">
        <f>HYPERLINK("https://twitter.com/nk76202283/status/1620827389763911683")</f>
        <v>https://twitter.com/nk76202283/status/1620827389763911683</v>
      </c>
      <c r="AC806" s="78" t="s">
        <v>3639</v>
      </c>
      <c r="AE806" t="b">
        <v>0</v>
      </c>
      <c r="AF806">
        <v>0</v>
      </c>
      <c r="AG806" s="78" t="s">
        <v>4640</v>
      </c>
      <c r="AH806" t="b">
        <v>0</v>
      </c>
      <c r="AI806" t="s">
        <v>4829</v>
      </c>
      <c r="AK806" s="78" t="s">
        <v>4640</v>
      </c>
      <c r="AL806" t="b">
        <v>0</v>
      </c>
      <c r="AM806">
        <v>35</v>
      </c>
      <c r="AN806" s="78" t="s">
        <v>3905</v>
      </c>
      <c r="AO806" s="78" t="s">
        <v>4850</v>
      </c>
      <c r="AP806" t="b">
        <v>0</v>
      </c>
      <c r="AQ806" s="78" t="s">
        <v>3905</v>
      </c>
      <c r="AR806" t="s">
        <v>179</v>
      </c>
      <c r="AS806">
        <v>0</v>
      </c>
      <c r="AT806">
        <v>0</v>
      </c>
    </row>
    <row r="807" spans="1:46" x14ac:dyDescent="0.45">
      <c r="A807" s="62" t="s">
        <v>641</v>
      </c>
      <c r="B807" s="62" t="s">
        <v>1256</v>
      </c>
      <c r="C807" s="63"/>
      <c r="D807" s="64"/>
      <c r="E807" s="65"/>
      <c r="F807" s="66"/>
      <c r="G807" s="63"/>
      <c r="H807" s="67"/>
      <c r="I807" s="68"/>
      <c r="J807" s="68"/>
      <c r="K807" s="32"/>
      <c r="L807" s="75"/>
      <c r="M807" s="75"/>
      <c r="N807" s="70"/>
      <c r="O807" t="s">
        <v>1570</v>
      </c>
      <c r="P807" s="76">
        <v>44958.843576388892</v>
      </c>
      <c r="Q807" t="s">
        <v>1727</v>
      </c>
      <c r="R807" t="s">
        <v>2252</v>
      </c>
      <c r="S807" t="s">
        <v>2278</v>
      </c>
      <c r="T807" s="78" t="s">
        <v>2338</v>
      </c>
      <c r="U807" s="77" t="str">
        <f>HYPERLINK("https://pbs.twimg.com/media/FngVDOmacAArMrx.jpg")</f>
        <v>https://pbs.twimg.com/media/FngVDOmacAArMrx.jpg</v>
      </c>
      <c r="V807" s="77" t="str">
        <f>HYPERLINK("https://pbs.twimg.com/media/FngVDOmacAArMrx.jpg")</f>
        <v>https://pbs.twimg.com/media/FngVDOmacAArMrx.jpg</v>
      </c>
      <c r="W807" s="76">
        <v>44958.843576388892</v>
      </c>
      <c r="X807" s="80">
        <v>44958</v>
      </c>
      <c r="Y807" s="78" t="s">
        <v>2840</v>
      </c>
      <c r="Z807" s="77" t="str">
        <f>HYPERLINK("https://twitter.com/itsmrmingtoyou/status/1620878341887913986")</f>
        <v>https://twitter.com/itsmrmingtoyou/status/1620878341887913986</v>
      </c>
      <c r="AC807" s="78" t="s">
        <v>3906</v>
      </c>
      <c r="AE807" t="b">
        <v>0</v>
      </c>
      <c r="AF807">
        <v>0</v>
      </c>
      <c r="AG807" s="78" t="s">
        <v>4640</v>
      </c>
      <c r="AH807" t="b">
        <v>0</v>
      </c>
      <c r="AI807" t="s">
        <v>4829</v>
      </c>
      <c r="AK807" s="78" t="s">
        <v>4640</v>
      </c>
      <c r="AL807" t="b">
        <v>0</v>
      </c>
      <c r="AM807">
        <v>35</v>
      </c>
      <c r="AN807" s="78" t="s">
        <v>3905</v>
      </c>
      <c r="AO807" s="78" t="s">
        <v>4850</v>
      </c>
      <c r="AP807" t="b">
        <v>0</v>
      </c>
      <c r="AQ807" s="78" t="s">
        <v>3905</v>
      </c>
      <c r="AR807" t="s">
        <v>179</v>
      </c>
      <c r="AS807">
        <v>0</v>
      </c>
      <c r="AT807">
        <v>0</v>
      </c>
    </row>
    <row r="808" spans="1:46" x14ac:dyDescent="0.45">
      <c r="A808" s="62" t="s">
        <v>641</v>
      </c>
      <c r="B808" s="62" t="s">
        <v>640</v>
      </c>
      <c r="C808" s="63"/>
      <c r="D808" s="64"/>
      <c r="E808" s="65"/>
      <c r="F808" s="66"/>
      <c r="G808" s="63"/>
      <c r="H808" s="67"/>
      <c r="I808" s="68"/>
      <c r="J808" s="68"/>
      <c r="K808" s="32"/>
      <c r="L808" s="75"/>
      <c r="M808" s="75"/>
      <c r="N808" s="70"/>
      <c r="O808" t="s">
        <v>1569</v>
      </c>
      <c r="P808" s="76">
        <v>44958.843576388892</v>
      </c>
      <c r="Q808" t="s">
        <v>1727</v>
      </c>
      <c r="R808" t="s">
        <v>2252</v>
      </c>
      <c r="S808" t="s">
        <v>2278</v>
      </c>
      <c r="T808" s="78" t="s">
        <v>2338</v>
      </c>
      <c r="U808" s="77" t="str">
        <f>HYPERLINK("https://pbs.twimg.com/media/FngVDOmacAArMrx.jpg")</f>
        <v>https://pbs.twimg.com/media/FngVDOmacAArMrx.jpg</v>
      </c>
      <c r="V808" s="77" t="str">
        <f>HYPERLINK("https://pbs.twimg.com/media/FngVDOmacAArMrx.jpg")</f>
        <v>https://pbs.twimg.com/media/FngVDOmacAArMrx.jpg</v>
      </c>
      <c r="W808" s="76">
        <v>44958.843576388892</v>
      </c>
      <c r="X808" s="80">
        <v>44958</v>
      </c>
      <c r="Y808" s="78" t="s">
        <v>2840</v>
      </c>
      <c r="Z808" s="77" t="str">
        <f>HYPERLINK("https://twitter.com/itsmrmingtoyou/status/1620878341887913986")</f>
        <v>https://twitter.com/itsmrmingtoyou/status/1620878341887913986</v>
      </c>
      <c r="AC808" s="78" t="s">
        <v>3906</v>
      </c>
      <c r="AE808" t="b">
        <v>0</v>
      </c>
      <c r="AF808">
        <v>0</v>
      </c>
      <c r="AG808" s="78" t="s">
        <v>4640</v>
      </c>
      <c r="AH808" t="b">
        <v>0</v>
      </c>
      <c r="AI808" t="s">
        <v>4829</v>
      </c>
      <c r="AK808" s="78" t="s">
        <v>4640</v>
      </c>
      <c r="AL808" t="b">
        <v>0</v>
      </c>
      <c r="AM808">
        <v>35</v>
      </c>
      <c r="AN808" s="78" t="s">
        <v>3905</v>
      </c>
      <c r="AO808" s="78" t="s">
        <v>4850</v>
      </c>
      <c r="AP808" t="b">
        <v>0</v>
      </c>
      <c r="AQ808" s="78" t="s">
        <v>3905</v>
      </c>
      <c r="AR808" t="s">
        <v>179</v>
      </c>
      <c r="AS808">
        <v>0</v>
      </c>
      <c r="AT808">
        <v>0</v>
      </c>
    </row>
    <row r="809" spans="1:46" x14ac:dyDescent="0.45">
      <c r="A809" s="62" t="s">
        <v>641</v>
      </c>
      <c r="B809" s="62" t="s">
        <v>242</v>
      </c>
      <c r="C809" s="63"/>
      <c r="D809" s="64"/>
      <c r="E809" s="65"/>
      <c r="F809" s="66"/>
      <c r="G809" s="63"/>
      <c r="H809" s="67"/>
      <c r="I809" s="68"/>
      <c r="J809" s="68"/>
      <c r="K809" s="32"/>
      <c r="L809" s="75"/>
      <c r="M809" s="75"/>
      <c r="N809" s="70"/>
      <c r="O809" t="s">
        <v>1570</v>
      </c>
      <c r="P809" s="76">
        <v>44958.843576388892</v>
      </c>
      <c r="Q809" t="s">
        <v>1727</v>
      </c>
      <c r="R809" t="s">
        <v>2252</v>
      </c>
      <c r="S809" t="s">
        <v>2278</v>
      </c>
      <c r="T809" s="78" t="s">
        <v>2338</v>
      </c>
      <c r="U809" s="77" t="str">
        <f>HYPERLINK("https://pbs.twimg.com/media/FngVDOmacAArMrx.jpg")</f>
        <v>https://pbs.twimg.com/media/FngVDOmacAArMrx.jpg</v>
      </c>
      <c r="V809" s="77" t="str">
        <f>HYPERLINK("https://pbs.twimg.com/media/FngVDOmacAArMrx.jpg")</f>
        <v>https://pbs.twimg.com/media/FngVDOmacAArMrx.jpg</v>
      </c>
      <c r="W809" s="76">
        <v>44958.843576388892</v>
      </c>
      <c r="X809" s="80">
        <v>44958</v>
      </c>
      <c r="Y809" s="78" t="s">
        <v>2840</v>
      </c>
      <c r="Z809" s="77" t="str">
        <f>HYPERLINK("https://twitter.com/itsmrmingtoyou/status/1620878341887913986")</f>
        <v>https://twitter.com/itsmrmingtoyou/status/1620878341887913986</v>
      </c>
      <c r="AC809" s="78" t="s">
        <v>3906</v>
      </c>
      <c r="AE809" t="b">
        <v>0</v>
      </c>
      <c r="AF809">
        <v>0</v>
      </c>
      <c r="AG809" s="78" t="s">
        <v>4640</v>
      </c>
      <c r="AH809" t="b">
        <v>0</v>
      </c>
      <c r="AI809" t="s">
        <v>4829</v>
      </c>
      <c r="AK809" s="78" t="s">
        <v>4640</v>
      </c>
      <c r="AL809" t="b">
        <v>0</v>
      </c>
      <c r="AM809">
        <v>35</v>
      </c>
      <c r="AN809" s="78" t="s">
        <v>3905</v>
      </c>
      <c r="AO809" s="78" t="s">
        <v>4850</v>
      </c>
      <c r="AP809" t="b">
        <v>0</v>
      </c>
      <c r="AQ809" s="78" t="s">
        <v>3905</v>
      </c>
      <c r="AR809" t="s">
        <v>179</v>
      </c>
      <c r="AS809">
        <v>0</v>
      </c>
      <c r="AT809">
        <v>0</v>
      </c>
    </row>
    <row r="810" spans="1:46" x14ac:dyDescent="0.45">
      <c r="A810" s="62" t="s">
        <v>846</v>
      </c>
      <c r="B810" s="62" t="s">
        <v>242</v>
      </c>
      <c r="C810" s="63"/>
      <c r="D810" s="64"/>
      <c r="E810" s="65"/>
      <c r="F810" s="66"/>
      <c r="G810" s="63"/>
      <c r="H810" s="67"/>
      <c r="I810" s="68"/>
      <c r="J810" s="68"/>
      <c r="K810" s="32"/>
      <c r="L810" s="75"/>
      <c r="M810" s="75"/>
      <c r="N810" s="70"/>
      <c r="O810" t="s">
        <v>1568</v>
      </c>
      <c r="P810" s="76">
        <v>44959.000162037039</v>
      </c>
      <c r="Q810" t="s">
        <v>2025</v>
      </c>
      <c r="R810" t="s">
        <v>2253</v>
      </c>
      <c r="S810" t="s">
        <v>2278</v>
      </c>
      <c r="T810" s="78" t="s">
        <v>2383</v>
      </c>
      <c r="U810" s="77" t="str">
        <f>HYPERLINK("https://pbs.twimg.com/media/Fn633kTWYAYFqod.jpg")</f>
        <v>https://pbs.twimg.com/media/Fn633kTWYAYFqod.jpg</v>
      </c>
      <c r="V810" s="77" t="str">
        <f>HYPERLINK("https://pbs.twimg.com/media/Fn633kTWYAYFqod.jpg")</f>
        <v>https://pbs.twimg.com/media/Fn633kTWYAYFqod.jpg</v>
      </c>
      <c r="W810" s="76">
        <v>44959.000162037039</v>
      </c>
      <c r="X810" s="80">
        <v>44959</v>
      </c>
      <c r="Y810" s="78" t="s">
        <v>3106</v>
      </c>
      <c r="Z810" s="77" t="str">
        <f>HYPERLINK("https://twitter.com/stlfoodbank/status/1620935087083618305")</f>
        <v>https://twitter.com/stlfoodbank/status/1620935087083618305</v>
      </c>
      <c r="AC810" s="78" t="s">
        <v>4171</v>
      </c>
      <c r="AE810" t="b">
        <v>0</v>
      </c>
      <c r="AF810">
        <v>2</v>
      </c>
      <c r="AG810" s="78" t="s">
        <v>4640</v>
      </c>
      <c r="AH810" t="b">
        <v>0</v>
      </c>
      <c r="AI810" t="s">
        <v>4829</v>
      </c>
      <c r="AK810" s="78" t="s">
        <v>4640</v>
      </c>
      <c r="AL810" t="b">
        <v>0</v>
      </c>
      <c r="AM810">
        <v>2</v>
      </c>
      <c r="AN810" s="78" t="s">
        <v>4640</v>
      </c>
      <c r="AO810" s="78" t="s">
        <v>4862</v>
      </c>
      <c r="AP810" t="b">
        <v>0</v>
      </c>
      <c r="AQ810" s="78" t="s">
        <v>4171</v>
      </c>
      <c r="AR810" t="s">
        <v>179</v>
      </c>
      <c r="AS810">
        <v>0</v>
      </c>
      <c r="AT810">
        <v>0</v>
      </c>
    </row>
    <row r="811" spans="1:46" x14ac:dyDescent="0.45">
      <c r="A811" s="62" t="s">
        <v>367</v>
      </c>
      <c r="B811" s="62" t="s">
        <v>242</v>
      </c>
      <c r="C811" s="63"/>
      <c r="D811" s="64"/>
      <c r="E811" s="65"/>
      <c r="F811" s="66"/>
      <c r="G811" s="63"/>
      <c r="H811" s="67"/>
      <c r="I811" s="68"/>
      <c r="J811" s="68"/>
      <c r="K811" s="32"/>
      <c r="L811" s="75"/>
      <c r="M811" s="75"/>
      <c r="N811" s="70"/>
      <c r="O811" t="s">
        <v>1569</v>
      </c>
      <c r="P811" s="76">
        <v>44958.683958333335</v>
      </c>
      <c r="Q811" t="s">
        <v>1706</v>
      </c>
      <c r="R811" s="77" t="str">
        <f>HYPERLINK("https://walmartplussaves.com/?s=02c71e08-e1d2-4c65-bb4d-36e8b414f49a&amp;utm_source=twitter_game2_post9")</f>
        <v>https://walmartplussaves.com/?s=02c71e08-e1d2-4c65-bb4d-36e8b414f49a&amp;utm_source=twitter_game2_post9</v>
      </c>
      <c r="S811" t="s">
        <v>2276</v>
      </c>
      <c r="T811" s="78" t="s">
        <v>2336</v>
      </c>
      <c r="U811" s="77" t="str">
        <f>HYPERLINK("https://pbs.twimg.com/tweet_video_thumb/FkRqRChXgAEOR5l.jpg")</f>
        <v>https://pbs.twimg.com/tweet_video_thumb/FkRqRChXgAEOR5l.jpg</v>
      </c>
      <c r="V811" s="77" t="str">
        <f>HYPERLINK("https://pbs.twimg.com/tweet_video_thumb/FkRqRChXgAEOR5l.jpg")</f>
        <v>https://pbs.twimg.com/tweet_video_thumb/FkRqRChXgAEOR5l.jpg</v>
      </c>
      <c r="W811" s="76">
        <v>44958.683958333335</v>
      </c>
      <c r="X811" s="80">
        <v>44958</v>
      </c>
      <c r="Y811" s="78" t="s">
        <v>2589</v>
      </c>
      <c r="Z811" s="77" t="str">
        <f>HYPERLINK("https://twitter.com/mirajwin23/status/1620820497876553730")</f>
        <v>https://twitter.com/mirajwin23/status/1620820497876553730</v>
      </c>
      <c r="AC811" s="78" t="s">
        <v>3606</v>
      </c>
      <c r="AE811" t="b">
        <v>0</v>
      </c>
      <c r="AF811">
        <v>0</v>
      </c>
      <c r="AG811" s="78" t="s">
        <v>4640</v>
      </c>
      <c r="AH811" t="b">
        <v>0</v>
      </c>
      <c r="AI811" t="s">
        <v>4829</v>
      </c>
      <c r="AK811" s="78" t="s">
        <v>4640</v>
      </c>
      <c r="AL811" t="b">
        <v>0</v>
      </c>
      <c r="AM811">
        <v>17</v>
      </c>
      <c r="AN811" s="78" t="s">
        <v>4490</v>
      </c>
      <c r="AO811" s="78" t="s">
        <v>4851</v>
      </c>
      <c r="AP811" t="b">
        <v>0</v>
      </c>
      <c r="AQ811" s="78" t="s">
        <v>4490</v>
      </c>
      <c r="AR811" t="s">
        <v>179</v>
      </c>
      <c r="AS811">
        <v>0</v>
      </c>
      <c r="AT811">
        <v>0</v>
      </c>
    </row>
    <row r="812" spans="1:46" x14ac:dyDescent="0.45">
      <c r="A812" s="62" t="s">
        <v>367</v>
      </c>
      <c r="B812" s="62" t="s">
        <v>242</v>
      </c>
      <c r="C812" s="63"/>
      <c r="D812" s="64"/>
      <c r="E812" s="65"/>
      <c r="F812" s="66"/>
      <c r="G812" s="63"/>
      <c r="H812" s="67"/>
      <c r="I812" s="68"/>
      <c r="J812" s="68"/>
      <c r="K812" s="32"/>
      <c r="L812" s="75"/>
      <c r="M812" s="75"/>
      <c r="N812" s="70"/>
      <c r="O812" t="s">
        <v>1569</v>
      </c>
      <c r="P812" s="76">
        <v>44958.684594907405</v>
      </c>
      <c r="Q812" t="s">
        <v>1707</v>
      </c>
      <c r="R812" s="77" t="str">
        <f>HYPERLINK("https://walmartplussaves.com/?s=1536fbe2-eda7-49dc-abfe-511da14f3ea5&amp;utm_source=twitter_game2_post4")</f>
        <v>https://walmartplussaves.com/?s=1536fbe2-eda7-49dc-abfe-511da14f3ea5&amp;utm_source=twitter_game2_post4</v>
      </c>
      <c r="S812" t="s">
        <v>2276</v>
      </c>
      <c r="T812" s="78" t="s">
        <v>2336</v>
      </c>
      <c r="U812" s="77" t="str">
        <f>HYPERLINK("https://pbs.twimg.com/tweet_video_thumb/FkRPEDgWYAIyhTU.jpg")</f>
        <v>https://pbs.twimg.com/tweet_video_thumb/FkRPEDgWYAIyhTU.jpg</v>
      </c>
      <c r="V812" s="77" t="str">
        <f>HYPERLINK("https://pbs.twimg.com/tweet_video_thumb/FkRPEDgWYAIyhTU.jpg")</f>
        <v>https://pbs.twimg.com/tweet_video_thumb/FkRPEDgWYAIyhTU.jpg</v>
      </c>
      <c r="W812" s="76">
        <v>44958.684594907405</v>
      </c>
      <c r="X812" s="80">
        <v>44958</v>
      </c>
      <c r="Y812" s="78" t="s">
        <v>2590</v>
      </c>
      <c r="Z812" s="77" t="str">
        <f>HYPERLINK("https://twitter.com/mirajwin23/status/1620820727585988609")</f>
        <v>https://twitter.com/mirajwin23/status/1620820727585988609</v>
      </c>
      <c r="AC812" s="78" t="s">
        <v>3607</v>
      </c>
      <c r="AE812" t="b">
        <v>0</v>
      </c>
      <c r="AF812">
        <v>0</v>
      </c>
      <c r="AG812" s="78" t="s">
        <v>4640</v>
      </c>
      <c r="AH812" t="b">
        <v>0</v>
      </c>
      <c r="AI812" t="s">
        <v>4829</v>
      </c>
      <c r="AK812" s="78" t="s">
        <v>4640</v>
      </c>
      <c r="AL812" t="b">
        <v>0</v>
      </c>
      <c r="AM812">
        <v>27</v>
      </c>
      <c r="AN812" s="78" t="s">
        <v>4491</v>
      </c>
      <c r="AO812" s="78" t="s">
        <v>4851</v>
      </c>
      <c r="AP812" t="b">
        <v>0</v>
      </c>
      <c r="AQ812" s="78" t="s">
        <v>4491</v>
      </c>
      <c r="AR812" t="s">
        <v>179</v>
      </c>
      <c r="AS812">
        <v>0</v>
      </c>
      <c r="AT812">
        <v>0</v>
      </c>
    </row>
    <row r="813" spans="1:46" x14ac:dyDescent="0.45">
      <c r="A813" s="62" t="s">
        <v>242</v>
      </c>
      <c r="B813" s="62" t="s">
        <v>242</v>
      </c>
      <c r="C813" s="63"/>
      <c r="D813" s="64"/>
      <c r="E813" s="65"/>
      <c r="F813" s="66"/>
      <c r="G813" s="63"/>
      <c r="H813" s="67"/>
      <c r="I813" s="68"/>
      <c r="J813" s="68"/>
      <c r="K813" s="32"/>
      <c r="L813" s="75"/>
      <c r="M813" s="75"/>
      <c r="N813" s="70"/>
      <c r="O813" t="s">
        <v>179</v>
      </c>
      <c r="P813" s="76">
        <v>44913.691643518519</v>
      </c>
      <c r="Q813" t="s">
        <v>1707</v>
      </c>
      <c r="R813" t="s">
        <v>2256</v>
      </c>
      <c r="S813" t="s">
        <v>2307</v>
      </c>
      <c r="T813" s="78" t="s">
        <v>2419</v>
      </c>
      <c r="U813" s="77" t="str">
        <f>HYPERLINK("https://pbs.twimg.com/tweet_video_thumb/FkRPEDgWYAIyhTU.jpg")</f>
        <v>https://pbs.twimg.com/tweet_video_thumb/FkRPEDgWYAIyhTU.jpg</v>
      </c>
      <c r="V813" s="77" t="str">
        <f>HYPERLINK("https://pbs.twimg.com/tweet_video_thumb/FkRPEDgWYAIyhTU.jpg")</f>
        <v>https://pbs.twimg.com/tweet_video_thumb/FkRPEDgWYAIyhTU.jpg</v>
      </c>
      <c r="W813" s="76">
        <v>44913.691643518519</v>
      </c>
      <c r="X813" s="80">
        <v>44913</v>
      </c>
      <c r="Y813" s="78" t="s">
        <v>3426</v>
      </c>
      <c r="Z813" s="77" t="str">
        <f>HYPERLINK("https://twitter.com/walmart/status/1604515828111708160")</f>
        <v>https://twitter.com/walmart/status/1604515828111708160</v>
      </c>
      <c r="AC813" s="78" t="s">
        <v>4491</v>
      </c>
      <c r="AE813" t="b">
        <v>0</v>
      </c>
      <c r="AF813">
        <v>208</v>
      </c>
      <c r="AG813" s="78" t="s">
        <v>4640</v>
      </c>
      <c r="AH813" t="b">
        <v>0</v>
      </c>
      <c r="AI813" t="s">
        <v>4829</v>
      </c>
      <c r="AK813" s="78" t="s">
        <v>4640</v>
      </c>
      <c r="AL813" t="b">
        <v>0</v>
      </c>
      <c r="AM813">
        <v>27</v>
      </c>
      <c r="AN813" s="78" t="s">
        <v>4640</v>
      </c>
      <c r="AO813" s="78" t="s">
        <v>4851</v>
      </c>
      <c r="AP813" t="b">
        <v>0</v>
      </c>
      <c r="AQ813" s="78" t="s">
        <v>4491</v>
      </c>
      <c r="AR813" t="s">
        <v>1569</v>
      </c>
      <c r="AS813">
        <v>0</v>
      </c>
      <c r="AT813">
        <v>0</v>
      </c>
    </row>
    <row r="814" spans="1:46" x14ac:dyDescent="0.45">
      <c r="A814" s="62" t="s">
        <v>242</v>
      </c>
      <c r="B814" s="62" t="s">
        <v>242</v>
      </c>
      <c r="C814" s="63"/>
      <c r="D814" s="64"/>
      <c r="E814" s="65"/>
      <c r="F814" s="66"/>
      <c r="G814" s="63"/>
      <c r="H814" s="67"/>
      <c r="I814" s="68"/>
      <c r="J814" s="68"/>
      <c r="K814" s="32"/>
      <c r="L814" s="75"/>
      <c r="M814" s="75"/>
      <c r="N814" s="70"/>
      <c r="O814" t="s">
        <v>179</v>
      </c>
      <c r="P814" s="76">
        <v>44913.738553240742</v>
      </c>
      <c r="Q814" t="s">
        <v>1706</v>
      </c>
      <c r="R814" t="s">
        <v>2255</v>
      </c>
      <c r="S814" t="s">
        <v>2307</v>
      </c>
      <c r="T814" s="78" t="s">
        <v>2419</v>
      </c>
      <c r="U814" s="77" t="str">
        <f>HYPERLINK("https://pbs.twimg.com/tweet_video_thumb/FkRqRChXgAEOR5l.jpg")</f>
        <v>https://pbs.twimg.com/tweet_video_thumb/FkRqRChXgAEOR5l.jpg</v>
      </c>
      <c r="V814" s="77" t="str">
        <f>HYPERLINK("https://pbs.twimg.com/tweet_video_thumb/FkRqRChXgAEOR5l.jpg")</f>
        <v>https://pbs.twimg.com/tweet_video_thumb/FkRqRChXgAEOR5l.jpg</v>
      </c>
      <c r="W814" s="76">
        <v>44913.738553240742</v>
      </c>
      <c r="X814" s="80">
        <v>44913</v>
      </c>
      <c r="Y814" s="78" t="s">
        <v>3425</v>
      </c>
      <c r="Z814" s="77" t="str">
        <f>HYPERLINK("https://twitter.com/walmart/status/1604532825687879684")</f>
        <v>https://twitter.com/walmart/status/1604532825687879684</v>
      </c>
      <c r="AC814" s="78" t="s">
        <v>4490</v>
      </c>
      <c r="AE814" t="b">
        <v>0</v>
      </c>
      <c r="AF814">
        <v>156</v>
      </c>
      <c r="AG814" s="78" t="s">
        <v>4640</v>
      </c>
      <c r="AH814" t="b">
        <v>0</v>
      </c>
      <c r="AI814" t="s">
        <v>4829</v>
      </c>
      <c r="AK814" s="78" t="s">
        <v>4640</v>
      </c>
      <c r="AL814" t="b">
        <v>0</v>
      </c>
      <c r="AM814">
        <v>17</v>
      </c>
      <c r="AN814" s="78" t="s">
        <v>4640</v>
      </c>
      <c r="AO814" s="78" t="s">
        <v>4851</v>
      </c>
      <c r="AP814" t="b">
        <v>0</v>
      </c>
      <c r="AQ814" s="78" t="s">
        <v>4490</v>
      </c>
      <c r="AR814" t="s">
        <v>1569</v>
      </c>
      <c r="AS814">
        <v>0</v>
      </c>
      <c r="AT814">
        <v>0</v>
      </c>
    </row>
    <row r="815" spans="1:46" x14ac:dyDescent="0.45">
      <c r="A815" s="62" t="s">
        <v>267</v>
      </c>
      <c r="B815" s="62" t="s">
        <v>242</v>
      </c>
      <c r="C815" s="63"/>
      <c r="D815" s="64"/>
      <c r="E815" s="65"/>
      <c r="F815" s="66"/>
      <c r="G815" s="63"/>
      <c r="H815" s="67"/>
      <c r="I815" s="68"/>
      <c r="J815" s="68"/>
      <c r="K815" s="32"/>
      <c r="L815" s="75"/>
      <c r="M815" s="75"/>
      <c r="N815" s="70"/>
      <c r="O815" t="s">
        <v>1568</v>
      </c>
      <c r="P815" s="76">
        <v>44958.027731481481</v>
      </c>
      <c r="Q815" t="s">
        <v>1603</v>
      </c>
      <c r="R815" s="77" t="str">
        <f>HYPERLINK("https://www.washingtonstand.com/commentary/how-silence-could-save-walmart-from-abortion-controversy")</f>
        <v>https://www.washingtonstand.com/commentary/how-silence-could-save-walmart-from-abortion-controversy</v>
      </c>
      <c r="S815" t="s">
        <v>2262</v>
      </c>
      <c r="V815" s="77" t="str">
        <f>HYPERLINK("https://pbs.twimg.com/profile_images/1227942262618968064/cIoZBrWj_normal.jpg")</f>
        <v>https://pbs.twimg.com/profile_images/1227942262618968064/cIoZBrWj_normal.jpg</v>
      </c>
      <c r="W815" s="76">
        <v>44958.027731481481</v>
      </c>
      <c r="X815" s="80">
        <v>44958</v>
      </c>
      <c r="Y815" s="78" t="s">
        <v>2473</v>
      </c>
      <c r="Z815" s="77" t="str">
        <f>HYPERLINK("https://twitter.com/frcdc/status/1620582686376222721")</f>
        <v>https://twitter.com/frcdc/status/1620582686376222721</v>
      </c>
      <c r="AC815" s="78" t="s">
        <v>3488</v>
      </c>
      <c r="AE815" t="b">
        <v>0</v>
      </c>
      <c r="AF815">
        <v>13</v>
      </c>
      <c r="AG815" s="78" t="s">
        <v>4640</v>
      </c>
      <c r="AH815" t="b">
        <v>0</v>
      </c>
      <c r="AI815" t="s">
        <v>4829</v>
      </c>
      <c r="AK815" s="78" t="s">
        <v>4640</v>
      </c>
      <c r="AL815" t="b">
        <v>0</v>
      </c>
      <c r="AM815">
        <v>4</v>
      </c>
      <c r="AN815" s="78" t="s">
        <v>4640</v>
      </c>
      <c r="AO815" s="78" t="s">
        <v>4851</v>
      </c>
      <c r="AP815" t="b">
        <v>0</v>
      </c>
      <c r="AQ815" s="78" t="s">
        <v>3488</v>
      </c>
      <c r="AR815" t="s">
        <v>1569</v>
      </c>
      <c r="AS815">
        <v>0</v>
      </c>
      <c r="AT815">
        <v>0</v>
      </c>
    </row>
    <row r="816" spans="1:46" x14ac:dyDescent="0.45">
      <c r="A816" s="62" t="s">
        <v>255</v>
      </c>
      <c r="B816" s="62" t="s">
        <v>242</v>
      </c>
      <c r="C816" s="63"/>
      <c r="D816" s="64"/>
      <c r="E816" s="65"/>
      <c r="F816" s="66"/>
      <c r="G816" s="63"/>
      <c r="H816" s="67"/>
      <c r="I816" s="68"/>
      <c r="J816" s="68"/>
      <c r="K816" s="32"/>
      <c r="L816" s="75"/>
      <c r="M816" s="75"/>
      <c r="N816" s="70"/>
      <c r="O816" t="s">
        <v>1570</v>
      </c>
      <c r="P816" s="76">
        <v>44958.454918981479</v>
      </c>
      <c r="Q816" t="s">
        <v>1603</v>
      </c>
      <c r="R816" s="77" t="str">
        <f>HYPERLINK("https://www.washingtonstand.com/commentary/how-silence-could-save-walmart-from-abortion-controversy")</f>
        <v>https://www.washingtonstand.com/commentary/how-silence-could-save-walmart-from-abortion-controversy</v>
      </c>
      <c r="S816" t="s">
        <v>2262</v>
      </c>
      <c r="V816" s="77" t="str">
        <f>HYPERLINK("https://pbs.twimg.com/profile_images/1383564558602620928/-0sa6KOS_normal.jpg")</f>
        <v>https://pbs.twimg.com/profile_images/1383564558602620928/-0sa6KOS_normal.jpg</v>
      </c>
      <c r="W816" s="76">
        <v>44958.454918981479</v>
      </c>
      <c r="X816" s="80">
        <v>44958</v>
      </c>
      <c r="Y816" s="78" t="s">
        <v>2461</v>
      </c>
      <c r="Z816" s="77" t="str">
        <f>HYPERLINK("https://twitter.com/rufus_the_exile/status/1620737494257119233")</f>
        <v>https://twitter.com/rufus_the_exile/status/1620737494257119233</v>
      </c>
      <c r="AC816" s="78" t="s">
        <v>3476</v>
      </c>
      <c r="AE816" t="b">
        <v>0</v>
      </c>
      <c r="AF816">
        <v>0</v>
      </c>
      <c r="AG816" s="78" t="s">
        <v>4640</v>
      </c>
      <c r="AH816" t="b">
        <v>0</v>
      </c>
      <c r="AI816" t="s">
        <v>4829</v>
      </c>
      <c r="AK816" s="78" t="s">
        <v>4640</v>
      </c>
      <c r="AL816" t="b">
        <v>0</v>
      </c>
      <c r="AM816">
        <v>4</v>
      </c>
      <c r="AN816" s="78" t="s">
        <v>3488</v>
      </c>
      <c r="AO816" s="78" t="s">
        <v>4850</v>
      </c>
      <c r="AP816" t="b">
        <v>0</v>
      </c>
      <c r="AQ816" s="78" t="s">
        <v>3488</v>
      </c>
      <c r="AR816" t="s">
        <v>179</v>
      </c>
      <c r="AS816">
        <v>0</v>
      </c>
      <c r="AT816">
        <v>0</v>
      </c>
    </row>
    <row r="817" spans="1:46" x14ac:dyDescent="0.45">
      <c r="A817" s="62" t="s">
        <v>255</v>
      </c>
      <c r="B817" s="62" t="s">
        <v>267</v>
      </c>
      <c r="C817" s="63"/>
      <c r="D817" s="64"/>
      <c r="E817" s="65"/>
      <c r="F817" s="66"/>
      <c r="G817" s="63"/>
      <c r="H817" s="67"/>
      <c r="I817" s="68"/>
      <c r="J817" s="68"/>
      <c r="K817" s="32"/>
      <c r="L817" s="75"/>
      <c r="M817" s="75"/>
      <c r="N817" s="70"/>
      <c r="O817" t="s">
        <v>1569</v>
      </c>
      <c r="P817" s="76">
        <v>44958.454918981479</v>
      </c>
      <c r="Q817" t="s">
        <v>1603</v>
      </c>
      <c r="R817" s="77" t="str">
        <f>HYPERLINK("https://www.washingtonstand.com/commentary/how-silence-could-save-walmart-from-abortion-controversy")</f>
        <v>https://www.washingtonstand.com/commentary/how-silence-could-save-walmart-from-abortion-controversy</v>
      </c>
      <c r="S817" t="s">
        <v>2262</v>
      </c>
      <c r="V817" s="77" t="str">
        <f>HYPERLINK("https://pbs.twimg.com/profile_images/1383564558602620928/-0sa6KOS_normal.jpg")</f>
        <v>https://pbs.twimg.com/profile_images/1383564558602620928/-0sa6KOS_normal.jpg</v>
      </c>
      <c r="W817" s="76">
        <v>44958.454918981479</v>
      </c>
      <c r="X817" s="80">
        <v>44958</v>
      </c>
      <c r="Y817" s="78" t="s">
        <v>2461</v>
      </c>
      <c r="Z817" s="77" t="str">
        <f>HYPERLINK("https://twitter.com/rufus_the_exile/status/1620737494257119233")</f>
        <v>https://twitter.com/rufus_the_exile/status/1620737494257119233</v>
      </c>
      <c r="AC817" s="78" t="s">
        <v>3476</v>
      </c>
      <c r="AE817" t="b">
        <v>0</v>
      </c>
      <c r="AF817">
        <v>0</v>
      </c>
      <c r="AG817" s="78" t="s">
        <v>4640</v>
      </c>
      <c r="AH817" t="b">
        <v>0</v>
      </c>
      <c r="AI817" t="s">
        <v>4829</v>
      </c>
      <c r="AK817" s="78" t="s">
        <v>4640</v>
      </c>
      <c r="AL817" t="b">
        <v>0</v>
      </c>
      <c r="AM817">
        <v>4</v>
      </c>
      <c r="AN817" s="78" t="s">
        <v>3488</v>
      </c>
      <c r="AO817" s="78" t="s">
        <v>4850</v>
      </c>
      <c r="AP817" t="b">
        <v>0</v>
      </c>
      <c r="AQ817" s="78" t="s">
        <v>3488</v>
      </c>
      <c r="AR817" t="s">
        <v>179</v>
      </c>
      <c r="AS817">
        <v>0</v>
      </c>
      <c r="AT817">
        <v>0</v>
      </c>
    </row>
    <row r="818" spans="1:46" x14ac:dyDescent="0.45">
      <c r="A818" s="62" t="s">
        <v>268</v>
      </c>
      <c r="B818" s="62" t="s">
        <v>267</v>
      </c>
      <c r="C818" s="63"/>
      <c r="D818" s="64"/>
      <c r="E818" s="65"/>
      <c r="F818" s="66"/>
      <c r="G818" s="63"/>
      <c r="H818" s="67"/>
      <c r="I818" s="68"/>
      <c r="J818" s="68"/>
      <c r="K818" s="32"/>
      <c r="L818" s="75"/>
      <c r="M818" s="75"/>
      <c r="N818" s="70"/>
      <c r="O818" t="s">
        <v>1569</v>
      </c>
      <c r="P818" s="76">
        <v>44958.492326388892</v>
      </c>
      <c r="Q818" t="s">
        <v>1603</v>
      </c>
      <c r="R818" s="77" t="str">
        <f>HYPERLINK("https://www.washingtonstand.com/commentary/how-silence-could-save-walmart-from-abortion-controversy")</f>
        <v>https://www.washingtonstand.com/commentary/how-silence-could-save-walmart-from-abortion-controversy</v>
      </c>
      <c r="S818" t="s">
        <v>2262</v>
      </c>
      <c r="V818" s="77" t="str">
        <f>HYPERLINK("https://abs.twimg.com/sticky/default_profile_images/default_profile_normal.png")</f>
        <v>https://abs.twimg.com/sticky/default_profile_images/default_profile_normal.png</v>
      </c>
      <c r="W818" s="76">
        <v>44958.492326388892</v>
      </c>
      <c r="X818" s="80">
        <v>44958</v>
      </c>
      <c r="Y818" s="78" t="s">
        <v>2474</v>
      </c>
      <c r="Z818" s="77" t="str">
        <f>HYPERLINK("https://twitter.com/gkenney/status/1620751050226667522")</f>
        <v>https://twitter.com/gkenney/status/1620751050226667522</v>
      </c>
      <c r="AC818" s="78" t="s">
        <v>3489</v>
      </c>
      <c r="AE818" t="b">
        <v>0</v>
      </c>
      <c r="AF818">
        <v>0</v>
      </c>
      <c r="AG818" s="78" t="s">
        <v>4640</v>
      </c>
      <c r="AH818" t="b">
        <v>0</v>
      </c>
      <c r="AI818" t="s">
        <v>4829</v>
      </c>
      <c r="AK818" s="78" t="s">
        <v>4640</v>
      </c>
      <c r="AL818" t="b">
        <v>0</v>
      </c>
      <c r="AM818">
        <v>4</v>
      </c>
      <c r="AN818" s="78" t="s">
        <v>3488</v>
      </c>
      <c r="AO818" s="78" t="s">
        <v>4850</v>
      </c>
      <c r="AP818" t="b">
        <v>0</v>
      </c>
      <c r="AQ818" s="78" t="s">
        <v>3488</v>
      </c>
      <c r="AR818" t="s">
        <v>179</v>
      </c>
      <c r="AS818">
        <v>0</v>
      </c>
      <c r="AT818">
        <v>0</v>
      </c>
    </row>
    <row r="819" spans="1:46" x14ac:dyDescent="0.45">
      <c r="A819" s="62" t="s">
        <v>268</v>
      </c>
      <c r="B819" s="62" t="s">
        <v>242</v>
      </c>
      <c r="C819" s="63"/>
      <c r="D819" s="64"/>
      <c r="E819" s="65"/>
      <c r="F819" s="66"/>
      <c r="G819" s="63"/>
      <c r="H819" s="67"/>
      <c r="I819" s="68"/>
      <c r="J819" s="68"/>
      <c r="K819" s="32"/>
      <c r="L819" s="75"/>
      <c r="M819" s="75"/>
      <c r="N819" s="70"/>
      <c r="O819" t="s">
        <v>1570</v>
      </c>
      <c r="P819" s="76">
        <v>44958.492326388892</v>
      </c>
      <c r="Q819" t="s">
        <v>1603</v>
      </c>
      <c r="R819" s="77" t="str">
        <f>HYPERLINK("https://www.washingtonstand.com/commentary/how-silence-could-save-walmart-from-abortion-controversy")</f>
        <v>https://www.washingtonstand.com/commentary/how-silence-could-save-walmart-from-abortion-controversy</v>
      </c>
      <c r="S819" t="s">
        <v>2262</v>
      </c>
      <c r="V819" s="77" t="str">
        <f>HYPERLINK("https://abs.twimg.com/sticky/default_profile_images/default_profile_normal.png")</f>
        <v>https://abs.twimg.com/sticky/default_profile_images/default_profile_normal.png</v>
      </c>
      <c r="W819" s="76">
        <v>44958.492326388892</v>
      </c>
      <c r="X819" s="80">
        <v>44958</v>
      </c>
      <c r="Y819" s="78" t="s">
        <v>2474</v>
      </c>
      <c r="Z819" s="77" t="str">
        <f>HYPERLINK("https://twitter.com/gkenney/status/1620751050226667522")</f>
        <v>https://twitter.com/gkenney/status/1620751050226667522</v>
      </c>
      <c r="AC819" s="78" t="s">
        <v>3489</v>
      </c>
      <c r="AE819" t="b">
        <v>0</v>
      </c>
      <c r="AF819">
        <v>0</v>
      </c>
      <c r="AG819" s="78" t="s">
        <v>4640</v>
      </c>
      <c r="AH819" t="b">
        <v>0</v>
      </c>
      <c r="AI819" t="s">
        <v>4829</v>
      </c>
      <c r="AK819" s="78" t="s">
        <v>4640</v>
      </c>
      <c r="AL819" t="b">
        <v>0</v>
      </c>
      <c r="AM819">
        <v>4</v>
      </c>
      <c r="AN819" s="78" t="s">
        <v>3488</v>
      </c>
      <c r="AO819" s="78" t="s">
        <v>4850</v>
      </c>
      <c r="AP819" t="b">
        <v>0</v>
      </c>
      <c r="AQ819" s="78" t="s">
        <v>3488</v>
      </c>
      <c r="AR819" t="s">
        <v>179</v>
      </c>
      <c r="AS819">
        <v>0</v>
      </c>
      <c r="AT819">
        <v>0</v>
      </c>
    </row>
    <row r="820" spans="1:46" x14ac:dyDescent="0.45">
      <c r="A820" s="62" t="s">
        <v>718</v>
      </c>
      <c r="B820" s="62" t="s">
        <v>242</v>
      </c>
      <c r="C820" s="63"/>
      <c r="D820" s="64"/>
      <c r="E820" s="65"/>
      <c r="F820" s="66"/>
      <c r="G820" s="63"/>
      <c r="H820" s="67"/>
      <c r="I820" s="68"/>
      <c r="J820" s="68"/>
      <c r="K820" s="32"/>
      <c r="L820" s="75"/>
      <c r="M820" s="75"/>
      <c r="N820" s="70"/>
      <c r="O820" t="s">
        <v>1568</v>
      </c>
      <c r="P820" s="76">
        <v>44533.668587962966</v>
      </c>
      <c r="Q820" t="s">
        <v>1908</v>
      </c>
      <c r="R820" s="77" t="str">
        <f>HYPERLINK("https://environmentamerica.webaction.org/p/dia/action4/common/public/?action_KEY=43861&amp;email_blast_KEY=92360")</f>
        <v>https://environmentamerica.webaction.org/p/dia/action4/common/public/?action_KEY=43861&amp;email_blast_KEY=92360</v>
      </c>
      <c r="S820" t="s">
        <v>2290</v>
      </c>
      <c r="T820" s="78" t="s">
        <v>2365</v>
      </c>
      <c r="U820" s="77" t="str">
        <f>HYPERLINK("https://pbs.twimg.com/tweet_video_thumb/FFse1uQWUAUY4QU.jpg")</f>
        <v>https://pbs.twimg.com/tweet_video_thumb/FFse1uQWUAUY4QU.jpg</v>
      </c>
      <c r="V820" s="77" t="str">
        <f>HYPERLINK("https://pbs.twimg.com/tweet_video_thumb/FFse1uQWUAUY4QU.jpg")</f>
        <v>https://pbs.twimg.com/tweet_video_thumb/FFse1uQWUAUY4QU.jpg</v>
      </c>
      <c r="W820" s="76">
        <v>44533.668587962966</v>
      </c>
      <c r="X820" s="80">
        <v>44533</v>
      </c>
      <c r="Y820" s="78" t="s">
        <v>2934</v>
      </c>
      <c r="Z820" s="77" t="str">
        <f>HYPERLINK("https://twitter.com/envam/status/1466800086026014721")</f>
        <v>https://twitter.com/envam/status/1466800086026014721</v>
      </c>
      <c r="AC820" s="78" t="s">
        <v>3999</v>
      </c>
      <c r="AE820" t="b">
        <v>0</v>
      </c>
      <c r="AF820">
        <v>139</v>
      </c>
      <c r="AG820" s="78" t="s">
        <v>4640</v>
      </c>
      <c r="AH820" t="b">
        <v>0</v>
      </c>
      <c r="AI820" t="s">
        <v>4829</v>
      </c>
      <c r="AK820" s="78" t="s">
        <v>4640</v>
      </c>
      <c r="AL820" t="b">
        <v>0</v>
      </c>
      <c r="AM820">
        <v>135</v>
      </c>
      <c r="AN820" s="78" t="s">
        <v>4640</v>
      </c>
      <c r="AO820" s="78" t="s">
        <v>4856</v>
      </c>
      <c r="AP820" t="b">
        <v>0</v>
      </c>
      <c r="AQ820" s="78" t="s">
        <v>3999</v>
      </c>
      <c r="AR820" t="s">
        <v>1569</v>
      </c>
      <c r="AS820">
        <v>0</v>
      </c>
      <c r="AT820">
        <v>0</v>
      </c>
    </row>
    <row r="821" spans="1:46" x14ac:dyDescent="0.45">
      <c r="A821" s="62" t="s">
        <v>719</v>
      </c>
      <c r="B821" s="62" t="s">
        <v>718</v>
      </c>
      <c r="C821" s="63"/>
      <c r="D821" s="64"/>
      <c r="E821" s="65"/>
      <c r="F821" s="66"/>
      <c r="G821" s="63"/>
      <c r="H821" s="67"/>
      <c r="I821" s="68"/>
      <c r="J821" s="68"/>
      <c r="K821" s="32"/>
      <c r="L821" s="75"/>
      <c r="M821" s="75"/>
      <c r="N821" s="70"/>
      <c r="O821" t="s">
        <v>1569</v>
      </c>
      <c r="P821" s="76">
        <v>44958.911759259259</v>
      </c>
      <c r="Q821" t="s">
        <v>1908</v>
      </c>
      <c r="R821" s="77" t="str">
        <f>HYPERLINK("https://environmentamerica.webaction.org/p/dia/action4/common/public/?action_KEY=43861&amp;email_blast_KEY=92360")</f>
        <v>https://environmentamerica.webaction.org/p/dia/action4/common/public/?action_KEY=43861&amp;email_blast_KEY=92360</v>
      </c>
      <c r="S821" t="s">
        <v>2290</v>
      </c>
      <c r="T821" s="78" t="s">
        <v>2365</v>
      </c>
      <c r="U821" s="77" t="str">
        <f>HYPERLINK("https://pbs.twimg.com/tweet_video_thumb/FFse1uQWUAUY4QU.jpg")</f>
        <v>https://pbs.twimg.com/tweet_video_thumb/FFse1uQWUAUY4QU.jpg</v>
      </c>
      <c r="V821" s="77" t="str">
        <f>HYPERLINK("https://pbs.twimg.com/tweet_video_thumb/FFse1uQWUAUY4QU.jpg")</f>
        <v>https://pbs.twimg.com/tweet_video_thumb/FFse1uQWUAUY4QU.jpg</v>
      </c>
      <c r="W821" s="76">
        <v>44958.911759259259</v>
      </c>
      <c r="X821" s="80">
        <v>44958</v>
      </c>
      <c r="Y821" s="78" t="s">
        <v>2935</v>
      </c>
      <c r="Z821" s="77" t="str">
        <f>HYPERLINK("https://twitter.com/jiprk99/status/1620903048276250625")</f>
        <v>https://twitter.com/jiprk99/status/1620903048276250625</v>
      </c>
      <c r="AC821" s="78" t="s">
        <v>4000</v>
      </c>
      <c r="AE821" t="b">
        <v>0</v>
      </c>
      <c r="AF821">
        <v>0</v>
      </c>
      <c r="AG821" s="78" t="s">
        <v>4640</v>
      </c>
      <c r="AH821" t="b">
        <v>0</v>
      </c>
      <c r="AI821" t="s">
        <v>4829</v>
      </c>
      <c r="AK821" s="78" t="s">
        <v>4640</v>
      </c>
      <c r="AL821" t="b">
        <v>0</v>
      </c>
      <c r="AM821">
        <v>135</v>
      </c>
      <c r="AN821" s="78" t="s">
        <v>3999</v>
      </c>
      <c r="AO821" s="78" t="s">
        <v>4850</v>
      </c>
      <c r="AP821" t="b">
        <v>0</v>
      </c>
      <c r="AQ821" s="78" t="s">
        <v>3999</v>
      </c>
      <c r="AR821" t="s">
        <v>179</v>
      </c>
      <c r="AS821">
        <v>0</v>
      </c>
      <c r="AT821">
        <v>0</v>
      </c>
    </row>
    <row r="822" spans="1:46" x14ac:dyDescent="0.45">
      <c r="A822" s="62" t="s">
        <v>719</v>
      </c>
      <c r="B822" s="62" t="s">
        <v>242</v>
      </c>
      <c r="C822" s="63"/>
      <c r="D822" s="64"/>
      <c r="E822" s="65"/>
      <c r="F822" s="66"/>
      <c r="G822" s="63"/>
      <c r="H822" s="67"/>
      <c r="I822" s="68"/>
      <c r="J822" s="68"/>
      <c r="K822" s="32"/>
      <c r="L822" s="75"/>
      <c r="M822" s="75"/>
      <c r="N822" s="70"/>
      <c r="O822" t="s">
        <v>1570</v>
      </c>
      <c r="P822" s="76">
        <v>44958.911759259259</v>
      </c>
      <c r="Q822" t="s">
        <v>1908</v>
      </c>
      <c r="R822" s="77" t="str">
        <f>HYPERLINK("https://environmentamerica.webaction.org/p/dia/action4/common/public/?action_KEY=43861&amp;email_blast_KEY=92360")</f>
        <v>https://environmentamerica.webaction.org/p/dia/action4/common/public/?action_KEY=43861&amp;email_blast_KEY=92360</v>
      </c>
      <c r="S822" t="s">
        <v>2290</v>
      </c>
      <c r="T822" s="78" t="s">
        <v>2365</v>
      </c>
      <c r="U822" s="77" t="str">
        <f>HYPERLINK("https://pbs.twimg.com/tweet_video_thumb/FFse1uQWUAUY4QU.jpg")</f>
        <v>https://pbs.twimg.com/tweet_video_thumb/FFse1uQWUAUY4QU.jpg</v>
      </c>
      <c r="V822" s="77" t="str">
        <f>HYPERLINK("https://pbs.twimg.com/tweet_video_thumb/FFse1uQWUAUY4QU.jpg")</f>
        <v>https://pbs.twimg.com/tweet_video_thumb/FFse1uQWUAUY4QU.jpg</v>
      </c>
      <c r="W822" s="76">
        <v>44958.911759259259</v>
      </c>
      <c r="X822" s="80">
        <v>44958</v>
      </c>
      <c r="Y822" s="78" t="s">
        <v>2935</v>
      </c>
      <c r="Z822" s="77" t="str">
        <f>HYPERLINK("https://twitter.com/jiprk99/status/1620903048276250625")</f>
        <v>https://twitter.com/jiprk99/status/1620903048276250625</v>
      </c>
      <c r="AC822" s="78" t="s">
        <v>4000</v>
      </c>
      <c r="AE822" t="b">
        <v>0</v>
      </c>
      <c r="AF822">
        <v>0</v>
      </c>
      <c r="AG822" s="78" t="s">
        <v>4640</v>
      </c>
      <c r="AH822" t="b">
        <v>0</v>
      </c>
      <c r="AI822" t="s">
        <v>4829</v>
      </c>
      <c r="AK822" s="78" t="s">
        <v>4640</v>
      </c>
      <c r="AL822" t="b">
        <v>0</v>
      </c>
      <c r="AM822">
        <v>135</v>
      </c>
      <c r="AN822" s="78" t="s">
        <v>3999</v>
      </c>
      <c r="AO822" s="78" t="s">
        <v>4850</v>
      </c>
      <c r="AP822" t="b">
        <v>0</v>
      </c>
      <c r="AQ822" s="78" t="s">
        <v>3999</v>
      </c>
      <c r="AR822" t="s">
        <v>179</v>
      </c>
      <c r="AS822">
        <v>0</v>
      </c>
      <c r="AT822">
        <v>0</v>
      </c>
    </row>
    <row r="823" spans="1:46" x14ac:dyDescent="0.45">
      <c r="A823" s="62" t="s">
        <v>1021</v>
      </c>
      <c r="B823" s="62" t="s">
        <v>1497</v>
      </c>
      <c r="C823" s="63"/>
      <c r="D823" s="64"/>
      <c r="E823" s="65"/>
      <c r="F823" s="66"/>
      <c r="G823" s="63"/>
      <c r="H823" s="67"/>
      <c r="I823" s="68"/>
      <c r="J823" s="68"/>
      <c r="K823" s="32"/>
      <c r="L823" s="75"/>
      <c r="M823" s="75"/>
      <c r="N823" s="70"/>
      <c r="O823" t="s">
        <v>1568</v>
      </c>
      <c r="P823" s="76">
        <v>44959.392777777779</v>
      </c>
      <c r="Q823" t="s">
        <v>2175</v>
      </c>
      <c r="R823" t="s">
        <v>2254</v>
      </c>
      <c r="S823" t="s">
        <v>2299</v>
      </c>
      <c r="U823" s="77" t="str">
        <f>HYPERLINK("https://pbs.twimg.com/media/Fn85RXdaIAEaWeq.jpg")</f>
        <v>https://pbs.twimg.com/media/Fn85RXdaIAEaWeq.jpg</v>
      </c>
      <c r="V823" s="77" t="str">
        <f>HYPERLINK("https://pbs.twimg.com/media/Fn85RXdaIAEaWeq.jpg")</f>
        <v>https://pbs.twimg.com/media/Fn85RXdaIAEaWeq.jpg</v>
      </c>
      <c r="W823" s="76">
        <v>44959.392777777779</v>
      </c>
      <c r="X823" s="80">
        <v>44959</v>
      </c>
      <c r="Y823" s="78" t="s">
        <v>3318</v>
      </c>
      <c r="Z823" s="77" t="str">
        <f>HYPERLINK("https://twitter.com/bestmoneyworld/status/1621077364523569153")</f>
        <v>https://twitter.com/bestmoneyworld/status/1621077364523569153</v>
      </c>
      <c r="AC823" s="78" t="s">
        <v>4383</v>
      </c>
      <c r="AE823" t="b">
        <v>0</v>
      </c>
      <c r="AF823">
        <v>0</v>
      </c>
      <c r="AG823" s="78" t="s">
        <v>4639</v>
      </c>
      <c r="AH823" t="b">
        <v>0</v>
      </c>
      <c r="AI823" t="s">
        <v>4829</v>
      </c>
      <c r="AK823" s="78" t="s">
        <v>4640</v>
      </c>
      <c r="AL823" t="b">
        <v>0</v>
      </c>
      <c r="AM823">
        <v>0</v>
      </c>
      <c r="AN823" s="78" t="s">
        <v>4640</v>
      </c>
      <c r="AO823" s="78" t="s">
        <v>4850</v>
      </c>
      <c r="AP823" t="b">
        <v>0</v>
      </c>
      <c r="AQ823" s="78" t="s">
        <v>4383</v>
      </c>
      <c r="AR823" t="s">
        <v>179</v>
      </c>
      <c r="AS823">
        <v>0</v>
      </c>
      <c r="AT823">
        <v>0</v>
      </c>
    </row>
    <row r="824" spans="1:46" x14ac:dyDescent="0.45">
      <c r="A824" s="62" t="s">
        <v>1021</v>
      </c>
      <c r="B824" s="62" t="s">
        <v>1498</v>
      </c>
      <c r="C824" s="63"/>
      <c r="D824" s="64"/>
      <c r="E824" s="65"/>
      <c r="F824" s="66"/>
      <c r="G824" s="63"/>
      <c r="H824" s="67"/>
      <c r="I824" s="68"/>
      <c r="J824" s="68"/>
      <c r="K824" s="32"/>
      <c r="L824" s="75"/>
      <c r="M824" s="75"/>
      <c r="N824" s="70"/>
      <c r="O824" t="s">
        <v>1568</v>
      </c>
      <c r="P824" s="76">
        <v>44959.392777777779</v>
      </c>
      <c r="Q824" t="s">
        <v>2175</v>
      </c>
      <c r="R824" t="s">
        <v>2254</v>
      </c>
      <c r="S824" t="s">
        <v>2299</v>
      </c>
      <c r="U824" s="77" t="str">
        <f>HYPERLINK("https://pbs.twimg.com/media/Fn85RXdaIAEaWeq.jpg")</f>
        <v>https://pbs.twimg.com/media/Fn85RXdaIAEaWeq.jpg</v>
      </c>
      <c r="V824" s="77" t="str">
        <f>HYPERLINK("https://pbs.twimg.com/media/Fn85RXdaIAEaWeq.jpg")</f>
        <v>https://pbs.twimg.com/media/Fn85RXdaIAEaWeq.jpg</v>
      </c>
      <c r="W824" s="76">
        <v>44959.392777777779</v>
      </c>
      <c r="X824" s="80">
        <v>44959</v>
      </c>
      <c r="Y824" s="78" t="s">
        <v>3318</v>
      </c>
      <c r="Z824" s="77" t="str">
        <f>HYPERLINK("https://twitter.com/bestmoneyworld/status/1621077364523569153")</f>
        <v>https://twitter.com/bestmoneyworld/status/1621077364523569153</v>
      </c>
      <c r="AC824" s="78" t="s">
        <v>4383</v>
      </c>
      <c r="AE824" t="b">
        <v>0</v>
      </c>
      <c r="AF824">
        <v>0</v>
      </c>
      <c r="AG824" s="78" t="s">
        <v>4639</v>
      </c>
      <c r="AH824" t="b">
        <v>0</v>
      </c>
      <c r="AI824" t="s">
        <v>4829</v>
      </c>
      <c r="AK824" s="78" t="s">
        <v>4640</v>
      </c>
      <c r="AL824" t="b">
        <v>0</v>
      </c>
      <c r="AM824">
        <v>0</v>
      </c>
      <c r="AN824" s="78" t="s">
        <v>4640</v>
      </c>
      <c r="AO824" s="78" t="s">
        <v>4850</v>
      </c>
      <c r="AP824" t="b">
        <v>0</v>
      </c>
      <c r="AQ824" s="78" t="s">
        <v>4383</v>
      </c>
      <c r="AR824" t="s">
        <v>179</v>
      </c>
      <c r="AS824">
        <v>0</v>
      </c>
      <c r="AT824">
        <v>0</v>
      </c>
    </row>
    <row r="825" spans="1:46" x14ac:dyDescent="0.45">
      <c r="A825" s="62" t="s">
        <v>1021</v>
      </c>
      <c r="B825" s="62" t="s">
        <v>1499</v>
      </c>
      <c r="C825" s="63"/>
      <c r="D825" s="64"/>
      <c r="E825" s="65"/>
      <c r="F825" s="66"/>
      <c r="G825" s="63"/>
      <c r="H825" s="67"/>
      <c r="I825" s="68"/>
      <c r="J825" s="68"/>
      <c r="K825" s="32"/>
      <c r="L825" s="75"/>
      <c r="M825" s="75"/>
      <c r="N825" s="70"/>
      <c r="O825" t="s">
        <v>1568</v>
      </c>
      <c r="P825" s="76">
        <v>44959.392777777779</v>
      </c>
      <c r="Q825" t="s">
        <v>2175</v>
      </c>
      <c r="R825" t="s">
        <v>2254</v>
      </c>
      <c r="S825" t="s">
        <v>2299</v>
      </c>
      <c r="U825" s="77" t="str">
        <f>HYPERLINK("https://pbs.twimg.com/media/Fn85RXdaIAEaWeq.jpg")</f>
        <v>https://pbs.twimg.com/media/Fn85RXdaIAEaWeq.jpg</v>
      </c>
      <c r="V825" s="77" t="str">
        <f>HYPERLINK("https://pbs.twimg.com/media/Fn85RXdaIAEaWeq.jpg")</f>
        <v>https://pbs.twimg.com/media/Fn85RXdaIAEaWeq.jpg</v>
      </c>
      <c r="W825" s="76">
        <v>44959.392777777779</v>
      </c>
      <c r="X825" s="80">
        <v>44959</v>
      </c>
      <c r="Y825" s="78" t="s">
        <v>3318</v>
      </c>
      <c r="Z825" s="77" t="str">
        <f>HYPERLINK("https://twitter.com/bestmoneyworld/status/1621077364523569153")</f>
        <v>https://twitter.com/bestmoneyworld/status/1621077364523569153</v>
      </c>
      <c r="AC825" s="78" t="s">
        <v>4383</v>
      </c>
      <c r="AE825" t="b">
        <v>0</v>
      </c>
      <c r="AF825">
        <v>0</v>
      </c>
      <c r="AG825" s="78" t="s">
        <v>4639</v>
      </c>
      <c r="AH825" t="b">
        <v>0</v>
      </c>
      <c r="AI825" t="s">
        <v>4829</v>
      </c>
      <c r="AK825" s="78" t="s">
        <v>4640</v>
      </c>
      <c r="AL825" t="b">
        <v>0</v>
      </c>
      <c r="AM825">
        <v>0</v>
      </c>
      <c r="AN825" s="78" t="s">
        <v>4640</v>
      </c>
      <c r="AO825" s="78" t="s">
        <v>4850</v>
      </c>
      <c r="AP825" t="b">
        <v>0</v>
      </c>
      <c r="AQ825" s="78" t="s">
        <v>4383</v>
      </c>
      <c r="AR825" t="s">
        <v>179</v>
      </c>
      <c r="AS825">
        <v>0</v>
      </c>
      <c r="AT825">
        <v>0</v>
      </c>
    </row>
    <row r="826" spans="1:46" x14ac:dyDescent="0.45">
      <c r="A826" s="62" t="s">
        <v>1021</v>
      </c>
      <c r="B826" s="62" t="s">
        <v>242</v>
      </c>
      <c r="C826" s="63"/>
      <c r="D826" s="64"/>
      <c r="E826" s="65"/>
      <c r="F826" s="66"/>
      <c r="G826" s="63"/>
      <c r="H826" s="67"/>
      <c r="I826" s="68"/>
      <c r="J826" s="68"/>
      <c r="K826" s="32"/>
      <c r="L826" s="75"/>
      <c r="M826" s="75"/>
      <c r="N826" s="70"/>
      <c r="O826" t="s">
        <v>1567</v>
      </c>
      <c r="P826" s="76">
        <v>44959.392777777779</v>
      </c>
      <c r="Q826" t="s">
        <v>2175</v>
      </c>
      <c r="R826" t="s">
        <v>2254</v>
      </c>
      <c r="S826" t="s">
        <v>2299</v>
      </c>
      <c r="U826" s="77" t="str">
        <f>HYPERLINK("https://pbs.twimg.com/media/Fn85RXdaIAEaWeq.jpg")</f>
        <v>https://pbs.twimg.com/media/Fn85RXdaIAEaWeq.jpg</v>
      </c>
      <c r="V826" s="77" t="str">
        <f>HYPERLINK("https://pbs.twimg.com/media/Fn85RXdaIAEaWeq.jpg")</f>
        <v>https://pbs.twimg.com/media/Fn85RXdaIAEaWeq.jpg</v>
      </c>
      <c r="W826" s="76">
        <v>44959.392777777779</v>
      </c>
      <c r="X826" s="80">
        <v>44959</v>
      </c>
      <c r="Y826" s="78" t="s">
        <v>3318</v>
      </c>
      <c r="Z826" s="77" t="str">
        <f>HYPERLINK("https://twitter.com/bestmoneyworld/status/1621077364523569153")</f>
        <v>https://twitter.com/bestmoneyworld/status/1621077364523569153</v>
      </c>
      <c r="AC826" s="78" t="s">
        <v>4383</v>
      </c>
      <c r="AE826" t="b">
        <v>0</v>
      </c>
      <c r="AF826">
        <v>0</v>
      </c>
      <c r="AG826" s="78" t="s">
        <v>4639</v>
      </c>
      <c r="AH826" t="b">
        <v>0</v>
      </c>
      <c r="AI826" t="s">
        <v>4829</v>
      </c>
      <c r="AK826" s="78" t="s">
        <v>4640</v>
      </c>
      <c r="AL826" t="b">
        <v>0</v>
      </c>
      <c r="AM826">
        <v>0</v>
      </c>
      <c r="AN826" s="78" t="s">
        <v>4640</v>
      </c>
      <c r="AO826" s="78" t="s">
        <v>4850</v>
      </c>
      <c r="AP826" t="b">
        <v>0</v>
      </c>
      <c r="AQ826" s="78" t="s">
        <v>4383</v>
      </c>
      <c r="AR826" t="s">
        <v>179</v>
      </c>
      <c r="AS826">
        <v>0</v>
      </c>
      <c r="AT826">
        <v>0</v>
      </c>
    </row>
    <row r="827" spans="1:46" x14ac:dyDescent="0.45">
      <c r="A827" s="62" t="s">
        <v>1090</v>
      </c>
      <c r="B827" s="62" t="s">
        <v>1563</v>
      </c>
      <c r="C827" s="63"/>
      <c r="D827" s="64"/>
      <c r="E827" s="65"/>
      <c r="F827" s="66"/>
      <c r="G827" s="63"/>
      <c r="H827" s="67"/>
      <c r="I827" s="68"/>
      <c r="J827" s="68"/>
      <c r="K827" s="32"/>
      <c r="L827" s="75"/>
      <c r="M827" s="75"/>
      <c r="N827" s="70"/>
      <c r="O827" t="s">
        <v>1568</v>
      </c>
      <c r="P827" s="76">
        <v>44959.582511574074</v>
      </c>
      <c r="Q827" t="s">
        <v>2235</v>
      </c>
      <c r="R827" s="77" t="str">
        <f>HYPERLINK("https://www.whas11.com/article/features/walmart-employee-shelbyville-kentucky-pushing-carts-kindness/417-6c9b1b82-bd52-4845-856b-6c591b1a4a73")</f>
        <v>https://www.whas11.com/article/features/walmart-employee-shelbyville-kentucky-pushing-carts-kindness/417-6c9b1b82-bd52-4845-856b-6c591b1a4a73</v>
      </c>
      <c r="S827" t="s">
        <v>2305</v>
      </c>
      <c r="V827" s="77" t="str">
        <f>HYPERLINK("https://pbs.twimg.com/profile_images/1166721088405037056/HOEnpWlg_normal.jpg")</f>
        <v>https://pbs.twimg.com/profile_images/1166721088405037056/HOEnpWlg_normal.jpg</v>
      </c>
      <c r="W827" s="76">
        <v>44959.582511574074</v>
      </c>
      <c r="X827" s="80">
        <v>44959</v>
      </c>
      <c r="Y827" s="78" t="s">
        <v>3406</v>
      </c>
      <c r="Z827" s="77" t="str">
        <f>HYPERLINK("https://twitter.com/whas11hasch/status/1621146122206220288")</f>
        <v>https://twitter.com/whas11hasch/status/1621146122206220288</v>
      </c>
      <c r="AC827" s="78" t="s">
        <v>4471</v>
      </c>
      <c r="AE827" t="b">
        <v>0</v>
      </c>
      <c r="AF827">
        <v>0</v>
      </c>
      <c r="AG827" s="78" t="s">
        <v>4640</v>
      </c>
      <c r="AH827" t="b">
        <v>0</v>
      </c>
      <c r="AI827" t="s">
        <v>4829</v>
      </c>
      <c r="AK827" s="78" t="s">
        <v>4640</v>
      </c>
      <c r="AL827" t="b">
        <v>0</v>
      </c>
      <c r="AM827">
        <v>0</v>
      </c>
      <c r="AN827" s="78" t="s">
        <v>4640</v>
      </c>
      <c r="AO827" s="78" t="s">
        <v>4851</v>
      </c>
      <c r="AP827" t="b">
        <v>0</v>
      </c>
      <c r="AQ827" s="78" t="s">
        <v>4471</v>
      </c>
      <c r="AR827" t="s">
        <v>179</v>
      </c>
      <c r="AS827">
        <v>0</v>
      </c>
      <c r="AT827">
        <v>0</v>
      </c>
    </row>
    <row r="828" spans="1:46" x14ac:dyDescent="0.45">
      <c r="A828" s="62" t="s">
        <v>1090</v>
      </c>
      <c r="B828" s="62" t="s">
        <v>1564</v>
      </c>
      <c r="C828" s="63"/>
      <c r="D828" s="64"/>
      <c r="E828" s="65"/>
      <c r="F828" s="66"/>
      <c r="G828" s="63"/>
      <c r="H828" s="67"/>
      <c r="I828" s="68"/>
      <c r="J828" s="68"/>
      <c r="K828" s="32"/>
      <c r="L828" s="75"/>
      <c r="M828" s="75"/>
      <c r="N828" s="70"/>
      <c r="O828" t="s">
        <v>1568</v>
      </c>
      <c r="P828" s="76">
        <v>44959.582511574074</v>
      </c>
      <c r="Q828" t="s">
        <v>2235</v>
      </c>
      <c r="R828" s="77" t="str">
        <f>HYPERLINK("https://www.whas11.com/article/features/walmart-employee-shelbyville-kentucky-pushing-carts-kindness/417-6c9b1b82-bd52-4845-856b-6c591b1a4a73")</f>
        <v>https://www.whas11.com/article/features/walmart-employee-shelbyville-kentucky-pushing-carts-kindness/417-6c9b1b82-bd52-4845-856b-6c591b1a4a73</v>
      </c>
      <c r="S828" t="s">
        <v>2305</v>
      </c>
      <c r="V828" s="77" t="str">
        <f>HYPERLINK("https://pbs.twimg.com/profile_images/1166721088405037056/HOEnpWlg_normal.jpg")</f>
        <v>https://pbs.twimg.com/profile_images/1166721088405037056/HOEnpWlg_normal.jpg</v>
      </c>
      <c r="W828" s="76">
        <v>44959.582511574074</v>
      </c>
      <c r="X828" s="80">
        <v>44959</v>
      </c>
      <c r="Y828" s="78" t="s">
        <v>3406</v>
      </c>
      <c r="Z828" s="77" t="str">
        <f>HYPERLINK("https://twitter.com/whas11hasch/status/1621146122206220288")</f>
        <v>https://twitter.com/whas11hasch/status/1621146122206220288</v>
      </c>
      <c r="AC828" s="78" t="s">
        <v>4471</v>
      </c>
      <c r="AE828" t="b">
        <v>0</v>
      </c>
      <c r="AF828">
        <v>0</v>
      </c>
      <c r="AG828" s="78" t="s">
        <v>4640</v>
      </c>
      <c r="AH828" t="b">
        <v>0</v>
      </c>
      <c r="AI828" t="s">
        <v>4829</v>
      </c>
      <c r="AK828" s="78" t="s">
        <v>4640</v>
      </c>
      <c r="AL828" t="b">
        <v>0</v>
      </c>
      <c r="AM828">
        <v>0</v>
      </c>
      <c r="AN828" s="78" t="s">
        <v>4640</v>
      </c>
      <c r="AO828" s="78" t="s">
        <v>4851</v>
      </c>
      <c r="AP828" t="b">
        <v>0</v>
      </c>
      <c r="AQ828" s="78" t="s">
        <v>4471</v>
      </c>
      <c r="AR828" t="s">
        <v>179</v>
      </c>
      <c r="AS828">
        <v>0</v>
      </c>
      <c r="AT828">
        <v>0</v>
      </c>
    </row>
    <row r="829" spans="1:46" x14ac:dyDescent="0.45">
      <c r="A829" s="62" t="s">
        <v>1090</v>
      </c>
      <c r="B829" s="62" t="s">
        <v>242</v>
      </c>
      <c r="C829" s="63"/>
      <c r="D829" s="64"/>
      <c r="E829" s="65"/>
      <c r="F829" s="66"/>
      <c r="G829" s="63"/>
      <c r="H829" s="67"/>
      <c r="I829" s="68"/>
      <c r="J829" s="68"/>
      <c r="K829" s="32"/>
      <c r="L829" s="75"/>
      <c r="M829" s="75"/>
      <c r="N829" s="70"/>
      <c r="O829" t="s">
        <v>1568</v>
      </c>
      <c r="P829" s="76">
        <v>44959.582511574074</v>
      </c>
      <c r="Q829" t="s">
        <v>2235</v>
      </c>
      <c r="R829" s="77" t="str">
        <f>HYPERLINK("https://www.whas11.com/article/features/walmart-employee-shelbyville-kentucky-pushing-carts-kindness/417-6c9b1b82-bd52-4845-856b-6c591b1a4a73")</f>
        <v>https://www.whas11.com/article/features/walmart-employee-shelbyville-kentucky-pushing-carts-kindness/417-6c9b1b82-bd52-4845-856b-6c591b1a4a73</v>
      </c>
      <c r="S829" t="s">
        <v>2305</v>
      </c>
      <c r="V829" s="77" t="str">
        <f>HYPERLINK("https://pbs.twimg.com/profile_images/1166721088405037056/HOEnpWlg_normal.jpg")</f>
        <v>https://pbs.twimg.com/profile_images/1166721088405037056/HOEnpWlg_normal.jpg</v>
      </c>
      <c r="W829" s="76">
        <v>44959.582511574074</v>
      </c>
      <c r="X829" s="80">
        <v>44959</v>
      </c>
      <c r="Y829" s="78" t="s">
        <v>3406</v>
      </c>
      <c r="Z829" s="77" t="str">
        <f>HYPERLINK("https://twitter.com/whas11hasch/status/1621146122206220288")</f>
        <v>https://twitter.com/whas11hasch/status/1621146122206220288</v>
      </c>
      <c r="AC829" s="78" t="s">
        <v>4471</v>
      </c>
      <c r="AE829" t="b">
        <v>0</v>
      </c>
      <c r="AF829">
        <v>0</v>
      </c>
      <c r="AG829" s="78" t="s">
        <v>4640</v>
      </c>
      <c r="AH829" t="b">
        <v>0</v>
      </c>
      <c r="AI829" t="s">
        <v>4829</v>
      </c>
      <c r="AK829" s="78" t="s">
        <v>4640</v>
      </c>
      <c r="AL829" t="b">
        <v>0</v>
      </c>
      <c r="AM829">
        <v>0</v>
      </c>
      <c r="AN829" s="78" t="s">
        <v>4640</v>
      </c>
      <c r="AO829" s="78" t="s">
        <v>4851</v>
      </c>
      <c r="AP829" t="b">
        <v>0</v>
      </c>
      <c r="AQ829" s="78" t="s">
        <v>4471</v>
      </c>
      <c r="AR829" t="s">
        <v>179</v>
      </c>
      <c r="AS829">
        <v>0</v>
      </c>
      <c r="AT829">
        <v>0</v>
      </c>
    </row>
    <row r="830" spans="1:46" x14ac:dyDescent="0.45">
      <c r="A830" s="62" t="s">
        <v>951</v>
      </c>
      <c r="B830" s="62" t="s">
        <v>1456</v>
      </c>
      <c r="C830" s="63"/>
      <c r="D830" s="64"/>
      <c r="E830" s="65"/>
      <c r="F830" s="66"/>
      <c r="G830" s="63"/>
      <c r="H830" s="67"/>
      <c r="I830" s="68"/>
      <c r="J830" s="68"/>
      <c r="K830" s="32"/>
      <c r="L830" s="75"/>
      <c r="M830" s="75"/>
      <c r="N830" s="70"/>
      <c r="O830" t="s">
        <v>1568</v>
      </c>
      <c r="P830" s="76">
        <v>44958.715439814812</v>
      </c>
      <c r="Q830" t="s">
        <v>2107</v>
      </c>
      <c r="R830" s="77" t="str">
        <f>HYPERLINK("https://whova.com/portal/registration/wocc_202303/")</f>
        <v>https://whova.com/portal/registration/wocc_202303/</v>
      </c>
      <c r="S830" t="s">
        <v>2297</v>
      </c>
      <c r="U830" s="77" t="str">
        <f>HYPERLINK("https://pbs.twimg.com/media/Fn5ZRYuXoAA4UG4.jpg")</f>
        <v>https://pbs.twimg.com/media/Fn5ZRYuXoAA4UG4.jpg</v>
      </c>
      <c r="V830" s="77" t="str">
        <f>HYPERLINK("https://pbs.twimg.com/media/Fn5ZRYuXoAA4UG4.jpg")</f>
        <v>https://pbs.twimg.com/media/Fn5ZRYuXoAA4UG4.jpg</v>
      </c>
      <c r="W830" s="76">
        <v>44958.715439814812</v>
      </c>
      <c r="X830" s="80">
        <v>44958</v>
      </c>
      <c r="Y830" s="78" t="s">
        <v>3223</v>
      </c>
      <c r="Z830" s="77" t="str">
        <f>HYPERLINK("https://twitter.com/ctrapawomen/status/1620831905775259649")</f>
        <v>https://twitter.com/ctrapawomen/status/1620831905775259649</v>
      </c>
      <c r="AC830" s="78" t="s">
        <v>4288</v>
      </c>
      <c r="AE830" t="b">
        <v>0</v>
      </c>
      <c r="AF830">
        <v>0</v>
      </c>
      <c r="AG830" s="78" t="s">
        <v>4640</v>
      </c>
      <c r="AH830" t="b">
        <v>0</v>
      </c>
      <c r="AI830" t="s">
        <v>4829</v>
      </c>
      <c r="AK830" s="78" t="s">
        <v>4640</v>
      </c>
      <c r="AL830" t="b">
        <v>0</v>
      </c>
      <c r="AM830">
        <v>0</v>
      </c>
      <c r="AN830" s="78" t="s">
        <v>4640</v>
      </c>
      <c r="AO830" s="78" t="s">
        <v>4851</v>
      </c>
      <c r="AP830" t="b">
        <v>0</v>
      </c>
      <c r="AQ830" s="78" t="s">
        <v>4288</v>
      </c>
      <c r="AR830" t="s">
        <v>179</v>
      </c>
      <c r="AS830">
        <v>0</v>
      </c>
      <c r="AT830">
        <v>0</v>
      </c>
    </row>
    <row r="831" spans="1:46" x14ac:dyDescent="0.45">
      <c r="A831" s="62" t="s">
        <v>951</v>
      </c>
      <c r="B831" s="62" t="s">
        <v>1457</v>
      </c>
      <c r="C831" s="63"/>
      <c r="D831" s="64"/>
      <c r="E831" s="65"/>
      <c r="F831" s="66"/>
      <c r="G831" s="63"/>
      <c r="H831" s="67"/>
      <c r="I831" s="68"/>
      <c r="J831" s="68"/>
      <c r="K831" s="32"/>
      <c r="L831" s="75"/>
      <c r="M831" s="75"/>
      <c r="N831" s="70"/>
      <c r="O831" t="s">
        <v>1568</v>
      </c>
      <c r="P831" s="76">
        <v>44958.715439814812</v>
      </c>
      <c r="Q831" t="s">
        <v>2107</v>
      </c>
      <c r="R831" s="77" t="str">
        <f>HYPERLINK("https://whova.com/portal/registration/wocc_202303/")</f>
        <v>https://whova.com/portal/registration/wocc_202303/</v>
      </c>
      <c r="S831" t="s">
        <v>2297</v>
      </c>
      <c r="U831" s="77" t="str">
        <f>HYPERLINK("https://pbs.twimg.com/media/Fn5ZRYuXoAA4UG4.jpg")</f>
        <v>https://pbs.twimg.com/media/Fn5ZRYuXoAA4UG4.jpg</v>
      </c>
      <c r="V831" s="77" t="str">
        <f>HYPERLINK("https://pbs.twimg.com/media/Fn5ZRYuXoAA4UG4.jpg")</f>
        <v>https://pbs.twimg.com/media/Fn5ZRYuXoAA4UG4.jpg</v>
      </c>
      <c r="W831" s="76">
        <v>44958.715439814812</v>
      </c>
      <c r="X831" s="80">
        <v>44958</v>
      </c>
      <c r="Y831" s="78" t="s">
        <v>3223</v>
      </c>
      <c r="Z831" s="77" t="str">
        <f>HYPERLINK("https://twitter.com/ctrapawomen/status/1620831905775259649")</f>
        <v>https://twitter.com/ctrapawomen/status/1620831905775259649</v>
      </c>
      <c r="AC831" s="78" t="s">
        <v>4288</v>
      </c>
      <c r="AE831" t="b">
        <v>0</v>
      </c>
      <c r="AF831">
        <v>0</v>
      </c>
      <c r="AG831" s="78" t="s">
        <v>4640</v>
      </c>
      <c r="AH831" t="b">
        <v>0</v>
      </c>
      <c r="AI831" t="s">
        <v>4829</v>
      </c>
      <c r="AK831" s="78" t="s">
        <v>4640</v>
      </c>
      <c r="AL831" t="b">
        <v>0</v>
      </c>
      <c r="AM831">
        <v>0</v>
      </c>
      <c r="AN831" s="78" t="s">
        <v>4640</v>
      </c>
      <c r="AO831" s="78" t="s">
        <v>4851</v>
      </c>
      <c r="AP831" t="b">
        <v>0</v>
      </c>
      <c r="AQ831" s="78" t="s">
        <v>4288</v>
      </c>
      <c r="AR831" t="s">
        <v>179</v>
      </c>
      <c r="AS831">
        <v>0</v>
      </c>
      <c r="AT831">
        <v>0</v>
      </c>
    </row>
    <row r="832" spans="1:46" x14ac:dyDescent="0.45">
      <c r="A832" s="62" t="s">
        <v>951</v>
      </c>
      <c r="B832" s="62" t="s">
        <v>1458</v>
      </c>
      <c r="C832" s="63"/>
      <c r="D832" s="64"/>
      <c r="E832" s="65"/>
      <c r="F832" s="66"/>
      <c r="G832" s="63"/>
      <c r="H832" s="67"/>
      <c r="I832" s="68"/>
      <c r="J832" s="68"/>
      <c r="K832" s="32"/>
      <c r="L832" s="75"/>
      <c r="M832" s="75"/>
      <c r="N832" s="70"/>
      <c r="O832" t="s">
        <v>1568</v>
      </c>
      <c r="P832" s="76">
        <v>44958.715439814812</v>
      </c>
      <c r="Q832" t="s">
        <v>2107</v>
      </c>
      <c r="R832" s="77" t="str">
        <f>HYPERLINK("https://whova.com/portal/registration/wocc_202303/")</f>
        <v>https://whova.com/portal/registration/wocc_202303/</v>
      </c>
      <c r="S832" t="s">
        <v>2297</v>
      </c>
      <c r="U832" s="77" t="str">
        <f>HYPERLINK("https://pbs.twimg.com/media/Fn5ZRYuXoAA4UG4.jpg")</f>
        <v>https://pbs.twimg.com/media/Fn5ZRYuXoAA4UG4.jpg</v>
      </c>
      <c r="V832" s="77" t="str">
        <f>HYPERLINK("https://pbs.twimg.com/media/Fn5ZRYuXoAA4UG4.jpg")</f>
        <v>https://pbs.twimg.com/media/Fn5ZRYuXoAA4UG4.jpg</v>
      </c>
      <c r="W832" s="76">
        <v>44958.715439814812</v>
      </c>
      <c r="X832" s="80">
        <v>44958</v>
      </c>
      <c r="Y832" s="78" t="s">
        <v>3223</v>
      </c>
      <c r="Z832" s="77" t="str">
        <f>HYPERLINK("https://twitter.com/ctrapawomen/status/1620831905775259649")</f>
        <v>https://twitter.com/ctrapawomen/status/1620831905775259649</v>
      </c>
      <c r="AC832" s="78" t="s">
        <v>4288</v>
      </c>
      <c r="AE832" t="b">
        <v>0</v>
      </c>
      <c r="AF832">
        <v>0</v>
      </c>
      <c r="AG832" s="78" t="s">
        <v>4640</v>
      </c>
      <c r="AH832" t="b">
        <v>0</v>
      </c>
      <c r="AI832" t="s">
        <v>4829</v>
      </c>
      <c r="AK832" s="78" t="s">
        <v>4640</v>
      </c>
      <c r="AL832" t="b">
        <v>0</v>
      </c>
      <c r="AM832">
        <v>0</v>
      </c>
      <c r="AN832" s="78" t="s">
        <v>4640</v>
      </c>
      <c r="AO832" s="78" t="s">
        <v>4851</v>
      </c>
      <c r="AP832" t="b">
        <v>0</v>
      </c>
      <c r="AQ832" s="78" t="s">
        <v>4288</v>
      </c>
      <c r="AR832" t="s">
        <v>179</v>
      </c>
      <c r="AS832">
        <v>0</v>
      </c>
      <c r="AT832">
        <v>0</v>
      </c>
    </row>
    <row r="833" spans="1:46" x14ac:dyDescent="0.45">
      <c r="A833" s="62" t="s">
        <v>951</v>
      </c>
      <c r="B833" s="62" t="s">
        <v>1459</v>
      </c>
      <c r="C833" s="63"/>
      <c r="D833" s="64"/>
      <c r="E833" s="65"/>
      <c r="F833" s="66"/>
      <c r="G833" s="63"/>
      <c r="H833" s="67"/>
      <c r="I833" s="68"/>
      <c r="J833" s="68"/>
      <c r="K833" s="32"/>
      <c r="L833" s="75"/>
      <c r="M833" s="75"/>
      <c r="N833" s="70"/>
      <c r="O833" t="s">
        <v>1568</v>
      </c>
      <c r="P833" s="76">
        <v>44958.715439814812</v>
      </c>
      <c r="Q833" t="s">
        <v>2107</v>
      </c>
      <c r="R833" s="77" t="str">
        <f>HYPERLINK("https://whova.com/portal/registration/wocc_202303/")</f>
        <v>https://whova.com/portal/registration/wocc_202303/</v>
      </c>
      <c r="S833" t="s">
        <v>2297</v>
      </c>
      <c r="U833" s="77" t="str">
        <f>HYPERLINK("https://pbs.twimg.com/media/Fn5ZRYuXoAA4UG4.jpg")</f>
        <v>https://pbs.twimg.com/media/Fn5ZRYuXoAA4UG4.jpg</v>
      </c>
      <c r="V833" s="77" t="str">
        <f>HYPERLINK("https://pbs.twimg.com/media/Fn5ZRYuXoAA4UG4.jpg")</f>
        <v>https://pbs.twimg.com/media/Fn5ZRYuXoAA4UG4.jpg</v>
      </c>
      <c r="W833" s="76">
        <v>44958.715439814812</v>
      </c>
      <c r="X833" s="80">
        <v>44958</v>
      </c>
      <c r="Y833" s="78" t="s">
        <v>3223</v>
      </c>
      <c r="Z833" s="77" t="str">
        <f>HYPERLINK("https://twitter.com/ctrapawomen/status/1620831905775259649")</f>
        <v>https://twitter.com/ctrapawomen/status/1620831905775259649</v>
      </c>
      <c r="AC833" s="78" t="s">
        <v>4288</v>
      </c>
      <c r="AE833" t="b">
        <v>0</v>
      </c>
      <c r="AF833">
        <v>0</v>
      </c>
      <c r="AG833" s="78" t="s">
        <v>4640</v>
      </c>
      <c r="AH833" t="b">
        <v>0</v>
      </c>
      <c r="AI833" t="s">
        <v>4829</v>
      </c>
      <c r="AK833" s="78" t="s">
        <v>4640</v>
      </c>
      <c r="AL833" t="b">
        <v>0</v>
      </c>
      <c r="AM833">
        <v>0</v>
      </c>
      <c r="AN833" s="78" t="s">
        <v>4640</v>
      </c>
      <c r="AO833" s="78" t="s">
        <v>4851</v>
      </c>
      <c r="AP833" t="b">
        <v>0</v>
      </c>
      <c r="AQ833" s="78" t="s">
        <v>4288</v>
      </c>
      <c r="AR833" t="s">
        <v>179</v>
      </c>
      <c r="AS833">
        <v>0</v>
      </c>
      <c r="AT833">
        <v>0</v>
      </c>
    </row>
    <row r="834" spans="1:46" x14ac:dyDescent="0.45">
      <c r="A834" s="62" t="s">
        <v>951</v>
      </c>
      <c r="B834" s="62" t="s">
        <v>1461</v>
      </c>
      <c r="C834" s="63"/>
      <c r="D834" s="64"/>
      <c r="E834" s="65"/>
      <c r="F834" s="66"/>
      <c r="G834" s="63"/>
      <c r="H834" s="67"/>
      <c r="I834" s="68"/>
      <c r="J834" s="68"/>
      <c r="K834" s="32"/>
      <c r="L834" s="75"/>
      <c r="M834" s="75"/>
      <c r="N834" s="70"/>
      <c r="O834" t="s">
        <v>1568</v>
      </c>
      <c r="P834" s="76">
        <v>44958.715439814812</v>
      </c>
      <c r="Q834" t="s">
        <v>2107</v>
      </c>
      <c r="R834" s="77" t="str">
        <f>HYPERLINK("https://whova.com/portal/registration/wocc_202303/")</f>
        <v>https://whova.com/portal/registration/wocc_202303/</v>
      </c>
      <c r="S834" t="s">
        <v>2297</v>
      </c>
      <c r="U834" s="77" t="str">
        <f>HYPERLINK("https://pbs.twimg.com/media/Fn5ZRYuXoAA4UG4.jpg")</f>
        <v>https://pbs.twimg.com/media/Fn5ZRYuXoAA4UG4.jpg</v>
      </c>
      <c r="V834" s="77" t="str">
        <f>HYPERLINK("https://pbs.twimg.com/media/Fn5ZRYuXoAA4UG4.jpg")</f>
        <v>https://pbs.twimg.com/media/Fn5ZRYuXoAA4UG4.jpg</v>
      </c>
      <c r="W834" s="76">
        <v>44958.715439814812</v>
      </c>
      <c r="X834" s="80">
        <v>44958</v>
      </c>
      <c r="Y834" s="78" t="s">
        <v>3223</v>
      </c>
      <c r="Z834" s="77" t="str">
        <f>HYPERLINK("https://twitter.com/ctrapawomen/status/1620831905775259649")</f>
        <v>https://twitter.com/ctrapawomen/status/1620831905775259649</v>
      </c>
      <c r="AC834" s="78" t="s">
        <v>4288</v>
      </c>
      <c r="AE834" t="b">
        <v>0</v>
      </c>
      <c r="AF834">
        <v>0</v>
      </c>
      <c r="AG834" s="78" t="s">
        <v>4640</v>
      </c>
      <c r="AH834" t="b">
        <v>0</v>
      </c>
      <c r="AI834" t="s">
        <v>4829</v>
      </c>
      <c r="AK834" s="78" t="s">
        <v>4640</v>
      </c>
      <c r="AL834" t="b">
        <v>0</v>
      </c>
      <c r="AM834">
        <v>0</v>
      </c>
      <c r="AN834" s="78" t="s">
        <v>4640</v>
      </c>
      <c r="AO834" s="78" t="s">
        <v>4851</v>
      </c>
      <c r="AP834" t="b">
        <v>0</v>
      </c>
      <c r="AQ834" s="78" t="s">
        <v>4288</v>
      </c>
      <c r="AR834" t="s">
        <v>179</v>
      </c>
      <c r="AS834">
        <v>0</v>
      </c>
      <c r="AT834">
        <v>0</v>
      </c>
    </row>
    <row r="835" spans="1:46" x14ac:dyDescent="0.45">
      <c r="A835" s="62" t="s">
        <v>951</v>
      </c>
      <c r="B835" s="62" t="s">
        <v>1262</v>
      </c>
      <c r="C835" s="63"/>
      <c r="D835" s="64"/>
      <c r="E835" s="65"/>
      <c r="F835" s="66"/>
      <c r="G835" s="63"/>
      <c r="H835" s="67"/>
      <c r="I835" s="68"/>
      <c r="J835" s="68"/>
      <c r="K835" s="32"/>
      <c r="L835" s="75"/>
      <c r="M835" s="75"/>
      <c r="N835" s="70"/>
      <c r="O835" t="s">
        <v>1568</v>
      </c>
      <c r="P835" s="76">
        <v>44958.715439814812</v>
      </c>
      <c r="Q835" t="s">
        <v>2107</v>
      </c>
      <c r="R835" s="77" t="str">
        <f>HYPERLINK("https://whova.com/portal/registration/wocc_202303/")</f>
        <v>https://whova.com/portal/registration/wocc_202303/</v>
      </c>
      <c r="S835" t="s">
        <v>2297</v>
      </c>
      <c r="U835" s="77" t="str">
        <f>HYPERLINK("https://pbs.twimg.com/media/Fn5ZRYuXoAA4UG4.jpg")</f>
        <v>https://pbs.twimg.com/media/Fn5ZRYuXoAA4UG4.jpg</v>
      </c>
      <c r="V835" s="77" t="str">
        <f>HYPERLINK("https://pbs.twimg.com/media/Fn5ZRYuXoAA4UG4.jpg")</f>
        <v>https://pbs.twimg.com/media/Fn5ZRYuXoAA4UG4.jpg</v>
      </c>
      <c r="W835" s="76">
        <v>44958.715439814812</v>
      </c>
      <c r="X835" s="80">
        <v>44958</v>
      </c>
      <c r="Y835" s="78" t="s">
        <v>3223</v>
      </c>
      <c r="Z835" s="77" t="str">
        <f>HYPERLINK("https://twitter.com/ctrapawomen/status/1620831905775259649")</f>
        <v>https://twitter.com/ctrapawomen/status/1620831905775259649</v>
      </c>
      <c r="AC835" s="78" t="s">
        <v>4288</v>
      </c>
      <c r="AE835" t="b">
        <v>0</v>
      </c>
      <c r="AF835">
        <v>0</v>
      </c>
      <c r="AG835" s="78" t="s">
        <v>4640</v>
      </c>
      <c r="AH835" t="b">
        <v>0</v>
      </c>
      <c r="AI835" t="s">
        <v>4829</v>
      </c>
      <c r="AK835" s="78" t="s">
        <v>4640</v>
      </c>
      <c r="AL835" t="b">
        <v>0</v>
      </c>
      <c r="AM835">
        <v>0</v>
      </c>
      <c r="AN835" s="78" t="s">
        <v>4640</v>
      </c>
      <c r="AO835" s="78" t="s">
        <v>4851</v>
      </c>
      <c r="AP835" t="b">
        <v>0</v>
      </c>
      <c r="AQ835" s="78" t="s">
        <v>4288</v>
      </c>
      <c r="AR835" t="s">
        <v>179</v>
      </c>
      <c r="AS835">
        <v>0</v>
      </c>
      <c r="AT835">
        <v>0</v>
      </c>
    </row>
    <row r="836" spans="1:46" x14ac:dyDescent="0.45">
      <c r="A836" s="62" t="s">
        <v>951</v>
      </c>
      <c r="B836" s="62" t="s">
        <v>242</v>
      </c>
      <c r="C836" s="63"/>
      <c r="D836" s="64"/>
      <c r="E836" s="65"/>
      <c r="F836" s="66"/>
      <c r="G836" s="63"/>
      <c r="H836" s="67"/>
      <c r="I836" s="68"/>
      <c r="J836" s="68"/>
      <c r="K836" s="32"/>
      <c r="L836" s="75"/>
      <c r="M836" s="75"/>
      <c r="N836" s="70"/>
      <c r="O836" t="s">
        <v>1568</v>
      </c>
      <c r="P836" s="76">
        <v>44958.715439814812</v>
      </c>
      <c r="Q836" t="s">
        <v>2107</v>
      </c>
      <c r="R836" s="77" t="str">
        <f>HYPERLINK("https://whova.com/portal/registration/wocc_202303/")</f>
        <v>https://whova.com/portal/registration/wocc_202303/</v>
      </c>
      <c r="S836" t="s">
        <v>2297</v>
      </c>
      <c r="U836" s="77" t="str">
        <f>HYPERLINK("https://pbs.twimg.com/media/Fn5ZRYuXoAA4UG4.jpg")</f>
        <v>https://pbs.twimg.com/media/Fn5ZRYuXoAA4UG4.jpg</v>
      </c>
      <c r="V836" s="77" t="str">
        <f>HYPERLINK("https://pbs.twimg.com/media/Fn5ZRYuXoAA4UG4.jpg")</f>
        <v>https://pbs.twimg.com/media/Fn5ZRYuXoAA4UG4.jpg</v>
      </c>
      <c r="W836" s="76">
        <v>44958.715439814812</v>
      </c>
      <c r="X836" s="80">
        <v>44958</v>
      </c>
      <c r="Y836" s="78" t="s">
        <v>3223</v>
      </c>
      <c r="Z836" s="77" t="str">
        <f>HYPERLINK("https://twitter.com/ctrapawomen/status/1620831905775259649")</f>
        <v>https://twitter.com/ctrapawomen/status/1620831905775259649</v>
      </c>
      <c r="AC836" s="78" t="s">
        <v>4288</v>
      </c>
      <c r="AE836" t="b">
        <v>0</v>
      </c>
      <c r="AF836">
        <v>0</v>
      </c>
      <c r="AG836" s="78" t="s">
        <v>4640</v>
      </c>
      <c r="AH836" t="b">
        <v>0</v>
      </c>
      <c r="AI836" t="s">
        <v>4829</v>
      </c>
      <c r="AK836" s="78" t="s">
        <v>4640</v>
      </c>
      <c r="AL836" t="b">
        <v>0</v>
      </c>
      <c r="AM836">
        <v>0</v>
      </c>
      <c r="AN836" s="78" t="s">
        <v>4640</v>
      </c>
      <c r="AO836" s="78" t="s">
        <v>4851</v>
      </c>
      <c r="AP836" t="b">
        <v>0</v>
      </c>
      <c r="AQ836" s="78" t="s">
        <v>4288</v>
      </c>
      <c r="AR836" t="s">
        <v>179</v>
      </c>
      <c r="AS836">
        <v>0</v>
      </c>
      <c r="AT836">
        <v>0</v>
      </c>
    </row>
    <row r="837" spans="1:46" x14ac:dyDescent="0.45">
      <c r="A837" s="62" t="s">
        <v>1065</v>
      </c>
      <c r="B837" s="62" t="s">
        <v>1540</v>
      </c>
      <c r="C837" s="63"/>
      <c r="D837" s="64"/>
      <c r="E837" s="65"/>
      <c r="F837" s="66"/>
      <c r="G837" s="63"/>
      <c r="H837" s="67"/>
      <c r="I837" s="68"/>
      <c r="J837" s="68"/>
      <c r="K837" s="32"/>
      <c r="L837" s="75"/>
      <c r="M837" s="75"/>
      <c r="N837" s="70"/>
      <c r="O837" t="s">
        <v>1568</v>
      </c>
      <c r="P837" s="76">
        <v>44959.537743055553</v>
      </c>
      <c r="Q837" t="s">
        <v>2213</v>
      </c>
      <c r="R837" s="77" t="str">
        <f>HYPERLINK("https://yourbestlifebiz.com/blogs/articles/shopify-adds-native-chat-gpt-by-open-ai-integration-to-shopify-flow-and-it-is-mind-blowing")</f>
        <v>https://yourbestlifebiz.com/blogs/articles/shopify-adds-native-chat-gpt-by-open-ai-integration-to-shopify-flow-and-it-is-mind-blowing</v>
      </c>
      <c r="S837" t="s">
        <v>2304</v>
      </c>
      <c r="V837" s="77" t="str">
        <f>HYPERLINK("https://pbs.twimg.com/profile_images/1299995069005664256/6UMJ8Reb_normal.jpg")</f>
        <v>https://pbs.twimg.com/profile_images/1299995069005664256/6UMJ8Reb_normal.jpg</v>
      </c>
      <c r="W837" s="76">
        <v>44959.537743055553</v>
      </c>
      <c r="X837" s="80">
        <v>44959</v>
      </c>
      <c r="Y837" s="78" t="s">
        <v>3378</v>
      </c>
      <c r="Z837" s="77" t="str">
        <f>HYPERLINK("https://twitter.com/yourbestlifebiz/status/1621129897874952192")</f>
        <v>https://twitter.com/yourbestlifebiz/status/1621129897874952192</v>
      </c>
      <c r="AC837" s="78" t="s">
        <v>4443</v>
      </c>
      <c r="AD837" s="78" t="s">
        <v>4630</v>
      </c>
      <c r="AE837" t="b">
        <v>0</v>
      </c>
      <c r="AF837">
        <v>0</v>
      </c>
      <c r="AG837" s="78" t="s">
        <v>4815</v>
      </c>
      <c r="AH837" t="b">
        <v>0</v>
      </c>
      <c r="AI837" t="s">
        <v>4829</v>
      </c>
      <c r="AK837" s="78" t="s">
        <v>4640</v>
      </c>
      <c r="AL837" t="b">
        <v>0</v>
      </c>
      <c r="AM837">
        <v>0</v>
      </c>
      <c r="AN837" s="78" t="s">
        <v>4640</v>
      </c>
      <c r="AO837" s="78" t="s">
        <v>4851</v>
      </c>
      <c r="AP837" t="b">
        <v>0</v>
      </c>
      <c r="AQ837" s="78" t="s">
        <v>4630</v>
      </c>
      <c r="AR837" t="s">
        <v>179</v>
      </c>
      <c r="AS837">
        <v>0</v>
      </c>
      <c r="AT837">
        <v>0</v>
      </c>
    </row>
    <row r="838" spans="1:46" x14ac:dyDescent="0.45">
      <c r="A838" s="62" t="s">
        <v>1065</v>
      </c>
      <c r="B838" s="62" t="s">
        <v>1541</v>
      </c>
      <c r="C838" s="63"/>
      <c r="D838" s="64"/>
      <c r="E838" s="65"/>
      <c r="F838" s="66"/>
      <c r="G838" s="63"/>
      <c r="H838" s="67"/>
      <c r="I838" s="68"/>
      <c r="J838" s="68"/>
      <c r="K838" s="32"/>
      <c r="L838" s="75"/>
      <c r="M838" s="75"/>
      <c r="N838" s="70"/>
      <c r="O838" t="s">
        <v>1568</v>
      </c>
      <c r="P838" s="76">
        <v>44959.537743055553</v>
      </c>
      <c r="Q838" t="s">
        <v>2213</v>
      </c>
      <c r="R838" s="77" t="str">
        <f>HYPERLINK("https://yourbestlifebiz.com/blogs/articles/shopify-adds-native-chat-gpt-by-open-ai-integration-to-shopify-flow-and-it-is-mind-blowing")</f>
        <v>https://yourbestlifebiz.com/blogs/articles/shopify-adds-native-chat-gpt-by-open-ai-integration-to-shopify-flow-and-it-is-mind-blowing</v>
      </c>
      <c r="S838" t="s">
        <v>2304</v>
      </c>
      <c r="V838" s="77" t="str">
        <f>HYPERLINK("https://pbs.twimg.com/profile_images/1299995069005664256/6UMJ8Reb_normal.jpg")</f>
        <v>https://pbs.twimg.com/profile_images/1299995069005664256/6UMJ8Reb_normal.jpg</v>
      </c>
      <c r="W838" s="76">
        <v>44959.537743055553</v>
      </c>
      <c r="X838" s="80">
        <v>44959</v>
      </c>
      <c r="Y838" s="78" t="s">
        <v>3378</v>
      </c>
      <c r="Z838" s="77" t="str">
        <f>HYPERLINK("https://twitter.com/yourbestlifebiz/status/1621129897874952192")</f>
        <v>https://twitter.com/yourbestlifebiz/status/1621129897874952192</v>
      </c>
      <c r="AC838" s="78" t="s">
        <v>4443</v>
      </c>
      <c r="AD838" s="78" t="s">
        <v>4630</v>
      </c>
      <c r="AE838" t="b">
        <v>0</v>
      </c>
      <c r="AF838">
        <v>0</v>
      </c>
      <c r="AG838" s="78" t="s">
        <v>4815</v>
      </c>
      <c r="AH838" t="b">
        <v>0</v>
      </c>
      <c r="AI838" t="s">
        <v>4829</v>
      </c>
      <c r="AK838" s="78" t="s">
        <v>4640</v>
      </c>
      <c r="AL838" t="b">
        <v>0</v>
      </c>
      <c r="AM838">
        <v>0</v>
      </c>
      <c r="AN838" s="78" t="s">
        <v>4640</v>
      </c>
      <c r="AO838" s="78" t="s">
        <v>4851</v>
      </c>
      <c r="AP838" t="b">
        <v>0</v>
      </c>
      <c r="AQ838" s="78" t="s">
        <v>4630</v>
      </c>
      <c r="AR838" t="s">
        <v>179</v>
      </c>
      <c r="AS838">
        <v>0</v>
      </c>
      <c r="AT838">
        <v>0</v>
      </c>
    </row>
    <row r="839" spans="1:46" x14ac:dyDescent="0.45">
      <c r="A839" s="62" t="s">
        <v>1065</v>
      </c>
      <c r="B839" s="62" t="s">
        <v>1542</v>
      </c>
      <c r="C839" s="63"/>
      <c r="D839" s="64"/>
      <c r="E839" s="65"/>
      <c r="F839" s="66"/>
      <c r="G839" s="63"/>
      <c r="H839" s="67"/>
      <c r="I839" s="68"/>
      <c r="J839" s="68"/>
      <c r="K839" s="32"/>
      <c r="L839" s="75"/>
      <c r="M839" s="75"/>
      <c r="N839" s="70"/>
      <c r="O839" t="s">
        <v>1568</v>
      </c>
      <c r="P839" s="76">
        <v>44959.537743055553</v>
      </c>
      <c r="Q839" t="s">
        <v>2213</v>
      </c>
      <c r="R839" s="77" t="str">
        <f>HYPERLINK("https://yourbestlifebiz.com/blogs/articles/shopify-adds-native-chat-gpt-by-open-ai-integration-to-shopify-flow-and-it-is-mind-blowing")</f>
        <v>https://yourbestlifebiz.com/blogs/articles/shopify-adds-native-chat-gpt-by-open-ai-integration-to-shopify-flow-and-it-is-mind-blowing</v>
      </c>
      <c r="S839" t="s">
        <v>2304</v>
      </c>
      <c r="V839" s="77" t="str">
        <f>HYPERLINK("https://pbs.twimg.com/profile_images/1299995069005664256/6UMJ8Reb_normal.jpg")</f>
        <v>https://pbs.twimg.com/profile_images/1299995069005664256/6UMJ8Reb_normal.jpg</v>
      </c>
      <c r="W839" s="76">
        <v>44959.537743055553</v>
      </c>
      <c r="X839" s="80">
        <v>44959</v>
      </c>
      <c r="Y839" s="78" t="s">
        <v>3378</v>
      </c>
      <c r="Z839" s="77" t="str">
        <f>HYPERLINK("https://twitter.com/yourbestlifebiz/status/1621129897874952192")</f>
        <v>https://twitter.com/yourbestlifebiz/status/1621129897874952192</v>
      </c>
      <c r="AC839" s="78" t="s">
        <v>4443</v>
      </c>
      <c r="AD839" s="78" t="s">
        <v>4630</v>
      </c>
      <c r="AE839" t="b">
        <v>0</v>
      </c>
      <c r="AF839">
        <v>0</v>
      </c>
      <c r="AG839" s="78" t="s">
        <v>4815</v>
      </c>
      <c r="AH839" t="b">
        <v>0</v>
      </c>
      <c r="AI839" t="s">
        <v>4829</v>
      </c>
      <c r="AK839" s="78" t="s">
        <v>4640</v>
      </c>
      <c r="AL839" t="b">
        <v>0</v>
      </c>
      <c r="AM839">
        <v>0</v>
      </c>
      <c r="AN839" s="78" t="s">
        <v>4640</v>
      </c>
      <c r="AO839" s="78" t="s">
        <v>4851</v>
      </c>
      <c r="AP839" t="b">
        <v>0</v>
      </c>
      <c r="AQ839" s="78" t="s">
        <v>4630</v>
      </c>
      <c r="AR839" t="s">
        <v>179</v>
      </c>
      <c r="AS839">
        <v>0</v>
      </c>
      <c r="AT839">
        <v>0</v>
      </c>
    </row>
    <row r="840" spans="1:46" x14ac:dyDescent="0.45">
      <c r="A840" s="62" t="s">
        <v>1065</v>
      </c>
      <c r="B840" s="62" t="s">
        <v>1241</v>
      </c>
      <c r="C840" s="63"/>
      <c r="D840" s="64"/>
      <c r="E840" s="65"/>
      <c r="F840" s="66"/>
      <c r="G840" s="63"/>
      <c r="H840" s="67"/>
      <c r="I840" s="68"/>
      <c r="J840" s="68"/>
      <c r="K840" s="32"/>
      <c r="L840" s="75"/>
      <c r="M840" s="75"/>
      <c r="N840" s="70"/>
      <c r="O840" t="s">
        <v>1568</v>
      </c>
      <c r="P840" s="76">
        <v>44959.537743055553</v>
      </c>
      <c r="Q840" t="s">
        <v>2213</v>
      </c>
      <c r="R840" s="77" t="str">
        <f>HYPERLINK("https://yourbestlifebiz.com/blogs/articles/shopify-adds-native-chat-gpt-by-open-ai-integration-to-shopify-flow-and-it-is-mind-blowing")</f>
        <v>https://yourbestlifebiz.com/blogs/articles/shopify-adds-native-chat-gpt-by-open-ai-integration-to-shopify-flow-and-it-is-mind-blowing</v>
      </c>
      <c r="S840" t="s">
        <v>2304</v>
      </c>
      <c r="V840" s="77" t="str">
        <f>HYPERLINK("https://pbs.twimg.com/profile_images/1299995069005664256/6UMJ8Reb_normal.jpg")</f>
        <v>https://pbs.twimg.com/profile_images/1299995069005664256/6UMJ8Reb_normal.jpg</v>
      </c>
      <c r="W840" s="76">
        <v>44959.537743055553</v>
      </c>
      <c r="X840" s="80">
        <v>44959</v>
      </c>
      <c r="Y840" s="78" t="s">
        <v>3378</v>
      </c>
      <c r="Z840" s="77" t="str">
        <f>HYPERLINK("https://twitter.com/yourbestlifebiz/status/1621129897874952192")</f>
        <v>https://twitter.com/yourbestlifebiz/status/1621129897874952192</v>
      </c>
      <c r="AC840" s="78" t="s">
        <v>4443</v>
      </c>
      <c r="AD840" s="78" t="s">
        <v>4630</v>
      </c>
      <c r="AE840" t="b">
        <v>0</v>
      </c>
      <c r="AF840">
        <v>0</v>
      </c>
      <c r="AG840" s="78" t="s">
        <v>4815</v>
      </c>
      <c r="AH840" t="b">
        <v>0</v>
      </c>
      <c r="AI840" t="s">
        <v>4829</v>
      </c>
      <c r="AK840" s="78" t="s">
        <v>4640</v>
      </c>
      <c r="AL840" t="b">
        <v>0</v>
      </c>
      <c r="AM840">
        <v>0</v>
      </c>
      <c r="AN840" s="78" t="s">
        <v>4640</v>
      </c>
      <c r="AO840" s="78" t="s">
        <v>4851</v>
      </c>
      <c r="AP840" t="b">
        <v>0</v>
      </c>
      <c r="AQ840" s="78" t="s">
        <v>4630</v>
      </c>
      <c r="AR840" t="s">
        <v>179</v>
      </c>
      <c r="AS840">
        <v>0</v>
      </c>
      <c r="AT840">
        <v>0</v>
      </c>
    </row>
    <row r="841" spans="1:46" x14ac:dyDescent="0.45">
      <c r="A841" s="62" t="s">
        <v>1065</v>
      </c>
      <c r="B841" s="62" t="s">
        <v>1543</v>
      </c>
      <c r="C841" s="63"/>
      <c r="D841" s="64"/>
      <c r="E841" s="65"/>
      <c r="F841" s="66"/>
      <c r="G841" s="63"/>
      <c r="H841" s="67"/>
      <c r="I841" s="68"/>
      <c r="J841" s="68"/>
      <c r="K841" s="32"/>
      <c r="L841" s="75"/>
      <c r="M841" s="75"/>
      <c r="N841" s="70"/>
      <c r="O841" t="s">
        <v>1567</v>
      </c>
      <c r="P841" s="76">
        <v>44959.537743055553</v>
      </c>
      <c r="Q841" t="s">
        <v>2213</v>
      </c>
      <c r="R841" s="77" t="str">
        <f>HYPERLINK("https://yourbestlifebiz.com/blogs/articles/shopify-adds-native-chat-gpt-by-open-ai-integration-to-shopify-flow-and-it-is-mind-blowing")</f>
        <v>https://yourbestlifebiz.com/blogs/articles/shopify-adds-native-chat-gpt-by-open-ai-integration-to-shopify-flow-and-it-is-mind-blowing</v>
      </c>
      <c r="S841" t="s">
        <v>2304</v>
      </c>
      <c r="V841" s="77" t="str">
        <f>HYPERLINK("https://pbs.twimg.com/profile_images/1299995069005664256/6UMJ8Reb_normal.jpg")</f>
        <v>https://pbs.twimg.com/profile_images/1299995069005664256/6UMJ8Reb_normal.jpg</v>
      </c>
      <c r="W841" s="76">
        <v>44959.537743055553</v>
      </c>
      <c r="X841" s="80">
        <v>44959</v>
      </c>
      <c r="Y841" s="78" t="s">
        <v>3378</v>
      </c>
      <c r="Z841" s="77" t="str">
        <f>HYPERLINK("https://twitter.com/yourbestlifebiz/status/1621129897874952192")</f>
        <v>https://twitter.com/yourbestlifebiz/status/1621129897874952192</v>
      </c>
      <c r="AC841" s="78" t="s">
        <v>4443</v>
      </c>
      <c r="AD841" s="78" t="s">
        <v>4630</v>
      </c>
      <c r="AE841" t="b">
        <v>0</v>
      </c>
      <c r="AF841">
        <v>0</v>
      </c>
      <c r="AG841" s="78" t="s">
        <v>4815</v>
      </c>
      <c r="AH841" t="b">
        <v>0</v>
      </c>
      <c r="AI841" t="s">
        <v>4829</v>
      </c>
      <c r="AK841" s="78" t="s">
        <v>4640</v>
      </c>
      <c r="AL841" t="b">
        <v>0</v>
      </c>
      <c r="AM841">
        <v>0</v>
      </c>
      <c r="AN841" s="78" t="s">
        <v>4640</v>
      </c>
      <c r="AO841" s="78" t="s">
        <v>4851</v>
      </c>
      <c r="AP841" t="b">
        <v>0</v>
      </c>
      <c r="AQ841" s="78" t="s">
        <v>4630</v>
      </c>
      <c r="AR841" t="s">
        <v>179</v>
      </c>
      <c r="AS841">
        <v>0</v>
      </c>
      <c r="AT841">
        <v>0</v>
      </c>
    </row>
    <row r="842" spans="1:46" x14ac:dyDescent="0.45">
      <c r="A842" s="62" t="s">
        <v>1065</v>
      </c>
      <c r="B842" s="62" t="s">
        <v>1113</v>
      </c>
      <c r="C842" s="63"/>
      <c r="D842" s="64"/>
      <c r="E842" s="65"/>
      <c r="F842" s="66"/>
      <c r="G842" s="63"/>
      <c r="H842" s="67"/>
      <c r="I842" s="68"/>
      <c r="J842" s="68"/>
      <c r="K842" s="32"/>
      <c r="L842" s="75"/>
      <c r="M842" s="75"/>
      <c r="N842" s="70"/>
      <c r="O842" t="s">
        <v>1568</v>
      </c>
      <c r="P842" s="76">
        <v>44959.537743055553</v>
      </c>
      <c r="Q842" t="s">
        <v>2213</v>
      </c>
      <c r="R842" s="77" t="str">
        <f>HYPERLINK("https://yourbestlifebiz.com/blogs/articles/shopify-adds-native-chat-gpt-by-open-ai-integration-to-shopify-flow-and-it-is-mind-blowing")</f>
        <v>https://yourbestlifebiz.com/blogs/articles/shopify-adds-native-chat-gpt-by-open-ai-integration-to-shopify-flow-and-it-is-mind-blowing</v>
      </c>
      <c r="S842" t="s">
        <v>2304</v>
      </c>
      <c r="V842" s="77" t="str">
        <f>HYPERLINK("https://pbs.twimg.com/profile_images/1299995069005664256/6UMJ8Reb_normal.jpg")</f>
        <v>https://pbs.twimg.com/profile_images/1299995069005664256/6UMJ8Reb_normal.jpg</v>
      </c>
      <c r="W842" s="76">
        <v>44959.537743055553</v>
      </c>
      <c r="X842" s="80">
        <v>44959</v>
      </c>
      <c r="Y842" s="78" t="s">
        <v>3378</v>
      </c>
      <c r="Z842" s="77" t="str">
        <f>HYPERLINK("https://twitter.com/yourbestlifebiz/status/1621129897874952192")</f>
        <v>https://twitter.com/yourbestlifebiz/status/1621129897874952192</v>
      </c>
      <c r="AC842" s="78" t="s">
        <v>4443</v>
      </c>
      <c r="AD842" s="78" t="s">
        <v>4630</v>
      </c>
      <c r="AE842" t="b">
        <v>0</v>
      </c>
      <c r="AF842">
        <v>0</v>
      </c>
      <c r="AG842" s="78" t="s">
        <v>4815</v>
      </c>
      <c r="AH842" t="b">
        <v>0</v>
      </c>
      <c r="AI842" t="s">
        <v>4829</v>
      </c>
      <c r="AK842" s="78" t="s">
        <v>4640</v>
      </c>
      <c r="AL842" t="b">
        <v>0</v>
      </c>
      <c r="AM842">
        <v>0</v>
      </c>
      <c r="AN842" s="78" t="s">
        <v>4640</v>
      </c>
      <c r="AO842" s="78" t="s">
        <v>4851</v>
      </c>
      <c r="AP842" t="b">
        <v>0</v>
      </c>
      <c r="AQ842" s="78" t="s">
        <v>4630</v>
      </c>
      <c r="AR842" t="s">
        <v>179</v>
      </c>
      <c r="AS842">
        <v>0</v>
      </c>
      <c r="AT842">
        <v>0</v>
      </c>
    </row>
    <row r="843" spans="1:46" x14ac:dyDescent="0.45">
      <c r="A843" s="62" t="s">
        <v>1065</v>
      </c>
      <c r="B843" s="62" t="s">
        <v>242</v>
      </c>
      <c r="C843" s="63"/>
      <c r="D843" s="64"/>
      <c r="E843" s="65"/>
      <c r="F843" s="66"/>
      <c r="G843" s="63"/>
      <c r="H843" s="67"/>
      <c r="I843" s="68"/>
      <c r="J843" s="68"/>
      <c r="K843" s="32"/>
      <c r="L843" s="75"/>
      <c r="M843" s="75"/>
      <c r="N843" s="70"/>
      <c r="O843" t="s">
        <v>1568</v>
      </c>
      <c r="P843" s="76">
        <v>44959.537743055553</v>
      </c>
      <c r="Q843" t="s">
        <v>2213</v>
      </c>
      <c r="R843" s="77" t="str">
        <f>HYPERLINK("https://yourbestlifebiz.com/blogs/articles/shopify-adds-native-chat-gpt-by-open-ai-integration-to-shopify-flow-and-it-is-mind-blowing")</f>
        <v>https://yourbestlifebiz.com/blogs/articles/shopify-adds-native-chat-gpt-by-open-ai-integration-to-shopify-flow-and-it-is-mind-blowing</v>
      </c>
      <c r="S843" t="s">
        <v>2304</v>
      </c>
      <c r="V843" s="77" t="str">
        <f>HYPERLINK("https://pbs.twimg.com/profile_images/1299995069005664256/6UMJ8Reb_normal.jpg")</f>
        <v>https://pbs.twimg.com/profile_images/1299995069005664256/6UMJ8Reb_normal.jpg</v>
      </c>
      <c r="W843" s="76">
        <v>44959.537743055553</v>
      </c>
      <c r="X843" s="80">
        <v>44959</v>
      </c>
      <c r="Y843" s="78" t="s">
        <v>3378</v>
      </c>
      <c r="Z843" s="77" t="str">
        <f>HYPERLINK("https://twitter.com/yourbestlifebiz/status/1621129897874952192")</f>
        <v>https://twitter.com/yourbestlifebiz/status/1621129897874952192</v>
      </c>
      <c r="AC843" s="78" t="s">
        <v>4443</v>
      </c>
      <c r="AD843" s="78" t="s">
        <v>4630</v>
      </c>
      <c r="AE843" t="b">
        <v>0</v>
      </c>
      <c r="AF843">
        <v>0</v>
      </c>
      <c r="AG843" s="78" t="s">
        <v>4815</v>
      </c>
      <c r="AH843" t="b">
        <v>0</v>
      </c>
      <c r="AI843" t="s">
        <v>4829</v>
      </c>
      <c r="AK843" s="78" t="s">
        <v>4640</v>
      </c>
      <c r="AL843" t="b">
        <v>0</v>
      </c>
      <c r="AM843">
        <v>0</v>
      </c>
      <c r="AN843" s="78" t="s">
        <v>4640</v>
      </c>
      <c r="AO843" s="78" t="s">
        <v>4851</v>
      </c>
      <c r="AP843" t="b">
        <v>0</v>
      </c>
      <c r="AQ843" s="78" t="s">
        <v>4630</v>
      </c>
      <c r="AR843" t="s">
        <v>179</v>
      </c>
      <c r="AS843">
        <v>0</v>
      </c>
      <c r="AT843">
        <v>0</v>
      </c>
    </row>
    <row r="844" spans="1:46" x14ac:dyDescent="0.45">
      <c r="A844" s="62" t="s">
        <v>242</v>
      </c>
      <c r="B844" s="62" t="s">
        <v>1351</v>
      </c>
      <c r="C844" s="63"/>
      <c r="D844" s="64"/>
      <c r="E844" s="65"/>
      <c r="F844" s="66"/>
      <c r="G844" s="63"/>
      <c r="H844" s="67"/>
      <c r="I844" s="68"/>
      <c r="J844" s="68"/>
      <c r="K844" s="32"/>
      <c r="L844" s="75"/>
      <c r="M844" s="75"/>
      <c r="N844" s="70"/>
      <c r="O844" t="s">
        <v>1568</v>
      </c>
      <c r="P844" s="76">
        <v>44918.586956018517</v>
      </c>
      <c r="Q844" t="s">
        <v>1911</v>
      </c>
      <c r="R844" s="77" t="str">
        <f>HYPERLINK("https://youtu.be/j2AmHl5Lw6w?veh=brs&amp;adid=soc-twfeed_122322&amp;cn=FY23Brand_Entertainment&amp;linkId=100000173185963")</f>
        <v>https://youtu.be/j2AmHl5Lw6w?veh=brs&amp;adid=soc-twfeed_122322&amp;cn=FY23Brand_Entertainment&amp;linkId=100000173185963</v>
      </c>
      <c r="S844" t="s">
        <v>2283</v>
      </c>
      <c r="T844" s="78" t="s">
        <v>2367</v>
      </c>
      <c r="U844" s="77" t="str">
        <f>HYPERLINK("https://pbs.twimg.com/media/FkqwFk1X0AA1I88.jpg")</f>
        <v>https://pbs.twimg.com/media/FkqwFk1X0AA1I88.jpg</v>
      </c>
      <c r="V844" s="77" t="str">
        <f>HYPERLINK("https://pbs.twimg.com/media/FkqwFk1X0AA1I88.jpg")</f>
        <v>https://pbs.twimg.com/media/FkqwFk1X0AA1I88.jpg</v>
      </c>
      <c r="W844" s="76">
        <v>44918.586956018517</v>
      </c>
      <c r="X844" s="80">
        <v>44918</v>
      </c>
      <c r="Y844" s="78" t="s">
        <v>2939</v>
      </c>
      <c r="Z844" s="77" t="str">
        <f>HYPERLINK("https://twitter.com/walmart/status/1606289830220005378")</f>
        <v>https://twitter.com/walmart/status/1606289830220005378</v>
      </c>
      <c r="AC844" s="78" t="s">
        <v>4004</v>
      </c>
      <c r="AE844" t="b">
        <v>0</v>
      </c>
      <c r="AF844">
        <v>77</v>
      </c>
      <c r="AG844" s="78" t="s">
        <v>4640</v>
      </c>
      <c r="AH844" t="b">
        <v>0</v>
      </c>
      <c r="AI844" t="s">
        <v>4829</v>
      </c>
      <c r="AK844" s="78" t="s">
        <v>4640</v>
      </c>
      <c r="AL844" t="b">
        <v>0</v>
      </c>
      <c r="AM844">
        <v>15</v>
      </c>
      <c r="AN844" s="78" t="s">
        <v>4640</v>
      </c>
      <c r="AO844" s="78" t="s">
        <v>4855</v>
      </c>
      <c r="AP844" t="b">
        <v>0</v>
      </c>
      <c r="AQ844" s="78" t="s">
        <v>4004</v>
      </c>
      <c r="AR844" t="s">
        <v>1569</v>
      </c>
      <c r="AS844">
        <v>0</v>
      </c>
      <c r="AT844">
        <v>0</v>
      </c>
    </row>
    <row r="845" spans="1:46" x14ac:dyDescent="0.45">
      <c r="A845" s="62" t="s">
        <v>723</v>
      </c>
      <c r="B845" s="62" t="s">
        <v>1351</v>
      </c>
      <c r="C845" s="63"/>
      <c r="D845" s="64"/>
      <c r="E845" s="65"/>
      <c r="F845" s="66"/>
      <c r="G845" s="63"/>
      <c r="H845" s="67"/>
      <c r="I845" s="68"/>
      <c r="J845" s="68"/>
      <c r="K845" s="32"/>
      <c r="L845" s="75"/>
      <c r="M845" s="75"/>
      <c r="N845" s="70"/>
      <c r="O845" t="s">
        <v>1570</v>
      </c>
      <c r="P845" s="76">
        <v>44958.917291666665</v>
      </c>
      <c r="Q845" t="s">
        <v>1911</v>
      </c>
      <c r="R845" s="77" t="str">
        <f>HYPERLINK("https://youtu.be/j2AmHl5Lw6w?veh=brs&amp;adid=soc-twfeed_122322&amp;cn=FY23Brand_Entertainment&amp;linkId=100000173185963")</f>
        <v>https://youtu.be/j2AmHl5Lw6w?veh=brs&amp;adid=soc-twfeed_122322&amp;cn=FY23Brand_Entertainment&amp;linkId=100000173185963</v>
      </c>
      <c r="S845" t="s">
        <v>2283</v>
      </c>
      <c r="T845" s="78" t="s">
        <v>2367</v>
      </c>
      <c r="U845" s="77" t="str">
        <f>HYPERLINK("https://pbs.twimg.com/media/FkqwFk1X0AA1I88.jpg")</f>
        <v>https://pbs.twimg.com/media/FkqwFk1X0AA1I88.jpg</v>
      </c>
      <c r="V845" s="77" t="str">
        <f>HYPERLINK("https://pbs.twimg.com/media/FkqwFk1X0AA1I88.jpg")</f>
        <v>https://pbs.twimg.com/media/FkqwFk1X0AA1I88.jpg</v>
      </c>
      <c r="W845" s="76">
        <v>44958.917291666665</v>
      </c>
      <c r="X845" s="80">
        <v>44958</v>
      </c>
      <c r="Y845" s="78" t="s">
        <v>2940</v>
      </c>
      <c r="Z845" s="77" t="str">
        <f>HYPERLINK("https://twitter.com/93_babybatch/status/1620905054537682944")</f>
        <v>https://twitter.com/93_babybatch/status/1620905054537682944</v>
      </c>
      <c r="AC845" s="78" t="s">
        <v>4005</v>
      </c>
      <c r="AE845" t="b">
        <v>0</v>
      </c>
      <c r="AF845">
        <v>0</v>
      </c>
      <c r="AG845" s="78" t="s">
        <v>4640</v>
      </c>
      <c r="AH845" t="b">
        <v>0</v>
      </c>
      <c r="AI845" t="s">
        <v>4829</v>
      </c>
      <c r="AK845" s="78" t="s">
        <v>4640</v>
      </c>
      <c r="AL845" t="b">
        <v>0</v>
      </c>
      <c r="AM845">
        <v>15</v>
      </c>
      <c r="AN845" s="78" t="s">
        <v>4004</v>
      </c>
      <c r="AO845" s="78" t="s">
        <v>4849</v>
      </c>
      <c r="AP845" t="b">
        <v>0</v>
      </c>
      <c r="AQ845" s="78" t="s">
        <v>4004</v>
      </c>
      <c r="AR845" t="s">
        <v>179</v>
      </c>
      <c r="AS845">
        <v>0</v>
      </c>
      <c r="AT845">
        <v>0</v>
      </c>
    </row>
    <row r="846" spans="1:46" x14ac:dyDescent="0.45">
      <c r="A846" s="62" t="s">
        <v>723</v>
      </c>
      <c r="B846" s="62" t="s">
        <v>242</v>
      </c>
      <c r="C846" s="63"/>
      <c r="D846" s="64"/>
      <c r="E846" s="65"/>
      <c r="F846" s="66"/>
      <c r="G846" s="63"/>
      <c r="H846" s="67"/>
      <c r="I846" s="68"/>
      <c r="J846" s="68"/>
      <c r="K846" s="32"/>
      <c r="L846" s="75"/>
      <c r="M846" s="75"/>
      <c r="N846" s="70"/>
      <c r="O846" t="s">
        <v>1569</v>
      </c>
      <c r="P846" s="76">
        <v>44958.917291666665</v>
      </c>
      <c r="Q846" t="s">
        <v>1911</v>
      </c>
      <c r="R846" s="77" t="str">
        <f>HYPERLINK("https://youtu.be/j2AmHl5Lw6w?veh=brs&amp;adid=soc-twfeed_122322&amp;cn=FY23Brand_Entertainment&amp;linkId=100000173185963")</f>
        <v>https://youtu.be/j2AmHl5Lw6w?veh=brs&amp;adid=soc-twfeed_122322&amp;cn=FY23Brand_Entertainment&amp;linkId=100000173185963</v>
      </c>
      <c r="S846" t="s">
        <v>2283</v>
      </c>
      <c r="T846" s="78" t="s">
        <v>2367</v>
      </c>
      <c r="U846" s="77" t="str">
        <f>HYPERLINK("https://pbs.twimg.com/media/FkqwFk1X0AA1I88.jpg")</f>
        <v>https://pbs.twimg.com/media/FkqwFk1X0AA1I88.jpg</v>
      </c>
      <c r="V846" s="77" t="str">
        <f>HYPERLINK("https://pbs.twimg.com/media/FkqwFk1X0AA1I88.jpg")</f>
        <v>https://pbs.twimg.com/media/FkqwFk1X0AA1I88.jpg</v>
      </c>
      <c r="W846" s="76">
        <v>44958.917291666665</v>
      </c>
      <c r="X846" s="80">
        <v>44958</v>
      </c>
      <c r="Y846" s="78" t="s">
        <v>2940</v>
      </c>
      <c r="Z846" s="77" t="str">
        <f>HYPERLINK("https://twitter.com/93_babybatch/status/1620905054537682944")</f>
        <v>https://twitter.com/93_babybatch/status/1620905054537682944</v>
      </c>
      <c r="AC846" s="78" t="s">
        <v>4005</v>
      </c>
      <c r="AE846" t="b">
        <v>0</v>
      </c>
      <c r="AF846">
        <v>0</v>
      </c>
      <c r="AG846" s="78" t="s">
        <v>4640</v>
      </c>
      <c r="AH846" t="b">
        <v>0</v>
      </c>
      <c r="AI846" t="s">
        <v>4829</v>
      </c>
      <c r="AK846" s="78" t="s">
        <v>4640</v>
      </c>
      <c r="AL846" t="b">
        <v>0</v>
      </c>
      <c r="AM846">
        <v>15</v>
      </c>
      <c r="AN846" s="78" t="s">
        <v>4004</v>
      </c>
      <c r="AO846" s="78" t="s">
        <v>4849</v>
      </c>
      <c r="AP846" t="b">
        <v>0</v>
      </c>
      <c r="AQ846" s="78" t="s">
        <v>4004</v>
      </c>
      <c r="AR846" t="s">
        <v>179</v>
      </c>
      <c r="AS846">
        <v>0</v>
      </c>
      <c r="AT846">
        <v>0</v>
      </c>
    </row>
    <row r="847" spans="1:46" x14ac:dyDescent="0.45">
      <c r="A847" s="62" t="s">
        <v>541</v>
      </c>
      <c r="B847" s="62" t="s">
        <v>242</v>
      </c>
      <c r="C847" s="63"/>
      <c r="D847" s="64"/>
      <c r="E847" s="65"/>
      <c r="F847" s="66"/>
      <c r="G847" s="63"/>
      <c r="H847" s="67"/>
      <c r="I847" s="68"/>
      <c r="J847" s="68"/>
      <c r="K847" s="32"/>
      <c r="L847" s="75"/>
      <c r="M847" s="75"/>
      <c r="N847" s="70"/>
      <c r="O847" t="s">
        <v>1568</v>
      </c>
      <c r="P847" s="76">
        <v>44958.657407407409</v>
      </c>
      <c r="Q847" t="s">
        <v>1808</v>
      </c>
      <c r="R847" s="77" t="str">
        <f>HYPERLINK("https://youtu.be/OMyOfCcLIy8?utm_content=236625004&amp;utm_medium=social&amp;utm_source=twitter&amp;hss_channel=tw-807276911848226817")</f>
        <v>https://youtu.be/OMyOfCcLIy8?utm_content=236625004&amp;utm_medium=social&amp;utm_source=twitter&amp;hss_channel=tw-807276911848226817</v>
      </c>
      <c r="S847" t="s">
        <v>2283</v>
      </c>
      <c r="T847" s="78" t="s">
        <v>2348</v>
      </c>
      <c r="V847" s="77" t="str">
        <f>HYPERLINK("https://pbs.twimg.com/profile_images/955529571713069056/5Vc-Hc5P_normal.jpg")</f>
        <v>https://pbs.twimg.com/profile_images/955529571713069056/5Vc-Hc5P_normal.jpg</v>
      </c>
      <c r="W847" s="76">
        <v>44958.657407407409</v>
      </c>
      <c r="X847" s="80">
        <v>44958</v>
      </c>
      <c r="Y847" s="78" t="s">
        <v>2783</v>
      </c>
      <c r="Z847" s="77" t="str">
        <f>HYPERLINK("https://twitter.com/functionalflu/status/1620810876063289348")</f>
        <v>https://twitter.com/functionalflu/status/1620810876063289348</v>
      </c>
      <c r="AC847" s="78" t="s">
        <v>3802</v>
      </c>
      <c r="AE847" t="b">
        <v>0</v>
      </c>
      <c r="AF847">
        <v>1</v>
      </c>
      <c r="AG847" s="78" t="s">
        <v>4640</v>
      </c>
      <c r="AH847" t="b">
        <v>0</v>
      </c>
      <c r="AI847" t="s">
        <v>4829</v>
      </c>
      <c r="AK847" s="78" t="s">
        <v>4640</v>
      </c>
      <c r="AL847" t="b">
        <v>0</v>
      </c>
      <c r="AM847">
        <v>0</v>
      </c>
      <c r="AN847" s="78" t="s">
        <v>4640</v>
      </c>
      <c r="AO847" s="78" t="s">
        <v>4863</v>
      </c>
      <c r="AP847" t="b">
        <v>0</v>
      </c>
      <c r="AQ847" s="78" t="s">
        <v>3802</v>
      </c>
      <c r="AR847" t="s">
        <v>179</v>
      </c>
      <c r="AS847">
        <v>0</v>
      </c>
      <c r="AT847">
        <v>0</v>
      </c>
    </row>
    <row r="848" spans="1:46" x14ac:dyDescent="0.45">
      <c r="A848" s="62" t="s">
        <v>620</v>
      </c>
      <c r="B848" s="62" t="s">
        <v>1306</v>
      </c>
      <c r="C848" s="63"/>
      <c r="D848" s="64"/>
      <c r="E848" s="65"/>
      <c r="F848" s="66"/>
      <c r="G848" s="63"/>
      <c r="H848" s="67"/>
      <c r="I848" s="68"/>
      <c r="J848" s="68"/>
      <c r="K848" s="32"/>
      <c r="L848" s="75"/>
      <c r="M848" s="75"/>
      <c r="N848" s="70"/>
      <c r="O848" t="s">
        <v>1568</v>
      </c>
      <c r="P848" s="76">
        <v>44957.690694444442</v>
      </c>
      <c r="Q848" t="s">
        <v>1828</v>
      </c>
      <c r="R848" s="77" t="str">
        <f>HYPERLINK("https://www.youtube.com/watch?v=KCIE_1wdh_Q&amp;feature=youtu.be")</f>
        <v>https://www.youtube.com/watch?v=KCIE_1wdh_Q&amp;feature=youtu.be</v>
      </c>
      <c r="S848" t="s">
        <v>2286</v>
      </c>
      <c r="V848" s="77" t="str">
        <f>HYPERLINK("https://pbs.twimg.com/profile_images/1589950362097786882/JJhcOXHL_normal.jpg")</f>
        <v>https://pbs.twimg.com/profile_images/1589950362097786882/JJhcOXHL_normal.jpg</v>
      </c>
      <c r="W848" s="76">
        <v>44957.690694444442</v>
      </c>
      <c r="X848" s="80">
        <v>44957</v>
      </c>
      <c r="Y848" s="78" t="s">
        <v>2821</v>
      </c>
      <c r="Z848" s="77" t="str">
        <f>HYPERLINK("https://twitter.com/madonnalovedale/status/1620460548793204738")</f>
        <v>https://twitter.com/madonnalovedale/status/1620460548793204738</v>
      </c>
      <c r="AC848" s="78" t="s">
        <v>3884</v>
      </c>
      <c r="AE848" t="b">
        <v>0</v>
      </c>
      <c r="AF848">
        <v>0</v>
      </c>
      <c r="AG848" s="78" t="s">
        <v>4640</v>
      </c>
      <c r="AH848" t="b">
        <v>0</v>
      </c>
      <c r="AI848" t="s">
        <v>4829</v>
      </c>
      <c r="AK848" s="78" t="s">
        <v>4640</v>
      </c>
      <c r="AL848" t="b">
        <v>0</v>
      </c>
      <c r="AM848">
        <v>1</v>
      </c>
      <c r="AN848" s="78" t="s">
        <v>4640</v>
      </c>
      <c r="AO848" s="78" t="s">
        <v>4849</v>
      </c>
      <c r="AP848" t="b">
        <v>0</v>
      </c>
      <c r="AQ848" s="78" t="s">
        <v>3884</v>
      </c>
      <c r="AR848" t="s">
        <v>1569</v>
      </c>
      <c r="AS848">
        <v>0</v>
      </c>
      <c r="AT848">
        <v>0</v>
      </c>
    </row>
    <row r="849" spans="1:46" x14ac:dyDescent="0.45">
      <c r="A849" s="62" t="s">
        <v>621</v>
      </c>
      <c r="B849" s="62" t="s">
        <v>1306</v>
      </c>
      <c r="C849" s="63"/>
      <c r="D849" s="64"/>
      <c r="E849" s="65"/>
      <c r="F849" s="66"/>
      <c r="G849" s="63"/>
      <c r="H849" s="67"/>
      <c r="I849" s="68"/>
      <c r="J849" s="68"/>
      <c r="K849" s="32"/>
      <c r="L849" s="75"/>
      <c r="M849" s="75"/>
      <c r="N849" s="70"/>
      <c r="O849" t="s">
        <v>1570</v>
      </c>
      <c r="P849" s="76">
        <v>44958.824050925927</v>
      </c>
      <c r="Q849" t="s">
        <v>1828</v>
      </c>
      <c r="R849" s="77" t="str">
        <f>HYPERLINK("https://www.youtube.com/watch?v=KCIE_1wdh_Q&amp;feature=youtu.be")</f>
        <v>https://www.youtube.com/watch?v=KCIE_1wdh_Q&amp;feature=youtu.be</v>
      </c>
      <c r="S849" t="s">
        <v>2286</v>
      </c>
      <c r="V849" s="77" t="str">
        <f>HYPERLINK("https://pbs.twimg.com/profile_images/952558144227553280/_58oM5B8_normal.jpg")</f>
        <v>https://pbs.twimg.com/profile_images/952558144227553280/_58oM5B8_normal.jpg</v>
      </c>
      <c r="W849" s="76">
        <v>44958.824050925927</v>
      </c>
      <c r="X849" s="80">
        <v>44958</v>
      </c>
      <c r="Y849" s="78" t="s">
        <v>2822</v>
      </c>
      <c r="Z849" s="77" t="str">
        <f>HYPERLINK("https://twitter.com/aurorastarkey/status/1620871264025083904")</f>
        <v>https://twitter.com/aurorastarkey/status/1620871264025083904</v>
      </c>
      <c r="AC849" s="78" t="s">
        <v>3885</v>
      </c>
      <c r="AE849" t="b">
        <v>0</v>
      </c>
      <c r="AF849">
        <v>0</v>
      </c>
      <c r="AG849" s="78" t="s">
        <v>4640</v>
      </c>
      <c r="AH849" t="b">
        <v>0</v>
      </c>
      <c r="AI849" t="s">
        <v>4829</v>
      </c>
      <c r="AK849" s="78" t="s">
        <v>4640</v>
      </c>
      <c r="AL849" t="b">
        <v>0</v>
      </c>
      <c r="AM849">
        <v>1</v>
      </c>
      <c r="AN849" s="78" t="s">
        <v>3884</v>
      </c>
      <c r="AO849" s="78" t="s">
        <v>4851</v>
      </c>
      <c r="AP849" t="b">
        <v>0</v>
      </c>
      <c r="AQ849" s="78" t="s">
        <v>3884</v>
      </c>
      <c r="AR849" t="s">
        <v>179</v>
      </c>
      <c r="AS849">
        <v>0</v>
      </c>
      <c r="AT849">
        <v>0</v>
      </c>
    </row>
    <row r="850" spans="1:46" x14ac:dyDescent="0.45">
      <c r="A850" s="62" t="s">
        <v>620</v>
      </c>
      <c r="B850" s="62" t="s">
        <v>1307</v>
      </c>
      <c r="C850" s="63"/>
      <c r="D850" s="64"/>
      <c r="E850" s="65"/>
      <c r="F850" s="66"/>
      <c r="G850" s="63"/>
      <c r="H850" s="67"/>
      <c r="I850" s="68"/>
      <c r="J850" s="68"/>
      <c r="K850" s="32"/>
      <c r="L850" s="75"/>
      <c r="M850" s="75"/>
      <c r="N850" s="70"/>
      <c r="O850" t="s">
        <v>1568</v>
      </c>
      <c r="P850" s="76">
        <v>44957.690694444442</v>
      </c>
      <c r="Q850" t="s">
        <v>1828</v>
      </c>
      <c r="R850" s="77" t="str">
        <f>HYPERLINK("https://www.youtube.com/watch?v=KCIE_1wdh_Q&amp;feature=youtu.be")</f>
        <v>https://www.youtube.com/watch?v=KCIE_1wdh_Q&amp;feature=youtu.be</v>
      </c>
      <c r="S850" t="s">
        <v>2286</v>
      </c>
      <c r="V850" s="77" t="str">
        <f>HYPERLINK("https://pbs.twimg.com/profile_images/1589950362097786882/JJhcOXHL_normal.jpg")</f>
        <v>https://pbs.twimg.com/profile_images/1589950362097786882/JJhcOXHL_normal.jpg</v>
      </c>
      <c r="W850" s="76">
        <v>44957.690694444442</v>
      </c>
      <c r="X850" s="80">
        <v>44957</v>
      </c>
      <c r="Y850" s="78" t="s">
        <v>2821</v>
      </c>
      <c r="Z850" s="77" t="str">
        <f>HYPERLINK("https://twitter.com/madonnalovedale/status/1620460548793204738")</f>
        <v>https://twitter.com/madonnalovedale/status/1620460548793204738</v>
      </c>
      <c r="AC850" s="78" t="s">
        <v>3884</v>
      </c>
      <c r="AE850" t="b">
        <v>0</v>
      </c>
      <c r="AF850">
        <v>0</v>
      </c>
      <c r="AG850" s="78" t="s">
        <v>4640</v>
      </c>
      <c r="AH850" t="b">
        <v>0</v>
      </c>
      <c r="AI850" t="s">
        <v>4829</v>
      </c>
      <c r="AK850" s="78" t="s">
        <v>4640</v>
      </c>
      <c r="AL850" t="b">
        <v>0</v>
      </c>
      <c r="AM850">
        <v>1</v>
      </c>
      <c r="AN850" s="78" t="s">
        <v>4640</v>
      </c>
      <c r="AO850" s="78" t="s">
        <v>4849</v>
      </c>
      <c r="AP850" t="b">
        <v>0</v>
      </c>
      <c r="AQ850" s="78" t="s">
        <v>3884</v>
      </c>
      <c r="AR850" t="s">
        <v>1569</v>
      </c>
      <c r="AS850">
        <v>0</v>
      </c>
      <c r="AT850">
        <v>0</v>
      </c>
    </row>
    <row r="851" spans="1:46" x14ac:dyDescent="0.45">
      <c r="A851" s="62" t="s">
        <v>621</v>
      </c>
      <c r="B851" s="62" t="s">
        <v>1307</v>
      </c>
      <c r="C851" s="63"/>
      <c r="D851" s="64"/>
      <c r="E851" s="65"/>
      <c r="F851" s="66"/>
      <c r="G851" s="63"/>
      <c r="H851" s="67"/>
      <c r="I851" s="68"/>
      <c r="J851" s="68"/>
      <c r="K851" s="32"/>
      <c r="L851" s="75"/>
      <c r="M851" s="75"/>
      <c r="N851" s="70"/>
      <c r="O851" t="s">
        <v>1570</v>
      </c>
      <c r="P851" s="76">
        <v>44958.824050925927</v>
      </c>
      <c r="Q851" t="s">
        <v>1828</v>
      </c>
      <c r="R851" s="77" t="str">
        <f>HYPERLINK("https://www.youtube.com/watch?v=KCIE_1wdh_Q&amp;feature=youtu.be")</f>
        <v>https://www.youtube.com/watch?v=KCIE_1wdh_Q&amp;feature=youtu.be</v>
      </c>
      <c r="S851" t="s">
        <v>2286</v>
      </c>
      <c r="V851" s="77" t="str">
        <f>HYPERLINK("https://pbs.twimg.com/profile_images/952558144227553280/_58oM5B8_normal.jpg")</f>
        <v>https://pbs.twimg.com/profile_images/952558144227553280/_58oM5B8_normal.jpg</v>
      </c>
      <c r="W851" s="76">
        <v>44958.824050925927</v>
      </c>
      <c r="X851" s="80">
        <v>44958</v>
      </c>
      <c r="Y851" s="78" t="s">
        <v>2822</v>
      </c>
      <c r="Z851" s="77" t="str">
        <f>HYPERLINK("https://twitter.com/aurorastarkey/status/1620871264025083904")</f>
        <v>https://twitter.com/aurorastarkey/status/1620871264025083904</v>
      </c>
      <c r="AC851" s="78" t="s">
        <v>3885</v>
      </c>
      <c r="AE851" t="b">
        <v>0</v>
      </c>
      <c r="AF851">
        <v>0</v>
      </c>
      <c r="AG851" s="78" t="s">
        <v>4640</v>
      </c>
      <c r="AH851" t="b">
        <v>0</v>
      </c>
      <c r="AI851" t="s">
        <v>4829</v>
      </c>
      <c r="AK851" s="78" t="s">
        <v>4640</v>
      </c>
      <c r="AL851" t="b">
        <v>0</v>
      </c>
      <c r="AM851">
        <v>1</v>
      </c>
      <c r="AN851" s="78" t="s">
        <v>3884</v>
      </c>
      <c r="AO851" s="78" t="s">
        <v>4851</v>
      </c>
      <c r="AP851" t="b">
        <v>0</v>
      </c>
      <c r="AQ851" s="78" t="s">
        <v>3884</v>
      </c>
      <c r="AR851" t="s">
        <v>179</v>
      </c>
      <c r="AS851">
        <v>0</v>
      </c>
      <c r="AT851">
        <v>0</v>
      </c>
    </row>
    <row r="852" spans="1:46" x14ac:dyDescent="0.45">
      <c r="A852" s="62" t="s">
        <v>620</v>
      </c>
      <c r="B852" s="62" t="s">
        <v>1308</v>
      </c>
      <c r="C852" s="63"/>
      <c r="D852" s="64"/>
      <c r="E852" s="65"/>
      <c r="F852" s="66"/>
      <c r="G852" s="63"/>
      <c r="H852" s="67"/>
      <c r="I852" s="68"/>
      <c r="J852" s="68"/>
      <c r="K852" s="32"/>
      <c r="L852" s="75"/>
      <c r="M852" s="75"/>
      <c r="N852" s="70"/>
      <c r="O852" t="s">
        <v>1568</v>
      </c>
      <c r="P852" s="76">
        <v>44957.690694444442</v>
      </c>
      <c r="Q852" t="s">
        <v>1828</v>
      </c>
      <c r="R852" s="77" t="str">
        <f>HYPERLINK("https://www.youtube.com/watch?v=KCIE_1wdh_Q&amp;feature=youtu.be")</f>
        <v>https://www.youtube.com/watch?v=KCIE_1wdh_Q&amp;feature=youtu.be</v>
      </c>
      <c r="S852" t="s">
        <v>2286</v>
      </c>
      <c r="V852" s="77" t="str">
        <f>HYPERLINK("https://pbs.twimg.com/profile_images/1589950362097786882/JJhcOXHL_normal.jpg")</f>
        <v>https://pbs.twimg.com/profile_images/1589950362097786882/JJhcOXHL_normal.jpg</v>
      </c>
      <c r="W852" s="76">
        <v>44957.690694444442</v>
      </c>
      <c r="X852" s="80">
        <v>44957</v>
      </c>
      <c r="Y852" s="78" t="s">
        <v>2821</v>
      </c>
      <c r="Z852" s="77" t="str">
        <f>HYPERLINK("https://twitter.com/madonnalovedale/status/1620460548793204738")</f>
        <v>https://twitter.com/madonnalovedale/status/1620460548793204738</v>
      </c>
      <c r="AC852" s="78" t="s">
        <v>3884</v>
      </c>
      <c r="AE852" t="b">
        <v>0</v>
      </c>
      <c r="AF852">
        <v>0</v>
      </c>
      <c r="AG852" s="78" t="s">
        <v>4640</v>
      </c>
      <c r="AH852" t="b">
        <v>0</v>
      </c>
      <c r="AI852" t="s">
        <v>4829</v>
      </c>
      <c r="AK852" s="78" t="s">
        <v>4640</v>
      </c>
      <c r="AL852" t="b">
        <v>0</v>
      </c>
      <c r="AM852">
        <v>1</v>
      </c>
      <c r="AN852" s="78" t="s">
        <v>4640</v>
      </c>
      <c r="AO852" s="78" t="s">
        <v>4849</v>
      </c>
      <c r="AP852" t="b">
        <v>0</v>
      </c>
      <c r="AQ852" s="78" t="s">
        <v>3884</v>
      </c>
      <c r="AR852" t="s">
        <v>1569</v>
      </c>
      <c r="AS852">
        <v>0</v>
      </c>
      <c r="AT852">
        <v>0</v>
      </c>
    </row>
    <row r="853" spans="1:46" x14ac:dyDescent="0.45">
      <c r="A853" s="62" t="s">
        <v>621</v>
      </c>
      <c r="B853" s="62" t="s">
        <v>1308</v>
      </c>
      <c r="C853" s="63"/>
      <c r="D853" s="64"/>
      <c r="E853" s="65"/>
      <c r="F853" s="66"/>
      <c r="G853" s="63"/>
      <c r="H853" s="67"/>
      <c r="I853" s="68"/>
      <c r="J853" s="68"/>
      <c r="K853" s="32"/>
      <c r="L853" s="75"/>
      <c r="M853" s="75"/>
      <c r="N853" s="70"/>
      <c r="O853" t="s">
        <v>1570</v>
      </c>
      <c r="P853" s="76">
        <v>44958.824050925927</v>
      </c>
      <c r="Q853" t="s">
        <v>1828</v>
      </c>
      <c r="R853" s="77" t="str">
        <f>HYPERLINK("https://www.youtube.com/watch?v=KCIE_1wdh_Q&amp;feature=youtu.be")</f>
        <v>https://www.youtube.com/watch?v=KCIE_1wdh_Q&amp;feature=youtu.be</v>
      </c>
      <c r="S853" t="s">
        <v>2286</v>
      </c>
      <c r="V853" s="77" t="str">
        <f>HYPERLINK("https://pbs.twimg.com/profile_images/952558144227553280/_58oM5B8_normal.jpg")</f>
        <v>https://pbs.twimg.com/profile_images/952558144227553280/_58oM5B8_normal.jpg</v>
      </c>
      <c r="W853" s="76">
        <v>44958.824050925927</v>
      </c>
      <c r="X853" s="80">
        <v>44958</v>
      </c>
      <c r="Y853" s="78" t="s">
        <v>2822</v>
      </c>
      <c r="Z853" s="77" t="str">
        <f>HYPERLINK("https://twitter.com/aurorastarkey/status/1620871264025083904")</f>
        <v>https://twitter.com/aurorastarkey/status/1620871264025083904</v>
      </c>
      <c r="AC853" s="78" t="s">
        <v>3885</v>
      </c>
      <c r="AE853" t="b">
        <v>0</v>
      </c>
      <c r="AF853">
        <v>0</v>
      </c>
      <c r="AG853" s="78" t="s">
        <v>4640</v>
      </c>
      <c r="AH853" t="b">
        <v>0</v>
      </c>
      <c r="AI853" t="s">
        <v>4829</v>
      </c>
      <c r="AK853" s="78" t="s">
        <v>4640</v>
      </c>
      <c r="AL853" t="b">
        <v>0</v>
      </c>
      <c r="AM853">
        <v>1</v>
      </c>
      <c r="AN853" s="78" t="s">
        <v>3884</v>
      </c>
      <c r="AO853" s="78" t="s">
        <v>4851</v>
      </c>
      <c r="AP853" t="b">
        <v>0</v>
      </c>
      <c r="AQ853" s="78" t="s">
        <v>3884</v>
      </c>
      <c r="AR853" t="s">
        <v>179</v>
      </c>
      <c r="AS853">
        <v>0</v>
      </c>
      <c r="AT853">
        <v>0</v>
      </c>
    </row>
    <row r="854" spans="1:46" x14ac:dyDescent="0.45">
      <c r="A854" s="62" t="s">
        <v>620</v>
      </c>
      <c r="B854" s="62" t="s">
        <v>1309</v>
      </c>
      <c r="C854" s="63"/>
      <c r="D854" s="64"/>
      <c r="E854" s="65"/>
      <c r="F854" s="66"/>
      <c r="G854" s="63"/>
      <c r="H854" s="67"/>
      <c r="I854" s="68"/>
      <c r="J854" s="68"/>
      <c r="K854" s="32"/>
      <c r="L854" s="75"/>
      <c r="M854" s="75"/>
      <c r="N854" s="70"/>
      <c r="O854" t="s">
        <v>1568</v>
      </c>
      <c r="P854" s="76">
        <v>44957.690694444442</v>
      </c>
      <c r="Q854" t="s">
        <v>1828</v>
      </c>
      <c r="R854" s="77" t="str">
        <f>HYPERLINK("https://www.youtube.com/watch?v=KCIE_1wdh_Q&amp;feature=youtu.be")</f>
        <v>https://www.youtube.com/watch?v=KCIE_1wdh_Q&amp;feature=youtu.be</v>
      </c>
      <c r="S854" t="s">
        <v>2286</v>
      </c>
      <c r="V854" s="77" t="str">
        <f>HYPERLINK("https://pbs.twimg.com/profile_images/1589950362097786882/JJhcOXHL_normal.jpg")</f>
        <v>https://pbs.twimg.com/profile_images/1589950362097786882/JJhcOXHL_normal.jpg</v>
      </c>
      <c r="W854" s="76">
        <v>44957.690694444442</v>
      </c>
      <c r="X854" s="80">
        <v>44957</v>
      </c>
      <c r="Y854" s="78" t="s">
        <v>2821</v>
      </c>
      <c r="Z854" s="77" t="str">
        <f>HYPERLINK("https://twitter.com/madonnalovedale/status/1620460548793204738")</f>
        <v>https://twitter.com/madonnalovedale/status/1620460548793204738</v>
      </c>
      <c r="AC854" s="78" t="s">
        <v>3884</v>
      </c>
      <c r="AE854" t="b">
        <v>0</v>
      </c>
      <c r="AF854">
        <v>0</v>
      </c>
      <c r="AG854" s="78" t="s">
        <v>4640</v>
      </c>
      <c r="AH854" t="b">
        <v>0</v>
      </c>
      <c r="AI854" t="s">
        <v>4829</v>
      </c>
      <c r="AK854" s="78" t="s">
        <v>4640</v>
      </c>
      <c r="AL854" t="b">
        <v>0</v>
      </c>
      <c r="AM854">
        <v>1</v>
      </c>
      <c r="AN854" s="78" t="s">
        <v>4640</v>
      </c>
      <c r="AO854" s="78" t="s">
        <v>4849</v>
      </c>
      <c r="AP854" t="b">
        <v>0</v>
      </c>
      <c r="AQ854" s="78" t="s">
        <v>3884</v>
      </c>
      <c r="AR854" t="s">
        <v>1569</v>
      </c>
      <c r="AS854">
        <v>0</v>
      </c>
      <c r="AT854">
        <v>0</v>
      </c>
    </row>
    <row r="855" spans="1:46" x14ac:dyDescent="0.45">
      <c r="A855" s="62" t="s">
        <v>621</v>
      </c>
      <c r="B855" s="62" t="s">
        <v>1309</v>
      </c>
      <c r="C855" s="63"/>
      <c r="D855" s="64"/>
      <c r="E855" s="65"/>
      <c r="F855" s="66"/>
      <c r="G855" s="63"/>
      <c r="H855" s="67"/>
      <c r="I855" s="68"/>
      <c r="J855" s="68"/>
      <c r="K855" s="32"/>
      <c r="L855" s="75"/>
      <c r="M855" s="75"/>
      <c r="N855" s="70"/>
      <c r="O855" t="s">
        <v>1570</v>
      </c>
      <c r="P855" s="76">
        <v>44958.824050925927</v>
      </c>
      <c r="Q855" t="s">
        <v>1828</v>
      </c>
      <c r="R855" s="77" t="str">
        <f>HYPERLINK("https://www.youtube.com/watch?v=KCIE_1wdh_Q&amp;feature=youtu.be")</f>
        <v>https://www.youtube.com/watch?v=KCIE_1wdh_Q&amp;feature=youtu.be</v>
      </c>
      <c r="S855" t="s">
        <v>2286</v>
      </c>
      <c r="V855" s="77" t="str">
        <f>HYPERLINK("https://pbs.twimg.com/profile_images/952558144227553280/_58oM5B8_normal.jpg")</f>
        <v>https://pbs.twimg.com/profile_images/952558144227553280/_58oM5B8_normal.jpg</v>
      </c>
      <c r="W855" s="76">
        <v>44958.824050925927</v>
      </c>
      <c r="X855" s="80">
        <v>44958</v>
      </c>
      <c r="Y855" s="78" t="s">
        <v>2822</v>
      </c>
      <c r="Z855" s="77" t="str">
        <f>HYPERLINK("https://twitter.com/aurorastarkey/status/1620871264025083904")</f>
        <v>https://twitter.com/aurorastarkey/status/1620871264025083904</v>
      </c>
      <c r="AC855" s="78" t="s">
        <v>3885</v>
      </c>
      <c r="AE855" t="b">
        <v>0</v>
      </c>
      <c r="AF855">
        <v>0</v>
      </c>
      <c r="AG855" s="78" t="s">
        <v>4640</v>
      </c>
      <c r="AH855" t="b">
        <v>0</v>
      </c>
      <c r="AI855" t="s">
        <v>4829</v>
      </c>
      <c r="AK855" s="78" t="s">
        <v>4640</v>
      </c>
      <c r="AL855" t="b">
        <v>0</v>
      </c>
      <c r="AM855">
        <v>1</v>
      </c>
      <c r="AN855" s="78" t="s">
        <v>3884</v>
      </c>
      <c r="AO855" s="78" t="s">
        <v>4851</v>
      </c>
      <c r="AP855" t="b">
        <v>0</v>
      </c>
      <c r="AQ855" s="78" t="s">
        <v>3884</v>
      </c>
      <c r="AR855" t="s">
        <v>179</v>
      </c>
      <c r="AS855">
        <v>0</v>
      </c>
      <c r="AT855">
        <v>0</v>
      </c>
    </row>
    <row r="856" spans="1:46" x14ac:dyDescent="0.45">
      <c r="A856" s="62" t="s">
        <v>620</v>
      </c>
      <c r="B856" s="62" t="s">
        <v>1310</v>
      </c>
      <c r="C856" s="63"/>
      <c r="D856" s="64"/>
      <c r="E856" s="65"/>
      <c r="F856" s="66"/>
      <c r="G856" s="63"/>
      <c r="H856" s="67"/>
      <c r="I856" s="68"/>
      <c r="J856" s="68"/>
      <c r="K856" s="32"/>
      <c r="L856" s="75"/>
      <c r="M856" s="75"/>
      <c r="N856" s="70"/>
      <c r="O856" t="s">
        <v>1568</v>
      </c>
      <c r="P856" s="76">
        <v>44957.690694444442</v>
      </c>
      <c r="Q856" t="s">
        <v>1828</v>
      </c>
      <c r="R856" s="77" t="str">
        <f>HYPERLINK("https://www.youtube.com/watch?v=KCIE_1wdh_Q&amp;feature=youtu.be")</f>
        <v>https://www.youtube.com/watch?v=KCIE_1wdh_Q&amp;feature=youtu.be</v>
      </c>
      <c r="S856" t="s">
        <v>2286</v>
      </c>
      <c r="V856" s="77" t="str">
        <f>HYPERLINK("https://pbs.twimg.com/profile_images/1589950362097786882/JJhcOXHL_normal.jpg")</f>
        <v>https://pbs.twimg.com/profile_images/1589950362097786882/JJhcOXHL_normal.jpg</v>
      </c>
      <c r="W856" s="76">
        <v>44957.690694444442</v>
      </c>
      <c r="X856" s="80">
        <v>44957</v>
      </c>
      <c r="Y856" s="78" t="s">
        <v>2821</v>
      </c>
      <c r="Z856" s="77" t="str">
        <f>HYPERLINK("https://twitter.com/madonnalovedale/status/1620460548793204738")</f>
        <v>https://twitter.com/madonnalovedale/status/1620460548793204738</v>
      </c>
      <c r="AC856" s="78" t="s">
        <v>3884</v>
      </c>
      <c r="AE856" t="b">
        <v>0</v>
      </c>
      <c r="AF856">
        <v>0</v>
      </c>
      <c r="AG856" s="78" t="s">
        <v>4640</v>
      </c>
      <c r="AH856" t="b">
        <v>0</v>
      </c>
      <c r="AI856" t="s">
        <v>4829</v>
      </c>
      <c r="AK856" s="78" t="s">
        <v>4640</v>
      </c>
      <c r="AL856" t="b">
        <v>0</v>
      </c>
      <c r="AM856">
        <v>1</v>
      </c>
      <c r="AN856" s="78" t="s">
        <v>4640</v>
      </c>
      <c r="AO856" s="78" t="s">
        <v>4849</v>
      </c>
      <c r="AP856" t="b">
        <v>0</v>
      </c>
      <c r="AQ856" s="78" t="s">
        <v>3884</v>
      </c>
      <c r="AR856" t="s">
        <v>1569</v>
      </c>
      <c r="AS856">
        <v>0</v>
      </c>
      <c r="AT856">
        <v>0</v>
      </c>
    </row>
    <row r="857" spans="1:46" x14ac:dyDescent="0.45">
      <c r="A857" s="62" t="s">
        <v>621</v>
      </c>
      <c r="B857" s="62" t="s">
        <v>1310</v>
      </c>
      <c r="C857" s="63"/>
      <c r="D857" s="64"/>
      <c r="E857" s="65"/>
      <c r="F857" s="66"/>
      <c r="G857" s="63"/>
      <c r="H857" s="67"/>
      <c r="I857" s="68"/>
      <c r="J857" s="68"/>
      <c r="K857" s="32"/>
      <c r="L857" s="75"/>
      <c r="M857" s="75"/>
      <c r="N857" s="70"/>
      <c r="O857" t="s">
        <v>1570</v>
      </c>
      <c r="P857" s="76">
        <v>44958.824050925927</v>
      </c>
      <c r="Q857" t="s">
        <v>1828</v>
      </c>
      <c r="R857" s="77" t="str">
        <f>HYPERLINK("https://www.youtube.com/watch?v=KCIE_1wdh_Q&amp;feature=youtu.be")</f>
        <v>https://www.youtube.com/watch?v=KCIE_1wdh_Q&amp;feature=youtu.be</v>
      </c>
      <c r="S857" t="s">
        <v>2286</v>
      </c>
      <c r="V857" s="77" t="str">
        <f>HYPERLINK("https://pbs.twimg.com/profile_images/952558144227553280/_58oM5B8_normal.jpg")</f>
        <v>https://pbs.twimg.com/profile_images/952558144227553280/_58oM5B8_normal.jpg</v>
      </c>
      <c r="W857" s="76">
        <v>44958.824050925927</v>
      </c>
      <c r="X857" s="80">
        <v>44958</v>
      </c>
      <c r="Y857" s="78" t="s">
        <v>2822</v>
      </c>
      <c r="Z857" s="77" t="str">
        <f>HYPERLINK("https://twitter.com/aurorastarkey/status/1620871264025083904")</f>
        <v>https://twitter.com/aurorastarkey/status/1620871264025083904</v>
      </c>
      <c r="AC857" s="78" t="s">
        <v>3885</v>
      </c>
      <c r="AE857" t="b">
        <v>0</v>
      </c>
      <c r="AF857">
        <v>0</v>
      </c>
      <c r="AG857" s="78" t="s">
        <v>4640</v>
      </c>
      <c r="AH857" t="b">
        <v>0</v>
      </c>
      <c r="AI857" t="s">
        <v>4829</v>
      </c>
      <c r="AK857" s="78" t="s">
        <v>4640</v>
      </c>
      <c r="AL857" t="b">
        <v>0</v>
      </c>
      <c r="AM857">
        <v>1</v>
      </c>
      <c r="AN857" s="78" t="s">
        <v>3884</v>
      </c>
      <c r="AO857" s="78" t="s">
        <v>4851</v>
      </c>
      <c r="AP857" t="b">
        <v>0</v>
      </c>
      <c r="AQ857" s="78" t="s">
        <v>3884</v>
      </c>
      <c r="AR857" t="s">
        <v>179</v>
      </c>
      <c r="AS857">
        <v>0</v>
      </c>
      <c r="AT857">
        <v>0</v>
      </c>
    </row>
    <row r="858" spans="1:46" x14ac:dyDescent="0.45">
      <c r="A858" s="62" t="s">
        <v>620</v>
      </c>
      <c r="B858" s="62" t="s">
        <v>1311</v>
      </c>
      <c r="C858" s="63"/>
      <c r="D858" s="64"/>
      <c r="E858" s="65"/>
      <c r="F858" s="66"/>
      <c r="G858" s="63"/>
      <c r="H858" s="67"/>
      <c r="I858" s="68"/>
      <c r="J858" s="68"/>
      <c r="K858" s="32"/>
      <c r="L858" s="75"/>
      <c r="M858" s="75"/>
      <c r="N858" s="70"/>
      <c r="O858" t="s">
        <v>1568</v>
      </c>
      <c r="P858" s="76">
        <v>44957.690694444442</v>
      </c>
      <c r="Q858" t="s">
        <v>1828</v>
      </c>
      <c r="R858" s="77" t="str">
        <f>HYPERLINK("https://www.youtube.com/watch?v=KCIE_1wdh_Q&amp;feature=youtu.be")</f>
        <v>https://www.youtube.com/watch?v=KCIE_1wdh_Q&amp;feature=youtu.be</v>
      </c>
      <c r="S858" t="s">
        <v>2286</v>
      </c>
      <c r="V858" s="77" t="str">
        <f>HYPERLINK("https://pbs.twimg.com/profile_images/1589950362097786882/JJhcOXHL_normal.jpg")</f>
        <v>https://pbs.twimg.com/profile_images/1589950362097786882/JJhcOXHL_normal.jpg</v>
      </c>
      <c r="W858" s="76">
        <v>44957.690694444442</v>
      </c>
      <c r="X858" s="80">
        <v>44957</v>
      </c>
      <c r="Y858" s="78" t="s">
        <v>2821</v>
      </c>
      <c r="Z858" s="77" t="str">
        <f>HYPERLINK("https://twitter.com/madonnalovedale/status/1620460548793204738")</f>
        <v>https://twitter.com/madonnalovedale/status/1620460548793204738</v>
      </c>
      <c r="AC858" s="78" t="s">
        <v>3884</v>
      </c>
      <c r="AE858" t="b">
        <v>0</v>
      </c>
      <c r="AF858">
        <v>0</v>
      </c>
      <c r="AG858" s="78" t="s">
        <v>4640</v>
      </c>
      <c r="AH858" t="b">
        <v>0</v>
      </c>
      <c r="AI858" t="s">
        <v>4829</v>
      </c>
      <c r="AK858" s="78" t="s">
        <v>4640</v>
      </c>
      <c r="AL858" t="b">
        <v>0</v>
      </c>
      <c r="AM858">
        <v>1</v>
      </c>
      <c r="AN858" s="78" t="s">
        <v>4640</v>
      </c>
      <c r="AO858" s="78" t="s">
        <v>4849</v>
      </c>
      <c r="AP858" t="b">
        <v>0</v>
      </c>
      <c r="AQ858" s="78" t="s">
        <v>3884</v>
      </c>
      <c r="AR858" t="s">
        <v>1569</v>
      </c>
      <c r="AS858">
        <v>0</v>
      </c>
      <c r="AT858">
        <v>0</v>
      </c>
    </row>
    <row r="859" spans="1:46" x14ac:dyDescent="0.45">
      <c r="A859" s="62" t="s">
        <v>621</v>
      </c>
      <c r="B859" s="62" t="s">
        <v>1311</v>
      </c>
      <c r="C859" s="63"/>
      <c r="D859" s="64"/>
      <c r="E859" s="65"/>
      <c r="F859" s="66"/>
      <c r="G859" s="63"/>
      <c r="H859" s="67"/>
      <c r="I859" s="68"/>
      <c r="J859" s="68"/>
      <c r="K859" s="32"/>
      <c r="L859" s="75"/>
      <c r="M859" s="75"/>
      <c r="N859" s="70"/>
      <c r="O859" t="s">
        <v>1570</v>
      </c>
      <c r="P859" s="76">
        <v>44958.824050925927</v>
      </c>
      <c r="Q859" t="s">
        <v>1828</v>
      </c>
      <c r="R859" s="77" t="str">
        <f>HYPERLINK("https://www.youtube.com/watch?v=KCIE_1wdh_Q&amp;feature=youtu.be")</f>
        <v>https://www.youtube.com/watch?v=KCIE_1wdh_Q&amp;feature=youtu.be</v>
      </c>
      <c r="S859" t="s">
        <v>2286</v>
      </c>
      <c r="V859" s="77" t="str">
        <f>HYPERLINK("https://pbs.twimg.com/profile_images/952558144227553280/_58oM5B8_normal.jpg")</f>
        <v>https://pbs.twimg.com/profile_images/952558144227553280/_58oM5B8_normal.jpg</v>
      </c>
      <c r="W859" s="76">
        <v>44958.824050925927</v>
      </c>
      <c r="X859" s="80">
        <v>44958</v>
      </c>
      <c r="Y859" s="78" t="s">
        <v>2822</v>
      </c>
      <c r="Z859" s="77" t="str">
        <f>HYPERLINK("https://twitter.com/aurorastarkey/status/1620871264025083904")</f>
        <v>https://twitter.com/aurorastarkey/status/1620871264025083904</v>
      </c>
      <c r="AC859" s="78" t="s">
        <v>3885</v>
      </c>
      <c r="AE859" t="b">
        <v>0</v>
      </c>
      <c r="AF859">
        <v>0</v>
      </c>
      <c r="AG859" s="78" t="s">
        <v>4640</v>
      </c>
      <c r="AH859" t="b">
        <v>0</v>
      </c>
      <c r="AI859" t="s">
        <v>4829</v>
      </c>
      <c r="AK859" s="78" t="s">
        <v>4640</v>
      </c>
      <c r="AL859" t="b">
        <v>0</v>
      </c>
      <c r="AM859">
        <v>1</v>
      </c>
      <c r="AN859" s="78" t="s">
        <v>3884</v>
      </c>
      <c r="AO859" s="78" t="s">
        <v>4851</v>
      </c>
      <c r="AP859" t="b">
        <v>0</v>
      </c>
      <c r="AQ859" s="78" t="s">
        <v>3884</v>
      </c>
      <c r="AR859" t="s">
        <v>179</v>
      </c>
      <c r="AS859">
        <v>0</v>
      </c>
      <c r="AT859">
        <v>0</v>
      </c>
    </row>
    <row r="860" spans="1:46" x14ac:dyDescent="0.45">
      <c r="A860" s="62" t="s">
        <v>620</v>
      </c>
      <c r="B860" s="62" t="s">
        <v>242</v>
      </c>
      <c r="C860" s="63"/>
      <c r="D860" s="64"/>
      <c r="E860" s="65"/>
      <c r="F860" s="66"/>
      <c r="G860" s="63"/>
      <c r="H860" s="67"/>
      <c r="I860" s="68"/>
      <c r="J860" s="68"/>
      <c r="K860" s="32"/>
      <c r="L860" s="75"/>
      <c r="M860" s="75"/>
      <c r="N860" s="70"/>
      <c r="O860" t="s">
        <v>1568</v>
      </c>
      <c r="P860" s="76">
        <v>44957.690694444442</v>
      </c>
      <c r="Q860" t="s">
        <v>1828</v>
      </c>
      <c r="R860" s="77" t="str">
        <f>HYPERLINK("https://www.youtube.com/watch?v=KCIE_1wdh_Q&amp;feature=youtu.be")</f>
        <v>https://www.youtube.com/watch?v=KCIE_1wdh_Q&amp;feature=youtu.be</v>
      </c>
      <c r="S860" t="s">
        <v>2286</v>
      </c>
      <c r="V860" s="77" t="str">
        <f>HYPERLINK("https://pbs.twimg.com/profile_images/1589950362097786882/JJhcOXHL_normal.jpg")</f>
        <v>https://pbs.twimg.com/profile_images/1589950362097786882/JJhcOXHL_normal.jpg</v>
      </c>
      <c r="W860" s="76">
        <v>44957.690694444442</v>
      </c>
      <c r="X860" s="80">
        <v>44957</v>
      </c>
      <c r="Y860" s="78" t="s">
        <v>2821</v>
      </c>
      <c r="Z860" s="77" t="str">
        <f>HYPERLINK("https://twitter.com/madonnalovedale/status/1620460548793204738")</f>
        <v>https://twitter.com/madonnalovedale/status/1620460548793204738</v>
      </c>
      <c r="AC860" s="78" t="s">
        <v>3884</v>
      </c>
      <c r="AE860" t="b">
        <v>0</v>
      </c>
      <c r="AF860">
        <v>0</v>
      </c>
      <c r="AG860" s="78" t="s">
        <v>4640</v>
      </c>
      <c r="AH860" t="b">
        <v>0</v>
      </c>
      <c r="AI860" t="s">
        <v>4829</v>
      </c>
      <c r="AK860" s="78" t="s">
        <v>4640</v>
      </c>
      <c r="AL860" t="b">
        <v>0</v>
      </c>
      <c r="AM860">
        <v>1</v>
      </c>
      <c r="AN860" s="78" t="s">
        <v>4640</v>
      </c>
      <c r="AO860" s="78" t="s">
        <v>4849</v>
      </c>
      <c r="AP860" t="b">
        <v>0</v>
      </c>
      <c r="AQ860" s="78" t="s">
        <v>3884</v>
      </c>
      <c r="AR860" t="s">
        <v>1569</v>
      </c>
      <c r="AS860">
        <v>0</v>
      </c>
      <c r="AT860">
        <v>0</v>
      </c>
    </row>
    <row r="861" spans="1:46" x14ac:dyDescent="0.45">
      <c r="A861" s="62" t="s">
        <v>621</v>
      </c>
      <c r="B861" s="62" t="s">
        <v>620</v>
      </c>
      <c r="C861" s="63"/>
      <c r="D861" s="64"/>
      <c r="E861" s="65"/>
      <c r="F861" s="66"/>
      <c r="G861" s="63"/>
      <c r="H861" s="67"/>
      <c r="I861" s="68"/>
      <c r="J861" s="68"/>
      <c r="K861" s="32"/>
      <c r="L861" s="75"/>
      <c r="M861" s="75"/>
      <c r="N861" s="70"/>
      <c r="O861" t="s">
        <v>1569</v>
      </c>
      <c r="P861" s="76">
        <v>44958.824050925927</v>
      </c>
      <c r="Q861" t="s">
        <v>1828</v>
      </c>
      <c r="R861" s="77" t="str">
        <f>HYPERLINK("https://www.youtube.com/watch?v=KCIE_1wdh_Q&amp;feature=youtu.be")</f>
        <v>https://www.youtube.com/watch?v=KCIE_1wdh_Q&amp;feature=youtu.be</v>
      </c>
      <c r="S861" t="s">
        <v>2286</v>
      </c>
      <c r="V861" s="77" t="str">
        <f>HYPERLINK("https://pbs.twimg.com/profile_images/952558144227553280/_58oM5B8_normal.jpg")</f>
        <v>https://pbs.twimg.com/profile_images/952558144227553280/_58oM5B8_normal.jpg</v>
      </c>
      <c r="W861" s="76">
        <v>44958.824050925927</v>
      </c>
      <c r="X861" s="80">
        <v>44958</v>
      </c>
      <c r="Y861" s="78" t="s">
        <v>2822</v>
      </c>
      <c r="Z861" s="77" t="str">
        <f>HYPERLINK("https://twitter.com/aurorastarkey/status/1620871264025083904")</f>
        <v>https://twitter.com/aurorastarkey/status/1620871264025083904</v>
      </c>
      <c r="AC861" s="78" t="s">
        <v>3885</v>
      </c>
      <c r="AE861" t="b">
        <v>0</v>
      </c>
      <c r="AF861">
        <v>0</v>
      </c>
      <c r="AG861" s="78" t="s">
        <v>4640</v>
      </c>
      <c r="AH861" t="b">
        <v>0</v>
      </c>
      <c r="AI861" t="s">
        <v>4829</v>
      </c>
      <c r="AK861" s="78" t="s">
        <v>4640</v>
      </c>
      <c r="AL861" t="b">
        <v>0</v>
      </c>
      <c r="AM861">
        <v>1</v>
      </c>
      <c r="AN861" s="78" t="s">
        <v>3884</v>
      </c>
      <c r="AO861" s="78" t="s">
        <v>4851</v>
      </c>
      <c r="AP861" t="b">
        <v>0</v>
      </c>
      <c r="AQ861" s="78" t="s">
        <v>3884</v>
      </c>
      <c r="AR861" t="s">
        <v>179</v>
      </c>
      <c r="AS861">
        <v>0</v>
      </c>
      <c r="AT861">
        <v>0</v>
      </c>
    </row>
    <row r="862" spans="1:46" x14ac:dyDescent="0.45">
      <c r="A862" s="62" t="s">
        <v>621</v>
      </c>
      <c r="B862" s="62" t="s">
        <v>242</v>
      </c>
      <c r="C862" s="63"/>
      <c r="D862" s="64"/>
      <c r="E862" s="65"/>
      <c r="F862" s="66"/>
      <c r="G862" s="63"/>
      <c r="H862" s="67"/>
      <c r="I862" s="68"/>
      <c r="J862" s="68"/>
      <c r="K862" s="32"/>
      <c r="L862" s="75"/>
      <c r="M862" s="75"/>
      <c r="N862" s="70"/>
      <c r="O862" t="s">
        <v>1570</v>
      </c>
      <c r="P862" s="76">
        <v>44958.824050925927</v>
      </c>
      <c r="Q862" t="s">
        <v>1828</v>
      </c>
      <c r="R862" s="77" t="str">
        <f>HYPERLINK("https://www.youtube.com/watch?v=KCIE_1wdh_Q&amp;feature=youtu.be")</f>
        <v>https://www.youtube.com/watch?v=KCIE_1wdh_Q&amp;feature=youtu.be</v>
      </c>
      <c r="S862" t="s">
        <v>2286</v>
      </c>
      <c r="V862" s="77" t="str">
        <f>HYPERLINK("https://pbs.twimg.com/profile_images/952558144227553280/_58oM5B8_normal.jpg")</f>
        <v>https://pbs.twimg.com/profile_images/952558144227553280/_58oM5B8_normal.jpg</v>
      </c>
      <c r="W862" s="76">
        <v>44958.824050925927</v>
      </c>
      <c r="X862" s="80">
        <v>44958</v>
      </c>
      <c r="Y862" s="78" t="s">
        <v>2822</v>
      </c>
      <c r="Z862" s="77" t="str">
        <f>HYPERLINK("https://twitter.com/aurorastarkey/status/1620871264025083904")</f>
        <v>https://twitter.com/aurorastarkey/status/1620871264025083904</v>
      </c>
      <c r="AC862" s="78" t="s">
        <v>3885</v>
      </c>
      <c r="AE862" t="b">
        <v>0</v>
      </c>
      <c r="AF862">
        <v>0</v>
      </c>
      <c r="AG862" s="78" t="s">
        <v>4640</v>
      </c>
      <c r="AH862" t="b">
        <v>0</v>
      </c>
      <c r="AI862" t="s">
        <v>4829</v>
      </c>
      <c r="AK862" s="78" t="s">
        <v>4640</v>
      </c>
      <c r="AL862" t="b">
        <v>0</v>
      </c>
      <c r="AM862">
        <v>1</v>
      </c>
      <c r="AN862" s="78" t="s">
        <v>3884</v>
      </c>
      <c r="AO862" s="78" t="s">
        <v>4851</v>
      </c>
      <c r="AP862" t="b">
        <v>0</v>
      </c>
      <c r="AQ862" s="78" t="s">
        <v>3884</v>
      </c>
      <c r="AR862" t="s">
        <v>179</v>
      </c>
      <c r="AS862">
        <v>0</v>
      </c>
      <c r="AT862">
        <v>0</v>
      </c>
    </row>
    <row r="863" spans="1:46" x14ac:dyDescent="0.45">
      <c r="A863" s="62" t="s">
        <v>879</v>
      </c>
      <c r="B863" s="62" t="s">
        <v>1410</v>
      </c>
      <c r="C863" s="63"/>
      <c r="D863" s="64"/>
      <c r="E863" s="65"/>
      <c r="F863" s="66"/>
      <c r="G863" s="63"/>
      <c r="H863" s="67"/>
      <c r="I863" s="68"/>
      <c r="J863" s="68"/>
      <c r="K863" s="32"/>
      <c r="L863" s="75"/>
      <c r="M863" s="75"/>
      <c r="N863" s="70"/>
      <c r="O863" t="s">
        <v>1568</v>
      </c>
      <c r="P863" s="76">
        <v>44959.062824074077</v>
      </c>
      <c r="Q863" t="s">
        <v>2047</v>
      </c>
      <c r="T863" s="78" t="s">
        <v>2389</v>
      </c>
      <c r="V863" s="77" t="str">
        <f>HYPERLINK("https://pbs.twimg.com/profile_images/1618782324006477825/6WydtEfy_normal.jpg")</f>
        <v>https://pbs.twimg.com/profile_images/1618782324006477825/6WydtEfy_normal.jpg</v>
      </c>
      <c r="W863" s="76">
        <v>44959.062824074077</v>
      </c>
      <c r="X863" s="80">
        <v>44959</v>
      </c>
      <c r="Y863" s="78" t="s">
        <v>3140</v>
      </c>
      <c r="Z863" s="77" t="str">
        <f>HYPERLINK("https://twitter.com/bettafold/status/1620957793124773888")</f>
        <v>https://twitter.com/bettafold/status/1620957793124773888</v>
      </c>
      <c r="AC863" s="78" t="s">
        <v>4205</v>
      </c>
      <c r="AE863" t="b">
        <v>0</v>
      </c>
      <c r="AF863">
        <v>0</v>
      </c>
      <c r="AG863" s="78" t="s">
        <v>4639</v>
      </c>
      <c r="AH863" t="b">
        <v>0</v>
      </c>
      <c r="AI863" t="s">
        <v>4829</v>
      </c>
      <c r="AK863" s="78" t="s">
        <v>4640</v>
      </c>
      <c r="AL863" t="b">
        <v>0</v>
      </c>
      <c r="AM863">
        <v>0</v>
      </c>
      <c r="AN863" s="78" t="s">
        <v>4640</v>
      </c>
      <c r="AO863" s="78" t="s">
        <v>4851</v>
      </c>
      <c r="AP863" t="b">
        <v>0</v>
      </c>
      <c r="AQ863" s="78" t="s">
        <v>4205</v>
      </c>
      <c r="AR863" t="s">
        <v>179</v>
      </c>
      <c r="AS863">
        <v>0</v>
      </c>
      <c r="AT863">
        <v>0</v>
      </c>
    </row>
    <row r="864" spans="1:46" x14ac:dyDescent="0.45">
      <c r="A864" s="62" t="s">
        <v>879</v>
      </c>
      <c r="B864" s="62" t="s">
        <v>1200</v>
      </c>
      <c r="C864" s="63"/>
      <c r="D864" s="64"/>
      <c r="E864" s="65"/>
      <c r="F864" s="66"/>
      <c r="G864" s="63"/>
      <c r="H864" s="67"/>
      <c r="I864" s="68"/>
      <c r="J864" s="68"/>
      <c r="K864" s="32"/>
      <c r="L864" s="75"/>
      <c r="M864" s="75"/>
      <c r="N864" s="70"/>
      <c r="O864" t="s">
        <v>1568</v>
      </c>
      <c r="P864" s="76">
        <v>44959.062824074077</v>
      </c>
      <c r="Q864" t="s">
        <v>2047</v>
      </c>
      <c r="T864" s="78" t="s">
        <v>2389</v>
      </c>
      <c r="V864" s="77" t="str">
        <f>HYPERLINK("https://pbs.twimg.com/profile_images/1618782324006477825/6WydtEfy_normal.jpg")</f>
        <v>https://pbs.twimg.com/profile_images/1618782324006477825/6WydtEfy_normal.jpg</v>
      </c>
      <c r="W864" s="76">
        <v>44959.062824074077</v>
      </c>
      <c r="X864" s="80">
        <v>44959</v>
      </c>
      <c r="Y864" s="78" t="s">
        <v>3140</v>
      </c>
      <c r="Z864" s="77" t="str">
        <f>HYPERLINK("https://twitter.com/bettafold/status/1620957793124773888")</f>
        <v>https://twitter.com/bettafold/status/1620957793124773888</v>
      </c>
      <c r="AC864" s="78" t="s">
        <v>4205</v>
      </c>
      <c r="AE864" t="b">
        <v>0</v>
      </c>
      <c r="AF864">
        <v>0</v>
      </c>
      <c r="AG864" s="78" t="s">
        <v>4639</v>
      </c>
      <c r="AH864" t="b">
        <v>0</v>
      </c>
      <c r="AI864" t="s">
        <v>4829</v>
      </c>
      <c r="AK864" s="78" t="s">
        <v>4640</v>
      </c>
      <c r="AL864" t="b">
        <v>0</v>
      </c>
      <c r="AM864">
        <v>0</v>
      </c>
      <c r="AN864" s="78" t="s">
        <v>4640</v>
      </c>
      <c r="AO864" s="78" t="s">
        <v>4851</v>
      </c>
      <c r="AP864" t="b">
        <v>0</v>
      </c>
      <c r="AQ864" s="78" t="s">
        <v>4205</v>
      </c>
      <c r="AR864" t="s">
        <v>179</v>
      </c>
      <c r="AS864">
        <v>0</v>
      </c>
      <c r="AT864">
        <v>0</v>
      </c>
    </row>
    <row r="865" spans="1:46" x14ac:dyDescent="0.45">
      <c r="A865" s="62" t="s">
        <v>879</v>
      </c>
      <c r="B865" s="62" t="s">
        <v>242</v>
      </c>
      <c r="C865" s="63"/>
      <c r="D865" s="64"/>
      <c r="E865" s="65"/>
      <c r="F865" s="66"/>
      <c r="G865" s="63"/>
      <c r="H865" s="67"/>
      <c r="I865" s="68"/>
      <c r="J865" s="68"/>
      <c r="K865" s="32"/>
      <c r="L865" s="75"/>
      <c r="M865" s="75"/>
      <c r="N865" s="70"/>
      <c r="O865" t="s">
        <v>1567</v>
      </c>
      <c r="P865" s="76">
        <v>44959.062824074077</v>
      </c>
      <c r="Q865" t="s">
        <v>2047</v>
      </c>
      <c r="T865" s="78" t="s">
        <v>2389</v>
      </c>
      <c r="V865" s="77" t="str">
        <f>HYPERLINK("https://pbs.twimg.com/profile_images/1618782324006477825/6WydtEfy_normal.jpg")</f>
        <v>https://pbs.twimg.com/profile_images/1618782324006477825/6WydtEfy_normal.jpg</v>
      </c>
      <c r="W865" s="76">
        <v>44959.062824074077</v>
      </c>
      <c r="X865" s="80">
        <v>44959</v>
      </c>
      <c r="Y865" s="78" t="s">
        <v>3140</v>
      </c>
      <c r="Z865" s="77" t="str">
        <f>HYPERLINK("https://twitter.com/bettafold/status/1620957793124773888")</f>
        <v>https://twitter.com/bettafold/status/1620957793124773888</v>
      </c>
      <c r="AC865" s="78" t="s">
        <v>4205</v>
      </c>
      <c r="AE865" t="b">
        <v>0</v>
      </c>
      <c r="AF865">
        <v>0</v>
      </c>
      <c r="AG865" s="78" t="s">
        <v>4639</v>
      </c>
      <c r="AH865" t="b">
        <v>0</v>
      </c>
      <c r="AI865" t="s">
        <v>4829</v>
      </c>
      <c r="AK865" s="78" t="s">
        <v>4640</v>
      </c>
      <c r="AL865" t="b">
        <v>0</v>
      </c>
      <c r="AM865">
        <v>0</v>
      </c>
      <c r="AN865" s="78" t="s">
        <v>4640</v>
      </c>
      <c r="AO865" s="78" t="s">
        <v>4851</v>
      </c>
      <c r="AP865" t="b">
        <v>0</v>
      </c>
      <c r="AQ865" s="78" t="s">
        <v>4205</v>
      </c>
      <c r="AR865" t="s">
        <v>179</v>
      </c>
      <c r="AS865">
        <v>0</v>
      </c>
      <c r="AT865">
        <v>0</v>
      </c>
    </row>
    <row r="866" spans="1:46" x14ac:dyDescent="0.45">
      <c r="A866" s="62" t="s">
        <v>826</v>
      </c>
      <c r="B866" s="62" t="s">
        <v>242</v>
      </c>
      <c r="C866" s="63"/>
      <c r="D866" s="64"/>
      <c r="E866" s="65"/>
      <c r="F866" s="66"/>
      <c r="G866" s="63"/>
      <c r="H866" s="67"/>
      <c r="I866" s="68"/>
      <c r="J866" s="68"/>
      <c r="K866" s="32"/>
      <c r="L866" s="75"/>
      <c r="M866" s="75"/>
      <c r="N866" s="70"/>
      <c r="O866" t="s">
        <v>1567</v>
      </c>
      <c r="P866" s="76">
        <v>44959.003506944442</v>
      </c>
      <c r="Q866" t="s">
        <v>2008</v>
      </c>
      <c r="T866" s="78" t="s">
        <v>2381</v>
      </c>
      <c r="U866" s="77" t="str">
        <f>HYPERLINK("https://pbs.twimg.com/media/Fn64-BlXoAQzkrk.jpg")</f>
        <v>https://pbs.twimg.com/media/Fn64-BlXoAQzkrk.jpg</v>
      </c>
      <c r="V866" s="77" t="str">
        <f>HYPERLINK("https://pbs.twimg.com/media/Fn64-BlXoAQzkrk.jpg")</f>
        <v>https://pbs.twimg.com/media/Fn64-BlXoAQzkrk.jpg</v>
      </c>
      <c r="W866" s="76">
        <v>44959.003506944442</v>
      </c>
      <c r="X866" s="80">
        <v>44959</v>
      </c>
      <c r="Y866" s="78" t="s">
        <v>3074</v>
      </c>
      <c r="Z866" s="77" t="str">
        <f>HYPERLINK("https://twitter.com/ericatxrealtor/status/1620936298604408833")</f>
        <v>https://twitter.com/ericatxrealtor/status/1620936298604408833</v>
      </c>
      <c r="AC866" s="78" t="s">
        <v>4139</v>
      </c>
      <c r="AE866" t="b">
        <v>0</v>
      </c>
      <c r="AF866">
        <v>0</v>
      </c>
      <c r="AG866" s="78" t="s">
        <v>4639</v>
      </c>
      <c r="AH866" t="b">
        <v>0</v>
      </c>
      <c r="AI866" t="s">
        <v>4829</v>
      </c>
      <c r="AK866" s="78" t="s">
        <v>4640</v>
      </c>
      <c r="AL866" t="b">
        <v>0</v>
      </c>
      <c r="AM866">
        <v>0</v>
      </c>
      <c r="AN866" s="78" t="s">
        <v>4640</v>
      </c>
      <c r="AO866" s="78" t="s">
        <v>4849</v>
      </c>
      <c r="AP866" t="b">
        <v>0</v>
      </c>
      <c r="AQ866" s="78" t="s">
        <v>4139</v>
      </c>
      <c r="AR866" t="s">
        <v>179</v>
      </c>
      <c r="AS866">
        <v>0</v>
      </c>
      <c r="AT866">
        <v>0</v>
      </c>
    </row>
    <row r="867" spans="1:46" x14ac:dyDescent="0.45">
      <c r="A867" s="62" t="s">
        <v>899</v>
      </c>
      <c r="B867" s="62" t="s">
        <v>1265</v>
      </c>
      <c r="C867" s="63"/>
      <c r="D867" s="64"/>
      <c r="E867" s="65"/>
      <c r="F867" s="66"/>
      <c r="G867" s="63"/>
      <c r="H867" s="67"/>
      <c r="I867" s="68"/>
      <c r="J867" s="68"/>
      <c r="K867" s="32"/>
      <c r="L867" s="75"/>
      <c r="M867" s="75"/>
      <c r="N867" s="70"/>
      <c r="O867" t="s">
        <v>1568</v>
      </c>
      <c r="P867" s="76">
        <v>44958.711585648147</v>
      </c>
      <c r="Q867" t="s">
        <v>1784</v>
      </c>
      <c r="T867" s="78" t="s">
        <v>2345</v>
      </c>
      <c r="U867" s="77" t="str">
        <f>HYPERLINK("https://pbs.twimg.com/media/Fn5YO46XkAcRCaE.jpg")</f>
        <v>https://pbs.twimg.com/media/Fn5YO46XkAcRCaE.jpg</v>
      </c>
      <c r="V867" s="77" t="str">
        <f>HYPERLINK("https://pbs.twimg.com/media/Fn5YO46XkAcRCaE.jpg")</f>
        <v>https://pbs.twimg.com/media/Fn5YO46XkAcRCaE.jpg</v>
      </c>
      <c r="W867" s="76">
        <v>44958.711585648147</v>
      </c>
      <c r="X867" s="80">
        <v>44958</v>
      </c>
      <c r="Y867" s="78" t="s">
        <v>3161</v>
      </c>
      <c r="Z867" s="77" t="str">
        <f>HYPERLINK("https://twitter.com/wetnwildbeauty/status/1620830507666644992")</f>
        <v>https://twitter.com/wetnwildbeauty/status/1620830507666644992</v>
      </c>
      <c r="AC867" s="78" t="s">
        <v>4226</v>
      </c>
      <c r="AE867" t="b">
        <v>0</v>
      </c>
      <c r="AF867">
        <v>22</v>
      </c>
      <c r="AG867" s="78" t="s">
        <v>4640</v>
      </c>
      <c r="AH867" t="b">
        <v>0</v>
      </c>
      <c r="AI867" t="s">
        <v>4829</v>
      </c>
      <c r="AK867" s="78" t="s">
        <v>4640</v>
      </c>
      <c r="AL867" t="b">
        <v>0</v>
      </c>
      <c r="AM867">
        <v>4</v>
      </c>
      <c r="AN867" s="78" t="s">
        <v>4640</v>
      </c>
      <c r="AO867" s="78" t="s">
        <v>4864</v>
      </c>
      <c r="AP867" t="b">
        <v>0</v>
      </c>
      <c r="AQ867" s="78" t="s">
        <v>4226</v>
      </c>
      <c r="AR867" t="s">
        <v>179</v>
      </c>
      <c r="AS867">
        <v>0</v>
      </c>
      <c r="AT867">
        <v>0</v>
      </c>
    </row>
    <row r="868" spans="1:46" x14ac:dyDescent="0.45">
      <c r="A868" s="62" t="s">
        <v>899</v>
      </c>
      <c r="B868" s="62" t="s">
        <v>1266</v>
      </c>
      <c r="C868" s="63"/>
      <c r="D868" s="64"/>
      <c r="E868" s="65"/>
      <c r="F868" s="66"/>
      <c r="G868" s="63"/>
      <c r="H868" s="67"/>
      <c r="I868" s="68"/>
      <c r="J868" s="68"/>
      <c r="K868" s="32"/>
      <c r="L868" s="75"/>
      <c r="M868" s="75"/>
      <c r="N868" s="70"/>
      <c r="O868" t="s">
        <v>1568</v>
      </c>
      <c r="P868" s="76">
        <v>44958.711585648147</v>
      </c>
      <c r="Q868" t="s">
        <v>1784</v>
      </c>
      <c r="T868" s="78" t="s">
        <v>2345</v>
      </c>
      <c r="U868" s="77" t="str">
        <f>HYPERLINK("https://pbs.twimg.com/media/Fn5YO46XkAcRCaE.jpg")</f>
        <v>https://pbs.twimg.com/media/Fn5YO46XkAcRCaE.jpg</v>
      </c>
      <c r="V868" s="77" t="str">
        <f>HYPERLINK("https://pbs.twimg.com/media/Fn5YO46XkAcRCaE.jpg")</f>
        <v>https://pbs.twimg.com/media/Fn5YO46XkAcRCaE.jpg</v>
      </c>
      <c r="W868" s="76">
        <v>44958.711585648147</v>
      </c>
      <c r="X868" s="80">
        <v>44958</v>
      </c>
      <c r="Y868" s="78" t="s">
        <v>3161</v>
      </c>
      <c r="Z868" s="77" t="str">
        <f>HYPERLINK("https://twitter.com/wetnwildbeauty/status/1620830507666644992")</f>
        <v>https://twitter.com/wetnwildbeauty/status/1620830507666644992</v>
      </c>
      <c r="AC868" s="78" t="s">
        <v>4226</v>
      </c>
      <c r="AE868" t="b">
        <v>0</v>
      </c>
      <c r="AF868">
        <v>22</v>
      </c>
      <c r="AG868" s="78" t="s">
        <v>4640</v>
      </c>
      <c r="AH868" t="b">
        <v>0</v>
      </c>
      <c r="AI868" t="s">
        <v>4829</v>
      </c>
      <c r="AK868" s="78" t="s">
        <v>4640</v>
      </c>
      <c r="AL868" t="b">
        <v>0</v>
      </c>
      <c r="AM868">
        <v>4</v>
      </c>
      <c r="AN868" s="78" t="s">
        <v>4640</v>
      </c>
      <c r="AO868" s="78" t="s">
        <v>4864</v>
      </c>
      <c r="AP868" t="b">
        <v>0</v>
      </c>
      <c r="AQ868" s="78" t="s">
        <v>4226</v>
      </c>
      <c r="AR868" t="s">
        <v>179</v>
      </c>
      <c r="AS868">
        <v>0</v>
      </c>
      <c r="AT868">
        <v>0</v>
      </c>
    </row>
    <row r="869" spans="1:46" x14ac:dyDescent="0.45">
      <c r="A869" s="62" t="s">
        <v>899</v>
      </c>
      <c r="B869" s="62" t="s">
        <v>1268</v>
      </c>
      <c r="C869" s="63"/>
      <c r="D869" s="64"/>
      <c r="E869" s="65"/>
      <c r="F869" s="66"/>
      <c r="G869" s="63"/>
      <c r="H869" s="67"/>
      <c r="I869" s="68"/>
      <c r="J869" s="68"/>
      <c r="K869" s="32"/>
      <c r="L869" s="75"/>
      <c r="M869" s="75"/>
      <c r="N869" s="70"/>
      <c r="O869" t="s">
        <v>1568</v>
      </c>
      <c r="P869" s="76">
        <v>44958.711585648147</v>
      </c>
      <c r="Q869" t="s">
        <v>1784</v>
      </c>
      <c r="T869" s="78" t="s">
        <v>2345</v>
      </c>
      <c r="U869" s="77" t="str">
        <f>HYPERLINK("https://pbs.twimg.com/media/Fn5YO46XkAcRCaE.jpg")</f>
        <v>https://pbs.twimg.com/media/Fn5YO46XkAcRCaE.jpg</v>
      </c>
      <c r="V869" s="77" t="str">
        <f>HYPERLINK("https://pbs.twimg.com/media/Fn5YO46XkAcRCaE.jpg")</f>
        <v>https://pbs.twimg.com/media/Fn5YO46XkAcRCaE.jpg</v>
      </c>
      <c r="W869" s="76">
        <v>44958.711585648147</v>
      </c>
      <c r="X869" s="80">
        <v>44958</v>
      </c>
      <c r="Y869" s="78" t="s">
        <v>3161</v>
      </c>
      <c r="Z869" s="77" t="str">
        <f>HYPERLINK("https://twitter.com/wetnwildbeauty/status/1620830507666644992")</f>
        <v>https://twitter.com/wetnwildbeauty/status/1620830507666644992</v>
      </c>
      <c r="AC869" s="78" t="s">
        <v>4226</v>
      </c>
      <c r="AE869" t="b">
        <v>0</v>
      </c>
      <c r="AF869">
        <v>22</v>
      </c>
      <c r="AG869" s="78" t="s">
        <v>4640</v>
      </c>
      <c r="AH869" t="b">
        <v>0</v>
      </c>
      <c r="AI869" t="s">
        <v>4829</v>
      </c>
      <c r="AK869" s="78" t="s">
        <v>4640</v>
      </c>
      <c r="AL869" t="b">
        <v>0</v>
      </c>
      <c r="AM869">
        <v>4</v>
      </c>
      <c r="AN869" s="78" t="s">
        <v>4640</v>
      </c>
      <c r="AO869" s="78" t="s">
        <v>4864</v>
      </c>
      <c r="AP869" t="b">
        <v>0</v>
      </c>
      <c r="AQ869" s="78" t="s">
        <v>4226</v>
      </c>
      <c r="AR869" t="s">
        <v>179</v>
      </c>
      <c r="AS869">
        <v>0</v>
      </c>
      <c r="AT869">
        <v>0</v>
      </c>
    </row>
    <row r="870" spans="1:46" x14ac:dyDescent="0.45">
      <c r="A870" s="62" t="s">
        <v>899</v>
      </c>
      <c r="B870" s="62" t="s">
        <v>1267</v>
      </c>
      <c r="C870" s="63"/>
      <c r="D870" s="64"/>
      <c r="E870" s="65"/>
      <c r="F870" s="66"/>
      <c r="G870" s="63"/>
      <c r="H870" s="67"/>
      <c r="I870" s="68"/>
      <c r="J870" s="68"/>
      <c r="K870" s="32"/>
      <c r="L870" s="75"/>
      <c r="M870" s="75"/>
      <c r="N870" s="70"/>
      <c r="O870" t="s">
        <v>1568</v>
      </c>
      <c r="P870" s="76">
        <v>44958.711585648147</v>
      </c>
      <c r="Q870" t="s">
        <v>1784</v>
      </c>
      <c r="T870" s="78" t="s">
        <v>2345</v>
      </c>
      <c r="U870" s="77" t="str">
        <f>HYPERLINK("https://pbs.twimg.com/media/Fn5YO46XkAcRCaE.jpg")</f>
        <v>https://pbs.twimg.com/media/Fn5YO46XkAcRCaE.jpg</v>
      </c>
      <c r="V870" s="77" t="str">
        <f>HYPERLINK("https://pbs.twimg.com/media/Fn5YO46XkAcRCaE.jpg")</f>
        <v>https://pbs.twimg.com/media/Fn5YO46XkAcRCaE.jpg</v>
      </c>
      <c r="W870" s="76">
        <v>44958.711585648147</v>
      </c>
      <c r="X870" s="80">
        <v>44958</v>
      </c>
      <c r="Y870" s="78" t="s">
        <v>3161</v>
      </c>
      <c r="Z870" s="77" t="str">
        <f>HYPERLINK("https://twitter.com/wetnwildbeauty/status/1620830507666644992")</f>
        <v>https://twitter.com/wetnwildbeauty/status/1620830507666644992</v>
      </c>
      <c r="AC870" s="78" t="s">
        <v>4226</v>
      </c>
      <c r="AE870" t="b">
        <v>0</v>
      </c>
      <c r="AF870">
        <v>22</v>
      </c>
      <c r="AG870" s="78" t="s">
        <v>4640</v>
      </c>
      <c r="AH870" t="b">
        <v>0</v>
      </c>
      <c r="AI870" t="s">
        <v>4829</v>
      </c>
      <c r="AK870" s="78" t="s">
        <v>4640</v>
      </c>
      <c r="AL870" t="b">
        <v>0</v>
      </c>
      <c r="AM870">
        <v>4</v>
      </c>
      <c r="AN870" s="78" t="s">
        <v>4640</v>
      </c>
      <c r="AO870" s="78" t="s">
        <v>4864</v>
      </c>
      <c r="AP870" t="b">
        <v>0</v>
      </c>
      <c r="AQ870" s="78" t="s">
        <v>4226</v>
      </c>
      <c r="AR870" t="s">
        <v>179</v>
      </c>
      <c r="AS870">
        <v>0</v>
      </c>
      <c r="AT870">
        <v>0</v>
      </c>
    </row>
    <row r="871" spans="1:46" x14ac:dyDescent="0.45">
      <c r="A871" s="62" t="s">
        <v>899</v>
      </c>
      <c r="B871" s="62" t="s">
        <v>1181</v>
      </c>
      <c r="C871" s="63"/>
      <c r="D871" s="64"/>
      <c r="E871" s="65"/>
      <c r="F871" s="66"/>
      <c r="G871" s="63"/>
      <c r="H871" s="67"/>
      <c r="I871" s="68"/>
      <c r="J871" s="68"/>
      <c r="K871" s="32"/>
      <c r="L871" s="75"/>
      <c r="M871" s="75"/>
      <c r="N871" s="70"/>
      <c r="O871" t="s">
        <v>1568</v>
      </c>
      <c r="P871" s="76">
        <v>44958.711585648147</v>
      </c>
      <c r="Q871" t="s">
        <v>1784</v>
      </c>
      <c r="T871" s="78" t="s">
        <v>2345</v>
      </c>
      <c r="U871" s="77" t="str">
        <f>HYPERLINK("https://pbs.twimg.com/media/Fn5YO46XkAcRCaE.jpg")</f>
        <v>https://pbs.twimg.com/media/Fn5YO46XkAcRCaE.jpg</v>
      </c>
      <c r="V871" s="77" t="str">
        <f>HYPERLINK("https://pbs.twimg.com/media/Fn5YO46XkAcRCaE.jpg")</f>
        <v>https://pbs.twimg.com/media/Fn5YO46XkAcRCaE.jpg</v>
      </c>
      <c r="W871" s="76">
        <v>44958.711585648147</v>
      </c>
      <c r="X871" s="80">
        <v>44958</v>
      </c>
      <c r="Y871" s="78" t="s">
        <v>3161</v>
      </c>
      <c r="Z871" s="77" t="str">
        <f>HYPERLINK("https://twitter.com/wetnwildbeauty/status/1620830507666644992")</f>
        <v>https://twitter.com/wetnwildbeauty/status/1620830507666644992</v>
      </c>
      <c r="AC871" s="78" t="s">
        <v>4226</v>
      </c>
      <c r="AE871" t="b">
        <v>0</v>
      </c>
      <c r="AF871">
        <v>22</v>
      </c>
      <c r="AG871" s="78" t="s">
        <v>4640</v>
      </c>
      <c r="AH871" t="b">
        <v>0</v>
      </c>
      <c r="AI871" t="s">
        <v>4829</v>
      </c>
      <c r="AK871" s="78" t="s">
        <v>4640</v>
      </c>
      <c r="AL871" t="b">
        <v>0</v>
      </c>
      <c r="AM871">
        <v>4</v>
      </c>
      <c r="AN871" s="78" t="s">
        <v>4640</v>
      </c>
      <c r="AO871" s="78" t="s">
        <v>4864</v>
      </c>
      <c r="AP871" t="b">
        <v>0</v>
      </c>
      <c r="AQ871" s="78" t="s">
        <v>4226</v>
      </c>
      <c r="AR871" t="s">
        <v>179</v>
      </c>
      <c r="AS871">
        <v>0</v>
      </c>
      <c r="AT871">
        <v>0</v>
      </c>
    </row>
    <row r="872" spans="1:46" x14ac:dyDescent="0.45">
      <c r="A872" s="62" t="s">
        <v>899</v>
      </c>
      <c r="B872" s="62" t="s">
        <v>1113</v>
      </c>
      <c r="C872" s="63"/>
      <c r="D872" s="64"/>
      <c r="E872" s="65"/>
      <c r="F872" s="66"/>
      <c r="G872" s="63"/>
      <c r="H872" s="67"/>
      <c r="I872" s="68"/>
      <c r="J872" s="68"/>
      <c r="K872" s="32"/>
      <c r="L872" s="75"/>
      <c r="M872" s="75"/>
      <c r="N872" s="70"/>
      <c r="O872" t="s">
        <v>1568</v>
      </c>
      <c r="P872" s="76">
        <v>44958.711585648147</v>
      </c>
      <c r="Q872" t="s">
        <v>1784</v>
      </c>
      <c r="T872" s="78" t="s">
        <v>2345</v>
      </c>
      <c r="U872" s="77" t="str">
        <f>HYPERLINK("https://pbs.twimg.com/media/Fn5YO46XkAcRCaE.jpg")</f>
        <v>https://pbs.twimg.com/media/Fn5YO46XkAcRCaE.jpg</v>
      </c>
      <c r="V872" s="77" t="str">
        <f>HYPERLINK("https://pbs.twimg.com/media/Fn5YO46XkAcRCaE.jpg")</f>
        <v>https://pbs.twimg.com/media/Fn5YO46XkAcRCaE.jpg</v>
      </c>
      <c r="W872" s="76">
        <v>44958.711585648147</v>
      </c>
      <c r="X872" s="80">
        <v>44958</v>
      </c>
      <c r="Y872" s="78" t="s">
        <v>3161</v>
      </c>
      <c r="Z872" s="77" t="str">
        <f>HYPERLINK("https://twitter.com/wetnwildbeauty/status/1620830507666644992")</f>
        <v>https://twitter.com/wetnwildbeauty/status/1620830507666644992</v>
      </c>
      <c r="AC872" s="78" t="s">
        <v>4226</v>
      </c>
      <c r="AE872" t="b">
        <v>0</v>
      </c>
      <c r="AF872">
        <v>22</v>
      </c>
      <c r="AG872" s="78" t="s">
        <v>4640</v>
      </c>
      <c r="AH872" t="b">
        <v>0</v>
      </c>
      <c r="AI872" t="s">
        <v>4829</v>
      </c>
      <c r="AK872" s="78" t="s">
        <v>4640</v>
      </c>
      <c r="AL872" t="b">
        <v>0</v>
      </c>
      <c r="AM872">
        <v>4</v>
      </c>
      <c r="AN872" s="78" t="s">
        <v>4640</v>
      </c>
      <c r="AO872" s="78" t="s">
        <v>4864</v>
      </c>
      <c r="AP872" t="b">
        <v>0</v>
      </c>
      <c r="AQ872" s="78" t="s">
        <v>4226</v>
      </c>
      <c r="AR872" t="s">
        <v>179</v>
      </c>
      <c r="AS872">
        <v>0</v>
      </c>
      <c r="AT872">
        <v>0</v>
      </c>
    </row>
    <row r="873" spans="1:46" x14ac:dyDescent="0.45">
      <c r="A873" s="62" t="s">
        <v>899</v>
      </c>
      <c r="B873" s="62" t="s">
        <v>242</v>
      </c>
      <c r="C873" s="63"/>
      <c r="D873" s="64"/>
      <c r="E873" s="65"/>
      <c r="F873" s="66"/>
      <c r="G873" s="63"/>
      <c r="H873" s="67"/>
      <c r="I873" s="68"/>
      <c r="J873" s="68"/>
      <c r="K873" s="32"/>
      <c r="L873" s="75"/>
      <c r="M873" s="75"/>
      <c r="N873" s="70"/>
      <c r="O873" t="s">
        <v>1568</v>
      </c>
      <c r="P873" s="76">
        <v>44958.711585648147</v>
      </c>
      <c r="Q873" t="s">
        <v>1784</v>
      </c>
      <c r="T873" s="78" t="s">
        <v>2345</v>
      </c>
      <c r="U873" s="77" t="str">
        <f>HYPERLINK("https://pbs.twimg.com/media/Fn5YO46XkAcRCaE.jpg")</f>
        <v>https://pbs.twimg.com/media/Fn5YO46XkAcRCaE.jpg</v>
      </c>
      <c r="V873" s="77" t="str">
        <f>HYPERLINK("https://pbs.twimg.com/media/Fn5YO46XkAcRCaE.jpg")</f>
        <v>https://pbs.twimg.com/media/Fn5YO46XkAcRCaE.jpg</v>
      </c>
      <c r="W873" s="76">
        <v>44958.711585648147</v>
      </c>
      <c r="X873" s="80">
        <v>44958</v>
      </c>
      <c r="Y873" s="78" t="s">
        <v>3161</v>
      </c>
      <c r="Z873" s="77" t="str">
        <f>HYPERLINK("https://twitter.com/wetnwildbeauty/status/1620830507666644992")</f>
        <v>https://twitter.com/wetnwildbeauty/status/1620830507666644992</v>
      </c>
      <c r="AC873" s="78" t="s">
        <v>4226</v>
      </c>
      <c r="AE873" t="b">
        <v>0</v>
      </c>
      <c r="AF873">
        <v>22</v>
      </c>
      <c r="AG873" s="78" t="s">
        <v>4640</v>
      </c>
      <c r="AH873" t="b">
        <v>0</v>
      </c>
      <c r="AI873" t="s">
        <v>4829</v>
      </c>
      <c r="AK873" s="78" t="s">
        <v>4640</v>
      </c>
      <c r="AL873" t="b">
        <v>0</v>
      </c>
      <c r="AM873">
        <v>4</v>
      </c>
      <c r="AN873" s="78" t="s">
        <v>4640</v>
      </c>
      <c r="AO873" s="78" t="s">
        <v>4864</v>
      </c>
      <c r="AP873" t="b">
        <v>0</v>
      </c>
      <c r="AQ873" s="78" t="s">
        <v>4226</v>
      </c>
      <c r="AR873" t="s">
        <v>179</v>
      </c>
      <c r="AS873">
        <v>0</v>
      </c>
      <c r="AT873">
        <v>0</v>
      </c>
    </row>
    <row r="874" spans="1:46" x14ac:dyDescent="0.45">
      <c r="A874" s="62" t="s">
        <v>500</v>
      </c>
      <c r="B874" s="62" t="s">
        <v>1265</v>
      </c>
      <c r="C874" s="63"/>
      <c r="D874" s="64"/>
      <c r="E874" s="65"/>
      <c r="F874" s="66"/>
      <c r="G874" s="63"/>
      <c r="H874" s="67"/>
      <c r="I874" s="68"/>
      <c r="J874" s="68"/>
      <c r="K874" s="32"/>
      <c r="L874" s="75"/>
      <c r="M874" s="75"/>
      <c r="N874" s="70"/>
      <c r="O874" t="s">
        <v>1570</v>
      </c>
      <c r="P874" s="76">
        <v>44958.756678240738</v>
      </c>
      <c r="Q874" t="s">
        <v>1784</v>
      </c>
      <c r="T874" s="78" t="s">
        <v>2345</v>
      </c>
      <c r="U874" s="77" t="str">
        <f>HYPERLINK("https://pbs.twimg.com/media/Fn5YO46XkAcRCaE.jpg")</f>
        <v>https://pbs.twimg.com/media/Fn5YO46XkAcRCaE.jpg</v>
      </c>
      <c r="V874" s="77" t="str">
        <f>HYPERLINK("https://pbs.twimg.com/media/Fn5YO46XkAcRCaE.jpg")</f>
        <v>https://pbs.twimg.com/media/Fn5YO46XkAcRCaE.jpg</v>
      </c>
      <c r="W874" s="76">
        <v>44958.756678240738</v>
      </c>
      <c r="X874" s="80">
        <v>44958</v>
      </c>
      <c r="Y874" s="78" t="s">
        <v>2740</v>
      </c>
      <c r="Z874" s="77" t="str">
        <f>HYPERLINK("https://twitter.com/titasmakeupbox/status/1620846848025178113")</f>
        <v>https://twitter.com/titasmakeupbox/status/1620846848025178113</v>
      </c>
      <c r="AC874" s="78" t="s">
        <v>3759</v>
      </c>
      <c r="AE874" t="b">
        <v>0</v>
      </c>
      <c r="AF874">
        <v>0</v>
      </c>
      <c r="AG874" s="78" t="s">
        <v>4640</v>
      </c>
      <c r="AH874" t="b">
        <v>0</v>
      </c>
      <c r="AI874" t="s">
        <v>4829</v>
      </c>
      <c r="AK874" s="78" t="s">
        <v>4640</v>
      </c>
      <c r="AL874" t="b">
        <v>0</v>
      </c>
      <c r="AM874">
        <v>4</v>
      </c>
      <c r="AN874" s="78" t="s">
        <v>4226</v>
      </c>
      <c r="AO874" s="78" t="s">
        <v>4849</v>
      </c>
      <c r="AP874" t="b">
        <v>0</v>
      </c>
      <c r="AQ874" s="78" t="s">
        <v>4226</v>
      </c>
      <c r="AR874" t="s">
        <v>179</v>
      </c>
      <c r="AS874">
        <v>0</v>
      </c>
      <c r="AT874">
        <v>0</v>
      </c>
    </row>
    <row r="875" spans="1:46" x14ac:dyDescent="0.45">
      <c r="A875" s="62" t="s">
        <v>500</v>
      </c>
      <c r="B875" s="62" t="s">
        <v>1266</v>
      </c>
      <c r="C875" s="63"/>
      <c r="D875" s="64"/>
      <c r="E875" s="65"/>
      <c r="F875" s="66"/>
      <c r="G875" s="63"/>
      <c r="H875" s="67"/>
      <c r="I875" s="68"/>
      <c r="J875" s="68"/>
      <c r="K875" s="32"/>
      <c r="L875" s="75"/>
      <c r="M875" s="75"/>
      <c r="N875" s="70"/>
      <c r="O875" t="s">
        <v>1570</v>
      </c>
      <c r="P875" s="76">
        <v>44958.756678240738</v>
      </c>
      <c r="Q875" t="s">
        <v>1784</v>
      </c>
      <c r="T875" s="78" t="s">
        <v>2345</v>
      </c>
      <c r="U875" s="77" t="str">
        <f>HYPERLINK("https://pbs.twimg.com/media/Fn5YO46XkAcRCaE.jpg")</f>
        <v>https://pbs.twimg.com/media/Fn5YO46XkAcRCaE.jpg</v>
      </c>
      <c r="V875" s="77" t="str">
        <f>HYPERLINK("https://pbs.twimg.com/media/Fn5YO46XkAcRCaE.jpg")</f>
        <v>https://pbs.twimg.com/media/Fn5YO46XkAcRCaE.jpg</v>
      </c>
      <c r="W875" s="76">
        <v>44958.756678240738</v>
      </c>
      <c r="X875" s="80">
        <v>44958</v>
      </c>
      <c r="Y875" s="78" t="s">
        <v>2740</v>
      </c>
      <c r="Z875" s="77" t="str">
        <f>HYPERLINK("https://twitter.com/titasmakeupbox/status/1620846848025178113")</f>
        <v>https://twitter.com/titasmakeupbox/status/1620846848025178113</v>
      </c>
      <c r="AC875" s="78" t="s">
        <v>3759</v>
      </c>
      <c r="AE875" t="b">
        <v>0</v>
      </c>
      <c r="AF875">
        <v>0</v>
      </c>
      <c r="AG875" s="78" t="s">
        <v>4640</v>
      </c>
      <c r="AH875" t="b">
        <v>0</v>
      </c>
      <c r="AI875" t="s">
        <v>4829</v>
      </c>
      <c r="AK875" s="78" t="s">
        <v>4640</v>
      </c>
      <c r="AL875" t="b">
        <v>0</v>
      </c>
      <c r="AM875">
        <v>4</v>
      </c>
      <c r="AN875" s="78" t="s">
        <v>4226</v>
      </c>
      <c r="AO875" s="78" t="s">
        <v>4849</v>
      </c>
      <c r="AP875" t="b">
        <v>0</v>
      </c>
      <c r="AQ875" s="78" t="s">
        <v>4226</v>
      </c>
      <c r="AR875" t="s">
        <v>179</v>
      </c>
      <c r="AS875">
        <v>0</v>
      </c>
      <c r="AT875">
        <v>0</v>
      </c>
    </row>
    <row r="876" spans="1:46" x14ac:dyDescent="0.45">
      <c r="A876" s="62" t="s">
        <v>500</v>
      </c>
      <c r="B876" s="62" t="s">
        <v>1267</v>
      </c>
      <c r="C876" s="63"/>
      <c r="D876" s="64"/>
      <c r="E876" s="65"/>
      <c r="F876" s="66"/>
      <c r="G876" s="63"/>
      <c r="H876" s="67"/>
      <c r="I876" s="68"/>
      <c r="J876" s="68"/>
      <c r="K876" s="32"/>
      <c r="L876" s="75"/>
      <c r="M876" s="75"/>
      <c r="N876" s="70"/>
      <c r="O876" t="s">
        <v>1570</v>
      </c>
      <c r="P876" s="76">
        <v>44958.756678240738</v>
      </c>
      <c r="Q876" t="s">
        <v>1784</v>
      </c>
      <c r="T876" s="78" t="s">
        <v>2345</v>
      </c>
      <c r="U876" s="77" t="str">
        <f>HYPERLINK("https://pbs.twimg.com/media/Fn5YO46XkAcRCaE.jpg")</f>
        <v>https://pbs.twimg.com/media/Fn5YO46XkAcRCaE.jpg</v>
      </c>
      <c r="V876" s="77" t="str">
        <f>HYPERLINK("https://pbs.twimg.com/media/Fn5YO46XkAcRCaE.jpg")</f>
        <v>https://pbs.twimg.com/media/Fn5YO46XkAcRCaE.jpg</v>
      </c>
      <c r="W876" s="76">
        <v>44958.756678240738</v>
      </c>
      <c r="X876" s="80">
        <v>44958</v>
      </c>
      <c r="Y876" s="78" t="s">
        <v>2740</v>
      </c>
      <c r="Z876" s="77" t="str">
        <f>HYPERLINK("https://twitter.com/titasmakeupbox/status/1620846848025178113")</f>
        <v>https://twitter.com/titasmakeupbox/status/1620846848025178113</v>
      </c>
      <c r="AC876" s="78" t="s">
        <v>3759</v>
      </c>
      <c r="AE876" t="b">
        <v>0</v>
      </c>
      <c r="AF876">
        <v>0</v>
      </c>
      <c r="AG876" s="78" t="s">
        <v>4640</v>
      </c>
      <c r="AH876" t="b">
        <v>0</v>
      </c>
      <c r="AI876" t="s">
        <v>4829</v>
      </c>
      <c r="AK876" s="78" t="s">
        <v>4640</v>
      </c>
      <c r="AL876" t="b">
        <v>0</v>
      </c>
      <c r="AM876">
        <v>4</v>
      </c>
      <c r="AN876" s="78" t="s">
        <v>4226</v>
      </c>
      <c r="AO876" s="78" t="s">
        <v>4849</v>
      </c>
      <c r="AP876" t="b">
        <v>0</v>
      </c>
      <c r="AQ876" s="78" t="s">
        <v>4226</v>
      </c>
      <c r="AR876" t="s">
        <v>179</v>
      </c>
      <c r="AS876">
        <v>0</v>
      </c>
      <c r="AT876">
        <v>0</v>
      </c>
    </row>
    <row r="877" spans="1:46" x14ac:dyDescent="0.45">
      <c r="A877" s="62" t="s">
        <v>500</v>
      </c>
      <c r="B877" s="62" t="s">
        <v>1268</v>
      </c>
      <c r="C877" s="63"/>
      <c r="D877" s="64"/>
      <c r="E877" s="65"/>
      <c r="F877" s="66"/>
      <c r="G877" s="63"/>
      <c r="H877" s="67"/>
      <c r="I877" s="68"/>
      <c r="J877" s="68"/>
      <c r="K877" s="32"/>
      <c r="L877" s="75"/>
      <c r="M877" s="75"/>
      <c r="N877" s="70"/>
      <c r="O877" t="s">
        <v>1570</v>
      </c>
      <c r="P877" s="76">
        <v>44958.756678240738</v>
      </c>
      <c r="Q877" t="s">
        <v>1784</v>
      </c>
      <c r="T877" s="78" t="s">
        <v>2345</v>
      </c>
      <c r="U877" s="77" t="str">
        <f>HYPERLINK("https://pbs.twimg.com/media/Fn5YO46XkAcRCaE.jpg")</f>
        <v>https://pbs.twimg.com/media/Fn5YO46XkAcRCaE.jpg</v>
      </c>
      <c r="V877" s="77" t="str">
        <f>HYPERLINK("https://pbs.twimg.com/media/Fn5YO46XkAcRCaE.jpg")</f>
        <v>https://pbs.twimg.com/media/Fn5YO46XkAcRCaE.jpg</v>
      </c>
      <c r="W877" s="76">
        <v>44958.756678240738</v>
      </c>
      <c r="X877" s="80">
        <v>44958</v>
      </c>
      <c r="Y877" s="78" t="s">
        <v>2740</v>
      </c>
      <c r="Z877" s="77" t="str">
        <f>HYPERLINK("https://twitter.com/titasmakeupbox/status/1620846848025178113")</f>
        <v>https://twitter.com/titasmakeupbox/status/1620846848025178113</v>
      </c>
      <c r="AC877" s="78" t="s">
        <v>3759</v>
      </c>
      <c r="AE877" t="b">
        <v>0</v>
      </c>
      <c r="AF877">
        <v>0</v>
      </c>
      <c r="AG877" s="78" t="s">
        <v>4640</v>
      </c>
      <c r="AH877" t="b">
        <v>0</v>
      </c>
      <c r="AI877" t="s">
        <v>4829</v>
      </c>
      <c r="AK877" s="78" t="s">
        <v>4640</v>
      </c>
      <c r="AL877" t="b">
        <v>0</v>
      </c>
      <c r="AM877">
        <v>4</v>
      </c>
      <c r="AN877" s="78" t="s">
        <v>4226</v>
      </c>
      <c r="AO877" s="78" t="s">
        <v>4849</v>
      </c>
      <c r="AP877" t="b">
        <v>0</v>
      </c>
      <c r="AQ877" s="78" t="s">
        <v>4226</v>
      </c>
      <c r="AR877" t="s">
        <v>179</v>
      </c>
      <c r="AS877">
        <v>0</v>
      </c>
      <c r="AT877">
        <v>0</v>
      </c>
    </row>
    <row r="878" spans="1:46" x14ac:dyDescent="0.45">
      <c r="A878" s="62" t="s">
        <v>500</v>
      </c>
      <c r="B878" s="62" t="s">
        <v>1181</v>
      </c>
      <c r="C878" s="63"/>
      <c r="D878" s="64"/>
      <c r="E878" s="65"/>
      <c r="F878" s="66"/>
      <c r="G878" s="63"/>
      <c r="H878" s="67"/>
      <c r="I878" s="68"/>
      <c r="J878" s="68"/>
      <c r="K878" s="32"/>
      <c r="L878" s="75"/>
      <c r="M878" s="75"/>
      <c r="N878" s="70"/>
      <c r="O878" t="s">
        <v>1570</v>
      </c>
      <c r="P878" s="76">
        <v>44958.756678240738</v>
      </c>
      <c r="Q878" t="s">
        <v>1784</v>
      </c>
      <c r="T878" s="78" t="s">
        <v>2345</v>
      </c>
      <c r="U878" s="77" t="str">
        <f>HYPERLINK("https://pbs.twimg.com/media/Fn5YO46XkAcRCaE.jpg")</f>
        <v>https://pbs.twimg.com/media/Fn5YO46XkAcRCaE.jpg</v>
      </c>
      <c r="V878" s="77" t="str">
        <f>HYPERLINK("https://pbs.twimg.com/media/Fn5YO46XkAcRCaE.jpg")</f>
        <v>https://pbs.twimg.com/media/Fn5YO46XkAcRCaE.jpg</v>
      </c>
      <c r="W878" s="76">
        <v>44958.756678240738</v>
      </c>
      <c r="X878" s="80">
        <v>44958</v>
      </c>
      <c r="Y878" s="78" t="s">
        <v>2740</v>
      </c>
      <c r="Z878" s="77" t="str">
        <f>HYPERLINK("https://twitter.com/titasmakeupbox/status/1620846848025178113")</f>
        <v>https://twitter.com/titasmakeupbox/status/1620846848025178113</v>
      </c>
      <c r="AC878" s="78" t="s">
        <v>3759</v>
      </c>
      <c r="AE878" t="b">
        <v>0</v>
      </c>
      <c r="AF878">
        <v>0</v>
      </c>
      <c r="AG878" s="78" t="s">
        <v>4640</v>
      </c>
      <c r="AH878" t="b">
        <v>0</v>
      </c>
      <c r="AI878" t="s">
        <v>4829</v>
      </c>
      <c r="AK878" s="78" t="s">
        <v>4640</v>
      </c>
      <c r="AL878" t="b">
        <v>0</v>
      </c>
      <c r="AM878">
        <v>4</v>
      </c>
      <c r="AN878" s="78" t="s">
        <v>4226</v>
      </c>
      <c r="AO878" s="78" t="s">
        <v>4849</v>
      </c>
      <c r="AP878" t="b">
        <v>0</v>
      </c>
      <c r="AQ878" s="78" t="s">
        <v>4226</v>
      </c>
      <c r="AR878" t="s">
        <v>179</v>
      </c>
      <c r="AS878">
        <v>0</v>
      </c>
      <c r="AT878">
        <v>0</v>
      </c>
    </row>
    <row r="879" spans="1:46" x14ac:dyDescent="0.45">
      <c r="A879" s="62" t="s">
        <v>500</v>
      </c>
      <c r="B879" s="62" t="s">
        <v>1113</v>
      </c>
      <c r="C879" s="63"/>
      <c r="D879" s="64"/>
      <c r="E879" s="65"/>
      <c r="F879" s="66"/>
      <c r="G879" s="63"/>
      <c r="H879" s="67"/>
      <c r="I879" s="68"/>
      <c r="J879" s="68"/>
      <c r="K879" s="32"/>
      <c r="L879" s="75"/>
      <c r="M879" s="75"/>
      <c r="N879" s="70"/>
      <c r="O879" t="s">
        <v>1570</v>
      </c>
      <c r="P879" s="76">
        <v>44958.756678240738</v>
      </c>
      <c r="Q879" t="s">
        <v>1784</v>
      </c>
      <c r="T879" s="78" t="s">
        <v>2345</v>
      </c>
      <c r="U879" s="77" t="str">
        <f>HYPERLINK("https://pbs.twimg.com/media/Fn5YO46XkAcRCaE.jpg")</f>
        <v>https://pbs.twimg.com/media/Fn5YO46XkAcRCaE.jpg</v>
      </c>
      <c r="V879" s="77" t="str">
        <f>HYPERLINK("https://pbs.twimg.com/media/Fn5YO46XkAcRCaE.jpg")</f>
        <v>https://pbs.twimg.com/media/Fn5YO46XkAcRCaE.jpg</v>
      </c>
      <c r="W879" s="76">
        <v>44958.756678240738</v>
      </c>
      <c r="X879" s="80">
        <v>44958</v>
      </c>
      <c r="Y879" s="78" t="s">
        <v>2740</v>
      </c>
      <c r="Z879" s="77" t="str">
        <f>HYPERLINK("https://twitter.com/titasmakeupbox/status/1620846848025178113")</f>
        <v>https://twitter.com/titasmakeupbox/status/1620846848025178113</v>
      </c>
      <c r="AC879" s="78" t="s">
        <v>3759</v>
      </c>
      <c r="AE879" t="b">
        <v>0</v>
      </c>
      <c r="AF879">
        <v>0</v>
      </c>
      <c r="AG879" s="78" t="s">
        <v>4640</v>
      </c>
      <c r="AH879" t="b">
        <v>0</v>
      </c>
      <c r="AI879" t="s">
        <v>4829</v>
      </c>
      <c r="AK879" s="78" t="s">
        <v>4640</v>
      </c>
      <c r="AL879" t="b">
        <v>0</v>
      </c>
      <c r="AM879">
        <v>4</v>
      </c>
      <c r="AN879" s="78" t="s">
        <v>4226</v>
      </c>
      <c r="AO879" s="78" t="s">
        <v>4849</v>
      </c>
      <c r="AP879" t="b">
        <v>0</v>
      </c>
      <c r="AQ879" s="78" t="s">
        <v>4226</v>
      </c>
      <c r="AR879" t="s">
        <v>179</v>
      </c>
      <c r="AS879">
        <v>0</v>
      </c>
      <c r="AT879">
        <v>0</v>
      </c>
    </row>
    <row r="880" spans="1:46" x14ac:dyDescent="0.45">
      <c r="A880" s="62" t="s">
        <v>500</v>
      </c>
      <c r="B880" s="62" t="s">
        <v>242</v>
      </c>
      <c r="C880" s="63"/>
      <c r="D880" s="64"/>
      <c r="E880" s="65"/>
      <c r="F880" s="66"/>
      <c r="G880" s="63"/>
      <c r="H880" s="67"/>
      <c r="I880" s="68"/>
      <c r="J880" s="68"/>
      <c r="K880" s="32"/>
      <c r="L880" s="75"/>
      <c r="M880" s="75"/>
      <c r="N880" s="70"/>
      <c r="O880" t="s">
        <v>1570</v>
      </c>
      <c r="P880" s="76">
        <v>44958.756678240738</v>
      </c>
      <c r="Q880" t="s">
        <v>1784</v>
      </c>
      <c r="T880" s="78" t="s">
        <v>2345</v>
      </c>
      <c r="U880" s="77" t="str">
        <f>HYPERLINK("https://pbs.twimg.com/media/Fn5YO46XkAcRCaE.jpg")</f>
        <v>https://pbs.twimg.com/media/Fn5YO46XkAcRCaE.jpg</v>
      </c>
      <c r="V880" s="77" t="str">
        <f>HYPERLINK("https://pbs.twimg.com/media/Fn5YO46XkAcRCaE.jpg")</f>
        <v>https://pbs.twimg.com/media/Fn5YO46XkAcRCaE.jpg</v>
      </c>
      <c r="W880" s="76">
        <v>44958.756678240738</v>
      </c>
      <c r="X880" s="80">
        <v>44958</v>
      </c>
      <c r="Y880" s="78" t="s">
        <v>2740</v>
      </c>
      <c r="Z880" s="77" t="str">
        <f>HYPERLINK("https://twitter.com/titasmakeupbox/status/1620846848025178113")</f>
        <v>https://twitter.com/titasmakeupbox/status/1620846848025178113</v>
      </c>
      <c r="AC880" s="78" t="s">
        <v>3759</v>
      </c>
      <c r="AE880" t="b">
        <v>0</v>
      </c>
      <c r="AF880">
        <v>0</v>
      </c>
      <c r="AG880" s="78" t="s">
        <v>4640</v>
      </c>
      <c r="AH880" t="b">
        <v>0</v>
      </c>
      <c r="AI880" t="s">
        <v>4829</v>
      </c>
      <c r="AK880" s="78" t="s">
        <v>4640</v>
      </c>
      <c r="AL880" t="b">
        <v>0</v>
      </c>
      <c r="AM880">
        <v>4</v>
      </c>
      <c r="AN880" s="78" t="s">
        <v>4226</v>
      </c>
      <c r="AO880" s="78" t="s">
        <v>4849</v>
      </c>
      <c r="AP880" t="b">
        <v>0</v>
      </c>
      <c r="AQ880" s="78" t="s">
        <v>4226</v>
      </c>
      <c r="AR880" t="s">
        <v>179</v>
      </c>
      <c r="AS880">
        <v>0</v>
      </c>
      <c r="AT880">
        <v>0</v>
      </c>
    </row>
    <row r="881" spans="1:46" x14ac:dyDescent="0.45">
      <c r="A881" s="62" t="s">
        <v>500</v>
      </c>
      <c r="B881" s="62" t="s">
        <v>899</v>
      </c>
      <c r="C881" s="63"/>
      <c r="D881" s="64"/>
      <c r="E881" s="65"/>
      <c r="F881" s="66"/>
      <c r="G881" s="63"/>
      <c r="H881" s="67"/>
      <c r="I881" s="68"/>
      <c r="J881" s="68"/>
      <c r="K881" s="32"/>
      <c r="L881" s="75"/>
      <c r="M881" s="75"/>
      <c r="N881" s="70"/>
      <c r="O881" t="s">
        <v>1569</v>
      </c>
      <c r="P881" s="76">
        <v>44958.756678240738</v>
      </c>
      <c r="Q881" t="s">
        <v>1784</v>
      </c>
      <c r="T881" s="78" t="s">
        <v>2345</v>
      </c>
      <c r="U881" s="77" t="str">
        <f>HYPERLINK("https://pbs.twimg.com/media/Fn5YO46XkAcRCaE.jpg")</f>
        <v>https://pbs.twimg.com/media/Fn5YO46XkAcRCaE.jpg</v>
      </c>
      <c r="V881" s="77" t="str">
        <f>HYPERLINK("https://pbs.twimg.com/media/Fn5YO46XkAcRCaE.jpg")</f>
        <v>https://pbs.twimg.com/media/Fn5YO46XkAcRCaE.jpg</v>
      </c>
      <c r="W881" s="76">
        <v>44958.756678240738</v>
      </c>
      <c r="X881" s="80">
        <v>44958</v>
      </c>
      <c r="Y881" s="78" t="s">
        <v>2740</v>
      </c>
      <c r="Z881" s="77" t="str">
        <f>HYPERLINK("https://twitter.com/titasmakeupbox/status/1620846848025178113")</f>
        <v>https://twitter.com/titasmakeupbox/status/1620846848025178113</v>
      </c>
      <c r="AC881" s="78" t="s">
        <v>3759</v>
      </c>
      <c r="AE881" t="b">
        <v>0</v>
      </c>
      <c r="AF881">
        <v>0</v>
      </c>
      <c r="AG881" s="78" t="s">
        <v>4640</v>
      </c>
      <c r="AH881" t="b">
        <v>0</v>
      </c>
      <c r="AI881" t="s">
        <v>4829</v>
      </c>
      <c r="AK881" s="78" t="s">
        <v>4640</v>
      </c>
      <c r="AL881" t="b">
        <v>0</v>
      </c>
      <c r="AM881">
        <v>4</v>
      </c>
      <c r="AN881" s="78" t="s">
        <v>4226</v>
      </c>
      <c r="AO881" s="78" t="s">
        <v>4849</v>
      </c>
      <c r="AP881" t="b">
        <v>0</v>
      </c>
      <c r="AQ881" s="78" t="s">
        <v>4226</v>
      </c>
      <c r="AR881" t="s">
        <v>179</v>
      </c>
      <c r="AS881">
        <v>0</v>
      </c>
      <c r="AT881">
        <v>0</v>
      </c>
    </row>
    <row r="882" spans="1:46" x14ac:dyDescent="0.45">
      <c r="A882" s="62" t="s">
        <v>779</v>
      </c>
      <c r="B882" s="62" t="s">
        <v>1265</v>
      </c>
      <c r="C882" s="63"/>
      <c r="D882" s="64"/>
      <c r="E882" s="65"/>
      <c r="F882" s="66"/>
      <c r="G882" s="63"/>
      <c r="H882" s="67"/>
      <c r="I882" s="68"/>
      <c r="J882" s="68"/>
      <c r="K882" s="32"/>
      <c r="L882" s="75"/>
      <c r="M882" s="75"/>
      <c r="N882" s="70"/>
      <c r="O882" t="s">
        <v>1570</v>
      </c>
      <c r="P882" s="76">
        <v>44958.960925925923</v>
      </c>
      <c r="Q882" t="s">
        <v>1784</v>
      </c>
      <c r="T882" s="78" t="s">
        <v>2345</v>
      </c>
      <c r="U882" s="77" t="str">
        <f>HYPERLINK("https://pbs.twimg.com/media/Fn5YO46XkAcRCaE.jpg")</f>
        <v>https://pbs.twimg.com/media/Fn5YO46XkAcRCaE.jpg</v>
      </c>
      <c r="V882" s="77" t="str">
        <f>HYPERLINK("https://pbs.twimg.com/media/Fn5YO46XkAcRCaE.jpg")</f>
        <v>https://pbs.twimg.com/media/Fn5YO46XkAcRCaE.jpg</v>
      </c>
      <c r="W882" s="76">
        <v>44958.960925925923</v>
      </c>
      <c r="X882" s="80">
        <v>44958</v>
      </c>
      <c r="Y882" s="78" t="s">
        <v>3001</v>
      </c>
      <c r="Z882" s="77" t="str">
        <f>HYPERLINK("https://twitter.com/tammyha13715584/status/1620920865893552128")</f>
        <v>https://twitter.com/tammyha13715584/status/1620920865893552128</v>
      </c>
      <c r="AC882" s="78" t="s">
        <v>4066</v>
      </c>
      <c r="AE882" t="b">
        <v>0</v>
      </c>
      <c r="AF882">
        <v>0</v>
      </c>
      <c r="AG882" s="78" t="s">
        <v>4640</v>
      </c>
      <c r="AH882" t="b">
        <v>0</v>
      </c>
      <c r="AI882" t="s">
        <v>4829</v>
      </c>
      <c r="AK882" s="78" t="s">
        <v>4640</v>
      </c>
      <c r="AL882" t="b">
        <v>0</v>
      </c>
      <c r="AM882">
        <v>4</v>
      </c>
      <c r="AN882" s="78" t="s">
        <v>4226</v>
      </c>
      <c r="AO882" s="78" t="s">
        <v>4851</v>
      </c>
      <c r="AP882" t="b">
        <v>0</v>
      </c>
      <c r="AQ882" s="78" t="s">
        <v>4226</v>
      </c>
      <c r="AR882" t="s">
        <v>179</v>
      </c>
      <c r="AS882">
        <v>0</v>
      </c>
      <c r="AT882">
        <v>0</v>
      </c>
    </row>
    <row r="883" spans="1:46" x14ac:dyDescent="0.45">
      <c r="A883" s="62" t="s">
        <v>779</v>
      </c>
      <c r="B883" s="62" t="s">
        <v>1266</v>
      </c>
      <c r="C883" s="63"/>
      <c r="D883" s="64"/>
      <c r="E883" s="65"/>
      <c r="F883" s="66"/>
      <c r="G883" s="63"/>
      <c r="H883" s="67"/>
      <c r="I883" s="68"/>
      <c r="J883" s="68"/>
      <c r="K883" s="32"/>
      <c r="L883" s="75"/>
      <c r="M883" s="75"/>
      <c r="N883" s="70"/>
      <c r="O883" t="s">
        <v>1570</v>
      </c>
      <c r="P883" s="76">
        <v>44958.960925925923</v>
      </c>
      <c r="Q883" t="s">
        <v>1784</v>
      </c>
      <c r="T883" s="78" t="s">
        <v>2345</v>
      </c>
      <c r="U883" s="77" t="str">
        <f>HYPERLINK("https://pbs.twimg.com/media/Fn5YO46XkAcRCaE.jpg")</f>
        <v>https://pbs.twimg.com/media/Fn5YO46XkAcRCaE.jpg</v>
      </c>
      <c r="V883" s="77" t="str">
        <f>HYPERLINK("https://pbs.twimg.com/media/Fn5YO46XkAcRCaE.jpg")</f>
        <v>https://pbs.twimg.com/media/Fn5YO46XkAcRCaE.jpg</v>
      </c>
      <c r="W883" s="76">
        <v>44958.960925925923</v>
      </c>
      <c r="X883" s="80">
        <v>44958</v>
      </c>
      <c r="Y883" s="78" t="s">
        <v>3001</v>
      </c>
      <c r="Z883" s="77" t="str">
        <f>HYPERLINK("https://twitter.com/tammyha13715584/status/1620920865893552128")</f>
        <v>https://twitter.com/tammyha13715584/status/1620920865893552128</v>
      </c>
      <c r="AC883" s="78" t="s">
        <v>4066</v>
      </c>
      <c r="AE883" t="b">
        <v>0</v>
      </c>
      <c r="AF883">
        <v>0</v>
      </c>
      <c r="AG883" s="78" t="s">
        <v>4640</v>
      </c>
      <c r="AH883" t="b">
        <v>0</v>
      </c>
      <c r="AI883" t="s">
        <v>4829</v>
      </c>
      <c r="AK883" s="78" t="s">
        <v>4640</v>
      </c>
      <c r="AL883" t="b">
        <v>0</v>
      </c>
      <c r="AM883">
        <v>4</v>
      </c>
      <c r="AN883" s="78" t="s">
        <v>4226</v>
      </c>
      <c r="AO883" s="78" t="s">
        <v>4851</v>
      </c>
      <c r="AP883" t="b">
        <v>0</v>
      </c>
      <c r="AQ883" s="78" t="s">
        <v>4226</v>
      </c>
      <c r="AR883" t="s">
        <v>179</v>
      </c>
      <c r="AS883">
        <v>0</v>
      </c>
      <c r="AT883">
        <v>0</v>
      </c>
    </row>
    <row r="884" spans="1:46" x14ac:dyDescent="0.45">
      <c r="A884" s="62" t="s">
        <v>779</v>
      </c>
      <c r="B884" s="62" t="s">
        <v>1267</v>
      </c>
      <c r="C884" s="63"/>
      <c r="D884" s="64"/>
      <c r="E884" s="65"/>
      <c r="F884" s="66"/>
      <c r="G884" s="63"/>
      <c r="H884" s="67"/>
      <c r="I884" s="68"/>
      <c r="J884" s="68"/>
      <c r="K884" s="32"/>
      <c r="L884" s="75"/>
      <c r="M884" s="75"/>
      <c r="N884" s="70"/>
      <c r="O884" t="s">
        <v>1570</v>
      </c>
      <c r="P884" s="76">
        <v>44958.960925925923</v>
      </c>
      <c r="Q884" t="s">
        <v>1784</v>
      </c>
      <c r="T884" s="78" t="s">
        <v>2345</v>
      </c>
      <c r="U884" s="77" t="str">
        <f>HYPERLINK("https://pbs.twimg.com/media/Fn5YO46XkAcRCaE.jpg")</f>
        <v>https://pbs.twimg.com/media/Fn5YO46XkAcRCaE.jpg</v>
      </c>
      <c r="V884" s="77" t="str">
        <f>HYPERLINK("https://pbs.twimg.com/media/Fn5YO46XkAcRCaE.jpg")</f>
        <v>https://pbs.twimg.com/media/Fn5YO46XkAcRCaE.jpg</v>
      </c>
      <c r="W884" s="76">
        <v>44958.960925925923</v>
      </c>
      <c r="X884" s="80">
        <v>44958</v>
      </c>
      <c r="Y884" s="78" t="s">
        <v>3001</v>
      </c>
      <c r="Z884" s="77" t="str">
        <f>HYPERLINK("https://twitter.com/tammyha13715584/status/1620920865893552128")</f>
        <v>https://twitter.com/tammyha13715584/status/1620920865893552128</v>
      </c>
      <c r="AC884" s="78" t="s">
        <v>4066</v>
      </c>
      <c r="AE884" t="b">
        <v>0</v>
      </c>
      <c r="AF884">
        <v>0</v>
      </c>
      <c r="AG884" s="78" t="s">
        <v>4640</v>
      </c>
      <c r="AH884" t="b">
        <v>0</v>
      </c>
      <c r="AI884" t="s">
        <v>4829</v>
      </c>
      <c r="AK884" s="78" t="s">
        <v>4640</v>
      </c>
      <c r="AL884" t="b">
        <v>0</v>
      </c>
      <c r="AM884">
        <v>4</v>
      </c>
      <c r="AN884" s="78" t="s">
        <v>4226</v>
      </c>
      <c r="AO884" s="78" t="s">
        <v>4851</v>
      </c>
      <c r="AP884" t="b">
        <v>0</v>
      </c>
      <c r="AQ884" s="78" t="s">
        <v>4226</v>
      </c>
      <c r="AR884" t="s">
        <v>179</v>
      </c>
      <c r="AS884">
        <v>0</v>
      </c>
      <c r="AT884">
        <v>0</v>
      </c>
    </row>
    <row r="885" spans="1:46" x14ac:dyDescent="0.45">
      <c r="A885" s="62" t="s">
        <v>779</v>
      </c>
      <c r="B885" s="62" t="s">
        <v>1268</v>
      </c>
      <c r="C885" s="63"/>
      <c r="D885" s="64"/>
      <c r="E885" s="65"/>
      <c r="F885" s="66"/>
      <c r="G885" s="63"/>
      <c r="H885" s="67"/>
      <c r="I885" s="68"/>
      <c r="J885" s="68"/>
      <c r="K885" s="32"/>
      <c r="L885" s="75"/>
      <c r="M885" s="75"/>
      <c r="N885" s="70"/>
      <c r="O885" t="s">
        <v>1570</v>
      </c>
      <c r="P885" s="76">
        <v>44958.960925925923</v>
      </c>
      <c r="Q885" t="s">
        <v>1784</v>
      </c>
      <c r="T885" s="78" t="s">
        <v>2345</v>
      </c>
      <c r="U885" s="77" t="str">
        <f>HYPERLINK("https://pbs.twimg.com/media/Fn5YO46XkAcRCaE.jpg")</f>
        <v>https://pbs.twimg.com/media/Fn5YO46XkAcRCaE.jpg</v>
      </c>
      <c r="V885" s="77" t="str">
        <f>HYPERLINK("https://pbs.twimg.com/media/Fn5YO46XkAcRCaE.jpg")</f>
        <v>https://pbs.twimg.com/media/Fn5YO46XkAcRCaE.jpg</v>
      </c>
      <c r="W885" s="76">
        <v>44958.960925925923</v>
      </c>
      <c r="X885" s="80">
        <v>44958</v>
      </c>
      <c r="Y885" s="78" t="s">
        <v>3001</v>
      </c>
      <c r="Z885" s="77" t="str">
        <f>HYPERLINK("https://twitter.com/tammyha13715584/status/1620920865893552128")</f>
        <v>https://twitter.com/tammyha13715584/status/1620920865893552128</v>
      </c>
      <c r="AC885" s="78" t="s">
        <v>4066</v>
      </c>
      <c r="AE885" t="b">
        <v>0</v>
      </c>
      <c r="AF885">
        <v>0</v>
      </c>
      <c r="AG885" s="78" t="s">
        <v>4640</v>
      </c>
      <c r="AH885" t="b">
        <v>0</v>
      </c>
      <c r="AI885" t="s">
        <v>4829</v>
      </c>
      <c r="AK885" s="78" t="s">
        <v>4640</v>
      </c>
      <c r="AL885" t="b">
        <v>0</v>
      </c>
      <c r="AM885">
        <v>4</v>
      </c>
      <c r="AN885" s="78" t="s">
        <v>4226</v>
      </c>
      <c r="AO885" s="78" t="s">
        <v>4851</v>
      </c>
      <c r="AP885" t="b">
        <v>0</v>
      </c>
      <c r="AQ885" s="78" t="s">
        <v>4226</v>
      </c>
      <c r="AR885" t="s">
        <v>179</v>
      </c>
      <c r="AS885">
        <v>0</v>
      </c>
      <c r="AT885">
        <v>0</v>
      </c>
    </row>
    <row r="886" spans="1:46" x14ac:dyDescent="0.45">
      <c r="A886" s="62" t="s">
        <v>779</v>
      </c>
      <c r="B886" s="62" t="s">
        <v>1181</v>
      </c>
      <c r="C886" s="63"/>
      <c r="D886" s="64"/>
      <c r="E886" s="65"/>
      <c r="F886" s="66"/>
      <c r="G886" s="63"/>
      <c r="H886" s="67"/>
      <c r="I886" s="68"/>
      <c r="J886" s="68"/>
      <c r="K886" s="32"/>
      <c r="L886" s="75"/>
      <c r="M886" s="75"/>
      <c r="N886" s="70"/>
      <c r="O886" t="s">
        <v>1570</v>
      </c>
      <c r="P886" s="76">
        <v>44958.960925925923</v>
      </c>
      <c r="Q886" t="s">
        <v>1784</v>
      </c>
      <c r="T886" s="78" t="s">
        <v>2345</v>
      </c>
      <c r="U886" s="77" t="str">
        <f>HYPERLINK("https://pbs.twimg.com/media/Fn5YO46XkAcRCaE.jpg")</f>
        <v>https://pbs.twimg.com/media/Fn5YO46XkAcRCaE.jpg</v>
      </c>
      <c r="V886" s="77" t="str">
        <f>HYPERLINK("https://pbs.twimg.com/media/Fn5YO46XkAcRCaE.jpg")</f>
        <v>https://pbs.twimg.com/media/Fn5YO46XkAcRCaE.jpg</v>
      </c>
      <c r="W886" s="76">
        <v>44958.960925925923</v>
      </c>
      <c r="X886" s="80">
        <v>44958</v>
      </c>
      <c r="Y886" s="78" t="s">
        <v>3001</v>
      </c>
      <c r="Z886" s="77" t="str">
        <f>HYPERLINK("https://twitter.com/tammyha13715584/status/1620920865893552128")</f>
        <v>https://twitter.com/tammyha13715584/status/1620920865893552128</v>
      </c>
      <c r="AC886" s="78" t="s">
        <v>4066</v>
      </c>
      <c r="AE886" t="b">
        <v>0</v>
      </c>
      <c r="AF886">
        <v>0</v>
      </c>
      <c r="AG886" s="78" t="s">
        <v>4640</v>
      </c>
      <c r="AH886" t="b">
        <v>0</v>
      </c>
      <c r="AI886" t="s">
        <v>4829</v>
      </c>
      <c r="AK886" s="78" t="s">
        <v>4640</v>
      </c>
      <c r="AL886" t="b">
        <v>0</v>
      </c>
      <c r="AM886">
        <v>4</v>
      </c>
      <c r="AN886" s="78" t="s">
        <v>4226</v>
      </c>
      <c r="AO886" s="78" t="s">
        <v>4851</v>
      </c>
      <c r="AP886" t="b">
        <v>0</v>
      </c>
      <c r="AQ886" s="78" t="s">
        <v>4226</v>
      </c>
      <c r="AR886" t="s">
        <v>179</v>
      </c>
      <c r="AS886">
        <v>0</v>
      </c>
      <c r="AT886">
        <v>0</v>
      </c>
    </row>
    <row r="887" spans="1:46" x14ac:dyDescent="0.45">
      <c r="A887" s="62" t="s">
        <v>779</v>
      </c>
      <c r="B887" s="62" t="s">
        <v>1113</v>
      </c>
      <c r="C887" s="63"/>
      <c r="D887" s="64"/>
      <c r="E887" s="65"/>
      <c r="F887" s="66"/>
      <c r="G887" s="63"/>
      <c r="H887" s="67"/>
      <c r="I887" s="68"/>
      <c r="J887" s="68"/>
      <c r="K887" s="32"/>
      <c r="L887" s="75"/>
      <c r="M887" s="75"/>
      <c r="N887" s="70"/>
      <c r="O887" t="s">
        <v>1570</v>
      </c>
      <c r="P887" s="76">
        <v>44958.960925925923</v>
      </c>
      <c r="Q887" t="s">
        <v>1784</v>
      </c>
      <c r="T887" s="78" t="s">
        <v>2345</v>
      </c>
      <c r="U887" s="77" t="str">
        <f>HYPERLINK("https://pbs.twimg.com/media/Fn5YO46XkAcRCaE.jpg")</f>
        <v>https://pbs.twimg.com/media/Fn5YO46XkAcRCaE.jpg</v>
      </c>
      <c r="V887" s="77" t="str">
        <f>HYPERLINK("https://pbs.twimg.com/media/Fn5YO46XkAcRCaE.jpg")</f>
        <v>https://pbs.twimg.com/media/Fn5YO46XkAcRCaE.jpg</v>
      </c>
      <c r="W887" s="76">
        <v>44958.960925925923</v>
      </c>
      <c r="X887" s="80">
        <v>44958</v>
      </c>
      <c r="Y887" s="78" t="s">
        <v>3001</v>
      </c>
      <c r="Z887" s="77" t="str">
        <f>HYPERLINK("https://twitter.com/tammyha13715584/status/1620920865893552128")</f>
        <v>https://twitter.com/tammyha13715584/status/1620920865893552128</v>
      </c>
      <c r="AC887" s="78" t="s">
        <v>4066</v>
      </c>
      <c r="AE887" t="b">
        <v>0</v>
      </c>
      <c r="AF887">
        <v>0</v>
      </c>
      <c r="AG887" s="78" t="s">
        <v>4640</v>
      </c>
      <c r="AH887" t="b">
        <v>0</v>
      </c>
      <c r="AI887" t="s">
        <v>4829</v>
      </c>
      <c r="AK887" s="78" t="s">
        <v>4640</v>
      </c>
      <c r="AL887" t="b">
        <v>0</v>
      </c>
      <c r="AM887">
        <v>4</v>
      </c>
      <c r="AN887" s="78" t="s">
        <v>4226</v>
      </c>
      <c r="AO887" s="78" t="s">
        <v>4851</v>
      </c>
      <c r="AP887" t="b">
        <v>0</v>
      </c>
      <c r="AQ887" s="78" t="s">
        <v>4226</v>
      </c>
      <c r="AR887" t="s">
        <v>179</v>
      </c>
      <c r="AS887">
        <v>0</v>
      </c>
      <c r="AT887">
        <v>0</v>
      </c>
    </row>
    <row r="888" spans="1:46" x14ac:dyDescent="0.45">
      <c r="A888" s="62" t="s">
        <v>779</v>
      </c>
      <c r="B888" s="62" t="s">
        <v>242</v>
      </c>
      <c r="C888" s="63"/>
      <c r="D888" s="64"/>
      <c r="E888" s="65"/>
      <c r="F888" s="66"/>
      <c r="G888" s="63"/>
      <c r="H888" s="67"/>
      <c r="I888" s="68"/>
      <c r="J888" s="68"/>
      <c r="K888" s="32"/>
      <c r="L888" s="75"/>
      <c r="M888" s="75"/>
      <c r="N888" s="70"/>
      <c r="O888" t="s">
        <v>1570</v>
      </c>
      <c r="P888" s="76">
        <v>44958.960925925923</v>
      </c>
      <c r="Q888" t="s">
        <v>1784</v>
      </c>
      <c r="T888" s="78" t="s">
        <v>2345</v>
      </c>
      <c r="U888" s="77" t="str">
        <f>HYPERLINK("https://pbs.twimg.com/media/Fn5YO46XkAcRCaE.jpg")</f>
        <v>https://pbs.twimg.com/media/Fn5YO46XkAcRCaE.jpg</v>
      </c>
      <c r="V888" s="77" t="str">
        <f>HYPERLINK("https://pbs.twimg.com/media/Fn5YO46XkAcRCaE.jpg")</f>
        <v>https://pbs.twimg.com/media/Fn5YO46XkAcRCaE.jpg</v>
      </c>
      <c r="W888" s="76">
        <v>44958.960925925923</v>
      </c>
      <c r="X888" s="80">
        <v>44958</v>
      </c>
      <c r="Y888" s="78" t="s">
        <v>3001</v>
      </c>
      <c r="Z888" s="77" t="str">
        <f>HYPERLINK("https://twitter.com/tammyha13715584/status/1620920865893552128")</f>
        <v>https://twitter.com/tammyha13715584/status/1620920865893552128</v>
      </c>
      <c r="AC888" s="78" t="s">
        <v>4066</v>
      </c>
      <c r="AE888" t="b">
        <v>0</v>
      </c>
      <c r="AF888">
        <v>0</v>
      </c>
      <c r="AG888" s="78" t="s">
        <v>4640</v>
      </c>
      <c r="AH888" t="b">
        <v>0</v>
      </c>
      <c r="AI888" t="s">
        <v>4829</v>
      </c>
      <c r="AK888" s="78" t="s">
        <v>4640</v>
      </c>
      <c r="AL888" t="b">
        <v>0</v>
      </c>
      <c r="AM888">
        <v>4</v>
      </c>
      <c r="AN888" s="78" t="s">
        <v>4226</v>
      </c>
      <c r="AO888" s="78" t="s">
        <v>4851</v>
      </c>
      <c r="AP888" t="b">
        <v>0</v>
      </c>
      <c r="AQ888" s="78" t="s">
        <v>4226</v>
      </c>
      <c r="AR888" t="s">
        <v>179</v>
      </c>
      <c r="AS888">
        <v>0</v>
      </c>
      <c r="AT888">
        <v>0</v>
      </c>
    </row>
    <row r="889" spans="1:46" x14ac:dyDescent="0.45">
      <c r="A889" s="62" t="s">
        <v>779</v>
      </c>
      <c r="B889" s="62" t="s">
        <v>899</v>
      </c>
      <c r="C889" s="63"/>
      <c r="D889" s="64"/>
      <c r="E889" s="65"/>
      <c r="F889" s="66"/>
      <c r="G889" s="63"/>
      <c r="H889" s="67"/>
      <c r="I889" s="68"/>
      <c r="J889" s="68"/>
      <c r="K889" s="32"/>
      <c r="L889" s="75"/>
      <c r="M889" s="75"/>
      <c r="N889" s="70"/>
      <c r="O889" t="s">
        <v>1569</v>
      </c>
      <c r="P889" s="76">
        <v>44958.960925925923</v>
      </c>
      <c r="Q889" t="s">
        <v>1784</v>
      </c>
      <c r="T889" s="78" t="s">
        <v>2345</v>
      </c>
      <c r="U889" s="77" t="str">
        <f>HYPERLINK("https://pbs.twimg.com/media/Fn5YO46XkAcRCaE.jpg")</f>
        <v>https://pbs.twimg.com/media/Fn5YO46XkAcRCaE.jpg</v>
      </c>
      <c r="V889" s="77" t="str">
        <f>HYPERLINK("https://pbs.twimg.com/media/Fn5YO46XkAcRCaE.jpg")</f>
        <v>https://pbs.twimg.com/media/Fn5YO46XkAcRCaE.jpg</v>
      </c>
      <c r="W889" s="76">
        <v>44958.960925925923</v>
      </c>
      <c r="X889" s="80">
        <v>44958</v>
      </c>
      <c r="Y889" s="78" t="s">
        <v>3001</v>
      </c>
      <c r="Z889" s="77" t="str">
        <f>HYPERLINK("https://twitter.com/tammyha13715584/status/1620920865893552128")</f>
        <v>https://twitter.com/tammyha13715584/status/1620920865893552128</v>
      </c>
      <c r="AC889" s="78" t="s">
        <v>4066</v>
      </c>
      <c r="AE889" t="b">
        <v>0</v>
      </c>
      <c r="AF889">
        <v>0</v>
      </c>
      <c r="AG889" s="78" t="s">
        <v>4640</v>
      </c>
      <c r="AH889" t="b">
        <v>0</v>
      </c>
      <c r="AI889" t="s">
        <v>4829</v>
      </c>
      <c r="AK889" s="78" t="s">
        <v>4640</v>
      </c>
      <c r="AL889" t="b">
        <v>0</v>
      </c>
      <c r="AM889">
        <v>4</v>
      </c>
      <c r="AN889" s="78" t="s">
        <v>4226</v>
      </c>
      <c r="AO889" s="78" t="s">
        <v>4851</v>
      </c>
      <c r="AP889" t="b">
        <v>0</v>
      </c>
      <c r="AQ889" s="78" t="s">
        <v>4226</v>
      </c>
      <c r="AR889" t="s">
        <v>179</v>
      </c>
      <c r="AS889">
        <v>0</v>
      </c>
      <c r="AT889">
        <v>0</v>
      </c>
    </row>
    <row r="890" spans="1:46" x14ac:dyDescent="0.45">
      <c r="A890" s="62" t="s">
        <v>900</v>
      </c>
      <c r="B890" s="62" t="s">
        <v>1265</v>
      </c>
      <c r="C890" s="63"/>
      <c r="D890" s="64"/>
      <c r="E890" s="65"/>
      <c r="F890" s="66"/>
      <c r="G890" s="63"/>
      <c r="H890" s="67"/>
      <c r="I890" s="68"/>
      <c r="J890" s="68"/>
      <c r="K890" s="32"/>
      <c r="L890" s="75"/>
      <c r="M890" s="75"/>
      <c r="N890" s="70"/>
      <c r="O890" t="s">
        <v>1570</v>
      </c>
      <c r="P890" s="76">
        <v>44959.089444444442</v>
      </c>
      <c r="Q890" t="s">
        <v>1784</v>
      </c>
      <c r="T890" s="78" t="s">
        <v>2345</v>
      </c>
      <c r="U890" s="77" t="str">
        <f>HYPERLINK("https://pbs.twimg.com/media/Fn5YO46XkAcRCaE.jpg")</f>
        <v>https://pbs.twimg.com/media/Fn5YO46XkAcRCaE.jpg</v>
      </c>
      <c r="V890" s="77" t="str">
        <f>HYPERLINK("https://pbs.twimg.com/media/Fn5YO46XkAcRCaE.jpg")</f>
        <v>https://pbs.twimg.com/media/Fn5YO46XkAcRCaE.jpg</v>
      </c>
      <c r="W890" s="76">
        <v>44959.089444444442</v>
      </c>
      <c r="X890" s="80">
        <v>44959</v>
      </c>
      <c r="Y890" s="78" t="s">
        <v>3162</v>
      </c>
      <c r="Z890" s="77" t="str">
        <f>HYPERLINK("https://twitter.com/o_aidee/status/1620967441227747328")</f>
        <v>https://twitter.com/o_aidee/status/1620967441227747328</v>
      </c>
      <c r="AC890" s="78" t="s">
        <v>4227</v>
      </c>
      <c r="AE890" t="b">
        <v>0</v>
      </c>
      <c r="AF890">
        <v>0</v>
      </c>
      <c r="AG890" s="78" t="s">
        <v>4640</v>
      </c>
      <c r="AH890" t="b">
        <v>0</v>
      </c>
      <c r="AI890" t="s">
        <v>4829</v>
      </c>
      <c r="AK890" s="78" t="s">
        <v>4640</v>
      </c>
      <c r="AL890" t="b">
        <v>0</v>
      </c>
      <c r="AM890">
        <v>4</v>
      </c>
      <c r="AN890" s="78" t="s">
        <v>4226</v>
      </c>
      <c r="AO890" s="78" t="s">
        <v>4851</v>
      </c>
      <c r="AP890" t="b">
        <v>0</v>
      </c>
      <c r="AQ890" s="78" t="s">
        <v>4226</v>
      </c>
      <c r="AR890" t="s">
        <v>179</v>
      </c>
      <c r="AS890">
        <v>0</v>
      </c>
      <c r="AT890">
        <v>0</v>
      </c>
    </row>
    <row r="891" spans="1:46" x14ac:dyDescent="0.45">
      <c r="A891" s="62" t="s">
        <v>900</v>
      </c>
      <c r="B891" s="62" t="s">
        <v>1266</v>
      </c>
      <c r="C891" s="63"/>
      <c r="D891" s="64"/>
      <c r="E891" s="65"/>
      <c r="F891" s="66"/>
      <c r="G891" s="63"/>
      <c r="H891" s="67"/>
      <c r="I891" s="68"/>
      <c r="J891" s="68"/>
      <c r="K891" s="32"/>
      <c r="L891" s="75"/>
      <c r="M891" s="75"/>
      <c r="N891" s="70"/>
      <c r="O891" t="s">
        <v>1570</v>
      </c>
      <c r="P891" s="76">
        <v>44959.089444444442</v>
      </c>
      <c r="Q891" t="s">
        <v>1784</v>
      </c>
      <c r="T891" s="78" t="s">
        <v>2345</v>
      </c>
      <c r="U891" s="77" t="str">
        <f>HYPERLINK("https://pbs.twimg.com/media/Fn5YO46XkAcRCaE.jpg")</f>
        <v>https://pbs.twimg.com/media/Fn5YO46XkAcRCaE.jpg</v>
      </c>
      <c r="V891" s="77" t="str">
        <f>HYPERLINK("https://pbs.twimg.com/media/Fn5YO46XkAcRCaE.jpg")</f>
        <v>https://pbs.twimg.com/media/Fn5YO46XkAcRCaE.jpg</v>
      </c>
      <c r="W891" s="76">
        <v>44959.089444444442</v>
      </c>
      <c r="X891" s="80">
        <v>44959</v>
      </c>
      <c r="Y891" s="78" t="s">
        <v>3162</v>
      </c>
      <c r="Z891" s="77" t="str">
        <f>HYPERLINK("https://twitter.com/o_aidee/status/1620967441227747328")</f>
        <v>https://twitter.com/o_aidee/status/1620967441227747328</v>
      </c>
      <c r="AC891" s="78" t="s">
        <v>4227</v>
      </c>
      <c r="AE891" t="b">
        <v>0</v>
      </c>
      <c r="AF891">
        <v>0</v>
      </c>
      <c r="AG891" s="78" t="s">
        <v>4640</v>
      </c>
      <c r="AH891" t="b">
        <v>0</v>
      </c>
      <c r="AI891" t="s">
        <v>4829</v>
      </c>
      <c r="AK891" s="78" t="s">
        <v>4640</v>
      </c>
      <c r="AL891" t="b">
        <v>0</v>
      </c>
      <c r="AM891">
        <v>4</v>
      </c>
      <c r="AN891" s="78" t="s">
        <v>4226</v>
      </c>
      <c r="AO891" s="78" t="s">
        <v>4851</v>
      </c>
      <c r="AP891" t="b">
        <v>0</v>
      </c>
      <c r="AQ891" s="78" t="s">
        <v>4226</v>
      </c>
      <c r="AR891" t="s">
        <v>179</v>
      </c>
      <c r="AS891">
        <v>0</v>
      </c>
      <c r="AT891">
        <v>0</v>
      </c>
    </row>
    <row r="892" spans="1:46" x14ac:dyDescent="0.45">
      <c r="A892" s="62" t="s">
        <v>900</v>
      </c>
      <c r="B892" s="62" t="s">
        <v>1268</v>
      </c>
      <c r="C892" s="63"/>
      <c r="D892" s="64"/>
      <c r="E892" s="65"/>
      <c r="F892" s="66"/>
      <c r="G892" s="63"/>
      <c r="H892" s="67"/>
      <c r="I892" s="68"/>
      <c r="J892" s="68"/>
      <c r="K892" s="32"/>
      <c r="L892" s="75"/>
      <c r="M892" s="75"/>
      <c r="N892" s="70"/>
      <c r="O892" t="s">
        <v>1570</v>
      </c>
      <c r="P892" s="76">
        <v>44959.089444444442</v>
      </c>
      <c r="Q892" t="s">
        <v>1784</v>
      </c>
      <c r="T892" s="78" t="s">
        <v>2345</v>
      </c>
      <c r="U892" s="77" t="str">
        <f>HYPERLINK("https://pbs.twimg.com/media/Fn5YO46XkAcRCaE.jpg")</f>
        <v>https://pbs.twimg.com/media/Fn5YO46XkAcRCaE.jpg</v>
      </c>
      <c r="V892" s="77" t="str">
        <f>HYPERLINK("https://pbs.twimg.com/media/Fn5YO46XkAcRCaE.jpg")</f>
        <v>https://pbs.twimg.com/media/Fn5YO46XkAcRCaE.jpg</v>
      </c>
      <c r="W892" s="76">
        <v>44959.089444444442</v>
      </c>
      <c r="X892" s="80">
        <v>44959</v>
      </c>
      <c r="Y892" s="78" t="s">
        <v>3162</v>
      </c>
      <c r="Z892" s="77" t="str">
        <f>HYPERLINK("https://twitter.com/o_aidee/status/1620967441227747328")</f>
        <v>https://twitter.com/o_aidee/status/1620967441227747328</v>
      </c>
      <c r="AC892" s="78" t="s">
        <v>4227</v>
      </c>
      <c r="AE892" t="b">
        <v>0</v>
      </c>
      <c r="AF892">
        <v>0</v>
      </c>
      <c r="AG892" s="78" t="s">
        <v>4640</v>
      </c>
      <c r="AH892" t="b">
        <v>0</v>
      </c>
      <c r="AI892" t="s">
        <v>4829</v>
      </c>
      <c r="AK892" s="78" t="s">
        <v>4640</v>
      </c>
      <c r="AL892" t="b">
        <v>0</v>
      </c>
      <c r="AM892">
        <v>4</v>
      </c>
      <c r="AN892" s="78" t="s">
        <v>4226</v>
      </c>
      <c r="AO892" s="78" t="s">
        <v>4851</v>
      </c>
      <c r="AP892" t="b">
        <v>0</v>
      </c>
      <c r="AQ892" s="78" t="s">
        <v>4226</v>
      </c>
      <c r="AR892" t="s">
        <v>179</v>
      </c>
      <c r="AS892">
        <v>0</v>
      </c>
      <c r="AT892">
        <v>0</v>
      </c>
    </row>
    <row r="893" spans="1:46" x14ac:dyDescent="0.45">
      <c r="A893" s="62" t="s">
        <v>900</v>
      </c>
      <c r="B893" s="62" t="s">
        <v>899</v>
      </c>
      <c r="C893" s="63"/>
      <c r="D893" s="64"/>
      <c r="E893" s="65"/>
      <c r="F893" s="66"/>
      <c r="G893" s="63"/>
      <c r="H893" s="67"/>
      <c r="I893" s="68"/>
      <c r="J893" s="68"/>
      <c r="K893" s="32"/>
      <c r="L893" s="75"/>
      <c r="M893" s="75"/>
      <c r="N893" s="70"/>
      <c r="O893" t="s">
        <v>1569</v>
      </c>
      <c r="P893" s="76">
        <v>44959.089444444442</v>
      </c>
      <c r="Q893" t="s">
        <v>1784</v>
      </c>
      <c r="T893" s="78" t="s">
        <v>2345</v>
      </c>
      <c r="U893" s="77" t="str">
        <f>HYPERLINK("https://pbs.twimg.com/media/Fn5YO46XkAcRCaE.jpg")</f>
        <v>https://pbs.twimg.com/media/Fn5YO46XkAcRCaE.jpg</v>
      </c>
      <c r="V893" s="77" t="str">
        <f>HYPERLINK("https://pbs.twimg.com/media/Fn5YO46XkAcRCaE.jpg")</f>
        <v>https://pbs.twimg.com/media/Fn5YO46XkAcRCaE.jpg</v>
      </c>
      <c r="W893" s="76">
        <v>44959.089444444442</v>
      </c>
      <c r="X893" s="80">
        <v>44959</v>
      </c>
      <c r="Y893" s="78" t="s">
        <v>3162</v>
      </c>
      <c r="Z893" s="77" t="str">
        <f>HYPERLINK("https://twitter.com/o_aidee/status/1620967441227747328")</f>
        <v>https://twitter.com/o_aidee/status/1620967441227747328</v>
      </c>
      <c r="AC893" s="78" t="s">
        <v>4227</v>
      </c>
      <c r="AE893" t="b">
        <v>0</v>
      </c>
      <c r="AF893">
        <v>0</v>
      </c>
      <c r="AG893" s="78" t="s">
        <v>4640</v>
      </c>
      <c r="AH893" t="b">
        <v>0</v>
      </c>
      <c r="AI893" t="s">
        <v>4829</v>
      </c>
      <c r="AK893" s="78" t="s">
        <v>4640</v>
      </c>
      <c r="AL893" t="b">
        <v>0</v>
      </c>
      <c r="AM893">
        <v>4</v>
      </c>
      <c r="AN893" s="78" t="s">
        <v>4226</v>
      </c>
      <c r="AO893" s="78" t="s">
        <v>4851</v>
      </c>
      <c r="AP893" t="b">
        <v>0</v>
      </c>
      <c r="AQ893" s="78" t="s">
        <v>4226</v>
      </c>
      <c r="AR893" t="s">
        <v>179</v>
      </c>
      <c r="AS893">
        <v>0</v>
      </c>
      <c r="AT893">
        <v>0</v>
      </c>
    </row>
    <row r="894" spans="1:46" x14ac:dyDescent="0.45">
      <c r="A894" s="62" t="s">
        <v>900</v>
      </c>
      <c r="B894" s="62" t="s">
        <v>1267</v>
      </c>
      <c r="C894" s="63"/>
      <c r="D894" s="64"/>
      <c r="E894" s="65"/>
      <c r="F894" s="66"/>
      <c r="G894" s="63"/>
      <c r="H894" s="67"/>
      <c r="I894" s="68"/>
      <c r="J894" s="68"/>
      <c r="K894" s="32"/>
      <c r="L894" s="75"/>
      <c r="M894" s="75"/>
      <c r="N894" s="70"/>
      <c r="O894" t="s">
        <v>1570</v>
      </c>
      <c r="P894" s="76">
        <v>44959.089444444442</v>
      </c>
      <c r="Q894" t="s">
        <v>1784</v>
      </c>
      <c r="T894" s="78" t="s">
        <v>2345</v>
      </c>
      <c r="U894" s="77" t="str">
        <f>HYPERLINK("https://pbs.twimg.com/media/Fn5YO46XkAcRCaE.jpg")</f>
        <v>https://pbs.twimg.com/media/Fn5YO46XkAcRCaE.jpg</v>
      </c>
      <c r="V894" s="77" t="str">
        <f>HYPERLINK("https://pbs.twimg.com/media/Fn5YO46XkAcRCaE.jpg")</f>
        <v>https://pbs.twimg.com/media/Fn5YO46XkAcRCaE.jpg</v>
      </c>
      <c r="W894" s="76">
        <v>44959.089444444442</v>
      </c>
      <c r="X894" s="80">
        <v>44959</v>
      </c>
      <c r="Y894" s="78" t="s">
        <v>3162</v>
      </c>
      <c r="Z894" s="77" t="str">
        <f>HYPERLINK("https://twitter.com/o_aidee/status/1620967441227747328")</f>
        <v>https://twitter.com/o_aidee/status/1620967441227747328</v>
      </c>
      <c r="AC894" s="78" t="s">
        <v>4227</v>
      </c>
      <c r="AE894" t="b">
        <v>0</v>
      </c>
      <c r="AF894">
        <v>0</v>
      </c>
      <c r="AG894" s="78" t="s">
        <v>4640</v>
      </c>
      <c r="AH894" t="b">
        <v>0</v>
      </c>
      <c r="AI894" t="s">
        <v>4829</v>
      </c>
      <c r="AK894" s="78" t="s">
        <v>4640</v>
      </c>
      <c r="AL894" t="b">
        <v>0</v>
      </c>
      <c r="AM894">
        <v>4</v>
      </c>
      <c r="AN894" s="78" t="s">
        <v>4226</v>
      </c>
      <c r="AO894" s="78" t="s">
        <v>4851</v>
      </c>
      <c r="AP894" t="b">
        <v>0</v>
      </c>
      <c r="AQ894" s="78" t="s">
        <v>4226</v>
      </c>
      <c r="AR894" t="s">
        <v>179</v>
      </c>
      <c r="AS894">
        <v>0</v>
      </c>
      <c r="AT894">
        <v>0</v>
      </c>
    </row>
    <row r="895" spans="1:46" x14ac:dyDescent="0.45">
      <c r="A895" s="62" t="s">
        <v>900</v>
      </c>
      <c r="B895" s="62" t="s">
        <v>1181</v>
      </c>
      <c r="C895" s="63"/>
      <c r="D895" s="64"/>
      <c r="E895" s="65"/>
      <c r="F895" s="66"/>
      <c r="G895" s="63"/>
      <c r="H895" s="67"/>
      <c r="I895" s="68"/>
      <c r="J895" s="68"/>
      <c r="K895" s="32"/>
      <c r="L895" s="75"/>
      <c r="M895" s="75"/>
      <c r="N895" s="70"/>
      <c r="O895" t="s">
        <v>1570</v>
      </c>
      <c r="P895" s="76">
        <v>44959.089444444442</v>
      </c>
      <c r="Q895" t="s">
        <v>1784</v>
      </c>
      <c r="T895" s="78" t="s">
        <v>2345</v>
      </c>
      <c r="U895" s="77" t="str">
        <f>HYPERLINK("https://pbs.twimg.com/media/Fn5YO46XkAcRCaE.jpg")</f>
        <v>https://pbs.twimg.com/media/Fn5YO46XkAcRCaE.jpg</v>
      </c>
      <c r="V895" s="77" t="str">
        <f>HYPERLINK("https://pbs.twimg.com/media/Fn5YO46XkAcRCaE.jpg")</f>
        <v>https://pbs.twimg.com/media/Fn5YO46XkAcRCaE.jpg</v>
      </c>
      <c r="W895" s="76">
        <v>44959.089444444442</v>
      </c>
      <c r="X895" s="80">
        <v>44959</v>
      </c>
      <c r="Y895" s="78" t="s">
        <v>3162</v>
      </c>
      <c r="Z895" s="77" t="str">
        <f>HYPERLINK("https://twitter.com/o_aidee/status/1620967441227747328")</f>
        <v>https://twitter.com/o_aidee/status/1620967441227747328</v>
      </c>
      <c r="AC895" s="78" t="s">
        <v>4227</v>
      </c>
      <c r="AE895" t="b">
        <v>0</v>
      </c>
      <c r="AF895">
        <v>0</v>
      </c>
      <c r="AG895" s="78" t="s">
        <v>4640</v>
      </c>
      <c r="AH895" t="b">
        <v>0</v>
      </c>
      <c r="AI895" t="s">
        <v>4829</v>
      </c>
      <c r="AK895" s="78" t="s">
        <v>4640</v>
      </c>
      <c r="AL895" t="b">
        <v>0</v>
      </c>
      <c r="AM895">
        <v>4</v>
      </c>
      <c r="AN895" s="78" t="s">
        <v>4226</v>
      </c>
      <c r="AO895" s="78" t="s">
        <v>4851</v>
      </c>
      <c r="AP895" t="b">
        <v>0</v>
      </c>
      <c r="AQ895" s="78" t="s">
        <v>4226</v>
      </c>
      <c r="AR895" t="s">
        <v>179</v>
      </c>
      <c r="AS895">
        <v>0</v>
      </c>
      <c r="AT895">
        <v>0</v>
      </c>
    </row>
    <row r="896" spans="1:46" x14ac:dyDescent="0.45">
      <c r="A896" s="62" t="s">
        <v>900</v>
      </c>
      <c r="B896" s="62" t="s">
        <v>1113</v>
      </c>
      <c r="C896" s="63"/>
      <c r="D896" s="64"/>
      <c r="E896" s="65"/>
      <c r="F896" s="66"/>
      <c r="G896" s="63"/>
      <c r="H896" s="67"/>
      <c r="I896" s="68"/>
      <c r="J896" s="68"/>
      <c r="K896" s="32"/>
      <c r="L896" s="75"/>
      <c r="M896" s="75"/>
      <c r="N896" s="70"/>
      <c r="O896" t="s">
        <v>1570</v>
      </c>
      <c r="P896" s="76">
        <v>44959.089444444442</v>
      </c>
      <c r="Q896" t="s">
        <v>1784</v>
      </c>
      <c r="T896" s="78" t="s">
        <v>2345</v>
      </c>
      <c r="U896" s="77" t="str">
        <f>HYPERLINK("https://pbs.twimg.com/media/Fn5YO46XkAcRCaE.jpg")</f>
        <v>https://pbs.twimg.com/media/Fn5YO46XkAcRCaE.jpg</v>
      </c>
      <c r="V896" s="77" t="str">
        <f>HYPERLINK("https://pbs.twimg.com/media/Fn5YO46XkAcRCaE.jpg")</f>
        <v>https://pbs.twimg.com/media/Fn5YO46XkAcRCaE.jpg</v>
      </c>
      <c r="W896" s="76">
        <v>44959.089444444442</v>
      </c>
      <c r="X896" s="80">
        <v>44959</v>
      </c>
      <c r="Y896" s="78" t="s">
        <v>3162</v>
      </c>
      <c r="Z896" s="77" t="str">
        <f>HYPERLINK("https://twitter.com/o_aidee/status/1620967441227747328")</f>
        <v>https://twitter.com/o_aidee/status/1620967441227747328</v>
      </c>
      <c r="AC896" s="78" t="s">
        <v>4227</v>
      </c>
      <c r="AE896" t="b">
        <v>0</v>
      </c>
      <c r="AF896">
        <v>0</v>
      </c>
      <c r="AG896" s="78" t="s">
        <v>4640</v>
      </c>
      <c r="AH896" t="b">
        <v>0</v>
      </c>
      <c r="AI896" t="s">
        <v>4829</v>
      </c>
      <c r="AK896" s="78" t="s">
        <v>4640</v>
      </c>
      <c r="AL896" t="b">
        <v>0</v>
      </c>
      <c r="AM896">
        <v>4</v>
      </c>
      <c r="AN896" s="78" t="s">
        <v>4226</v>
      </c>
      <c r="AO896" s="78" t="s">
        <v>4851</v>
      </c>
      <c r="AP896" t="b">
        <v>0</v>
      </c>
      <c r="AQ896" s="78" t="s">
        <v>4226</v>
      </c>
      <c r="AR896" t="s">
        <v>179</v>
      </c>
      <c r="AS896">
        <v>0</v>
      </c>
      <c r="AT896">
        <v>0</v>
      </c>
    </row>
    <row r="897" spans="1:46" x14ac:dyDescent="0.45">
      <c r="A897" s="62" t="s">
        <v>900</v>
      </c>
      <c r="B897" s="62" t="s">
        <v>242</v>
      </c>
      <c r="C897" s="63"/>
      <c r="D897" s="64"/>
      <c r="E897" s="65"/>
      <c r="F897" s="66"/>
      <c r="G897" s="63"/>
      <c r="H897" s="67"/>
      <c r="I897" s="68"/>
      <c r="J897" s="68"/>
      <c r="K897" s="32"/>
      <c r="L897" s="75"/>
      <c r="M897" s="75"/>
      <c r="N897" s="70"/>
      <c r="O897" t="s">
        <v>1570</v>
      </c>
      <c r="P897" s="76">
        <v>44959.089444444442</v>
      </c>
      <c r="Q897" t="s">
        <v>1784</v>
      </c>
      <c r="T897" s="78" t="s">
        <v>2345</v>
      </c>
      <c r="U897" s="77" t="str">
        <f>HYPERLINK("https://pbs.twimg.com/media/Fn5YO46XkAcRCaE.jpg")</f>
        <v>https://pbs.twimg.com/media/Fn5YO46XkAcRCaE.jpg</v>
      </c>
      <c r="V897" s="77" t="str">
        <f>HYPERLINK("https://pbs.twimg.com/media/Fn5YO46XkAcRCaE.jpg")</f>
        <v>https://pbs.twimg.com/media/Fn5YO46XkAcRCaE.jpg</v>
      </c>
      <c r="W897" s="76">
        <v>44959.089444444442</v>
      </c>
      <c r="X897" s="80">
        <v>44959</v>
      </c>
      <c r="Y897" s="78" t="s">
        <v>3162</v>
      </c>
      <c r="Z897" s="77" t="str">
        <f>HYPERLINK("https://twitter.com/o_aidee/status/1620967441227747328")</f>
        <v>https://twitter.com/o_aidee/status/1620967441227747328</v>
      </c>
      <c r="AC897" s="78" t="s">
        <v>4227</v>
      </c>
      <c r="AE897" t="b">
        <v>0</v>
      </c>
      <c r="AF897">
        <v>0</v>
      </c>
      <c r="AG897" s="78" t="s">
        <v>4640</v>
      </c>
      <c r="AH897" t="b">
        <v>0</v>
      </c>
      <c r="AI897" t="s">
        <v>4829</v>
      </c>
      <c r="AK897" s="78" t="s">
        <v>4640</v>
      </c>
      <c r="AL897" t="b">
        <v>0</v>
      </c>
      <c r="AM897">
        <v>4</v>
      </c>
      <c r="AN897" s="78" t="s">
        <v>4226</v>
      </c>
      <c r="AO897" s="78" t="s">
        <v>4851</v>
      </c>
      <c r="AP897" t="b">
        <v>0</v>
      </c>
      <c r="AQ897" s="78" t="s">
        <v>4226</v>
      </c>
      <c r="AR897" t="s">
        <v>179</v>
      </c>
      <c r="AS897">
        <v>0</v>
      </c>
      <c r="AT897">
        <v>0</v>
      </c>
    </row>
    <row r="898" spans="1:46" x14ac:dyDescent="0.45">
      <c r="A898" s="62" t="s">
        <v>460</v>
      </c>
      <c r="B898" s="62" t="s">
        <v>242</v>
      </c>
      <c r="C898" s="63"/>
      <c r="D898" s="64"/>
      <c r="E898" s="65"/>
      <c r="F898" s="66"/>
      <c r="G898" s="63"/>
      <c r="H898" s="67"/>
      <c r="I898" s="68"/>
      <c r="J898" s="68"/>
      <c r="K898" s="32"/>
      <c r="L898" s="75"/>
      <c r="M898" s="75"/>
      <c r="N898" s="70"/>
      <c r="O898" t="s">
        <v>1568</v>
      </c>
      <c r="P898" s="76">
        <v>44958.647604166668</v>
      </c>
      <c r="Q898" t="s">
        <v>1716</v>
      </c>
      <c r="T898" s="78" t="s">
        <v>460</v>
      </c>
      <c r="U898" s="77" t="str">
        <f>HYPERLINK("https://pbs.twimg.com/media/Fn5DjGUXwAgXJV1.jpg")</f>
        <v>https://pbs.twimg.com/media/Fn5DjGUXwAgXJV1.jpg</v>
      </c>
      <c r="V898" s="77" t="str">
        <f>HYPERLINK("https://pbs.twimg.com/media/Fn5DjGUXwAgXJV1.jpg")</f>
        <v>https://pbs.twimg.com/media/Fn5DjGUXwAgXJV1.jpg</v>
      </c>
      <c r="W898" s="76">
        <v>44958.647604166668</v>
      </c>
      <c r="X898" s="80">
        <v>44958</v>
      </c>
      <c r="Y898" s="78" t="s">
        <v>2690</v>
      </c>
      <c r="Z898" s="77" t="str">
        <f>HYPERLINK("https://twitter.com/betrremedies/status/1620807324557344789")</f>
        <v>https://twitter.com/betrremedies/status/1620807324557344789</v>
      </c>
      <c r="AC898" s="78" t="s">
        <v>3708</v>
      </c>
      <c r="AE898" t="b">
        <v>0</v>
      </c>
      <c r="AF898">
        <v>10</v>
      </c>
      <c r="AG898" s="78" t="s">
        <v>4640</v>
      </c>
      <c r="AH898" t="b">
        <v>0</v>
      </c>
      <c r="AI898" t="s">
        <v>4829</v>
      </c>
      <c r="AK898" s="78" t="s">
        <v>4640</v>
      </c>
      <c r="AL898" t="b">
        <v>0</v>
      </c>
      <c r="AM898">
        <v>2</v>
      </c>
      <c r="AN898" s="78" t="s">
        <v>4640</v>
      </c>
      <c r="AO898" s="78" t="s">
        <v>4864</v>
      </c>
      <c r="AP898" t="b">
        <v>0</v>
      </c>
      <c r="AQ898" s="78" t="s">
        <v>3708</v>
      </c>
      <c r="AR898" t="s">
        <v>179</v>
      </c>
      <c r="AS898">
        <v>0</v>
      </c>
      <c r="AT898">
        <v>0</v>
      </c>
    </row>
    <row r="899" spans="1:46" x14ac:dyDescent="0.45">
      <c r="A899" s="62" t="s">
        <v>377</v>
      </c>
      <c r="B899" s="62" t="s">
        <v>242</v>
      </c>
      <c r="C899" s="63"/>
      <c r="D899" s="64"/>
      <c r="E899" s="65"/>
      <c r="F899" s="66"/>
      <c r="G899" s="63"/>
      <c r="H899" s="67"/>
      <c r="I899" s="68"/>
      <c r="J899" s="68"/>
      <c r="K899" s="32"/>
      <c r="L899" s="75"/>
      <c r="M899" s="75"/>
      <c r="N899" s="70"/>
      <c r="O899" t="s">
        <v>1570</v>
      </c>
      <c r="P899" s="76">
        <v>44958.689710648148</v>
      </c>
      <c r="Q899" t="s">
        <v>1716</v>
      </c>
      <c r="T899" s="78" t="s">
        <v>460</v>
      </c>
      <c r="U899" s="77" t="str">
        <f>HYPERLINK("https://pbs.twimg.com/media/Fn5DjGUXwAgXJV1.jpg")</f>
        <v>https://pbs.twimg.com/media/Fn5DjGUXwAgXJV1.jpg</v>
      </c>
      <c r="V899" s="77" t="str">
        <f>HYPERLINK("https://pbs.twimg.com/media/Fn5DjGUXwAgXJV1.jpg")</f>
        <v>https://pbs.twimg.com/media/Fn5DjGUXwAgXJV1.jpg</v>
      </c>
      <c r="W899" s="76">
        <v>44958.689710648148</v>
      </c>
      <c r="X899" s="80">
        <v>44958</v>
      </c>
      <c r="Y899" s="78" t="s">
        <v>2603</v>
      </c>
      <c r="Z899" s="77" t="str">
        <f>HYPERLINK("https://twitter.com/pasdempeo/status/1620822583376752640")</f>
        <v>https://twitter.com/pasdempeo/status/1620822583376752640</v>
      </c>
      <c r="AC899" s="78" t="s">
        <v>3620</v>
      </c>
      <c r="AE899" t="b">
        <v>0</v>
      </c>
      <c r="AF899">
        <v>0</v>
      </c>
      <c r="AG899" s="78" t="s">
        <v>4640</v>
      </c>
      <c r="AH899" t="b">
        <v>0</v>
      </c>
      <c r="AI899" t="s">
        <v>4829</v>
      </c>
      <c r="AK899" s="78" t="s">
        <v>4640</v>
      </c>
      <c r="AL899" t="b">
        <v>0</v>
      </c>
      <c r="AM899">
        <v>2</v>
      </c>
      <c r="AN899" s="78" t="s">
        <v>3708</v>
      </c>
      <c r="AO899" s="78" t="s">
        <v>4850</v>
      </c>
      <c r="AP899" t="b">
        <v>0</v>
      </c>
      <c r="AQ899" s="78" t="s">
        <v>3708</v>
      </c>
      <c r="AR899" t="s">
        <v>179</v>
      </c>
      <c r="AS899">
        <v>0</v>
      </c>
      <c r="AT899">
        <v>0</v>
      </c>
    </row>
    <row r="900" spans="1:46" x14ac:dyDescent="0.45">
      <c r="A900" s="62" t="s">
        <v>377</v>
      </c>
      <c r="B900" s="62" t="s">
        <v>460</v>
      </c>
      <c r="C900" s="63"/>
      <c r="D900" s="64"/>
      <c r="E900" s="65"/>
      <c r="F900" s="66"/>
      <c r="G900" s="63"/>
      <c r="H900" s="67"/>
      <c r="I900" s="68"/>
      <c r="J900" s="68"/>
      <c r="K900" s="32"/>
      <c r="L900" s="75"/>
      <c r="M900" s="75"/>
      <c r="N900" s="70"/>
      <c r="O900" t="s">
        <v>1569</v>
      </c>
      <c r="P900" s="76">
        <v>44958.689710648148</v>
      </c>
      <c r="Q900" t="s">
        <v>1716</v>
      </c>
      <c r="T900" s="78" t="s">
        <v>460</v>
      </c>
      <c r="U900" s="77" t="str">
        <f>HYPERLINK("https://pbs.twimg.com/media/Fn5DjGUXwAgXJV1.jpg")</f>
        <v>https://pbs.twimg.com/media/Fn5DjGUXwAgXJV1.jpg</v>
      </c>
      <c r="V900" s="77" t="str">
        <f>HYPERLINK("https://pbs.twimg.com/media/Fn5DjGUXwAgXJV1.jpg")</f>
        <v>https://pbs.twimg.com/media/Fn5DjGUXwAgXJV1.jpg</v>
      </c>
      <c r="W900" s="76">
        <v>44958.689710648148</v>
      </c>
      <c r="X900" s="80">
        <v>44958</v>
      </c>
      <c r="Y900" s="78" t="s">
        <v>2603</v>
      </c>
      <c r="Z900" s="77" t="str">
        <f>HYPERLINK("https://twitter.com/pasdempeo/status/1620822583376752640")</f>
        <v>https://twitter.com/pasdempeo/status/1620822583376752640</v>
      </c>
      <c r="AC900" s="78" t="s">
        <v>3620</v>
      </c>
      <c r="AE900" t="b">
        <v>0</v>
      </c>
      <c r="AF900">
        <v>0</v>
      </c>
      <c r="AG900" s="78" t="s">
        <v>4640</v>
      </c>
      <c r="AH900" t="b">
        <v>0</v>
      </c>
      <c r="AI900" t="s">
        <v>4829</v>
      </c>
      <c r="AK900" s="78" t="s">
        <v>4640</v>
      </c>
      <c r="AL900" t="b">
        <v>0</v>
      </c>
      <c r="AM900">
        <v>2</v>
      </c>
      <c r="AN900" s="78" t="s">
        <v>3708</v>
      </c>
      <c r="AO900" s="78" t="s">
        <v>4850</v>
      </c>
      <c r="AP900" t="b">
        <v>0</v>
      </c>
      <c r="AQ900" s="78" t="s">
        <v>3708</v>
      </c>
      <c r="AR900" t="s">
        <v>179</v>
      </c>
      <c r="AS900">
        <v>0</v>
      </c>
      <c r="AT900">
        <v>0</v>
      </c>
    </row>
    <row r="901" spans="1:46" x14ac:dyDescent="0.45">
      <c r="A901" s="62" t="s">
        <v>461</v>
      </c>
      <c r="B901" s="62" t="s">
        <v>460</v>
      </c>
      <c r="C901" s="63"/>
      <c r="D901" s="64"/>
      <c r="E901" s="65"/>
      <c r="F901" s="66"/>
      <c r="G901" s="63"/>
      <c r="H901" s="67"/>
      <c r="I901" s="68"/>
      <c r="J901" s="68"/>
      <c r="K901" s="32"/>
      <c r="L901" s="75"/>
      <c r="M901" s="75"/>
      <c r="N901" s="70"/>
      <c r="O901" t="s">
        <v>1569</v>
      </c>
      <c r="P901" s="76">
        <v>44958.730740740742</v>
      </c>
      <c r="Q901" t="s">
        <v>1716</v>
      </c>
      <c r="T901" s="78" t="s">
        <v>460</v>
      </c>
      <c r="U901" s="77" t="str">
        <f>HYPERLINK("https://pbs.twimg.com/media/Fn5DjGUXwAgXJV1.jpg")</f>
        <v>https://pbs.twimg.com/media/Fn5DjGUXwAgXJV1.jpg</v>
      </c>
      <c r="V901" s="77" t="str">
        <f>HYPERLINK("https://pbs.twimg.com/media/Fn5DjGUXwAgXJV1.jpg")</f>
        <v>https://pbs.twimg.com/media/Fn5DjGUXwAgXJV1.jpg</v>
      </c>
      <c r="W901" s="76">
        <v>44958.730740740742</v>
      </c>
      <c r="X901" s="80">
        <v>44958</v>
      </c>
      <c r="Y901" s="78" t="s">
        <v>2691</v>
      </c>
      <c r="Z901" s="77" t="str">
        <f>HYPERLINK("https://twitter.com/katzirgaya/status/1620837448384401408")</f>
        <v>https://twitter.com/katzirgaya/status/1620837448384401408</v>
      </c>
      <c r="AC901" s="78" t="s">
        <v>3709</v>
      </c>
      <c r="AE901" t="b">
        <v>0</v>
      </c>
      <c r="AF901">
        <v>0</v>
      </c>
      <c r="AG901" s="78" t="s">
        <v>4640</v>
      </c>
      <c r="AH901" t="b">
        <v>0</v>
      </c>
      <c r="AI901" t="s">
        <v>4829</v>
      </c>
      <c r="AK901" s="78" t="s">
        <v>4640</v>
      </c>
      <c r="AL901" t="b">
        <v>0</v>
      </c>
      <c r="AM901">
        <v>2</v>
      </c>
      <c r="AN901" s="78" t="s">
        <v>3708</v>
      </c>
      <c r="AO901" s="78" t="s">
        <v>4849</v>
      </c>
      <c r="AP901" t="b">
        <v>0</v>
      </c>
      <c r="AQ901" s="78" t="s">
        <v>3708</v>
      </c>
      <c r="AR901" t="s">
        <v>179</v>
      </c>
      <c r="AS901">
        <v>0</v>
      </c>
      <c r="AT901">
        <v>0</v>
      </c>
    </row>
    <row r="902" spans="1:46" x14ac:dyDescent="0.45">
      <c r="A902" s="62" t="s">
        <v>461</v>
      </c>
      <c r="B902" s="62" t="s">
        <v>242</v>
      </c>
      <c r="C902" s="63"/>
      <c r="D902" s="64"/>
      <c r="E902" s="65"/>
      <c r="F902" s="66"/>
      <c r="G902" s="63"/>
      <c r="H902" s="67"/>
      <c r="I902" s="68"/>
      <c r="J902" s="68"/>
      <c r="K902" s="32"/>
      <c r="L902" s="75"/>
      <c r="M902" s="75"/>
      <c r="N902" s="70"/>
      <c r="O902" t="s">
        <v>1570</v>
      </c>
      <c r="P902" s="76">
        <v>44958.730740740742</v>
      </c>
      <c r="Q902" t="s">
        <v>1716</v>
      </c>
      <c r="T902" s="78" t="s">
        <v>460</v>
      </c>
      <c r="U902" s="77" t="str">
        <f>HYPERLINK("https://pbs.twimg.com/media/Fn5DjGUXwAgXJV1.jpg")</f>
        <v>https://pbs.twimg.com/media/Fn5DjGUXwAgXJV1.jpg</v>
      </c>
      <c r="V902" s="77" t="str">
        <f>HYPERLINK("https://pbs.twimg.com/media/Fn5DjGUXwAgXJV1.jpg")</f>
        <v>https://pbs.twimg.com/media/Fn5DjGUXwAgXJV1.jpg</v>
      </c>
      <c r="W902" s="76">
        <v>44958.730740740742</v>
      </c>
      <c r="X902" s="80">
        <v>44958</v>
      </c>
      <c r="Y902" s="78" t="s">
        <v>2691</v>
      </c>
      <c r="Z902" s="77" t="str">
        <f>HYPERLINK("https://twitter.com/katzirgaya/status/1620837448384401408")</f>
        <v>https://twitter.com/katzirgaya/status/1620837448384401408</v>
      </c>
      <c r="AC902" s="78" t="s">
        <v>3709</v>
      </c>
      <c r="AE902" t="b">
        <v>0</v>
      </c>
      <c r="AF902">
        <v>0</v>
      </c>
      <c r="AG902" s="78" t="s">
        <v>4640</v>
      </c>
      <c r="AH902" t="b">
        <v>0</v>
      </c>
      <c r="AI902" t="s">
        <v>4829</v>
      </c>
      <c r="AK902" s="78" t="s">
        <v>4640</v>
      </c>
      <c r="AL902" t="b">
        <v>0</v>
      </c>
      <c r="AM902">
        <v>2</v>
      </c>
      <c r="AN902" s="78" t="s">
        <v>3708</v>
      </c>
      <c r="AO902" s="78" t="s">
        <v>4849</v>
      </c>
      <c r="AP902" t="b">
        <v>0</v>
      </c>
      <c r="AQ902" s="78" t="s">
        <v>3708</v>
      </c>
      <c r="AR902" t="s">
        <v>179</v>
      </c>
      <c r="AS902">
        <v>0</v>
      </c>
      <c r="AT902">
        <v>0</v>
      </c>
    </row>
    <row r="903" spans="1:46" x14ac:dyDescent="0.45">
      <c r="A903" s="62" t="s">
        <v>964</v>
      </c>
      <c r="B903" s="62" t="s">
        <v>1217</v>
      </c>
      <c r="C903" s="63"/>
      <c r="D903" s="64"/>
      <c r="E903" s="65"/>
      <c r="F903" s="66"/>
      <c r="G903" s="63"/>
      <c r="H903" s="67"/>
      <c r="I903" s="68"/>
      <c r="J903" s="68"/>
      <c r="K903" s="32"/>
      <c r="L903" s="75"/>
      <c r="M903" s="75"/>
      <c r="N903" s="70"/>
      <c r="O903" t="s">
        <v>1568</v>
      </c>
      <c r="P903" s="76">
        <v>44959.150370370371</v>
      </c>
      <c r="Q903" t="s">
        <v>2123</v>
      </c>
      <c r="T903" s="78" t="s">
        <v>2403</v>
      </c>
      <c r="U903" s="77" t="str">
        <f>HYPERLINK("https://pbs.twimg.com/tweet_video_thumb/Fn7pX2SWYAAci56.jpg")</f>
        <v>https://pbs.twimg.com/tweet_video_thumb/Fn7pX2SWYAAci56.jpg</v>
      </c>
      <c r="V903" s="77" t="str">
        <f>HYPERLINK("https://pbs.twimg.com/tweet_video_thumb/Fn7pX2SWYAAci56.jpg")</f>
        <v>https://pbs.twimg.com/tweet_video_thumb/Fn7pX2SWYAAci56.jpg</v>
      </c>
      <c r="W903" s="76">
        <v>44959.150370370371</v>
      </c>
      <c r="X903" s="80">
        <v>44959</v>
      </c>
      <c r="Y903" s="78" t="s">
        <v>3240</v>
      </c>
      <c r="Z903" s="77" t="str">
        <f>HYPERLINK("https://twitter.com/alkulaib/status/1620989520429588484")</f>
        <v>https://twitter.com/alkulaib/status/1620989520429588484</v>
      </c>
      <c r="AC903" s="78" t="s">
        <v>4305</v>
      </c>
      <c r="AD903" s="78" t="s">
        <v>4601</v>
      </c>
      <c r="AE903" t="b">
        <v>0</v>
      </c>
      <c r="AF903">
        <v>1</v>
      </c>
      <c r="AG903" s="78" t="s">
        <v>4781</v>
      </c>
      <c r="AH903" t="b">
        <v>0</v>
      </c>
      <c r="AI903" t="s">
        <v>4829</v>
      </c>
      <c r="AK903" s="78" t="s">
        <v>4640</v>
      </c>
      <c r="AL903" t="b">
        <v>0</v>
      </c>
      <c r="AM903">
        <v>0</v>
      </c>
      <c r="AN903" s="78" t="s">
        <v>4640</v>
      </c>
      <c r="AO903" s="78" t="s">
        <v>4849</v>
      </c>
      <c r="AP903" t="b">
        <v>0</v>
      </c>
      <c r="AQ903" s="78" t="s">
        <v>4601</v>
      </c>
      <c r="AR903" t="s">
        <v>179</v>
      </c>
      <c r="AS903">
        <v>0</v>
      </c>
      <c r="AT903">
        <v>0</v>
      </c>
    </row>
    <row r="904" spans="1:46" x14ac:dyDescent="0.45">
      <c r="A904" s="62" t="s">
        <v>964</v>
      </c>
      <c r="B904" s="62" t="s">
        <v>242</v>
      </c>
      <c r="C904" s="63"/>
      <c r="D904" s="64"/>
      <c r="E904" s="65"/>
      <c r="F904" s="66"/>
      <c r="G904" s="63"/>
      <c r="H904" s="67"/>
      <c r="I904" s="68"/>
      <c r="J904" s="68"/>
      <c r="K904" s="32"/>
      <c r="L904" s="75"/>
      <c r="M904" s="75"/>
      <c r="N904" s="70"/>
      <c r="O904" t="s">
        <v>1568</v>
      </c>
      <c r="P904" s="76">
        <v>44959.150370370371</v>
      </c>
      <c r="Q904" t="s">
        <v>2123</v>
      </c>
      <c r="T904" s="78" t="s">
        <v>2403</v>
      </c>
      <c r="U904" s="77" t="str">
        <f>HYPERLINK("https://pbs.twimg.com/tweet_video_thumb/Fn7pX2SWYAAci56.jpg")</f>
        <v>https://pbs.twimg.com/tweet_video_thumb/Fn7pX2SWYAAci56.jpg</v>
      </c>
      <c r="V904" s="77" t="str">
        <f>HYPERLINK("https://pbs.twimg.com/tweet_video_thumb/Fn7pX2SWYAAci56.jpg")</f>
        <v>https://pbs.twimg.com/tweet_video_thumb/Fn7pX2SWYAAci56.jpg</v>
      </c>
      <c r="W904" s="76">
        <v>44959.150370370371</v>
      </c>
      <c r="X904" s="80">
        <v>44959</v>
      </c>
      <c r="Y904" s="78" t="s">
        <v>3240</v>
      </c>
      <c r="Z904" s="77" t="str">
        <f>HYPERLINK("https://twitter.com/alkulaib/status/1620989520429588484")</f>
        <v>https://twitter.com/alkulaib/status/1620989520429588484</v>
      </c>
      <c r="AC904" s="78" t="s">
        <v>4305</v>
      </c>
      <c r="AD904" s="78" t="s">
        <v>4601</v>
      </c>
      <c r="AE904" t="b">
        <v>0</v>
      </c>
      <c r="AF904">
        <v>1</v>
      </c>
      <c r="AG904" s="78" t="s">
        <v>4781</v>
      </c>
      <c r="AH904" t="b">
        <v>0</v>
      </c>
      <c r="AI904" t="s">
        <v>4829</v>
      </c>
      <c r="AK904" s="78" t="s">
        <v>4640</v>
      </c>
      <c r="AL904" t="b">
        <v>0</v>
      </c>
      <c r="AM904">
        <v>0</v>
      </c>
      <c r="AN904" s="78" t="s">
        <v>4640</v>
      </c>
      <c r="AO904" s="78" t="s">
        <v>4849</v>
      </c>
      <c r="AP904" t="b">
        <v>0</v>
      </c>
      <c r="AQ904" s="78" t="s">
        <v>4601</v>
      </c>
      <c r="AR904" t="s">
        <v>179</v>
      </c>
      <c r="AS904">
        <v>0</v>
      </c>
      <c r="AT904">
        <v>0</v>
      </c>
    </row>
    <row r="905" spans="1:46" x14ac:dyDescent="0.45">
      <c r="A905" s="62" t="s">
        <v>964</v>
      </c>
      <c r="B905" s="62" t="s">
        <v>965</v>
      </c>
      <c r="C905" s="63"/>
      <c r="D905" s="64"/>
      <c r="E905" s="65"/>
      <c r="F905" s="66"/>
      <c r="G905" s="63"/>
      <c r="H905" s="67"/>
      <c r="I905" s="68"/>
      <c r="J905" s="68"/>
      <c r="K905" s="32"/>
      <c r="L905" s="75"/>
      <c r="M905" s="75"/>
      <c r="N905" s="70"/>
      <c r="O905" t="s">
        <v>1568</v>
      </c>
      <c r="P905" s="76">
        <v>44959.150370370371</v>
      </c>
      <c r="Q905" t="s">
        <v>2123</v>
      </c>
      <c r="T905" s="78" t="s">
        <v>2403</v>
      </c>
      <c r="U905" s="77" t="str">
        <f>HYPERLINK("https://pbs.twimg.com/tweet_video_thumb/Fn7pX2SWYAAci56.jpg")</f>
        <v>https://pbs.twimg.com/tweet_video_thumb/Fn7pX2SWYAAci56.jpg</v>
      </c>
      <c r="V905" s="77" t="str">
        <f>HYPERLINK("https://pbs.twimg.com/tweet_video_thumb/Fn7pX2SWYAAci56.jpg")</f>
        <v>https://pbs.twimg.com/tweet_video_thumb/Fn7pX2SWYAAci56.jpg</v>
      </c>
      <c r="W905" s="76">
        <v>44959.150370370371</v>
      </c>
      <c r="X905" s="80">
        <v>44959</v>
      </c>
      <c r="Y905" s="78" t="s">
        <v>3240</v>
      </c>
      <c r="Z905" s="77" t="str">
        <f>HYPERLINK("https://twitter.com/alkulaib/status/1620989520429588484")</f>
        <v>https://twitter.com/alkulaib/status/1620989520429588484</v>
      </c>
      <c r="AC905" s="78" t="s">
        <v>4305</v>
      </c>
      <c r="AD905" s="78" t="s">
        <v>4601</v>
      </c>
      <c r="AE905" t="b">
        <v>0</v>
      </c>
      <c r="AF905">
        <v>1</v>
      </c>
      <c r="AG905" s="78" t="s">
        <v>4781</v>
      </c>
      <c r="AH905" t="b">
        <v>0</v>
      </c>
      <c r="AI905" t="s">
        <v>4829</v>
      </c>
      <c r="AK905" s="78" t="s">
        <v>4640</v>
      </c>
      <c r="AL905" t="b">
        <v>0</v>
      </c>
      <c r="AM905">
        <v>0</v>
      </c>
      <c r="AN905" s="78" t="s">
        <v>4640</v>
      </c>
      <c r="AO905" s="78" t="s">
        <v>4849</v>
      </c>
      <c r="AP905" t="b">
        <v>0</v>
      </c>
      <c r="AQ905" s="78" t="s">
        <v>4601</v>
      </c>
      <c r="AR905" t="s">
        <v>179</v>
      </c>
      <c r="AS905">
        <v>0</v>
      </c>
      <c r="AT905">
        <v>0</v>
      </c>
    </row>
    <row r="906" spans="1:46" x14ac:dyDescent="0.45">
      <c r="A906" s="62" t="s">
        <v>964</v>
      </c>
      <c r="B906" s="62" t="s">
        <v>963</v>
      </c>
      <c r="C906" s="63"/>
      <c r="D906" s="64"/>
      <c r="E906" s="65"/>
      <c r="F906" s="66"/>
      <c r="G906" s="63"/>
      <c r="H906" s="67"/>
      <c r="I906" s="68"/>
      <c r="J906" s="68"/>
      <c r="K906" s="32"/>
      <c r="L906" s="75"/>
      <c r="M906" s="75"/>
      <c r="N906" s="70"/>
      <c r="O906" t="s">
        <v>1567</v>
      </c>
      <c r="P906" s="76">
        <v>44959.150370370371</v>
      </c>
      <c r="Q906" t="s">
        <v>2123</v>
      </c>
      <c r="T906" s="78" t="s">
        <v>2403</v>
      </c>
      <c r="U906" s="77" t="str">
        <f>HYPERLINK("https://pbs.twimg.com/tweet_video_thumb/Fn7pX2SWYAAci56.jpg")</f>
        <v>https://pbs.twimg.com/tweet_video_thumb/Fn7pX2SWYAAci56.jpg</v>
      </c>
      <c r="V906" s="77" t="str">
        <f>HYPERLINK("https://pbs.twimg.com/tweet_video_thumb/Fn7pX2SWYAAci56.jpg")</f>
        <v>https://pbs.twimg.com/tweet_video_thumb/Fn7pX2SWYAAci56.jpg</v>
      </c>
      <c r="W906" s="76">
        <v>44959.150370370371</v>
      </c>
      <c r="X906" s="80">
        <v>44959</v>
      </c>
      <c r="Y906" s="78" t="s">
        <v>3240</v>
      </c>
      <c r="Z906" s="77" t="str">
        <f>HYPERLINK("https://twitter.com/alkulaib/status/1620989520429588484")</f>
        <v>https://twitter.com/alkulaib/status/1620989520429588484</v>
      </c>
      <c r="AC906" s="78" t="s">
        <v>4305</v>
      </c>
      <c r="AD906" s="78" t="s">
        <v>4601</v>
      </c>
      <c r="AE906" t="b">
        <v>0</v>
      </c>
      <c r="AF906">
        <v>1</v>
      </c>
      <c r="AG906" s="78" t="s">
        <v>4781</v>
      </c>
      <c r="AH906" t="b">
        <v>0</v>
      </c>
      <c r="AI906" t="s">
        <v>4829</v>
      </c>
      <c r="AK906" s="78" t="s">
        <v>4640</v>
      </c>
      <c r="AL906" t="b">
        <v>0</v>
      </c>
      <c r="AM906">
        <v>0</v>
      </c>
      <c r="AN906" s="78" t="s">
        <v>4640</v>
      </c>
      <c r="AO906" s="78" t="s">
        <v>4849</v>
      </c>
      <c r="AP906" t="b">
        <v>0</v>
      </c>
      <c r="AQ906" s="78" t="s">
        <v>4601</v>
      </c>
      <c r="AR906" t="s">
        <v>179</v>
      </c>
      <c r="AS906">
        <v>0</v>
      </c>
      <c r="AT906">
        <v>0</v>
      </c>
    </row>
    <row r="907" spans="1:46" x14ac:dyDescent="0.45">
      <c r="A907" s="62" t="s">
        <v>537</v>
      </c>
      <c r="B907" s="62" t="s">
        <v>242</v>
      </c>
      <c r="C907" s="63"/>
      <c r="D907" s="64"/>
      <c r="E907" s="65"/>
      <c r="F907" s="66"/>
      <c r="G907" s="63"/>
      <c r="H907" s="67"/>
      <c r="I907" s="68"/>
      <c r="J907" s="68"/>
      <c r="K907" s="32"/>
      <c r="L907" s="75"/>
      <c r="M907" s="75"/>
      <c r="N907" s="70"/>
      <c r="O907" t="s">
        <v>1568</v>
      </c>
      <c r="P907" s="76">
        <v>44958.638969907406</v>
      </c>
      <c r="Q907" t="s">
        <v>1680</v>
      </c>
      <c r="T907" s="78" t="s">
        <v>2329</v>
      </c>
      <c r="U907" s="77" t="str">
        <f>HYPERLINK("https://pbs.twimg.com/media/Fn5AzybXoAo1iIH.jpg")</f>
        <v>https://pbs.twimg.com/media/Fn5AzybXoAo1iIH.jpg</v>
      </c>
      <c r="V907" s="77" t="str">
        <f>HYPERLINK("https://pbs.twimg.com/media/Fn5AzybXoAo1iIH.jpg")</f>
        <v>https://pbs.twimg.com/media/Fn5AzybXoAo1iIH.jpg</v>
      </c>
      <c r="W907" s="76">
        <v>44958.638969907406</v>
      </c>
      <c r="X907" s="80">
        <v>44958</v>
      </c>
      <c r="Y907" s="78" t="s">
        <v>2779</v>
      </c>
      <c r="Z907" s="77" t="str">
        <f>HYPERLINK("https://twitter.com/forrespect/status/1620804195539353612")</f>
        <v>https://twitter.com/forrespect/status/1620804195539353612</v>
      </c>
      <c r="AC907" s="78" t="s">
        <v>3798</v>
      </c>
      <c r="AE907" t="b">
        <v>0</v>
      </c>
      <c r="AF907">
        <v>9</v>
      </c>
      <c r="AG907" s="78" t="s">
        <v>4640</v>
      </c>
      <c r="AH907" t="b">
        <v>0</v>
      </c>
      <c r="AI907" t="s">
        <v>4829</v>
      </c>
      <c r="AK907" s="78" t="s">
        <v>4640</v>
      </c>
      <c r="AL907" t="b">
        <v>0</v>
      </c>
      <c r="AM907">
        <v>5</v>
      </c>
      <c r="AN907" s="78" t="s">
        <v>4640</v>
      </c>
      <c r="AO907" s="78" t="s">
        <v>4865</v>
      </c>
      <c r="AP907" t="b">
        <v>0</v>
      </c>
      <c r="AQ907" s="78" t="s">
        <v>3798</v>
      </c>
      <c r="AR907" t="s">
        <v>179</v>
      </c>
      <c r="AS907">
        <v>0</v>
      </c>
      <c r="AT907">
        <v>0</v>
      </c>
    </row>
    <row r="908" spans="1:46" x14ac:dyDescent="0.45">
      <c r="A908" s="62" t="s">
        <v>334</v>
      </c>
      <c r="B908" s="62" t="s">
        <v>242</v>
      </c>
      <c r="C908" s="63"/>
      <c r="D908" s="64"/>
      <c r="E908" s="65"/>
      <c r="F908" s="66"/>
      <c r="G908" s="63"/>
      <c r="H908" s="67"/>
      <c r="I908" s="68"/>
      <c r="J908" s="68"/>
      <c r="K908" s="32"/>
      <c r="L908" s="75"/>
      <c r="M908" s="75"/>
      <c r="N908" s="70"/>
      <c r="O908" t="s">
        <v>1570</v>
      </c>
      <c r="P908" s="76">
        <v>44958.644675925927</v>
      </c>
      <c r="Q908" t="s">
        <v>1680</v>
      </c>
      <c r="T908" s="78" t="s">
        <v>2329</v>
      </c>
      <c r="U908" s="77" t="str">
        <f>HYPERLINK("https://pbs.twimg.com/media/Fn5AzybXoAo1iIH.jpg")</f>
        <v>https://pbs.twimg.com/media/Fn5AzybXoAo1iIH.jpg</v>
      </c>
      <c r="V908" s="77" t="str">
        <f>HYPERLINK("https://pbs.twimg.com/media/Fn5AzybXoAo1iIH.jpg")</f>
        <v>https://pbs.twimg.com/media/Fn5AzybXoAo1iIH.jpg</v>
      </c>
      <c r="W908" s="76">
        <v>44958.644675925927</v>
      </c>
      <c r="X908" s="80">
        <v>44958</v>
      </c>
      <c r="Y908" s="78" t="s">
        <v>2554</v>
      </c>
      <c r="Z908" s="77" t="str">
        <f>HYPERLINK("https://twitter.com/phineasgregg/status/1620806262433742848")</f>
        <v>https://twitter.com/phineasgregg/status/1620806262433742848</v>
      </c>
      <c r="AC908" s="78" t="s">
        <v>3571</v>
      </c>
      <c r="AE908" t="b">
        <v>0</v>
      </c>
      <c r="AF908">
        <v>0</v>
      </c>
      <c r="AG908" s="78" t="s">
        <v>4640</v>
      </c>
      <c r="AH908" t="b">
        <v>0</v>
      </c>
      <c r="AI908" t="s">
        <v>4829</v>
      </c>
      <c r="AK908" s="78" t="s">
        <v>4640</v>
      </c>
      <c r="AL908" t="b">
        <v>0</v>
      </c>
      <c r="AM908">
        <v>5</v>
      </c>
      <c r="AN908" s="78" t="s">
        <v>3798</v>
      </c>
      <c r="AO908" s="78" t="s">
        <v>4856</v>
      </c>
      <c r="AP908" t="b">
        <v>0</v>
      </c>
      <c r="AQ908" s="78" t="s">
        <v>3798</v>
      </c>
      <c r="AR908" t="s">
        <v>179</v>
      </c>
      <c r="AS908">
        <v>0</v>
      </c>
      <c r="AT908">
        <v>0</v>
      </c>
    </row>
    <row r="909" spans="1:46" x14ac:dyDescent="0.45">
      <c r="A909" s="62" t="s">
        <v>334</v>
      </c>
      <c r="B909" s="62" t="s">
        <v>537</v>
      </c>
      <c r="C909" s="63"/>
      <c r="D909" s="64"/>
      <c r="E909" s="65"/>
      <c r="F909" s="66"/>
      <c r="G909" s="63"/>
      <c r="H909" s="67"/>
      <c r="I909" s="68"/>
      <c r="J909" s="68"/>
      <c r="K909" s="32"/>
      <c r="L909" s="75"/>
      <c r="M909" s="75"/>
      <c r="N909" s="70"/>
      <c r="O909" t="s">
        <v>1569</v>
      </c>
      <c r="P909" s="76">
        <v>44958.644675925927</v>
      </c>
      <c r="Q909" t="s">
        <v>1680</v>
      </c>
      <c r="T909" s="78" t="s">
        <v>2329</v>
      </c>
      <c r="U909" s="77" t="str">
        <f>HYPERLINK("https://pbs.twimg.com/media/Fn5AzybXoAo1iIH.jpg")</f>
        <v>https://pbs.twimg.com/media/Fn5AzybXoAo1iIH.jpg</v>
      </c>
      <c r="V909" s="77" t="str">
        <f>HYPERLINK("https://pbs.twimg.com/media/Fn5AzybXoAo1iIH.jpg")</f>
        <v>https://pbs.twimg.com/media/Fn5AzybXoAo1iIH.jpg</v>
      </c>
      <c r="W909" s="76">
        <v>44958.644675925927</v>
      </c>
      <c r="X909" s="80">
        <v>44958</v>
      </c>
      <c r="Y909" s="78" t="s">
        <v>2554</v>
      </c>
      <c r="Z909" s="77" t="str">
        <f>HYPERLINK("https://twitter.com/phineasgregg/status/1620806262433742848")</f>
        <v>https://twitter.com/phineasgregg/status/1620806262433742848</v>
      </c>
      <c r="AC909" s="78" t="s">
        <v>3571</v>
      </c>
      <c r="AE909" t="b">
        <v>0</v>
      </c>
      <c r="AF909">
        <v>0</v>
      </c>
      <c r="AG909" s="78" t="s">
        <v>4640</v>
      </c>
      <c r="AH909" t="b">
        <v>0</v>
      </c>
      <c r="AI909" t="s">
        <v>4829</v>
      </c>
      <c r="AK909" s="78" t="s">
        <v>4640</v>
      </c>
      <c r="AL909" t="b">
        <v>0</v>
      </c>
      <c r="AM909">
        <v>5</v>
      </c>
      <c r="AN909" s="78" t="s">
        <v>3798</v>
      </c>
      <c r="AO909" s="78" t="s">
        <v>4856</v>
      </c>
      <c r="AP909" t="b">
        <v>0</v>
      </c>
      <c r="AQ909" s="78" t="s">
        <v>3798</v>
      </c>
      <c r="AR909" t="s">
        <v>179</v>
      </c>
      <c r="AS909">
        <v>0</v>
      </c>
      <c r="AT909">
        <v>0</v>
      </c>
    </row>
    <row r="910" spans="1:46" x14ac:dyDescent="0.45">
      <c r="A910" s="62" t="s">
        <v>363</v>
      </c>
      <c r="B910" s="62" t="s">
        <v>242</v>
      </c>
      <c r="C910" s="63"/>
      <c r="D910" s="64"/>
      <c r="E910" s="65"/>
      <c r="F910" s="66"/>
      <c r="G910" s="63"/>
      <c r="H910" s="67"/>
      <c r="I910" s="68"/>
      <c r="J910" s="68"/>
      <c r="K910" s="32"/>
      <c r="L910" s="75"/>
      <c r="M910" s="75"/>
      <c r="N910" s="70"/>
      <c r="O910" t="s">
        <v>1570</v>
      </c>
      <c r="P910" s="76">
        <v>44958.681261574071</v>
      </c>
      <c r="Q910" t="s">
        <v>1680</v>
      </c>
      <c r="T910" s="78" t="s">
        <v>2329</v>
      </c>
      <c r="U910" s="77" t="str">
        <f>HYPERLINK("https://pbs.twimg.com/media/Fn5AzybXoAo1iIH.jpg")</f>
        <v>https://pbs.twimg.com/media/Fn5AzybXoAo1iIH.jpg</v>
      </c>
      <c r="V910" s="77" t="str">
        <f>HYPERLINK("https://pbs.twimg.com/media/Fn5AzybXoAo1iIH.jpg")</f>
        <v>https://pbs.twimg.com/media/Fn5AzybXoAo1iIH.jpg</v>
      </c>
      <c r="W910" s="76">
        <v>44958.681261574071</v>
      </c>
      <c r="X910" s="80">
        <v>44958</v>
      </c>
      <c r="Y910" s="78" t="s">
        <v>2585</v>
      </c>
      <c r="Z910" s="77" t="str">
        <f>HYPERLINK("https://twitter.com/seattledsalabor/status/1620819520066830338")</f>
        <v>https://twitter.com/seattledsalabor/status/1620819520066830338</v>
      </c>
      <c r="AC910" s="78" t="s">
        <v>3602</v>
      </c>
      <c r="AE910" t="b">
        <v>0</v>
      </c>
      <c r="AF910">
        <v>0</v>
      </c>
      <c r="AG910" s="78" t="s">
        <v>4640</v>
      </c>
      <c r="AH910" t="b">
        <v>0</v>
      </c>
      <c r="AI910" t="s">
        <v>4829</v>
      </c>
      <c r="AK910" s="78" t="s">
        <v>4640</v>
      </c>
      <c r="AL910" t="b">
        <v>0</v>
      </c>
      <c r="AM910">
        <v>5</v>
      </c>
      <c r="AN910" s="78" t="s">
        <v>3798</v>
      </c>
      <c r="AO910" s="78" t="s">
        <v>4850</v>
      </c>
      <c r="AP910" t="b">
        <v>0</v>
      </c>
      <c r="AQ910" s="78" t="s">
        <v>3798</v>
      </c>
      <c r="AR910" t="s">
        <v>179</v>
      </c>
      <c r="AS910">
        <v>0</v>
      </c>
      <c r="AT910">
        <v>0</v>
      </c>
    </row>
    <row r="911" spans="1:46" x14ac:dyDescent="0.45">
      <c r="A911" s="62" t="s">
        <v>363</v>
      </c>
      <c r="B911" s="62" t="s">
        <v>537</v>
      </c>
      <c r="C911" s="63"/>
      <c r="D911" s="64"/>
      <c r="E911" s="65"/>
      <c r="F911" s="66"/>
      <c r="G911" s="63"/>
      <c r="H911" s="67"/>
      <c r="I911" s="68"/>
      <c r="J911" s="68"/>
      <c r="K911" s="32"/>
      <c r="L911" s="75"/>
      <c r="M911" s="75"/>
      <c r="N911" s="70"/>
      <c r="O911" t="s">
        <v>1569</v>
      </c>
      <c r="P911" s="76">
        <v>44958.681261574071</v>
      </c>
      <c r="Q911" t="s">
        <v>1680</v>
      </c>
      <c r="T911" s="78" t="s">
        <v>2329</v>
      </c>
      <c r="U911" s="77" t="str">
        <f>HYPERLINK("https://pbs.twimg.com/media/Fn5AzybXoAo1iIH.jpg")</f>
        <v>https://pbs.twimg.com/media/Fn5AzybXoAo1iIH.jpg</v>
      </c>
      <c r="V911" s="77" t="str">
        <f>HYPERLINK("https://pbs.twimg.com/media/Fn5AzybXoAo1iIH.jpg")</f>
        <v>https://pbs.twimg.com/media/Fn5AzybXoAo1iIH.jpg</v>
      </c>
      <c r="W911" s="76">
        <v>44958.681261574071</v>
      </c>
      <c r="X911" s="80">
        <v>44958</v>
      </c>
      <c r="Y911" s="78" t="s">
        <v>2585</v>
      </c>
      <c r="Z911" s="77" t="str">
        <f>HYPERLINK("https://twitter.com/seattledsalabor/status/1620819520066830338")</f>
        <v>https://twitter.com/seattledsalabor/status/1620819520066830338</v>
      </c>
      <c r="AC911" s="78" t="s">
        <v>3602</v>
      </c>
      <c r="AE911" t="b">
        <v>0</v>
      </c>
      <c r="AF911">
        <v>0</v>
      </c>
      <c r="AG911" s="78" t="s">
        <v>4640</v>
      </c>
      <c r="AH911" t="b">
        <v>0</v>
      </c>
      <c r="AI911" t="s">
        <v>4829</v>
      </c>
      <c r="AK911" s="78" t="s">
        <v>4640</v>
      </c>
      <c r="AL911" t="b">
        <v>0</v>
      </c>
      <c r="AM911">
        <v>5</v>
      </c>
      <c r="AN911" s="78" t="s">
        <v>3798</v>
      </c>
      <c r="AO911" s="78" t="s">
        <v>4850</v>
      </c>
      <c r="AP911" t="b">
        <v>0</v>
      </c>
      <c r="AQ911" s="78" t="s">
        <v>3798</v>
      </c>
      <c r="AR911" t="s">
        <v>179</v>
      </c>
      <c r="AS911">
        <v>0</v>
      </c>
      <c r="AT911">
        <v>0</v>
      </c>
    </row>
    <row r="912" spans="1:46" x14ac:dyDescent="0.45">
      <c r="A912" s="62" t="s">
        <v>521</v>
      </c>
      <c r="B912" s="62" t="s">
        <v>242</v>
      </c>
      <c r="C912" s="63"/>
      <c r="D912" s="64"/>
      <c r="E912" s="65"/>
      <c r="F912" s="66"/>
      <c r="G912" s="63"/>
      <c r="H912" s="67"/>
      <c r="I912" s="68"/>
      <c r="J912" s="68"/>
      <c r="K912" s="32"/>
      <c r="L912" s="75"/>
      <c r="M912" s="75"/>
      <c r="N912" s="70"/>
      <c r="O912" t="s">
        <v>1570</v>
      </c>
      <c r="P912" s="76">
        <v>44958.779988425929</v>
      </c>
      <c r="Q912" t="s">
        <v>1680</v>
      </c>
      <c r="T912" s="78" t="s">
        <v>2329</v>
      </c>
      <c r="U912" s="77" t="str">
        <f>HYPERLINK("https://pbs.twimg.com/media/Fn5AzybXoAo1iIH.jpg")</f>
        <v>https://pbs.twimg.com/media/Fn5AzybXoAo1iIH.jpg</v>
      </c>
      <c r="V912" s="77" t="str">
        <f>HYPERLINK("https://pbs.twimg.com/media/Fn5AzybXoAo1iIH.jpg")</f>
        <v>https://pbs.twimg.com/media/Fn5AzybXoAo1iIH.jpg</v>
      </c>
      <c r="W912" s="76">
        <v>44958.779988425929</v>
      </c>
      <c r="X912" s="80">
        <v>44958</v>
      </c>
      <c r="Y912" s="78" t="s">
        <v>2762</v>
      </c>
      <c r="Z912" s="77" t="str">
        <f>HYPERLINK("https://twitter.com/areusing/status/1620855295844155395")</f>
        <v>https://twitter.com/areusing/status/1620855295844155395</v>
      </c>
      <c r="AC912" s="78" t="s">
        <v>3781</v>
      </c>
      <c r="AE912" t="b">
        <v>0</v>
      </c>
      <c r="AF912">
        <v>0</v>
      </c>
      <c r="AG912" s="78" t="s">
        <v>4640</v>
      </c>
      <c r="AH912" t="b">
        <v>0</v>
      </c>
      <c r="AI912" t="s">
        <v>4829</v>
      </c>
      <c r="AK912" s="78" t="s">
        <v>4640</v>
      </c>
      <c r="AL912" t="b">
        <v>0</v>
      </c>
      <c r="AM912">
        <v>5</v>
      </c>
      <c r="AN912" s="78" t="s">
        <v>3798</v>
      </c>
      <c r="AO912" s="78" t="s">
        <v>4851</v>
      </c>
      <c r="AP912" t="b">
        <v>0</v>
      </c>
      <c r="AQ912" s="78" t="s">
        <v>3798</v>
      </c>
      <c r="AR912" t="s">
        <v>179</v>
      </c>
      <c r="AS912">
        <v>0</v>
      </c>
      <c r="AT912">
        <v>0</v>
      </c>
    </row>
    <row r="913" spans="1:54" x14ac:dyDescent="0.45">
      <c r="A913" s="62" t="s">
        <v>521</v>
      </c>
      <c r="B913" s="62" t="s">
        <v>537</v>
      </c>
      <c r="C913" s="63"/>
      <c r="D913" s="64"/>
      <c r="E913" s="65"/>
      <c r="F913" s="66"/>
      <c r="G913" s="63"/>
      <c r="H913" s="67"/>
      <c r="I913" s="68"/>
      <c r="J913" s="68"/>
      <c r="K913" s="32"/>
      <c r="L913" s="75"/>
      <c r="M913" s="75"/>
      <c r="N913" s="70"/>
      <c r="O913" t="s">
        <v>1569</v>
      </c>
      <c r="P913" s="76">
        <v>44958.779988425929</v>
      </c>
      <c r="Q913" t="s">
        <v>1680</v>
      </c>
      <c r="T913" s="78" t="s">
        <v>2329</v>
      </c>
      <c r="U913" s="77" t="str">
        <f>HYPERLINK("https://pbs.twimg.com/media/Fn5AzybXoAo1iIH.jpg")</f>
        <v>https://pbs.twimg.com/media/Fn5AzybXoAo1iIH.jpg</v>
      </c>
      <c r="V913" s="77" t="str">
        <f>HYPERLINK("https://pbs.twimg.com/media/Fn5AzybXoAo1iIH.jpg")</f>
        <v>https://pbs.twimg.com/media/Fn5AzybXoAo1iIH.jpg</v>
      </c>
      <c r="W913" s="76">
        <v>44958.779988425929</v>
      </c>
      <c r="X913" s="80">
        <v>44958</v>
      </c>
      <c r="Y913" s="78" t="s">
        <v>2762</v>
      </c>
      <c r="Z913" s="77" t="str">
        <f>HYPERLINK("https://twitter.com/areusing/status/1620855295844155395")</f>
        <v>https://twitter.com/areusing/status/1620855295844155395</v>
      </c>
      <c r="AC913" s="78" t="s">
        <v>3781</v>
      </c>
      <c r="AE913" t="b">
        <v>0</v>
      </c>
      <c r="AF913">
        <v>0</v>
      </c>
      <c r="AG913" s="78" t="s">
        <v>4640</v>
      </c>
      <c r="AH913" t="b">
        <v>0</v>
      </c>
      <c r="AI913" t="s">
        <v>4829</v>
      </c>
      <c r="AK913" s="78" t="s">
        <v>4640</v>
      </c>
      <c r="AL913" t="b">
        <v>0</v>
      </c>
      <c r="AM913">
        <v>5</v>
      </c>
      <c r="AN913" s="78" t="s">
        <v>3798</v>
      </c>
      <c r="AO913" s="78" t="s">
        <v>4851</v>
      </c>
      <c r="AP913" t="b">
        <v>0</v>
      </c>
      <c r="AQ913" s="78" t="s">
        <v>3798</v>
      </c>
      <c r="AR913" t="s">
        <v>179</v>
      </c>
      <c r="AS913">
        <v>0</v>
      </c>
      <c r="AT913">
        <v>0</v>
      </c>
    </row>
    <row r="914" spans="1:54" x14ac:dyDescent="0.45">
      <c r="A914" s="62" t="s">
        <v>523</v>
      </c>
      <c r="B914" s="62" t="s">
        <v>242</v>
      </c>
      <c r="C914" s="63"/>
      <c r="D914" s="64"/>
      <c r="E914" s="65"/>
      <c r="F914" s="66"/>
      <c r="G914" s="63"/>
      <c r="H914" s="67"/>
      <c r="I914" s="68"/>
      <c r="J914" s="68"/>
      <c r="K914" s="32"/>
      <c r="L914" s="75"/>
      <c r="M914" s="75"/>
      <c r="N914" s="70"/>
      <c r="O914" t="s">
        <v>1570</v>
      </c>
      <c r="P914" s="76">
        <v>44958.780486111114</v>
      </c>
      <c r="Q914" t="s">
        <v>1680</v>
      </c>
      <c r="T914" s="78" t="s">
        <v>2329</v>
      </c>
      <c r="U914" s="77" t="str">
        <f>HYPERLINK("https://pbs.twimg.com/media/Fn5AzybXoAo1iIH.jpg")</f>
        <v>https://pbs.twimg.com/media/Fn5AzybXoAo1iIH.jpg</v>
      </c>
      <c r="V914" s="77" t="str">
        <f>HYPERLINK("https://pbs.twimg.com/media/Fn5AzybXoAo1iIH.jpg")</f>
        <v>https://pbs.twimg.com/media/Fn5AzybXoAo1iIH.jpg</v>
      </c>
      <c r="W914" s="76">
        <v>44958.780486111114</v>
      </c>
      <c r="X914" s="80">
        <v>44958</v>
      </c>
      <c r="Y914" s="78" t="s">
        <v>2764</v>
      </c>
      <c r="Z914" s="77" t="str">
        <f>HYPERLINK("https://twitter.com/leftysunite/status/1620855478560620544")</f>
        <v>https://twitter.com/leftysunite/status/1620855478560620544</v>
      </c>
      <c r="AC914" s="78" t="s">
        <v>3783</v>
      </c>
      <c r="AE914" t="b">
        <v>0</v>
      </c>
      <c r="AF914">
        <v>0</v>
      </c>
      <c r="AG914" s="78" t="s">
        <v>4640</v>
      </c>
      <c r="AH914" t="b">
        <v>0</v>
      </c>
      <c r="AI914" t="s">
        <v>4829</v>
      </c>
      <c r="AK914" s="78" t="s">
        <v>4640</v>
      </c>
      <c r="AL914" t="b">
        <v>0</v>
      </c>
      <c r="AM914">
        <v>5</v>
      </c>
      <c r="AN914" s="78" t="s">
        <v>3798</v>
      </c>
      <c r="AO914" s="78" t="s">
        <v>4851</v>
      </c>
      <c r="AP914" t="b">
        <v>0</v>
      </c>
      <c r="AQ914" s="78" t="s">
        <v>3798</v>
      </c>
      <c r="AR914" t="s">
        <v>179</v>
      </c>
      <c r="AS914">
        <v>0</v>
      </c>
      <c r="AT914">
        <v>0</v>
      </c>
    </row>
    <row r="915" spans="1:54" x14ac:dyDescent="0.45">
      <c r="A915" s="62" t="s">
        <v>523</v>
      </c>
      <c r="B915" s="62" t="s">
        <v>537</v>
      </c>
      <c r="C915" s="63"/>
      <c r="D915" s="64"/>
      <c r="E915" s="65"/>
      <c r="F915" s="66"/>
      <c r="G915" s="63"/>
      <c r="H915" s="67"/>
      <c r="I915" s="68"/>
      <c r="J915" s="68"/>
      <c r="K915" s="32"/>
      <c r="L915" s="75"/>
      <c r="M915" s="75"/>
      <c r="N915" s="70"/>
      <c r="O915" t="s">
        <v>1569</v>
      </c>
      <c r="P915" s="76">
        <v>44958.780486111114</v>
      </c>
      <c r="Q915" t="s">
        <v>1680</v>
      </c>
      <c r="T915" s="78" t="s">
        <v>2329</v>
      </c>
      <c r="U915" s="77" t="str">
        <f>HYPERLINK("https://pbs.twimg.com/media/Fn5AzybXoAo1iIH.jpg")</f>
        <v>https://pbs.twimg.com/media/Fn5AzybXoAo1iIH.jpg</v>
      </c>
      <c r="V915" s="77" t="str">
        <f>HYPERLINK("https://pbs.twimg.com/media/Fn5AzybXoAo1iIH.jpg")</f>
        <v>https://pbs.twimg.com/media/Fn5AzybXoAo1iIH.jpg</v>
      </c>
      <c r="W915" s="76">
        <v>44958.780486111114</v>
      </c>
      <c r="X915" s="80">
        <v>44958</v>
      </c>
      <c r="Y915" s="78" t="s">
        <v>2764</v>
      </c>
      <c r="Z915" s="77" t="str">
        <f>HYPERLINK("https://twitter.com/leftysunite/status/1620855478560620544")</f>
        <v>https://twitter.com/leftysunite/status/1620855478560620544</v>
      </c>
      <c r="AC915" s="78" t="s">
        <v>3783</v>
      </c>
      <c r="AE915" t="b">
        <v>0</v>
      </c>
      <c r="AF915">
        <v>0</v>
      </c>
      <c r="AG915" s="78" t="s">
        <v>4640</v>
      </c>
      <c r="AH915" t="b">
        <v>0</v>
      </c>
      <c r="AI915" t="s">
        <v>4829</v>
      </c>
      <c r="AK915" s="78" t="s">
        <v>4640</v>
      </c>
      <c r="AL915" t="b">
        <v>0</v>
      </c>
      <c r="AM915">
        <v>5</v>
      </c>
      <c r="AN915" s="78" t="s">
        <v>3798</v>
      </c>
      <c r="AO915" s="78" t="s">
        <v>4851</v>
      </c>
      <c r="AP915" t="b">
        <v>0</v>
      </c>
      <c r="AQ915" s="78" t="s">
        <v>3798</v>
      </c>
      <c r="AR915" t="s">
        <v>179</v>
      </c>
      <c r="AS915">
        <v>0</v>
      </c>
      <c r="AT915">
        <v>0</v>
      </c>
    </row>
    <row r="916" spans="1:54" x14ac:dyDescent="0.45">
      <c r="A916" s="62" t="s">
        <v>538</v>
      </c>
      <c r="B916" s="62" t="s">
        <v>537</v>
      </c>
      <c r="C916" s="63"/>
      <c r="D916" s="64"/>
      <c r="E916" s="65"/>
      <c r="F916" s="66"/>
      <c r="G916" s="63"/>
      <c r="H916" s="67"/>
      <c r="I916" s="68"/>
      <c r="J916" s="68"/>
      <c r="K916" s="32"/>
      <c r="L916" s="75"/>
      <c r="M916" s="75"/>
      <c r="N916" s="70"/>
      <c r="O916" t="s">
        <v>1569</v>
      </c>
      <c r="P916" s="76">
        <v>44958.790983796294</v>
      </c>
      <c r="Q916" t="s">
        <v>1680</v>
      </c>
      <c r="T916" s="78" t="s">
        <v>2329</v>
      </c>
      <c r="U916" s="77" t="str">
        <f>HYPERLINK("https://pbs.twimg.com/media/Fn5AzybXoAo1iIH.jpg")</f>
        <v>https://pbs.twimg.com/media/Fn5AzybXoAo1iIH.jpg</v>
      </c>
      <c r="V916" s="77" t="str">
        <f>HYPERLINK("https://pbs.twimg.com/media/Fn5AzybXoAo1iIH.jpg")</f>
        <v>https://pbs.twimg.com/media/Fn5AzybXoAo1iIH.jpg</v>
      </c>
      <c r="W916" s="76">
        <v>44958.790983796294</v>
      </c>
      <c r="X916" s="80">
        <v>44958</v>
      </c>
      <c r="Y916" s="78" t="s">
        <v>2780</v>
      </c>
      <c r="Z916" s="77" t="str">
        <f>HYPERLINK("https://twitter.com/chicedr/status/1620859281313796097")</f>
        <v>https://twitter.com/chicedr/status/1620859281313796097</v>
      </c>
      <c r="AC916" s="78" t="s">
        <v>3799</v>
      </c>
      <c r="AE916" t="b">
        <v>0</v>
      </c>
      <c r="AF916">
        <v>0</v>
      </c>
      <c r="AG916" s="78" t="s">
        <v>4640</v>
      </c>
      <c r="AH916" t="b">
        <v>0</v>
      </c>
      <c r="AI916" t="s">
        <v>4829</v>
      </c>
      <c r="AK916" s="78" t="s">
        <v>4640</v>
      </c>
      <c r="AL916" t="b">
        <v>0</v>
      </c>
      <c r="AM916">
        <v>5</v>
      </c>
      <c r="AN916" s="78" t="s">
        <v>3798</v>
      </c>
      <c r="AO916" s="78" t="s">
        <v>4851</v>
      </c>
      <c r="AP916" t="b">
        <v>0</v>
      </c>
      <c r="AQ916" s="78" t="s">
        <v>3798</v>
      </c>
      <c r="AR916" t="s">
        <v>179</v>
      </c>
      <c r="AS916">
        <v>0</v>
      </c>
      <c r="AT916">
        <v>0</v>
      </c>
    </row>
    <row r="917" spans="1:54" x14ac:dyDescent="0.45">
      <c r="A917" s="62" t="s">
        <v>538</v>
      </c>
      <c r="B917" s="62" t="s">
        <v>242</v>
      </c>
      <c r="C917" s="63"/>
      <c r="D917" s="64"/>
      <c r="E917" s="65"/>
      <c r="F917" s="66"/>
      <c r="G917" s="63"/>
      <c r="H917" s="67"/>
      <c r="I917" s="68"/>
      <c r="J917" s="68"/>
      <c r="K917" s="32"/>
      <c r="L917" s="75"/>
      <c r="M917" s="75"/>
      <c r="N917" s="70"/>
      <c r="O917" t="s">
        <v>1570</v>
      </c>
      <c r="P917" s="76">
        <v>44958.790983796294</v>
      </c>
      <c r="Q917" t="s">
        <v>1680</v>
      </c>
      <c r="T917" s="78" t="s">
        <v>2329</v>
      </c>
      <c r="U917" s="77" t="str">
        <f>HYPERLINK("https://pbs.twimg.com/media/Fn5AzybXoAo1iIH.jpg")</f>
        <v>https://pbs.twimg.com/media/Fn5AzybXoAo1iIH.jpg</v>
      </c>
      <c r="V917" s="77" t="str">
        <f>HYPERLINK("https://pbs.twimg.com/media/Fn5AzybXoAo1iIH.jpg")</f>
        <v>https://pbs.twimg.com/media/Fn5AzybXoAo1iIH.jpg</v>
      </c>
      <c r="W917" s="76">
        <v>44958.790983796294</v>
      </c>
      <c r="X917" s="80">
        <v>44958</v>
      </c>
      <c r="Y917" s="78" t="s">
        <v>2780</v>
      </c>
      <c r="Z917" s="77" t="str">
        <f>HYPERLINK("https://twitter.com/chicedr/status/1620859281313796097")</f>
        <v>https://twitter.com/chicedr/status/1620859281313796097</v>
      </c>
      <c r="AC917" s="78" t="s">
        <v>3799</v>
      </c>
      <c r="AE917" t="b">
        <v>0</v>
      </c>
      <c r="AF917">
        <v>0</v>
      </c>
      <c r="AG917" s="78" t="s">
        <v>4640</v>
      </c>
      <c r="AH917" t="b">
        <v>0</v>
      </c>
      <c r="AI917" t="s">
        <v>4829</v>
      </c>
      <c r="AK917" s="78" t="s">
        <v>4640</v>
      </c>
      <c r="AL917" t="b">
        <v>0</v>
      </c>
      <c r="AM917">
        <v>5</v>
      </c>
      <c r="AN917" s="78" t="s">
        <v>3798</v>
      </c>
      <c r="AO917" s="78" t="s">
        <v>4851</v>
      </c>
      <c r="AP917" t="b">
        <v>0</v>
      </c>
      <c r="AQ917" s="78" t="s">
        <v>3798</v>
      </c>
      <c r="AR917" t="s">
        <v>179</v>
      </c>
      <c r="AS917">
        <v>0</v>
      </c>
      <c r="AT917">
        <v>0</v>
      </c>
    </row>
    <row r="918" spans="1:54" x14ac:dyDescent="0.45">
      <c r="A918" s="62" t="s">
        <v>889</v>
      </c>
      <c r="B918" s="62" t="s">
        <v>242</v>
      </c>
      <c r="C918" s="63"/>
      <c r="D918" s="64"/>
      <c r="E918" s="65"/>
      <c r="F918" s="66"/>
      <c r="G918" s="63"/>
      <c r="H918" s="67"/>
      <c r="I918" s="68"/>
      <c r="J918" s="68"/>
      <c r="K918" s="32"/>
      <c r="L918" s="75"/>
      <c r="M918" s="75"/>
      <c r="N918" s="70"/>
      <c r="O918" t="s">
        <v>1568</v>
      </c>
      <c r="P918" s="76">
        <v>44959.072476851848</v>
      </c>
      <c r="Q918" t="s">
        <v>2054</v>
      </c>
      <c r="T918" s="78" t="s">
        <v>2390</v>
      </c>
      <c r="U918" s="77" t="str">
        <f>HYPERLINK("https://pbs.twimg.com/ext_tw_video_thumb/1620961159737389056/pu/img/J1VNgcTyfeXCF5dm.jpg")</f>
        <v>https://pbs.twimg.com/ext_tw_video_thumb/1620961159737389056/pu/img/J1VNgcTyfeXCF5dm.jpg</v>
      </c>
      <c r="V918" s="77" t="str">
        <f>HYPERLINK("https://pbs.twimg.com/ext_tw_video_thumb/1620961159737389056/pu/img/J1VNgcTyfeXCF5dm.jpg")</f>
        <v>https://pbs.twimg.com/ext_tw_video_thumb/1620961159737389056/pu/img/J1VNgcTyfeXCF5dm.jpg</v>
      </c>
      <c r="W918" s="76">
        <v>44959.072476851848</v>
      </c>
      <c r="X918" s="80">
        <v>44959</v>
      </c>
      <c r="Y918" s="78" t="s">
        <v>3150</v>
      </c>
      <c r="Z918" s="77" t="str">
        <f>HYPERLINK("https://twitter.com/coupleyfit/status/1620961289874059264")</f>
        <v>https://twitter.com/coupleyfit/status/1620961289874059264</v>
      </c>
      <c r="AC918" s="78" t="s">
        <v>4215</v>
      </c>
      <c r="AE918" t="b">
        <v>0</v>
      </c>
      <c r="AF918">
        <v>5</v>
      </c>
      <c r="AG918" s="78" t="s">
        <v>4640</v>
      </c>
      <c r="AH918" t="b">
        <v>0</v>
      </c>
      <c r="AI918" t="s">
        <v>4829</v>
      </c>
      <c r="AK918" s="78" t="s">
        <v>4640</v>
      </c>
      <c r="AL918" t="b">
        <v>0</v>
      </c>
      <c r="AM918">
        <v>0</v>
      </c>
      <c r="AN918" s="78" t="s">
        <v>4640</v>
      </c>
      <c r="AO918" s="78" t="s">
        <v>4849</v>
      </c>
      <c r="AP918" t="b">
        <v>0</v>
      </c>
      <c r="AQ918" s="78" t="s">
        <v>4215</v>
      </c>
      <c r="AR918" t="s">
        <v>179</v>
      </c>
      <c r="AS918">
        <v>0</v>
      </c>
      <c r="AT918">
        <v>0</v>
      </c>
    </row>
    <row r="919" spans="1:54" x14ac:dyDescent="0.45">
      <c r="A919" s="62" t="s">
        <v>1023</v>
      </c>
      <c r="B919" s="62" t="s">
        <v>1160</v>
      </c>
      <c r="C919" s="63"/>
      <c r="D919" s="64"/>
      <c r="E919" s="65"/>
      <c r="F919" s="66"/>
      <c r="G919" s="63"/>
      <c r="H919" s="67"/>
      <c r="I919" s="68"/>
      <c r="J919" s="68"/>
      <c r="K919" s="32"/>
      <c r="L919" s="75"/>
      <c r="M919" s="75"/>
      <c r="N919" s="70"/>
      <c r="O919" t="s">
        <v>1568</v>
      </c>
      <c r="P919" s="76">
        <v>44959.397314814814</v>
      </c>
      <c r="Q919" t="s">
        <v>2178</v>
      </c>
      <c r="T919" s="78" t="s">
        <v>2412</v>
      </c>
      <c r="V919" s="77" t="str">
        <f>HYPERLINK("https://pbs.twimg.com/profile_images/1611427593450029057/BY8DrcXS_normal.jpg")</f>
        <v>https://pbs.twimg.com/profile_images/1611427593450029057/BY8DrcXS_normal.jpg</v>
      </c>
      <c r="W919" s="76">
        <v>44959.397314814814</v>
      </c>
      <c r="X919" s="80">
        <v>44959</v>
      </c>
      <c r="Y919" s="78" t="s">
        <v>3321</v>
      </c>
      <c r="Z919" s="77" t="str">
        <f>HYPERLINK("https://twitter.com/chris68946672/status/1621079008841449472")</f>
        <v>https://twitter.com/chris68946672/status/1621079008841449472</v>
      </c>
      <c r="AC919" s="78" t="s">
        <v>4386</v>
      </c>
      <c r="AD919" s="78" t="s">
        <v>4616</v>
      </c>
      <c r="AE919" t="b">
        <v>0</v>
      </c>
      <c r="AF919">
        <v>0</v>
      </c>
      <c r="AG919" s="78" t="s">
        <v>4799</v>
      </c>
      <c r="AH919" t="b">
        <v>0</v>
      </c>
      <c r="AI919" t="s">
        <v>4829</v>
      </c>
      <c r="AK919" s="78" t="s">
        <v>4640</v>
      </c>
      <c r="AL919" t="b">
        <v>0</v>
      </c>
      <c r="AM919">
        <v>0</v>
      </c>
      <c r="AN919" s="78" t="s">
        <v>4640</v>
      </c>
      <c r="AO919" s="78" t="s">
        <v>4849</v>
      </c>
      <c r="AP919" t="b">
        <v>0</v>
      </c>
      <c r="AQ919" s="78" t="s">
        <v>4616</v>
      </c>
      <c r="AR919" t="s">
        <v>179</v>
      </c>
      <c r="AS919">
        <v>0</v>
      </c>
      <c r="AT919">
        <v>0</v>
      </c>
    </row>
    <row r="920" spans="1:54" x14ac:dyDescent="0.45">
      <c r="A920" s="62" t="s">
        <v>1023</v>
      </c>
      <c r="B920" s="62" t="s">
        <v>1500</v>
      </c>
      <c r="C920" s="63"/>
      <c r="D920" s="64"/>
      <c r="E920" s="65"/>
      <c r="F920" s="66"/>
      <c r="G920" s="63"/>
      <c r="H920" s="67"/>
      <c r="I920" s="68"/>
      <c r="J920" s="68"/>
      <c r="K920" s="32"/>
      <c r="L920" s="75"/>
      <c r="M920" s="75"/>
      <c r="N920" s="70"/>
      <c r="O920" t="s">
        <v>1567</v>
      </c>
      <c r="P920" s="76">
        <v>44959.397314814814</v>
      </c>
      <c r="Q920" t="s">
        <v>2178</v>
      </c>
      <c r="T920" s="78" t="s">
        <v>2412</v>
      </c>
      <c r="V920" s="77" t="str">
        <f>HYPERLINK("https://pbs.twimg.com/profile_images/1611427593450029057/BY8DrcXS_normal.jpg")</f>
        <v>https://pbs.twimg.com/profile_images/1611427593450029057/BY8DrcXS_normal.jpg</v>
      </c>
      <c r="W920" s="76">
        <v>44959.397314814814</v>
      </c>
      <c r="X920" s="80">
        <v>44959</v>
      </c>
      <c r="Y920" s="78" t="s">
        <v>3321</v>
      </c>
      <c r="Z920" s="77" t="str">
        <f>HYPERLINK("https://twitter.com/chris68946672/status/1621079008841449472")</f>
        <v>https://twitter.com/chris68946672/status/1621079008841449472</v>
      </c>
      <c r="AC920" s="78" t="s">
        <v>4386</v>
      </c>
      <c r="AD920" s="78" t="s">
        <v>4616</v>
      </c>
      <c r="AE920" t="b">
        <v>0</v>
      </c>
      <c r="AF920">
        <v>0</v>
      </c>
      <c r="AG920" s="78" t="s">
        <v>4799</v>
      </c>
      <c r="AH920" t="b">
        <v>0</v>
      </c>
      <c r="AI920" t="s">
        <v>4829</v>
      </c>
      <c r="AK920" s="78" t="s">
        <v>4640</v>
      </c>
      <c r="AL920" t="b">
        <v>0</v>
      </c>
      <c r="AM920">
        <v>0</v>
      </c>
      <c r="AN920" s="78" t="s">
        <v>4640</v>
      </c>
      <c r="AO920" s="78" t="s">
        <v>4849</v>
      </c>
      <c r="AP920" t="b">
        <v>0</v>
      </c>
      <c r="AQ920" s="78" t="s">
        <v>4616</v>
      </c>
      <c r="AR920" t="s">
        <v>179</v>
      </c>
      <c r="AS920">
        <v>0</v>
      </c>
      <c r="AT920">
        <v>0</v>
      </c>
    </row>
    <row r="921" spans="1:54" x14ac:dyDescent="0.45">
      <c r="A921" s="62" t="s">
        <v>1023</v>
      </c>
      <c r="B921" s="62" t="s">
        <v>242</v>
      </c>
      <c r="C921" s="63"/>
      <c r="D921" s="64"/>
      <c r="E921" s="65"/>
      <c r="F921" s="66"/>
      <c r="G921" s="63"/>
      <c r="H921" s="67"/>
      <c r="I921" s="68"/>
      <c r="J921" s="68"/>
      <c r="K921" s="32"/>
      <c r="L921" s="75"/>
      <c r="M921" s="75"/>
      <c r="N921" s="70"/>
      <c r="O921" t="s">
        <v>1568</v>
      </c>
      <c r="P921" s="76">
        <v>44959.397314814814</v>
      </c>
      <c r="Q921" t="s">
        <v>2178</v>
      </c>
      <c r="T921" s="78" t="s">
        <v>2412</v>
      </c>
      <c r="V921" s="77" t="str">
        <f>HYPERLINK("https://pbs.twimg.com/profile_images/1611427593450029057/BY8DrcXS_normal.jpg")</f>
        <v>https://pbs.twimg.com/profile_images/1611427593450029057/BY8DrcXS_normal.jpg</v>
      </c>
      <c r="W921" s="76">
        <v>44959.397314814814</v>
      </c>
      <c r="X921" s="80">
        <v>44959</v>
      </c>
      <c r="Y921" s="78" t="s">
        <v>3321</v>
      </c>
      <c r="Z921" s="77" t="str">
        <f>HYPERLINK("https://twitter.com/chris68946672/status/1621079008841449472")</f>
        <v>https://twitter.com/chris68946672/status/1621079008841449472</v>
      </c>
      <c r="AC921" s="78" t="s">
        <v>4386</v>
      </c>
      <c r="AD921" s="78" t="s">
        <v>4616</v>
      </c>
      <c r="AE921" t="b">
        <v>0</v>
      </c>
      <c r="AF921">
        <v>0</v>
      </c>
      <c r="AG921" s="78" t="s">
        <v>4799</v>
      </c>
      <c r="AH921" t="b">
        <v>0</v>
      </c>
      <c r="AI921" t="s">
        <v>4829</v>
      </c>
      <c r="AK921" s="78" t="s">
        <v>4640</v>
      </c>
      <c r="AL921" t="b">
        <v>0</v>
      </c>
      <c r="AM921">
        <v>0</v>
      </c>
      <c r="AN921" s="78" t="s">
        <v>4640</v>
      </c>
      <c r="AO921" s="78" t="s">
        <v>4849</v>
      </c>
      <c r="AP921" t="b">
        <v>0</v>
      </c>
      <c r="AQ921" s="78" t="s">
        <v>4616</v>
      </c>
      <c r="AR921" t="s">
        <v>179</v>
      </c>
      <c r="AS921">
        <v>0</v>
      </c>
      <c r="AT921">
        <v>0</v>
      </c>
    </row>
    <row r="922" spans="1:54" x14ac:dyDescent="0.45">
      <c r="A922" s="62" t="s">
        <v>904</v>
      </c>
      <c r="B922" s="62" t="s">
        <v>1426</v>
      </c>
      <c r="C922" s="63"/>
      <c r="D922" s="64"/>
      <c r="E922" s="65"/>
      <c r="F922" s="66"/>
      <c r="G922" s="63"/>
      <c r="H922" s="67"/>
      <c r="I922" s="68"/>
      <c r="J922" s="68"/>
      <c r="K922" s="32"/>
      <c r="L922" s="75"/>
      <c r="M922" s="75"/>
      <c r="N922" s="70"/>
      <c r="O922" t="s">
        <v>1568</v>
      </c>
      <c r="P922" s="76">
        <v>44959.091041666667</v>
      </c>
      <c r="Q922" t="s">
        <v>2062</v>
      </c>
      <c r="T922" s="78" t="s">
        <v>2392</v>
      </c>
      <c r="U922" s="77" t="str">
        <f>HYPERLINK("https://pbs.twimg.com/media/Fn7V0qHWYAEhsBK.jpg")</f>
        <v>https://pbs.twimg.com/media/Fn7V0qHWYAEhsBK.jpg</v>
      </c>
      <c r="V922" s="77" t="str">
        <f>HYPERLINK("https://pbs.twimg.com/media/Fn7V0qHWYAEhsBK.jpg")</f>
        <v>https://pbs.twimg.com/media/Fn7V0qHWYAEhsBK.jpg</v>
      </c>
      <c r="W922" s="76">
        <v>44959.091041666667</v>
      </c>
      <c r="X922" s="80">
        <v>44959</v>
      </c>
      <c r="Y922" s="78" t="s">
        <v>3167</v>
      </c>
      <c r="Z922" s="77" t="str">
        <f>HYPERLINK("https://twitter.com/rk_theprolific1/status/1620968019588534275")</f>
        <v>https://twitter.com/rk_theprolific1/status/1620968019588534275</v>
      </c>
      <c r="AC922" s="78" t="s">
        <v>4232</v>
      </c>
      <c r="AE922" t="b">
        <v>0</v>
      </c>
      <c r="AF922">
        <v>0</v>
      </c>
      <c r="AG922" s="78" t="s">
        <v>4639</v>
      </c>
      <c r="AH922" t="b">
        <v>0</v>
      </c>
      <c r="AI922" t="s">
        <v>4829</v>
      </c>
      <c r="AK922" s="78" t="s">
        <v>4640</v>
      </c>
      <c r="AL922" t="b">
        <v>0</v>
      </c>
      <c r="AM922">
        <v>0</v>
      </c>
      <c r="AN922" s="78" t="s">
        <v>4640</v>
      </c>
      <c r="AO922" s="78" t="s">
        <v>4849</v>
      </c>
      <c r="AP922" t="b">
        <v>0</v>
      </c>
      <c r="AQ922" s="78" t="s">
        <v>4232</v>
      </c>
      <c r="AR922" t="s">
        <v>179</v>
      </c>
      <c r="AS922">
        <v>0</v>
      </c>
      <c r="AT922">
        <v>0</v>
      </c>
    </row>
    <row r="923" spans="1:54" x14ac:dyDescent="0.45">
      <c r="A923" s="62" t="s">
        <v>904</v>
      </c>
      <c r="B923" s="62" t="s">
        <v>242</v>
      </c>
      <c r="C923" s="63"/>
      <c r="D923" s="64"/>
      <c r="E923" s="65"/>
      <c r="F923" s="66"/>
      <c r="G923" s="63"/>
      <c r="H923" s="67"/>
      <c r="I923" s="68"/>
      <c r="J923" s="68"/>
      <c r="K923" s="32"/>
      <c r="L923" s="75"/>
      <c r="M923" s="75"/>
      <c r="N923" s="70"/>
      <c r="O923" t="s">
        <v>1567</v>
      </c>
      <c r="P923" s="76">
        <v>44959.091041666667</v>
      </c>
      <c r="Q923" t="s">
        <v>2062</v>
      </c>
      <c r="T923" s="78" t="s">
        <v>2392</v>
      </c>
      <c r="U923" s="77" t="str">
        <f>HYPERLINK("https://pbs.twimg.com/media/Fn7V0qHWYAEhsBK.jpg")</f>
        <v>https://pbs.twimg.com/media/Fn7V0qHWYAEhsBK.jpg</v>
      </c>
      <c r="V923" s="77" t="str">
        <f>HYPERLINK("https://pbs.twimg.com/media/Fn7V0qHWYAEhsBK.jpg")</f>
        <v>https://pbs.twimg.com/media/Fn7V0qHWYAEhsBK.jpg</v>
      </c>
      <c r="W923" s="76">
        <v>44959.091041666667</v>
      </c>
      <c r="X923" s="80">
        <v>44959</v>
      </c>
      <c r="Y923" s="78" t="s">
        <v>3167</v>
      </c>
      <c r="Z923" s="77" t="str">
        <f>HYPERLINK("https://twitter.com/rk_theprolific1/status/1620968019588534275")</f>
        <v>https://twitter.com/rk_theprolific1/status/1620968019588534275</v>
      </c>
      <c r="AC923" s="78" t="s">
        <v>4232</v>
      </c>
      <c r="AE923" t="b">
        <v>0</v>
      </c>
      <c r="AF923">
        <v>0</v>
      </c>
      <c r="AG923" s="78" t="s">
        <v>4639</v>
      </c>
      <c r="AH923" t="b">
        <v>0</v>
      </c>
      <c r="AI923" t="s">
        <v>4829</v>
      </c>
      <c r="AK923" s="78" t="s">
        <v>4640</v>
      </c>
      <c r="AL923" t="b">
        <v>0</v>
      </c>
      <c r="AM923">
        <v>0</v>
      </c>
      <c r="AN923" s="78" t="s">
        <v>4640</v>
      </c>
      <c r="AO923" s="78" t="s">
        <v>4849</v>
      </c>
      <c r="AP923" t="b">
        <v>0</v>
      </c>
      <c r="AQ923" s="78" t="s">
        <v>4232</v>
      </c>
      <c r="AR923" t="s">
        <v>179</v>
      </c>
      <c r="AS923">
        <v>0</v>
      </c>
      <c r="AT923">
        <v>0</v>
      </c>
    </row>
    <row r="924" spans="1:54" x14ac:dyDescent="0.45">
      <c r="A924" s="62" t="s">
        <v>724</v>
      </c>
      <c r="B924" s="62" t="s">
        <v>242</v>
      </c>
      <c r="C924" s="63"/>
      <c r="D924" s="64"/>
      <c r="E924" s="65"/>
      <c r="F924" s="66"/>
      <c r="G924" s="63"/>
      <c r="H924" s="67"/>
      <c r="I924" s="68"/>
      <c r="J924" s="68"/>
      <c r="K924" s="32"/>
      <c r="L924" s="75"/>
      <c r="M924" s="75"/>
      <c r="N924" s="70"/>
      <c r="O924" t="s">
        <v>1568</v>
      </c>
      <c r="P924" s="76">
        <v>44958.915231481478</v>
      </c>
      <c r="Q924" t="s">
        <v>1914</v>
      </c>
      <c r="T924" s="78" t="s">
        <v>2368</v>
      </c>
      <c r="U924" s="77" t="str">
        <f>HYPERLINK("https://pbs.twimg.com/tweet_video_thumb/Fn6b3ncakAEH74j.jpg")</f>
        <v>https://pbs.twimg.com/tweet_video_thumb/Fn6b3ncakAEH74j.jpg</v>
      </c>
      <c r="V924" s="77" t="str">
        <f>HYPERLINK("https://pbs.twimg.com/tweet_video_thumb/Fn6b3ncakAEH74j.jpg")</f>
        <v>https://pbs.twimg.com/tweet_video_thumb/Fn6b3ncakAEH74j.jpg</v>
      </c>
      <c r="W924" s="76">
        <v>44958.915231481478</v>
      </c>
      <c r="X924" s="80">
        <v>44958</v>
      </c>
      <c r="Y924" s="78" t="s">
        <v>2943</v>
      </c>
      <c r="Z924" s="77" t="str">
        <f>HYPERLINK("https://twitter.com/airborne8890/status/1620904307565666304")</f>
        <v>https://twitter.com/airborne8890/status/1620904307565666304</v>
      </c>
      <c r="AC924" s="78" t="s">
        <v>4008</v>
      </c>
      <c r="AD924" s="78" t="s">
        <v>4565</v>
      </c>
      <c r="AE924" t="b">
        <v>0</v>
      </c>
      <c r="AF924">
        <v>1</v>
      </c>
      <c r="AG924" s="78" t="s">
        <v>4734</v>
      </c>
      <c r="AH924" t="b">
        <v>0</v>
      </c>
      <c r="AI924" t="s">
        <v>4829</v>
      </c>
      <c r="AK924" s="78" t="s">
        <v>4640</v>
      </c>
      <c r="AL924" t="b">
        <v>0</v>
      </c>
      <c r="AM924">
        <v>1</v>
      </c>
      <c r="AN924" s="78" t="s">
        <v>4640</v>
      </c>
      <c r="AO924" s="78" t="s">
        <v>4849</v>
      </c>
      <c r="AP924" t="b">
        <v>0</v>
      </c>
      <c r="AQ924" s="78" t="s">
        <v>4565</v>
      </c>
      <c r="AR924" t="s">
        <v>179</v>
      </c>
      <c r="AS924">
        <v>0</v>
      </c>
      <c r="AT924">
        <v>0</v>
      </c>
    </row>
    <row r="925" spans="1:54" x14ac:dyDescent="0.45">
      <c r="A925" s="62" t="s">
        <v>724</v>
      </c>
      <c r="B925" s="62" t="s">
        <v>725</v>
      </c>
      <c r="C925" s="63"/>
      <c r="D925" s="64"/>
      <c r="E925" s="65"/>
      <c r="F925" s="66"/>
      <c r="G925" s="63"/>
      <c r="H925" s="67"/>
      <c r="I925" s="68"/>
      <c r="J925" s="68"/>
      <c r="K925" s="32"/>
      <c r="L925" s="75"/>
      <c r="M925" s="75"/>
      <c r="N925" s="70"/>
      <c r="O925" t="s">
        <v>1567</v>
      </c>
      <c r="P925" s="76">
        <v>44958.915231481478</v>
      </c>
      <c r="Q925" t="s">
        <v>1914</v>
      </c>
      <c r="T925" s="78" t="s">
        <v>2368</v>
      </c>
      <c r="U925" s="77" t="str">
        <f>HYPERLINK("https://pbs.twimg.com/tweet_video_thumb/Fn6b3ncakAEH74j.jpg")</f>
        <v>https://pbs.twimg.com/tweet_video_thumb/Fn6b3ncakAEH74j.jpg</v>
      </c>
      <c r="V925" s="77" t="str">
        <f>HYPERLINK("https://pbs.twimg.com/tweet_video_thumb/Fn6b3ncakAEH74j.jpg")</f>
        <v>https://pbs.twimg.com/tweet_video_thumb/Fn6b3ncakAEH74j.jpg</v>
      </c>
      <c r="W925" s="76">
        <v>44958.915231481478</v>
      </c>
      <c r="X925" s="80">
        <v>44958</v>
      </c>
      <c r="Y925" s="78" t="s">
        <v>2943</v>
      </c>
      <c r="Z925" s="77" t="str">
        <f>HYPERLINK("https://twitter.com/airborne8890/status/1620904307565666304")</f>
        <v>https://twitter.com/airborne8890/status/1620904307565666304</v>
      </c>
      <c r="AC925" s="78" t="s">
        <v>4008</v>
      </c>
      <c r="AD925" s="78" t="s">
        <v>4565</v>
      </c>
      <c r="AE925" t="b">
        <v>0</v>
      </c>
      <c r="AF925">
        <v>1</v>
      </c>
      <c r="AG925" s="78" t="s">
        <v>4734</v>
      </c>
      <c r="AH925" t="b">
        <v>0</v>
      </c>
      <c r="AI925" t="s">
        <v>4829</v>
      </c>
      <c r="AK925" s="78" t="s">
        <v>4640</v>
      </c>
      <c r="AL925" t="b">
        <v>0</v>
      </c>
      <c r="AM925">
        <v>1</v>
      </c>
      <c r="AN925" s="78" t="s">
        <v>4640</v>
      </c>
      <c r="AO925" s="78" t="s">
        <v>4849</v>
      </c>
      <c r="AP925" t="b">
        <v>0</v>
      </c>
      <c r="AQ925" s="78" t="s">
        <v>4565</v>
      </c>
      <c r="AR925" t="s">
        <v>179</v>
      </c>
      <c r="AS925">
        <v>0</v>
      </c>
      <c r="AT925">
        <v>0</v>
      </c>
    </row>
    <row r="926" spans="1:54" x14ac:dyDescent="0.45">
      <c r="A926" s="62" t="s">
        <v>725</v>
      </c>
      <c r="B926" s="62" t="s">
        <v>724</v>
      </c>
      <c r="C926" s="63"/>
      <c r="D926" s="64"/>
      <c r="E926" s="65"/>
      <c r="F926" s="66"/>
      <c r="G926" s="63"/>
      <c r="H926" s="67"/>
      <c r="I926" s="68"/>
      <c r="J926" s="68"/>
      <c r="K926" s="32"/>
      <c r="L926" s="75"/>
      <c r="M926" s="75"/>
      <c r="N926" s="70"/>
      <c r="O926" t="s">
        <v>1569</v>
      </c>
      <c r="P926" s="76">
        <v>44958.917743055557</v>
      </c>
      <c r="Q926" t="s">
        <v>1914</v>
      </c>
      <c r="T926" s="78" t="s">
        <v>2368</v>
      </c>
      <c r="U926" s="77" t="str">
        <f>HYPERLINK("https://pbs.twimg.com/tweet_video_thumb/Fn6b3ncakAEH74j.jpg")</f>
        <v>https://pbs.twimg.com/tweet_video_thumb/Fn6b3ncakAEH74j.jpg</v>
      </c>
      <c r="V926" s="77" t="str">
        <f>HYPERLINK("https://pbs.twimg.com/tweet_video_thumb/Fn6b3ncakAEH74j.jpg")</f>
        <v>https://pbs.twimg.com/tweet_video_thumb/Fn6b3ncakAEH74j.jpg</v>
      </c>
      <c r="W926" s="76">
        <v>44958.917743055557</v>
      </c>
      <c r="X926" s="80">
        <v>44958</v>
      </c>
      <c r="Y926" s="78" t="s">
        <v>2944</v>
      </c>
      <c r="Z926" s="77" t="str">
        <f>HYPERLINK("https://twitter.com/redrangerchris/status/1620905217066938369")</f>
        <v>https://twitter.com/redrangerchris/status/1620905217066938369</v>
      </c>
      <c r="AC926" s="78" t="s">
        <v>4009</v>
      </c>
      <c r="AE926" t="b">
        <v>0</v>
      </c>
      <c r="AF926">
        <v>0</v>
      </c>
      <c r="AG926" s="78" t="s">
        <v>4640</v>
      </c>
      <c r="AH926" t="b">
        <v>0</v>
      </c>
      <c r="AI926" t="s">
        <v>4829</v>
      </c>
      <c r="AK926" s="78" t="s">
        <v>4640</v>
      </c>
      <c r="AL926" t="b">
        <v>0</v>
      </c>
      <c r="AM926">
        <v>1</v>
      </c>
      <c r="AN926" s="78" t="s">
        <v>4008</v>
      </c>
      <c r="AO926" s="78" t="s">
        <v>4850</v>
      </c>
      <c r="AP926" t="b">
        <v>0</v>
      </c>
      <c r="AQ926" s="78" t="s">
        <v>4008</v>
      </c>
      <c r="AR926" t="s">
        <v>179</v>
      </c>
      <c r="AS926">
        <v>0</v>
      </c>
      <c r="AT926">
        <v>0</v>
      </c>
    </row>
    <row r="927" spans="1:54" x14ac:dyDescent="0.45">
      <c r="A927" s="62" t="s">
        <v>725</v>
      </c>
      <c r="B927" s="62" t="s">
        <v>242</v>
      </c>
      <c r="C927" s="63"/>
      <c r="D927" s="64"/>
      <c r="E927" s="65"/>
      <c r="F927" s="66"/>
      <c r="G927" s="63"/>
      <c r="H927" s="67"/>
      <c r="I927" s="68"/>
      <c r="J927" s="68"/>
      <c r="K927" s="32"/>
      <c r="L927" s="75"/>
      <c r="M927" s="75"/>
      <c r="N927" s="70"/>
      <c r="O927" t="s">
        <v>1570</v>
      </c>
      <c r="P927" s="76">
        <v>44958.917743055557</v>
      </c>
      <c r="Q927" t="s">
        <v>1914</v>
      </c>
      <c r="T927" s="78" t="s">
        <v>2368</v>
      </c>
      <c r="U927" s="77" t="str">
        <f>HYPERLINK("https://pbs.twimg.com/tweet_video_thumb/Fn6b3ncakAEH74j.jpg")</f>
        <v>https://pbs.twimg.com/tweet_video_thumb/Fn6b3ncakAEH74j.jpg</v>
      </c>
      <c r="V927" s="77" t="str">
        <f>HYPERLINK("https://pbs.twimg.com/tweet_video_thumb/Fn6b3ncakAEH74j.jpg")</f>
        <v>https://pbs.twimg.com/tweet_video_thumb/Fn6b3ncakAEH74j.jpg</v>
      </c>
      <c r="W927" s="76">
        <v>44958.917743055557</v>
      </c>
      <c r="X927" s="80">
        <v>44958</v>
      </c>
      <c r="Y927" s="78" t="s">
        <v>2944</v>
      </c>
      <c r="Z927" s="77" t="str">
        <f>HYPERLINK("https://twitter.com/redrangerchris/status/1620905217066938369")</f>
        <v>https://twitter.com/redrangerchris/status/1620905217066938369</v>
      </c>
      <c r="AC927" s="78" t="s">
        <v>4009</v>
      </c>
      <c r="AE927" t="b">
        <v>0</v>
      </c>
      <c r="AF927">
        <v>0</v>
      </c>
      <c r="AG927" s="78" t="s">
        <v>4640</v>
      </c>
      <c r="AH927" t="b">
        <v>0</v>
      </c>
      <c r="AI927" t="s">
        <v>4829</v>
      </c>
      <c r="AK927" s="78" t="s">
        <v>4640</v>
      </c>
      <c r="AL927" t="b">
        <v>0</v>
      </c>
      <c r="AM927">
        <v>1</v>
      </c>
      <c r="AN927" s="78" t="s">
        <v>4008</v>
      </c>
      <c r="AO927" s="78" t="s">
        <v>4850</v>
      </c>
      <c r="AP927" t="b">
        <v>0</v>
      </c>
      <c r="AQ927" s="78" t="s">
        <v>4008</v>
      </c>
      <c r="AR927" t="s">
        <v>179</v>
      </c>
      <c r="AS927">
        <v>0</v>
      </c>
      <c r="AT927">
        <v>0</v>
      </c>
    </row>
    <row r="928" spans="1:54" x14ac:dyDescent="0.45">
      <c r="A928" s="62" t="s">
        <v>914</v>
      </c>
      <c r="B928" s="62" t="s">
        <v>1432</v>
      </c>
      <c r="C928" s="63"/>
      <c r="D928" s="64"/>
      <c r="E928" s="65"/>
      <c r="F928" s="66"/>
      <c r="G928" s="63"/>
      <c r="H928" s="67"/>
      <c r="I928" s="68"/>
      <c r="J928" s="68"/>
      <c r="K928" s="32"/>
      <c r="L928" s="75"/>
      <c r="M928" s="75"/>
      <c r="N928" s="70"/>
      <c r="O928" t="s">
        <v>1568</v>
      </c>
      <c r="P928" s="76">
        <v>44958.537442129629</v>
      </c>
      <c r="Q928" t="s">
        <v>2073</v>
      </c>
      <c r="T928" s="78" t="s">
        <v>2394</v>
      </c>
      <c r="V928" s="77" t="str">
        <f>HYPERLINK("https://pbs.twimg.com/profile_images/1573328353716838403/T9E8hKB6_normal.jpg")</f>
        <v>https://pbs.twimg.com/profile_images/1573328353716838403/T9E8hKB6_normal.jpg</v>
      </c>
      <c r="W928" s="76">
        <v>44958.537442129629</v>
      </c>
      <c r="X928" s="80">
        <v>44958</v>
      </c>
      <c r="Y928" s="78" t="s">
        <v>3178</v>
      </c>
      <c r="Z928" s="77" t="str">
        <f>HYPERLINK("https://twitter.com/ashgogate/status/1620767401385299969")</f>
        <v>https://twitter.com/ashgogate/status/1620767401385299969</v>
      </c>
      <c r="AC928" s="78" t="s">
        <v>4243</v>
      </c>
      <c r="AD928" s="78" t="s">
        <v>4595</v>
      </c>
      <c r="AE928" t="b">
        <v>0</v>
      </c>
      <c r="AF928">
        <v>0</v>
      </c>
      <c r="AG928" s="78" t="s">
        <v>4768</v>
      </c>
      <c r="AH928" t="b">
        <v>0</v>
      </c>
      <c r="AI928" t="s">
        <v>4829</v>
      </c>
      <c r="AK928" s="78" t="s">
        <v>4640</v>
      </c>
      <c r="AL928" t="b">
        <v>0</v>
      </c>
      <c r="AM928">
        <v>0</v>
      </c>
      <c r="AN928" s="78" t="s">
        <v>4640</v>
      </c>
      <c r="AO928" s="78" t="s">
        <v>4850</v>
      </c>
      <c r="AP928" t="b">
        <v>0</v>
      </c>
      <c r="AQ928" s="78" t="s">
        <v>4595</v>
      </c>
      <c r="AR928" t="s">
        <v>179</v>
      </c>
      <c r="AS928">
        <v>0</v>
      </c>
      <c r="AT928">
        <v>0</v>
      </c>
      <c r="AU928" t="s">
        <v>4893</v>
      </c>
      <c r="AV928" t="s">
        <v>4898</v>
      </c>
      <c r="AW928" t="s">
        <v>4900</v>
      </c>
      <c r="AX928" t="s">
        <v>4922</v>
      </c>
      <c r="AY928" t="s">
        <v>4947</v>
      </c>
      <c r="AZ928" t="s">
        <v>4971</v>
      </c>
      <c r="BA928" t="s">
        <v>4975</v>
      </c>
      <c r="BB928" s="77" t="str">
        <f>HYPERLINK("https://api.twitter.com/1.1/geo/id/653ff2b6e50b05a3.json")</f>
        <v>https://api.twitter.com/1.1/geo/id/653ff2b6e50b05a3.json</v>
      </c>
    </row>
    <row r="929" spans="1:54" x14ac:dyDescent="0.45">
      <c r="A929" s="62" t="s">
        <v>914</v>
      </c>
      <c r="B929" s="62" t="s">
        <v>1433</v>
      </c>
      <c r="C929" s="63"/>
      <c r="D929" s="64"/>
      <c r="E929" s="65"/>
      <c r="F929" s="66"/>
      <c r="G929" s="63"/>
      <c r="H929" s="67"/>
      <c r="I929" s="68"/>
      <c r="J929" s="68"/>
      <c r="K929" s="32"/>
      <c r="L929" s="75"/>
      <c r="M929" s="75"/>
      <c r="N929" s="70"/>
      <c r="O929" t="s">
        <v>1568</v>
      </c>
      <c r="P929" s="76">
        <v>44958.537442129629</v>
      </c>
      <c r="Q929" t="s">
        <v>2073</v>
      </c>
      <c r="T929" s="78" t="s">
        <v>2394</v>
      </c>
      <c r="V929" s="77" t="str">
        <f>HYPERLINK("https://pbs.twimg.com/profile_images/1573328353716838403/T9E8hKB6_normal.jpg")</f>
        <v>https://pbs.twimg.com/profile_images/1573328353716838403/T9E8hKB6_normal.jpg</v>
      </c>
      <c r="W929" s="76">
        <v>44958.537442129629</v>
      </c>
      <c r="X929" s="80">
        <v>44958</v>
      </c>
      <c r="Y929" s="78" t="s">
        <v>3178</v>
      </c>
      <c r="Z929" s="77" t="str">
        <f>HYPERLINK("https://twitter.com/ashgogate/status/1620767401385299969")</f>
        <v>https://twitter.com/ashgogate/status/1620767401385299969</v>
      </c>
      <c r="AC929" s="78" t="s">
        <v>4243</v>
      </c>
      <c r="AD929" s="78" t="s">
        <v>4595</v>
      </c>
      <c r="AE929" t="b">
        <v>0</v>
      </c>
      <c r="AF929">
        <v>0</v>
      </c>
      <c r="AG929" s="78" t="s">
        <v>4768</v>
      </c>
      <c r="AH929" t="b">
        <v>0</v>
      </c>
      <c r="AI929" t="s">
        <v>4829</v>
      </c>
      <c r="AK929" s="78" t="s">
        <v>4640</v>
      </c>
      <c r="AL929" t="b">
        <v>0</v>
      </c>
      <c r="AM929">
        <v>0</v>
      </c>
      <c r="AN929" s="78" t="s">
        <v>4640</v>
      </c>
      <c r="AO929" s="78" t="s">
        <v>4850</v>
      </c>
      <c r="AP929" t="b">
        <v>0</v>
      </c>
      <c r="AQ929" s="78" t="s">
        <v>4595</v>
      </c>
      <c r="AR929" t="s">
        <v>179</v>
      </c>
      <c r="AS929">
        <v>0</v>
      </c>
      <c r="AT929">
        <v>0</v>
      </c>
      <c r="AU929" t="s">
        <v>4893</v>
      </c>
      <c r="AV929" t="s">
        <v>4898</v>
      </c>
      <c r="AW929" t="s">
        <v>4900</v>
      </c>
      <c r="AX929" t="s">
        <v>4922</v>
      </c>
      <c r="AY929" t="s">
        <v>4947</v>
      </c>
      <c r="AZ929" t="s">
        <v>4971</v>
      </c>
      <c r="BA929" t="s">
        <v>4975</v>
      </c>
      <c r="BB929" s="77" t="str">
        <f>HYPERLINK("https://api.twitter.com/1.1/geo/id/653ff2b6e50b05a3.json")</f>
        <v>https://api.twitter.com/1.1/geo/id/653ff2b6e50b05a3.json</v>
      </c>
    </row>
    <row r="930" spans="1:54" x14ac:dyDescent="0.45">
      <c r="A930" s="62" t="s">
        <v>914</v>
      </c>
      <c r="B930" s="62" t="s">
        <v>1434</v>
      </c>
      <c r="C930" s="63"/>
      <c r="D930" s="64"/>
      <c r="E930" s="65"/>
      <c r="F930" s="66"/>
      <c r="G930" s="63"/>
      <c r="H930" s="67"/>
      <c r="I930" s="68"/>
      <c r="J930" s="68"/>
      <c r="K930" s="32"/>
      <c r="L930" s="75"/>
      <c r="M930" s="75"/>
      <c r="N930" s="70"/>
      <c r="O930" t="s">
        <v>1568</v>
      </c>
      <c r="P930" s="76">
        <v>44958.537442129629</v>
      </c>
      <c r="Q930" t="s">
        <v>2073</v>
      </c>
      <c r="T930" s="78" t="s">
        <v>2394</v>
      </c>
      <c r="V930" s="77" t="str">
        <f>HYPERLINK("https://pbs.twimg.com/profile_images/1573328353716838403/T9E8hKB6_normal.jpg")</f>
        <v>https://pbs.twimg.com/profile_images/1573328353716838403/T9E8hKB6_normal.jpg</v>
      </c>
      <c r="W930" s="76">
        <v>44958.537442129629</v>
      </c>
      <c r="X930" s="80">
        <v>44958</v>
      </c>
      <c r="Y930" s="78" t="s">
        <v>3178</v>
      </c>
      <c r="Z930" s="77" t="str">
        <f>HYPERLINK("https://twitter.com/ashgogate/status/1620767401385299969")</f>
        <v>https://twitter.com/ashgogate/status/1620767401385299969</v>
      </c>
      <c r="AC930" s="78" t="s">
        <v>4243</v>
      </c>
      <c r="AD930" s="78" t="s">
        <v>4595</v>
      </c>
      <c r="AE930" t="b">
        <v>0</v>
      </c>
      <c r="AF930">
        <v>0</v>
      </c>
      <c r="AG930" s="78" t="s">
        <v>4768</v>
      </c>
      <c r="AH930" t="b">
        <v>0</v>
      </c>
      <c r="AI930" t="s">
        <v>4829</v>
      </c>
      <c r="AK930" s="78" t="s">
        <v>4640</v>
      </c>
      <c r="AL930" t="b">
        <v>0</v>
      </c>
      <c r="AM930">
        <v>0</v>
      </c>
      <c r="AN930" s="78" t="s">
        <v>4640</v>
      </c>
      <c r="AO930" s="78" t="s">
        <v>4850</v>
      </c>
      <c r="AP930" t="b">
        <v>0</v>
      </c>
      <c r="AQ930" s="78" t="s">
        <v>4595</v>
      </c>
      <c r="AR930" t="s">
        <v>179</v>
      </c>
      <c r="AS930">
        <v>0</v>
      </c>
      <c r="AT930">
        <v>0</v>
      </c>
      <c r="AU930" t="s">
        <v>4893</v>
      </c>
      <c r="AV930" t="s">
        <v>4898</v>
      </c>
      <c r="AW930" t="s">
        <v>4900</v>
      </c>
      <c r="AX930" t="s">
        <v>4922</v>
      </c>
      <c r="AY930" t="s">
        <v>4947</v>
      </c>
      <c r="AZ930" t="s">
        <v>4971</v>
      </c>
      <c r="BA930" t="s">
        <v>4975</v>
      </c>
      <c r="BB930" s="77" t="str">
        <f>HYPERLINK("https://api.twitter.com/1.1/geo/id/653ff2b6e50b05a3.json")</f>
        <v>https://api.twitter.com/1.1/geo/id/653ff2b6e50b05a3.json</v>
      </c>
    </row>
    <row r="931" spans="1:54" x14ac:dyDescent="0.45">
      <c r="A931" s="62" t="s">
        <v>914</v>
      </c>
      <c r="B931" s="62" t="s">
        <v>1435</v>
      </c>
      <c r="C931" s="63"/>
      <c r="D931" s="64"/>
      <c r="E931" s="65"/>
      <c r="F931" s="66"/>
      <c r="G931" s="63"/>
      <c r="H931" s="67"/>
      <c r="I931" s="68"/>
      <c r="J931" s="68"/>
      <c r="K931" s="32"/>
      <c r="L931" s="75"/>
      <c r="M931" s="75"/>
      <c r="N931" s="70"/>
      <c r="O931" t="s">
        <v>1568</v>
      </c>
      <c r="P931" s="76">
        <v>44958.537442129629</v>
      </c>
      <c r="Q931" t="s">
        <v>2073</v>
      </c>
      <c r="T931" s="78" t="s">
        <v>2394</v>
      </c>
      <c r="V931" s="77" t="str">
        <f>HYPERLINK("https://pbs.twimg.com/profile_images/1573328353716838403/T9E8hKB6_normal.jpg")</f>
        <v>https://pbs.twimg.com/profile_images/1573328353716838403/T9E8hKB6_normal.jpg</v>
      </c>
      <c r="W931" s="76">
        <v>44958.537442129629</v>
      </c>
      <c r="X931" s="80">
        <v>44958</v>
      </c>
      <c r="Y931" s="78" t="s">
        <v>3178</v>
      </c>
      <c r="Z931" s="77" t="str">
        <f>HYPERLINK("https://twitter.com/ashgogate/status/1620767401385299969")</f>
        <v>https://twitter.com/ashgogate/status/1620767401385299969</v>
      </c>
      <c r="AC931" s="78" t="s">
        <v>4243</v>
      </c>
      <c r="AD931" s="78" t="s">
        <v>4595</v>
      </c>
      <c r="AE931" t="b">
        <v>0</v>
      </c>
      <c r="AF931">
        <v>0</v>
      </c>
      <c r="AG931" s="78" t="s">
        <v>4768</v>
      </c>
      <c r="AH931" t="b">
        <v>0</v>
      </c>
      <c r="AI931" t="s">
        <v>4829</v>
      </c>
      <c r="AK931" s="78" t="s">
        <v>4640</v>
      </c>
      <c r="AL931" t="b">
        <v>0</v>
      </c>
      <c r="AM931">
        <v>0</v>
      </c>
      <c r="AN931" s="78" t="s">
        <v>4640</v>
      </c>
      <c r="AO931" s="78" t="s">
        <v>4850</v>
      </c>
      <c r="AP931" t="b">
        <v>0</v>
      </c>
      <c r="AQ931" s="78" t="s">
        <v>4595</v>
      </c>
      <c r="AR931" t="s">
        <v>179</v>
      </c>
      <c r="AS931">
        <v>0</v>
      </c>
      <c r="AT931">
        <v>0</v>
      </c>
      <c r="AU931" t="s">
        <v>4893</v>
      </c>
      <c r="AV931" t="s">
        <v>4898</v>
      </c>
      <c r="AW931" t="s">
        <v>4900</v>
      </c>
      <c r="AX931" t="s">
        <v>4922</v>
      </c>
      <c r="AY931" t="s">
        <v>4947</v>
      </c>
      <c r="AZ931" t="s">
        <v>4971</v>
      </c>
      <c r="BA931" t="s">
        <v>4975</v>
      </c>
      <c r="BB931" s="77" t="str">
        <f>HYPERLINK("https://api.twitter.com/1.1/geo/id/653ff2b6e50b05a3.json")</f>
        <v>https://api.twitter.com/1.1/geo/id/653ff2b6e50b05a3.json</v>
      </c>
    </row>
    <row r="932" spans="1:54" x14ac:dyDescent="0.45">
      <c r="A932" s="62" t="s">
        <v>914</v>
      </c>
      <c r="B932" s="62" t="s">
        <v>1436</v>
      </c>
      <c r="C932" s="63"/>
      <c r="D932" s="64"/>
      <c r="E932" s="65"/>
      <c r="F932" s="66"/>
      <c r="G932" s="63"/>
      <c r="H932" s="67"/>
      <c r="I932" s="68"/>
      <c r="J932" s="68"/>
      <c r="K932" s="32"/>
      <c r="L932" s="75"/>
      <c r="M932" s="75"/>
      <c r="N932" s="70"/>
      <c r="O932" t="s">
        <v>1568</v>
      </c>
      <c r="P932" s="76">
        <v>44958.537442129629</v>
      </c>
      <c r="Q932" t="s">
        <v>2073</v>
      </c>
      <c r="T932" s="78" t="s">
        <v>2394</v>
      </c>
      <c r="V932" s="77" t="str">
        <f>HYPERLINK("https://pbs.twimg.com/profile_images/1573328353716838403/T9E8hKB6_normal.jpg")</f>
        <v>https://pbs.twimg.com/profile_images/1573328353716838403/T9E8hKB6_normal.jpg</v>
      </c>
      <c r="W932" s="76">
        <v>44958.537442129629</v>
      </c>
      <c r="X932" s="80">
        <v>44958</v>
      </c>
      <c r="Y932" s="78" t="s">
        <v>3178</v>
      </c>
      <c r="Z932" s="77" t="str">
        <f>HYPERLINK("https://twitter.com/ashgogate/status/1620767401385299969")</f>
        <v>https://twitter.com/ashgogate/status/1620767401385299969</v>
      </c>
      <c r="AC932" s="78" t="s">
        <v>4243</v>
      </c>
      <c r="AD932" s="78" t="s">
        <v>4595</v>
      </c>
      <c r="AE932" t="b">
        <v>0</v>
      </c>
      <c r="AF932">
        <v>0</v>
      </c>
      <c r="AG932" s="78" t="s">
        <v>4768</v>
      </c>
      <c r="AH932" t="b">
        <v>0</v>
      </c>
      <c r="AI932" t="s">
        <v>4829</v>
      </c>
      <c r="AK932" s="78" t="s">
        <v>4640</v>
      </c>
      <c r="AL932" t="b">
        <v>0</v>
      </c>
      <c r="AM932">
        <v>0</v>
      </c>
      <c r="AN932" s="78" t="s">
        <v>4640</v>
      </c>
      <c r="AO932" s="78" t="s">
        <v>4850</v>
      </c>
      <c r="AP932" t="b">
        <v>0</v>
      </c>
      <c r="AQ932" s="78" t="s">
        <v>4595</v>
      </c>
      <c r="AR932" t="s">
        <v>179</v>
      </c>
      <c r="AS932">
        <v>0</v>
      </c>
      <c r="AT932">
        <v>0</v>
      </c>
      <c r="AU932" t="s">
        <v>4893</v>
      </c>
      <c r="AV932" t="s">
        <v>4898</v>
      </c>
      <c r="AW932" t="s">
        <v>4900</v>
      </c>
      <c r="AX932" t="s">
        <v>4922</v>
      </c>
      <c r="AY932" t="s">
        <v>4947</v>
      </c>
      <c r="AZ932" t="s">
        <v>4971</v>
      </c>
      <c r="BA932" t="s">
        <v>4975</v>
      </c>
      <c r="BB932" s="77" t="str">
        <f>HYPERLINK("https://api.twitter.com/1.1/geo/id/653ff2b6e50b05a3.json")</f>
        <v>https://api.twitter.com/1.1/geo/id/653ff2b6e50b05a3.json</v>
      </c>
    </row>
    <row r="933" spans="1:54" x14ac:dyDescent="0.45">
      <c r="A933" s="62" t="s">
        <v>914</v>
      </c>
      <c r="B933" s="62" t="s">
        <v>1437</v>
      </c>
      <c r="C933" s="63"/>
      <c r="D933" s="64"/>
      <c r="E933" s="65"/>
      <c r="F933" s="66"/>
      <c r="G933" s="63"/>
      <c r="H933" s="67"/>
      <c r="I933" s="68"/>
      <c r="J933" s="68"/>
      <c r="K933" s="32"/>
      <c r="L933" s="75"/>
      <c r="M933" s="75"/>
      <c r="N933" s="70"/>
      <c r="O933" t="s">
        <v>1568</v>
      </c>
      <c r="P933" s="76">
        <v>44958.537442129629</v>
      </c>
      <c r="Q933" t="s">
        <v>2073</v>
      </c>
      <c r="T933" s="78" t="s">
        <v>2394</v>
      </c>
      <c r="V933" s="77" t="str">
        <f>HYPERLINK("https://pbs.twimg.com/profile_images/1573328353716838403/T9E8hKB6_normal.jpg")</f>
        <v>https://pbs.twimg.com/profile_images/1573328353716838403/T9E8hKB6_normal.jpg</v>
      </c>
      <c r="W933" s="76">
        <v>44958.537442129629</v>
      </c>
      <c r="X933" s="80">
        <v>44958</v>
      </c>
      <c r="Y933" s="78" t="s">
        <v>3178</v>
      </c>
      <c r="Z933" s="77" t="str">
        <f>HYPERLINK("https://twitter.com/ashgogate/status/1620767401385299969")</f>
        <v>https://twitter.com/ashgogate/status/1620767401385299969</v>
      </c>
      <c r="AC933" s="78" t="s">
        <v>4243</v>
      </c>
      <c r="AD933" s="78" t="s">
        <v>4595</v>
      </c>
      <c r="AE933" t="b">
        <v>0</v>
      </c>
      <c r="AF933">
        <v>0</v>
      </c>
      <c r="AG933" s="78" t="s">
        <v>4768</v>
      </c>
      <c r="AH933" t="b">
        <v>0</v>
      </c>
      <c r="AI933" t="s">
        <v>4829</v>
      </c>
      <c r="AK933" s="78" t="s">
        <v>4640</v>
      </c>
      <c r="AL933" t="b">
        <v>0</v>
      </c>
      <c r="AM933">
        <v>0</v>
      </c>
      <c r="AN933" s="78" t="s">
        <v>4640</v>
      </c>
      <c r="AO933" s="78" t="s">
        <v>4850</v>
      </c>
      <c r="AP933" t="b">
        <v>0</v>
      </c>
      <c r="AQ933" s="78" t="s">
        <v>4595</v>
      </c>
      <c r="AR933" t="s">
        <v>179</v>
      </c>
      <c r="AS933">
        <v>0</v>
      </c>
      <c r="AT933">
        <v>0</v>
      </c>
      <c r="AU933" t="s">
        <v>4893</v>
      </c>
      <c r="AV933" t="s">
        <v>4898</v>
      </c>
      <c r="AW933" t="s">
        <v>4900</v>
      </c>
      <c r="AX933" t="s">
        <v>4922</v>
      </c>
      <c r="AY933" t="s">
        <v>4947</v>
      </c>
      <c r="AZ933" t="s">
        <v>4971</v>
      </c>
      <c r="BA933" t="s">
        <v>4975</v>
      </c>
      <c r="BB933" s="77" t="str">
        <f>HYPERLINK("https://api.twitter.com/1.1/geo/id/653ff2b6e50b05a3.json")</f>
        <v>https://api.twitter.com/1.1/geo/id/653ff2b6e50b05a3.json</v>
      </c>
    </row>
    <row r="934" spans="1:54" x14ac:dyDescent="0.45">
      <c r="A934" s="62" t="s">
        <v>914</v>
      </c>
      <c r="B934" s="62" t="s">
        <v>1437</v>
      </c>
      <c r="C934" s="63"/>
      <c r="D934" s="64"/>
      <c r="E934" s="65"/>
      <c r="F934" s="66"/>
      <c r="G934" s="63"/>
      <c r="H934" s="67"/>
      <c r="I934" s="68"/>
      <c r="J934" s="68"/>
      <c r="K934" s="32"/>
      <c r="L934" s="75"/>
      <c r="M934" s="75"/>
      <c r="N934" s="70"/>
      <c r="O934" t="s">
        <v>1568</v>
      </c>
      <c r="P934" s="76">
        <v>44959.104837962965</v>
      </c>
      <c r="Q934" t="s">
        <v>2074</v>
      </c>
      <c r="T934" s="78" t="s">
        <v>2394</v>
      </c>
      <c r="U934" s="77" t="str">
        <f>HYPERLINK("https://pbs.twimg.com/media/Fn7aWziaQAAxQh_.jpg")</f>
        <v>https://pbs.twimg.com/media/Fn7aWziaQAAxQh_.jpg</v>
      </c>
      <c r="V934" s="77" t="str">
        <f>HYPERLINK("https://pbs.twimg.com/media/Fn7aWziaQAAxQh_.jpg")</f>
        <v>https://pbs.twimg.com/media/Fn7aWziaQAAxQh_.jpg</v>
      </c>
      <c r="W934" s="76">
        <v>44959.104837962965</v>
      </c>
      <c r="X934" s="80">
        <v>44959</v>
      </c>
      <c r="Y934" s="78" t="s">
        <v>3179</v>
      </c>
      <c r="Z934" s="77" t="str">
        <f>HYPERLINK("https://twitter.com/ashgogate/status/1620973019488489473")</f>
        <v>https://twitter.com/ashgogate/status/1620973019488489473</v>
      </c>
      <c r="AC934" s="78" t="s">
        <v>4244</v>
      </c>
      <c r="AE934" t="b">
        <v>0</v>
      </c>
      <c r="AF934">
        <v>0</v>
      </c>
      <c r="AG934" s="78" t="s">
        <v>4640</v>
      </c>
      <c r="AH934" t="b">
        <v>0</v>
      </c>
      <c r="AI934" t="s">
        <v>4829</v>
      </c>
      <c r="AK934" s="78" t="s">
        <v>4640</v>
      </c>
      <c r="AL934" t="b">
        <v>0</v>
      </c>
      <c r="AM934">
        <v>0</v>
      </c>
      <c r="AN934" s="78" t="s">
        <v>4640</v>
      </c>
      <c r="AO934" s="78" t="s">
        <v>4850</v>
      </c>
      <c r="AP934" t="b">
        <v>0</v>
      </c>
      <c r="AQ934" s="78" t="s">
        <v>4244</v>
      </c>
      <c r="AR934" t="s">
        <v>179</v>
      </c>
      <c r="AS934">
        <v>0</v>
      </c>
      <c r="AT934">
        <v>0</v>
      </c>
      <c r="AU934" t="s">
        <v>4893</v>
      </c>
      <c r="AV934" t="s">
        <v>4898</v>
      </c>
      <c r="AW934" t="s">
        <v>4900</v>
      </c>
      <c r="AX934" t="s">
        <v>4922</v>
      </c>
      <c r="AY934" t="s">
        <v>4947</v>
      </c>
      <c r="AZ934" t="s">
        <v>4971</v>
      </c>
      <c r="BA934" t="s">
        <v>4975</v>
      </c>
      <c r="BB934" s="77" t="str">
        <f>HYPERLINK("https://api.twitter.com/1.1/geo/id/653ff2b6e50b05a3.json")</f>
        <v>https://api.twitter.com/1.1/geo/id/653ff2b6e50b05a3.json</v>
      </c>
    </row>
    <row r="935" spans="1:54" x14ac:dyDescent="0.45">
      <c r="A935" s="62" t="s">
        <v>914</v>
      </c>
      <c r="B935" s="62" t="s">
        <v>242</v>
      </c>
      <c r="C935" s="63"/>
      <c r="D935" s="64"/>
      <c r="E935" s="65"/>
      <c r="F935" s="66"/>
      <c r="G935" s="63"/>
      <c r="H935" s="67"/>
      <c r="I935" s="68"/>
      <c r="J935" s="68"/>
      <c r="K935" s="32"/>
      <c r="L935" s="75"/>
      <c r="M935" s="75"/>
      <c r="N935" s="70"/>
      <c r="O935" t="s">
        <v>1568</v>
      </c>
      <c r="P935" s="76">
        <v>44958.537442129629</v>
      </c>
      <c r="Q935" t="s">
        <v>2073</v>
      </c>
      <c r="T935" s="78" t="s">
        <v>2394</v>
      </c>
      <c r="V935" s="77" t="str">
        <f>HYPERLINK("https://pbs.twimg.com/profile_images/1573328353716838403/T9E8hKB6_normal.jpg")</f>
        <v>https://pbs.twimg.com/profile_images/1573328353716838403/T9E8hKB6_normal.jpg</v>
      </c>
      <c r="W935" s="76">
        <v>44958.537442129629</v>
      </c>
      <c r="X935" s="80">
        <v>44958</v>
      </c>
      <c r="Y935" s="78" t="s">
        <v>3178</v>
      </c>
      <c r="Z935" s="77" t="str">
        <f>HYPERLINK("https://twitter.com/ashgogate/status/1620767401385299969")</f>
        <v>https://twitter.com/ashgogate/status/1620767401385299969</v>
      </c>
      <c r="AC935" s="78" t="s">
        <v>4243</v>
      </c>
      <c r="AD935" s="78" t="s">
        <v>4595</v>
      </c>
      <c r="AE935" t="b">
        <v>0</v>
      </c>
      <c r="AF935">
        <v>0</v>
      </c>
      <c r="AG935" s="78" t="s">
        <v>4768</v>
      </c>
      <c r="AH935" t="b">
        <v>0</v>
      </c>
      <c r="AI935" t="s">
        <v>4829</v>
      </c>
      <c r="AK935" s="78" t="s">
        <v>4640</v>
      </c>
      <c r="AL935" t="b">
        <v>0</v>
      </c>
      <c r="AM935">
        <v>0</v>
      </c>
      <c r="AN935" s="78" t="s">
        <v>4640</v>
      </c>
      <c r="AO935" s="78" t="s">
        <v>4850</v>
      </c>
      <c r="AP935" t="b">
        <v>0</v>
      </c>
      <c r="AQ935" s="78" t="s">
        <v>4595</v>
      </c>
      <c r="AR935" t="s">
        <v>179</v>
      </c>
      <c r="AS935">
        <v>0</v>
      </c>
      <c r="AT935">
        <v>0</v>
      </c>
      <c r="AU935" t="s">
        <v>4893</v>
      </c>
      <c r="AV935" t="s">
        <v>4898</v>
      </c>
      <c r="AW935" t="s">
        <v>4900</v>
      </c>
      <c r="AX935" t="s">
        <v>4922</v>
      </c>
      <c r="AY935" t="s">
        <v>4947</v>
      </c>
      <c r="AZ935" t="s">
        <v>4971</v>
      </c>
      <c r="BA935" t="s">
        <v>4975</v>
      </c>
      <c r="BB935" s="77" t="str">
        <f>HYPERLINK("https://api.twitter.com/1.1/geo/id/653ff2b6e50b05a3.json")</f>
        <v>https://api.twitter.com/1.1/geo/id/653ff2b6e50b05a3.json</v>
      </c>
    </row>
    <row r="936" spans="1:54" x14ac:dyDescent="0.45">
      <c r="A936" s="62" t="s">
        <v>914</v>
      </c>
      <c r="B936" s="62" t="s">
        <v>1110</v>
      </c>
      <c r="C936" s="63"/>
      <c r="D936" s="64"/>
      <c r="E936" s="65"/>
      <c r="F936" s="66"/>
      <c r="G936" s="63"/>
      <c r="H936" s="67"/>
      <c r="I936" s="68"/>
      <c r="J936" s="68"/>
      <c r="K936" s="32"/>
      <c r="L936" s="75"/>
      <c r="M936" s="75"/>
      <c r="N936" s="70"/>
      <c r="O936" t="s">
        <v>1568</v>
      </c>
      <c r="P936" s="76">
        <v>44958.537442129629</v>
      </c>
      <c r="Q936" t="s">
        <v>2073</v>
      </c>
      <c r="T936" s="78" t="s">
        <v>2394</v>
      </c>
      <c r="V936" s="77" t="str">
        <f>HYPERLINK("https://pbs.twimg.com/profile_images/1573328353716838403/T9E8hKB6_normal.jpg")</f>
        <v>https://pbs.twimg.com/profile_images/1573328353716838403/T9E8hKB6_normal.jpg</v>
      </c>
      <c r="W936" s="76">
        <v>44958.537442129629</v>
      </c>
      <c r="X936" s="80">
        <v>44958</v>
      </c>
      <c r="Y936" s="78" t="s">
        <v>3178</v>
      </c>
      <c r="Z936" s="77" t="str">
        <f>HYPERLINK("https://twitter.com/ashgogate/status/1620767401385299969")</f>
        <v>https://twitter.com/ashgogate/status/1620767401385299969</v>
      </c>
      <c r="AC936" s="78" t="s">
        <v>4243</v>
      </c>
      <c r="AD936" s="78" t="s">
        <v>4595</v>
      </c>
      <c r="AE936" t="b">
        <v>0</v>
      </c>
      <c r="AF936">
        <v>0</v>
      </c>
      <c r="AG936" s="78" t="s">
        <v>4768</v>
      </c>
      <c r="AH936" t="b">
        <v>0</v>
      </c>
      <c r="AI936" t="s">
        <v>4829</v>
      </c>
      <c r="AK936" s="78" t="s">
        <v>4640</v>
      </c>
      <c r="AL936" t="b">
        <v>0</v>
      </c>
      <c r="AM936">
        <v>0</v>
      </c>
      <c r="AN936" s="78" t="s">
        <v>4640</v>
      </c>
      <c r="AO936" s="78" t="s">
        <v>4850</v>
      </c>
      <c r="AP936" t="b">
        <v>0</v>
      </c>
      <c r="AQ936" s="78" t="s">
        <v>4595</v>
      </c>
      <c r="AR936" t="s">
        <v>179</v>
      </c>
      <c r="AS936">
        <v>0</v>
      </c>
      <c r="AT936">
        <v>0</v>
      </c>
      <c r="AU936" t="s">
        <v>4893</v>
      </c>
      <c r="AV936" t="s">
        <v>4898</v>
      </c>
      <c r="AW936" t="s">
        <v>4900</v>
      </c>
      <c r="AX936" t="s">
        <v>4922</v>
      </c>
      <c r="AY936" t="s">
        <v>4947</v>
      </c>
      <c r="AZ936" t="s">
        <v>4971</v>
      </c>
      <c r="BA936" t="s">
        <v>4975</v>
      </c>
      <c r="BB936" s="77" t="str">
        <f>HYPERLINK("https://api.twitter.com/1.1/geo/id/653ff2b6e50b05a3.json")</f>
        <v>https://api.twitter.com/1.1/geo/id/653ff2b6e50b05a3.json</v>
      </c>
    </row>
    <row r="937" spans="1:54" x14ac:dyDescent="0.45">
      <c r="A937" s="62" t="s">
        <v>914</v>
      </c>
      <c r="B937" s="62" t="s">
        <v>1109</v>
      </c>
      <c r="C937" s="63"/>
      <c r="D937" s="64"/>
      <c r="E937" s="65"/>
      <c r="F937" s="66"/>
      <c r="G937" s="63"/>
      <c r="H937" s="67"/>
      <c r="I937" s="68"/>
      <c r="J937" s="68"/>
      <c r="K937" s="32"/>
      <c r="L937" s="75"/>
      <c r="M937" s="75"/>
      <c r="N937" s="70"/>
      <c r="O937" t="s">
        <v>1568</v>
      </c>
      <c r="P937" s="76">
        <v>44958.537442129629</v>
      </c>
      <c r="Q937" t="s">
        <v>2073</v>
      </c>
      <c r="T937" s="78" t="s">
        <v>2394</v>
      </c>
      <c r="V937" s="77" t="str">
        <f>HYPERLINK("https://pbs.twimg.com/profile_images/1573328353716838403/T9E8hKB6_normal.jpg")</f>
        <v>https://pbs.twimg.com/profile_images/1573328353716838403/T9E8hKB6_normal.jpg</v>
      </c>
      <c r="W937" s="76">
        <v>44958.537442129629</v>
      </c>
      <c r="X937" s="80">
        <v>44958</v>
      </c>
      <c r="Y937" s="78" t="s">
        <v>3178</v>
      </c>
      <c r="Z937" s="77" t="str">
        <f>HYPERLINK("https://twitter.com/ashgogate/status/1620767401385299969")</f>
        <v>https://twitter.com/ashgogate/status/1620767401385299969</v>
      </c>
      <c r="AC937" s="78" t="s">
        <v>4243</v>
      </c>
      <c r="AD937" s="78" t="s">
        <v>4595</v>
      </c>
      <c r="AE937" t="b">
        <v>0</v>
      </c>
      <c r="AF937">
        <v>0</v>
      </c>
      <c r="AG937" s="78" t="s">
        <v>4768</v>
      </c>
      <c r="AH937" t="b">
        <v>0</v>
      </c>
      <c r="AI937" t="s">
        <v>4829</v>
      </c>
      <c r="AK937" s="78" t="s">
        <v>4640</v>
      </c>
      <c r="AL937" t="b">
        <v>0</v>
      </c>
      <c r="AM937">
        <v>0</v>
      </c>
      <c r="AN937" s="78" t="s">
        <v>4640</v>
      </c>
      <c r="AO937" s="78" t="s">
        <v>4850</v>
      </c>
      <c r="AP937" t="b">
        <v>0</v>
      </c>
      <c r="AQ937" s="78" t="s">
        <v>4595</v>
      </c>
      <c r="AR937" t="s">
        <v>179</v>
      </c>
      <c r="AS937">
        <v>0</v>
      </c>
      <c r="AT937">
        <v>0</v>
      </c>
      <c r="AU937" t="s">
        <v>4893</v>
      </c>
      <c r="AV937" t="s">
        <v>4898</v>
      </c>
      <c r="AW937" t="s">
        <v>4900</v>
      </c>
      <c r="AX937" t="s">
        <v>4922</v>
      </c>
      <c r="AY937" t="s">
        <v>4947</v>
      </c>
      <c r="AZ937" t="s">
        <v>4971</v>
      </c>
      <c r="BA937" t="s">
        <v>4975</v>
      </c>
      <c r="BB937" s="77" t="str">
        <f>HYPERLINK("https://api.twitter.com/1.1/geo/id/653ff2b6e50b05a3.json")</f>
        <v>https://api.twitter.com/1.1/geo/id/653ff2b6e50b05a3.json</v>
      </c>
    </row>
    <row r="938" spans="1:54" x14ac:dyDescent="0.45">
      <c r="A938" s="62" t="s">
        <v>914</v>
      </c>
      <c r="B938" s="62" t="s">
        <v>1202</v>
      </c>
      <c r="C938" s="63"/>
      <c r="D938" s="64"/>
      <c r="E938" s="65"/>
      <c r="F938" s="66"/>
      <c r="G938" s="63"/>
      <c r="H938" s="67"/>
      <c r="I938" s="68"/>
      <c r="J938" s="68"/>
      <c r="K938" s="32"/>
      <c r="L938" s="75"/>
      <c r="M938" s="75"/>
      <c r="N938" s="70"/>
      <c r="O938" t="s">
        <v>1567</v>
      </c>
      <c r="P938" s="76">
        <v>44958.537442129629</v>
      </c>
      <c r="Q938" t="s">
        <v>2073</v>
      </c>
      <c r="T938" s="78" t="s">
        <v>2394</v>
      </c>
      <c r="V938" s="77" t="str">
        <f>HYPERLINK("https://pbs.twimg.com/profile_images/1573328353716838403/T9E8hKB6_normal.jpg")</f>
        <v>https://pbs.twimg.com/profile_images/1573328353716838403/T9E8hKB6_normal.jpg</v>
      </c>
      <c r="W938" s="76">
        <v>44958.537442129629</v>
      </c>
      <c r="X938" s="80">
        <v>44958</v>
      </c>
      <c r="Y938" s="78" t="s">
        <v>3178</v>
      </c>
      <c r="Z938" s="77" t="str">
        <f>HYPERLINK("https://twitter.com/ashgogate/status/1620767401385299969")</f>
        <v>https://twitter.com/ashgogate/status/1620767401385299969</v>
      </c>
      <c r="AC938" s="78" t="s">
        <v>4243</v>
      </c>
      <c r="AD938" s="78" t="s">
        <v>4595</v>
      </c>
      <c r="AE938" t="b">
        <v>0</v>
      </c>
      <c r="AF938">
        <v>0</v>
      </c>
      <c r="AG938" s="78" t="s">
        <v>4768</v>
      </c>
      <c r="AH938" t="b">
        <v>0</v>
      </c>
      <c r="AI938" t="s">
        <v>4829</v>
      </c>
      <c r="AK938" s="78" t="s">
        <v>4640</v>
      </c>
      <c r="AL938" t="b">
        <v>0</v>
      </c>
      <c r="AM938">
        <v>0</v>
      </c>
      <c r="AN938" s="78" t="s">
        <v>4640</v>
      </c>
      <c r="AO938" s="78" t="s">
        <v>4850</v>
      </c>
      <c r="AP938" t="b">
        <v>0</v>
      </c>
      <c r="AQ938" s="78" t="s">
        <v>4595</v>
      </c>
      <c r="AR938" t="s">
        <v>179</v>
      </c>
      <c r="AS938">
        <v>0</v>
      </c>
      <c r="AT938">
        <v>0</v>
      </c>
      <c r="AU938" t="s">
        <v>4893</v>
      </c>
      <c r="AV938" t="s">
        <v>4898</v>
      </c>
      <c r="AW938" t="s">
        <v>4900</v>
      </c>
      <c r="AX938" t="s">
        <v>4922</v>
      </c>
      <c r="AY938" t="s">
        <v>4947</v>
      </c>
      <c r="AZ938" t="s">
        <v>4971</v>
      </c>
      <c r="BA938" t="s">
        <v>4975</v>
      </c>
      <c r="BB938" s="77" t="str">
        <f>HYPERLINK("https://api.twitter.com/1.1/geo/id/653ff2b6e50b05a3.json")</f>
        <v>https://api.twitter.com/1.1/geo/id/653ff2b6e50b05a3.json</v>
      </c>
    </row>
    <row r="939" spans="1:54" x14ac:dyDescent="0.45">
      <c r="A939" s="62" t="s">
        <v>914</v>
      </c>
      <c r="B939" s="62" t="s">
        <v>242</v>
      </c>
      <c r="C939" s="63"/>
      <c r="D939" s="64"/>
      <c r="E939" s="65"/>
      <c r="F939" s="66"/>
      <c r="G939" s="63"/>
      <c r="H939" s="67"/>
      <c r="I939" s="68"/>
      <c r="J939" s="68"/>
      <c r="K939" s="32"/>
      <c r="L939" s="75"/>
      <c r="M939" s="75"/>
      <c r="N939" s="70"/>
      <c r="O939" t="s">
        <v>1568</v>
      </c>
      <c r="P939" s="76">
        <v>44959.104837962965</v>
      </c>
      <c r="Q939" t="s">
        <v>2074</v>
      </c>
      <c r="T939" s="78" t="s">
        <v>2394</v>
      </c>
      <c r="U939" s="77" t="str">
        <f>HYPERLINK("https://pbs.twimg.com/media/Fn7aWziaQAAxQh_.jpg")</f>
        <v>https://pbs.twimg.com/media/Fn7aWziaQAAxQh_.jpg</v>
      </c>
      <c r="V939" s="77" t="str">
        <f>HYPERLINK("https://pbs.twimg.com/media/Fn7aWziaQAAxQh_.jpg")</f>
        <v>https://pbs.twimg.com/media/Fn7aWziaQAAxQh_.jpg</v>
      </c>
      <c r="W939" s="76">
        <v>44959.104837962965</v>
      </c>
      <c r="X939" s="80">
        <v>44959</v>
      </c>
      <c r="Y939" s="78" t="s">
        <v>3179</v>
      </c>
      <c r="Z939" s="77" t="str">
        <f>HYPERLINK("https://twitter.com/ashgogate/status/1620973019488489473")</f>
        <v>https://twitter.com/ashgogate/status/1620973019488489473</v>
      </c>
      <c r="AC939" s="78" t="s">
        <v>4244</v>
      </c>
      <c r="AE939" t="b">
        <v>0</v>
      </c>
      <c r="AF939">
        <v>0</v>
      </c>
      <c r="AG939" s="78" t="s">
        <v>4640</v>
      </c>
      <c r="AH939" t="b">
        <v>0</v>
      </c>
      <c r="AI939" t="s">
        <v>4829</v>
      </c>
      <c r="AK939" s="78" t="s">
        <v>4640</v>
      </c>
      <c r="AL939" t="b">
        <v>0</v>
      </c>
      <c r="AM939">
        <v>0</v>
      </c>
      <c r="AN939" s="78" t="s">
        <v>4640</v>
      </c>
      <c r="AO939" s="78" t="s">
        <v>4850</v>
      </c>
      <c r="AP939" t="b">
        <v>0</v>
      </c>
      <c r="AQ939" s="78" t="s">
        <v>4244</v>
      </c>
      <c r="AR939" t="s">
        <v>179</v>
      </c>
      <c r="AS939">
        <v>0</v>
      </c>
      <c r="AT939">
        <v>0</v>
      </c>
      <c r="AU939" t="s">
        <v>4893</v>
      </c>
      <c r="AV939" t="s">
        <v>4898</v>
      </c>
      <c r="AW939" t="s">
        <v>4900</v>
      </c>
      <c r="AX939" t="s">
        <v>4922</v>
      </c>
      <c r="AY939" t="s">
        <v>4947</v>
      </c>
      <c r="AZ939" t="s">
        <v>4971</v>
      </c>
      <c r="BA939" t="s">
        <v>4975</v>
      </c>
      <c r="BB939" s="77" t="str">
        <f>HYPERLINK("https://api.twitter.com/1.1/geo/id/653ff2b6e50b05a3.json")</f>
        <v>https://api.twitter.com/1.1/geo/id/653ff2b6e50b05a3.json</v>
      </c>
    </row>
    <row r="940" spans="1:54" x14ac:dyDescent="0.45">
      <c r="A940" s="62" t="s">
        <v>914</v>
      </c>
      <c r="B940" s="62" t="s">
        <v>1204</v>
      </c>
      <c r="C940" s="63"/>
      <c r="D940" s="64"/>
      <c r="E940" s="65"/>
      <c r="F940" s="66"/>
      <c r="G940" s="63"/>
      <c r="H940" s="67"/>
      <c r="I940" s="68"/>
      <c r="J940" s="68"/>
      <c r="K940" s="32"/>
      <c r="L940" s="75"/>
      <c r="M940" s="75"/>
      <c r="N940" s="70"/>
      <c r="O940" t="s">
        <v>1568</v>
      </c>
      <c r="P940" s="76">
        <v>44959.104837962965</v>
      </c>
      <c r="Q940" t="s">
        <v>2074</v>
      </c>
      <c r="T940" s="78" t="s">
        <v>2394</v>
      </c>
      <c r="U940" s="77" t="str">
        <f>HYPERLINK("https://pbs.twimg.com/media/Fn7aWziaQAAxQh_.jpg")</f>
        <v>https://pbs.twimg.com/media/Fn7aWziaQAAxQh_.jpg</v>
      </c>
      <c r="V940" s="77" t="str">
        <f>HYPERLINK("https://pbs.twimg.com/media/Fn7aWziaQAAxQh_.jpg")</f>
        <v>https://pbs.twimg.com/media/Fn7aWziaQAAxQh_.jpg</v>
      </c>
      <c r="W940" s="76">
        <v>44959.104837962965</v>
      </c>
      <c r="X940" s="80">
        <v>44959</v>
      </c>
      <c r="Y940" s="78" t="s">
        <v>3179</v>
      </c>
      <c r="Z940" s="77" t="str">
        <f>HYPERLINK("https://twitter.com/ashgogate/status/1620973019488489473")</f>
        <v>https://twitter.com/ashgogate/status/1620973019488489473</v>
      </c>
      <c r="AC940" s="78" t="s">
        <v>4244</v>
      </c>
      <c r="AE940" t="b">
        <v>0</v>
      </c>
      <c r="AF940">
        <v>0</v>
      </c>
      <c r="AG940" s="78" t="s">
        <v>4640</v>
      </c>
      <c r="AH940" t="b">
        <v>0</v>
      </c>
      <c r="AI940" t="s">
        <v>4829</v>
      </c>
      <c r="AK940" s="78" t="s">
        <v>4640</v>
      </c>
      <c r="AL940" t="b">
        <v>0</v>
      </c>
      <c r="AM940">
        <v>0</v>
      </c>
      <c r="AN940" s="78" t="s">
        <v>4640</v>
      </c>
      <c r="AO940" s="78" t="s">
        <v>4850</v>
      </c>
      <c r="AP940" t="b">
        <v>0</v>
      </c>
      <c r="AQ940" s="78" t="s">
        <v>4244</v>
      </c>
      <c r="AR940" t="s">
        <v>179</v>
      </c>
      <c r="AS940">
        <v>0</v>
      </c>
      <c r="AT940">
        <v>0</v>
      </c>
      <c r="AU940" t="s">
        <v>4893</v>
      </c>
      <c r="AV940" t="s">
        <v>4898</v>
      </c>
      <c r="AW940" t="s">
        <v>4900</v>
      </c>
      <c r="AX940" t="s">
        <v>4922</v>
      </c>
      <c r="AY940" t="s">
        <v>4947</v>
      </c>
      <c r="AZ940" t="s">
        <v>4971</v>
      </c>
      <c r="BA940" t="s">
        <v>4975</v>
      </c>
      <c r="BB940" s="77" t="str">
        <f>HYPERLINK("https://api.twitter.com/1.1/geo/id/653ff2b6e50b05a3.json")</f>
        <v>https://api.twitter.com/1.1/geo/id/653ff2b6e50b05a3.json</v>
      </c>
    </row>
    <row r="941" spans="1:54" x14ac:dyDescent="0.45">
      <c r="A941" s="62" t="s">
        <v>914</v>
      </c>
      <c r="B941" s="62" t="s">
        <v>1111</v>
      </c>
      <c r="C941" s="63"/>
      <c r="D941" s="64"/>
      <c r="E941" s="65"/>
      <c r="F941" s="66"/>
      <c r="G941" s="63"/>
      <c r="H941" s="67"/>
      <c r="I941" s="68"/>
      <c r="J941" s="68"/>
      <c r="K941" s="32"/>
      <c r="L941" s="75"/>
      <c r="M941" s="75"/>
      <c r="N941" s="70"/>
      <c r="O941" t="s">
        <v>1568</v>
      </c>
      <c r="P941" s="76">
        <v>44959.104837962965</v>
      </c>
      <c r="Q941" t="s">
        <v>2074</v>
      </c>
      <c r="T941" s="78" t="s">
        <v>2394</v>
      </c>
      <c r="U941" s="77" t="str">
        <f>HYPERLINK("https://pbs.twimg.com/media/Fn7aWziaQAAxQh_.jpg")</f>
        <v>https://pbs.twimg.com/media/Fn7aWziaQAAxQh_.jpg</v>
      </c>
      <c r="V941" s="77" t="str">
        <f>HYPERLINK("https://pbs.twimg.com/media/Fn7aWziaQAAxQh_.jpg")</f>
        <v>https://pbs.twimg.com/media/Fn7aWziaQAAxQh_.jpg</v>
      </c>
      <c r="W941" s="76">
        <v>44959.104837962965</v>
      </c>
      <c r="X941" s="80">
        <v>44959</v>
      </c>
      <c r="Y941" s="78" t="s">
        <v>3179</v>
      </c>
      <c r="Z941" s="77" t="str">
        <f>HYPERLINK("https://twitter.com/ashgogate/status/1620973019488489473")</f>
        <v>https://twitter.com/ashgogate/status/1620973019488489473</v>
      </c>
      <c r="AC941" s="78" t="s">
        <v>4244</v>
      </c>
      <c r="AE941" t="b">
        <v>0</v>
      </c>
      <c r="AF941">
        <v>0</v>
      </c>
      <c r="AG941" s="78" t="s">
        <v>4640</v>
      </c>
      <c r="AH941" t="b">
        <v>0</v>
      </c>
      <c r="AI941" t="s">
        <v>4829</v>
      </c>
      <c r="AK941" s="78" t="s">
        <v>4640</v>
      </c>
      <c r="AL941" t="b">
        <v>0</v>
      </c>
      <c r="AM941">
        <v>0</v>
      </c>
      <c r="AN941" s="78" t="s">
        <v>4640</v>
      </c>
      <c r="AO941" s="78" t="s">
        <v>4850</v>
      </c>
      <c r="AP941" t="b">
        <v>0</v>
      </c>
      <c r="AQ941" s="78" t="s">
        <v>4244</v>
      </c>
      <c r="AR941" t="s">
        <v>179</v>
      </c>
      <c r="AS941">
        <v>0</v>
      </c>
      <c r="AT941">
        <v>0</v>
      </c>
      <c r="AU941" t="s">
        <v>4893</v>
      </c>
      <c r="AV941" t="s">
        <v>4898</v>
      </c>
      <c r="AW941" t="s">
        <v>4900</v>
      </c>
      <c r="AX941" t="s">
        <v>4922</v>
      </c>
      <c r="AY941" t="s">
        <v>4947</v>
      </c>
      <c r="AZ941" t="s">
        <v>4971</v>
      </c>
      <c r="BA941" t="s">
        <v>4975</v>
      </c>
      <c r="BB941" s="77" t="str">
        <f>HYPERLINK("https://api.twitter.com/1.1/geo/id/653ff2b6e50b05a3.json")</f>
        <v>https://api.twitter.com/1.1/geo/id/653ff2b6e50b05a3.json</v>
      </c>
    </row>
    <row r="942" spans="1:54" x14ac:dyDescent="0.45">
      <c r="A942" s="62" t="s">
        <v>914</v>
      </c>
      <c r="B942" s="62" t="s">
        <v>1438</v>
      </c>
      <c r="C942" s="63"/>
      <c r="D942" s="64"/>
      <c r="E942" s="65"/>
      <c r="F942" s="66"/>
      <c r="G942" s="63"/>
      <c r="H942" s="67"/>
      <c r="I942" s="68"/>
      <c r="J942" s="68"/>
      <c r="K942" s="32"/>
      <c r="L942" s="75"/>
      <c r="M942" s="75"/>
      <c r="N942" s="70"/>
      <c r="O942" t="s">
        <v>1568</v>
      </c>
      <c r="P942" s="76">
        <v>44959.104837962965</v>
      </c>
      <c r="Q942" t="s">
        <v>2074</v>
      </c>
      <c r="T942" s="78" t="s">
        <v>2394</v>
      </c>
      <c r="U942" s="77" t="str">
        <f>HYPERLINK("https://pbs.twimg.com/media/Fn7aWziaQAAxQh_.jpg")</f>
        <v>https://pbs.twimg.com/media/Fn7aWziaQAAxQh_.jpg</v>
      </c>
      <c r="V942" s="77" t="str">
        <f>HYPERLINK("https://pbs.twimg.com/media/Fn7aWziaQAAxQh_.jpg")</f>
        <v>https://pbs.twimg.com/media/Fn7aWziaQAAxQh_.jpg</v>
      </c>
      <c r="W942" s="76">
        <v>44959.104837962965</v>
      </c>
      <c r="X942" s="80">
        <v>44959</v>
      </c>
      <c r="Y942" s="78" t="s">
        <v>3179</v>
      </c>
      <c r="Z942" s="77" t="str">
        <f>HYPERLINK("https://twitter.com/ashgogate/status/1620973019488489473")</f>
        <v>https://twitter.com/ashgogate/status/1620973019488489473</v>
      </c>
      <c r="AC942" s="78" t="s">
        <v>4244</v>
      </c>
      <c r="AE942" t="b">
        <v>0</v>
      </c>
      <c r="AF942">
        <v>0</v>
      </c>
      <c r="AG942" s="78" t="s">
        <v>4640</v>
      </c>
      <c r="AH942" t="b">
        <v>0</v>
      </c>
      <c r="AI942" t="s">
        <v>4829</v>
      </c>
      <c r="AK942" s="78" t="s">
        <v>4640</v>
      </c>
      <c r="AL942" t="b">
        <v>0</v>
      </c>
      <c r="AM942">
        <v>0</v>
      </c>
      <c r="AN942" s="78" t="s">
        <v>4640</v>
      </c>
      <c r="AO942" s="78" t="s">
        <v>4850</v>
      </c>
      <c r="AP942" t="b">
        <v>0</v>
      </c>
      <c r="AQ942" s="78" t="s">
        <v>4244</v>
      </c>
      <c r="AR942" t="s">
        <v>179</v>
      </c>
      <c r="AS942">
        <v>0</v>
      </c>
      <c r="AT942">
        <v>0</v>
      </c>
      <c r="AU942" t="s">
        <v>4893</v>
      </c>
      <c r="AV942" t="s">
        <v>4898</v>
      </c>
      <c r="AW942" t="s">
        <v>4900</v>
      </c>
      <c r="AX942" t="s">
        <v>4922</v>
      </c>
      <c r="AY942" t="s">
        <v>4947</v>
      </c>
      <c r="AZ942" t="s">
        <v>4971</v>
      </c>
      <c r="BA942" t="s">
        <v>4975</v>
      </c>
      <c r="BB942" s="77" t="str">
        <f>HYPERLINK("https://api.twitter.com/1.1/geo/id/653ff2b6e50b05a3.json")</f>
        <v>https://api.twitter.com/1.1/geo/id/653ff2b6e50b05a3.json</v>
      </c>
    </row>
    <row r="943" spans="1:54" x14ac:dyDescent="0.45">
      <c r="A943" s="62" t="s">
        <v>914</v>
      </c>
      <c r="B943" s="62" t="s">
        <v>1202</v>
      </c>
      <c r="C943" s="63"/>
      <c r="D943" s="64"/>
      <c r="E943" s="65"/>
      <c r="F943" s="66"/>
      <c r="G943" s="63"/>
      <c r="H943" s="67"/>
      <c r="I943" s="68"/>
      <c r="J943" s="68"/>
      <c r="K943" s="32"/>
      <c r="L943" s="75"/>
      <c r="M943" s="75"/>
      <c r="N943" s="70"/>
      <c r="O943" t="s">
        <v>1568</v>
      </c>
      <c r="P943" s="76">
        <v>44959.104837962965</v>
      </c>
      <c r="Q943" t="s">
        <v>2074</v>
      </c>
      <c r="T943" s="78" t="s">
        <v>2394</v>
      </c>
      <c r="U943" s="77" t="str">
        <f>HYPERLINK("https://pbs.twimg.com/media/Fn7aWziaQAAxQh_.jpg")</f>
        <v>https://pbs.twimg.com/media/Fn7aWziaQAAxQh_.jpg</v>
      </c>
      <c r="V943" s="77" t="str">
        <f>HYPERLINK("https://pbs.twimg.com/media/Fn7aWziaQAAxQh_.jpg")</f>
        <v>https://pbs.twimg.com/media/Fn7aWziaQAAxQh_.jpg</v>
      </c>
      <c r="W943" s="76">
        <v>44959.104837962965</v>
      </c>
      <c r="X943" s="80">
        <v>44959</v>
      </c>
      <c r="Y943" s="78" t="s">
        <v>3179</v>
      </c>
      <c r="Z943" s="77" t="str">
        <f>HYPERLINK("https://twitter.com/ashgogate/status/1620973019488489473")</f>
        <v>https://twitter.com/ashgogate/status/1620973019488489473</v>
      </c>
      <c r="AC943" s="78" t="s">
        <v>4244</v>
      </c>
      <c r="AE943" t="b">
        <v>0</v>
      </c>
      <c r="AF943">
        <v>0</v>
      </c>
      <c r="AG943" s="78" t="s">
        <v>4640</v>
      </c>
      <c r="AH943" t="b">
        <v>0</v>
      </c>
      <c r="AI943" t="s">
        <v>4829</v>
      </c>
      <c r="AK943" s="78" t="s">
        <v>4640</v>
      </c>
      <c r="AL943" t="b">
        <v>0</v>
      </c>
      <c r="AM943">
        <v>0</v>
      </c>
      <c r="AN943" s="78" t="s">
        <v>4640</v>
      </c>
      <c r="AO943" s="78" t="s">
        <v>4850</v>
      </c>
      <c r="AP943" t="b">
        <v>0</v>
      </c>
      <c r="AQ943" s="78" t="s">
        <v>4244</v>
      </c>
      <c r="AR943" t="s">
        <v>179</v>
      </c>
      <c r="AS943">
        <v>0</v>
      </c>
      <c r="AT943">
        <v>0</v>
      </c>
      <c r="AU943" t="s">
        <v>4893</v>
      </c>
      <c r="AV943" t="s">
        <v>4898</v>
      </c>
      <c r="AW943" t="s">
        <v>4900</v>
      </c>
      <c r="AX943" t="s">
        <v>4922</v>
      </c>
      <c r="AY943" t="s">
        <v>4947</v>
      </c>
      <c r="AZ943" t="s">
        <v>4971</v>
      </c>
      <c r="BA943" t="s">
        <v>4975</v>
      </c>
      <c r="BB943" s="77" t="str">
        <f>HYPERLINK("https://api.twitter.com/1.1/geo/id/653ff2b6e50b05a3.json")</f>
        <v>https://api.twitter.com/1.1/geo/id/653ff2b6e50b05a3.json</v>
      </c>
    </row>
    <row r="944" spans="1:54" x14ac:dyDescent="0.45">
      <c r="A944" s="62" t="s">
        <v>914</v>
      </c>
      <c r="B944" s="62" t="s">
        <v>1110</v>
      </c>
      <c r="C944" s="63"/>
      <c r="D944" s="64"/>
      <c r="E944" s="65"/>
      <c r="F944" s="66"/>
      <c r="G944" s="63"/>
      <c r="H944" s="67"/>
      <c r="I944" s="68"/>
      <c r="J944" s="68"/>
      <c r="K944" s="32"/>
      <c r="L944" s="75"/>
      <c r="M944" s="75"/>
      <c r="N944" s="70"/>
      <c r="O944" t="s">
        <v>1568</v>
      </c>
      <c r="P944" s="76">
        <v>44959.104837962965</v>
      </c>
      <c r="Q944" t="s">
        <v>2074</v>
      </c>
      <c r="T944" s="78" t="s">
        <v>2394</v>
      </c>
      <c r="U944" s="77" t="str">
        <f>HYPERLINK("https://pbs.twimg.com/media/Fn7aWziaQAAxQh_.jpg")</f>
        <v>https://pbs.twimg.com/media/Fn7aWziaQAAxQh_.jpg</v>
      </c>
      <c r="V944" s="77" t="str">
        <f>HYPERLINK("https://pbs.twimg.com/media/Fn7aWziaQAAxQh_.jpg")</f>
        <v>https://pbs.twimg.com/media/Fn7aWziaQAAxQh_.jpg</v>
      </c>
      <c r="W944" s="76">
        <v>44959.104837962965</v>
      </c>
      <c r="X944" s="80">
        <v>44959</v>
      </c>
      <c r="Y944" s="78" t="s">
        <v>3179</v>
      </c>
      <c r="Z944" s="77" t="str">
        <f>HYPERLINK("https://twitter.com/ashgogate/status/1620973019488489473")</f>
        <v>https://twitter.com/ashgogate/status/1620973019488489473</v>
      </c>
      <c r="AC944" s="78" t="s">
        <v>4244</v>
      </c>
      <c r="AE944" t="b">
        <v>0</v>
      </c>
      <c r="AF944">
        <v>0</v>
      </c>
      <c r="AG944" s="78" t="s">
        <v>4640</v>
      </c>
      <c r="AH944" t="b">
        <v>0</v>
      </c>
      <c r="AI944" t="s">
        <v>4829</v>
      </c>
      <c r="AK944" s="78" t="s">
        <v>4640</v>
      </c>
      <c r="AL944" t="b">
        <v>0</v>
      </c>
      <c r="AM944">
        <v>0</v>
      </c>
      <c r="AN944" s="78" t="s">
        <v>4640</v>
      </c>
      <c r="AO944" s="78" t="s">
        <v>4850</v>
      </c>
      <c r="AP944" t="b">
        <v>0</v>
      </c>
      <c r="AQ944" s="78" t="s">
        <v>4244</v>
      </c>
      <c r="AR944" t="s">
        <v>179</v>
      </c>
      <c r="AS944">
        <v>0</v>
      </c>
      <c r="AT944">
        <v>0</v>
      </c>
      <c r="AU944" t="s">
        <v>4893</v>
      </c>
      <c r="AV944" t="s">
        <v>4898</v>
      </c>
      <c r="AW944" t="s">
        <v>4900</v>
      </c>
      <c r="AX944" t="s">
        <v>4922</v>
      </c>
      <c r="AY944" t="s">
        <v>4947</v>
      </c>
      <c r="AZ944" t="s">
        <v>4971</v>
      </c>
      <c r="BA944" t="s">
        <v>4975</v>
      </c>
      <c r="BB944" s="77" t="str">
        <f>HYPERLINK("https://api.twitter.com/1.1/geo/id/653ff2b6e50b05a3.json")</f>
        <v>https://api.twitter.com/1.1/geo/id/653ff2b6e50b05a3.json</v>
      </c>
    </row>
    <row r="945" spans="1:54" x14ac:dyDescent="0.45">
      <c r="A945" s="62" t="s">
        <v>914</v>
      </c>
      <c r="B945" s="62" t="s">
        <v>1109</v>
      </c>
      <c r="C945" s="63"/>
      <c r="D945" s="64"/>
      <c r="E945" s="65"/>
      <c r="F945" s="66"/>
      <c r="G945" s="63"/>
      <c r="H945" s="67"/>
      <c r="I945" s="68"/>
      <c r="J945" s="68"/>
      <c r="K945" s="32"/>
      <c r="L945" s="75"/>
      <c r="M945" s="75"/>
      <c r="N945" s="70"/>
      <c r="O945" t="s">
        <v>1568</v>
      </c>
      <c r="P945" s="76">
        <v>44959.104837962965</v>
      </c>
      <c r="Q945" t="s">
        <v>2074</v>
      </c>
      <c r="T945" s="78" t="s">
        <v>2394</v>
      </c>
      <c r="U945" s="77" t="str">
        <f>HYPERLINK("https://pbs.twimg.com/media/Fn7aWziaQAAxQh_.jpg")</f>
        <v>https://pbs.twimg.com/media/Fn7aWziaQAAxQh_.jpg</v>
      </c>
      <c r="V945" s="77" t="str">
        <f>HYPERLINK("https://pbs.twimg.com/media/Fn7aWziaQAAxQh_.jpg")</f>
        <v>https://pbs.twimg.com/media/Fn7aWziaQAAxQh_.jpg</v>
      </c>
      <c r="W945" s="76">
        <v>44959.104837962965</v>
      </c>
      <c r="X945" s="80">
        <v>44959</v>
      </c>
      <c r="Y945" s="78" t="s">
        <v>3179</v>
      </c>
      <c r="Z945" s="77" t="str">
        <f>HYPERLINK("https://twitter.com/ashgogate/status/1620973019488489473")</f>
        <v>https://twitter.com/ashgogate/status/1620973019488489473</v>
      </c>
      <c r="AC945" s="78" t="s">
        <v>4244</v>
      </c>
      <c r="AE945" t="b">
        <v>0</v>
      </c>
      <c r="AF945">
        <v>0</v>
      </c>
      <c r="AG945" s="78" t="s">
        <v>4640</v>
      </c>
      <c r="AH945" t="b">
        <v>0</v>
      </c>
      <c r="AI945" t="s">
        <v>4829</v>
      </c>
      <c r="AK945" s="78" t="s">
        <v>4640</v>
      </c>
      <c r="AL945" t="b">
        <v>0</v>
      </c>
      <c r="AM945">
        <v>0</v>
      </c>
      <c r="AN945" s="78" t="s">
        <v>4640</v>
      </c>
      <c r="AO945" s="78" t="s">
        <v>4850</v>
      </c>
      <c r="AP945" t="b">
        <v>0</v>
      </c>
      <c r="AQ945" s="78" t="s">
        <v>4244</v>
      </c>
      <c r="AR945" t="s">
        <v>179</v>
      </c>
      <c r="AS945">
        <v>0</v>
      </c>
      <c r="AT945">
        <v>0</v>
      </c>
      <c r="AU945" t="s">
        <v>4893</v>
      </c>
      <c r="AV945" t="s">
        <v>4898</v>
      </c>
      <c r="AW945" t="s">
        <v>4900</v>
      </c>
      <c r="AX945" t="s">
        <v>4922</v>
      </c>
      <c r="AY945" t="s">
        <v>4947</v>
      </c>
      <c r="AZ945" t="s">
        <v>4971</v>
      </c>
      <c r="BA945" t="s">
        <v>4975</v>
      </c>
      <c r="BB945" s="77" t="str">
        <f>HYPERLINK("https://api.twitter.com/1.1/geo/id/653ff2b6e50b05a3.json")</f>
        <v>https://api.twitter.com/1.1/geo/id/653ff2b6e50b05a3.json</v>
      </c>
    </row>
    <row r="946" spans="1:54" x14ac:dyDescent="0.45">
      <c r="A946" s="62" t="s">
        <v>987</v>
      </c>
      <c r="B946" s="62" t="s">
        <v>242</v>
      </c>
      <c r="C946" s="63"/>
      <c r="D946" s="64"/>
      <c r="E946" s="65"/>
      <c r="F946" s="66"/>
      <c r="G946" s="63"/>
      <c r="H946" s="67"/>
      <c r="I946" s="68"/>
      <c r="J946" s="68"/>
      <c r="K946" s="32"/>
      <c r="L946" s="75"/>
      <c r="M946" s="75"/>
      <c r="N946" s="70"/>
      <c r="O946" t="s">
        <v>1568</v>
      </c>
      <c r="P946" s="76">
        <v>44959.253900462965</v>
      </c>
      <c r="Q946" t="s">
        <v>2147</v>
      </c>
      <c r="T946" s="78" t="s">
        <v>2404</v>
      </c>
      <c r="V946" s="77" t="str">
        <f>HYPERLINK("https://pbs.twimg.com/profile_images/1402289012522557446/_1y8b4hl_normal.jpg")</f>
        <v>https://pbs.twimg.com/profile_images/1402289012522557446/_1y8b4hl_normal.jpg</v>
      </c>
      <c r="W946" s="76">
        <v>44959.253900462965</v>
      </c>
      <c r="X946" s="80">
        <v>44959</v>
      </c>
      <c r="Y946" s="78" t="s">
        <v>3271</v>
      </c>
      <c r="Z946" s="77" t="str">
        <f>HYPERLINK("https://twitter.com/gobuxgal/status/1621027038302982145")</f>
        <v>https://twitter.com/gobuxgal/status/1621027038302982145</v>
      </c>
      <c r="AC946" s="78" t="s">
        <v>4336</v>
      </c>
      <c r="AE946" t="b">
        <v>0</v>
      </c>
      <c r="AF946">
        <v>0</v>
      </c>
      <c r="AG946" s="78" t="s">
        <v>4640</v>
      </c>
      <c r="AH946" t="b">
        <v>0</v>
      </c>
      <c r="AI946" t="s">
        <v>4829</v>
      </c>
      <c r="AK946" s="78" t="s">
        <v>4640</v>
      </c>
      <c r="AL946" t="b">
        <v>0</v>
      </c>
      <c r="AM946">
        <v>0</v>
      </c>
      <c r="AN946" s="78" t="s">
        <v>4640</v>
      </c>
      <c r="AO946" s="78" t="s">
        <v>4849</v>
      </c>
      <c r="AP946" t="b">
        <v>0</v>
      </c>
      <c r="AQ946" s="78" t="s">
        <v>4336</v>
      </c>
      <c r="AR946" t="s">
        <v>179</v>
      </c>
      <c r="AS946">
        <v>0</v>
      </c>
      <c r="AT946">
        <v>0</v>
      </c>
    </row>
    <row r="947" spans="1:54" x14ac:dyDescent="0.45">
      <c r="A947" s="62" t="s">
        <v>372</v>
      </c>
      <c r="B947" s="62" t="s">
        <v>242</v>
      </c>
      <c r="C947" s="63"/>
      <c r="D947" s="64"/>
      <c r="E947" s="65"/>
      <c r="F947" s="66"/>
      <c r="G947" s="63"/>
      <c r="H947" s="67"/>
      <c r="I947" s="68"/>
      <c r="J947" s="68"/>
      <c r="K947" s="32"/>
      <c r="L947" s="75"/>
      <c r="M947" s="75"/>
      <c r="N947" s="70"/>
      <c r="O947" t="s">
        <v>1568</v>
      </c>
      <c r="P947" s="76">
        <v>44958.657083333332</v>
      </c>
      <c r="Q947" t="s">
        <v>1713</v>
      </c>
      <c r="T947" s="78" t="s">
        <v>2337</v>
      </c>
      <c r="V947" s="77" t="str">
        <f>HYPERLINK("https://pbs.twimg.com/profile_images/1258970060779130882/oaP3GrJ7_normal.jpg")</f>
        <v>https://pbs.twimg.com/profile_images/1258970060779130882/oaP3GrJ7_normal.jpg</v>
      </c>
      <c r="W947" s="76">
        <v>44958.657083333332</v>
      </c>
      <c r="X947" s="80">
        <v>44958</v>
      </c>
      <c r="Y947" s="78" t="s">
        <v>2598</v>
      </c>
      <c r="Z947" s="77" t="str">
        <f>HYPERLINK("https://twitter.com/brmurf/status/1620810756538384384")</f>
        <v>https://twitter.com/brmurf/status/1620810756538384384</v>
      </c>
      <c r="AC947" s="78" t="s">
        <v>3615</v>
      </c>
      <c r="AE947" t="b">
        <v>0</v>
      </c>
      <c r="AF947">
        <v>3</v>
      </c>
      <c r="AG947" s="78" t="s">
        <v>4686</v>
      </c>
      <c r="AH947" t="b">
        <v>0</v>
      </c>
      <c r="AI947" t="s">
        <v>4829</v>
      </c>
      <c r="AK947" s="78" t="s">
        <v>4640</v>
      </c>
      <c r="AL947" t="b">
        <v>0</v>
      </c>
      <c r="AM947">
        <v>1</v>
      </c>
      <c r="AN947" s="78" t="s">
        <v>4640</v>
      </c>
      <c r="AO947" s="78" t="s">
        <v>4850</v>
      </c>
      <c r="AP947" t="b">
        <v>0</v>
      </c>
      <c r="AQ947" s="78" t="s">
        <v>3615</v>
      </c>
      <c r="AR947" t="s">
        <v>179</v>
      </c>
      <c r="AS947">
        <v>0</v>
      </c>
      <c r="AT947">
        <v>0</v>
      </c>
    </row>
    <row r="948" spans="1:54" x14ac:dyDescent="0.45">
      <c r="A948" s="62" t="s">
        <v>372</v>
      </c>
      <c r="B948" s="62" t="s">
        <v>373</v>
      </c>
      <c r="C948" s="63"/>
      <c r="D948" s="64"/>
      <c r="E948" s="65"/>
      <c r="F948" s="66"/>
      <c r="G948" s="63"/>
      <c r="H948" s="67"/>
      <c r="I948" s="68"/>
      <c r="J948" s="68"/>
      <c r="K948" s="32"/>
      <c r="L948" s="75"/>
      <c r="M948" s="75"/>
      <c r="N948" s="70"/>
      <c r="O948" t="s">
        <v>1567</v>
      </c>
      <c r="P948" s="76">
        <v>44958.657083333332</v>
      </c>
      <c r="Q948" t="s">
        <v>1713</v>
      </c>
      <c r="T948" s="78" t="s">
        <v>2337</v>
      </c>
      <c r="V948" s="77" t="str">
        <f>HYPERLINK("https://pbs.twimg.com/profile_images/1258970060779130882/oaP3GrJ7_normal.jpg")</f>
        <v>https://pbs.twimg.com/profile_images/1258970060779130882/oaP3GrJ7_normal.jpg</v>
      </c>
      <c r="W948" s="76">
        <v>44958.657083333332</v>
      </c>
      <c r="X948" s="80">
        <v>44958</v>
      </c>
      <c r="Y948" s="78" t="s">
        <v>2598</v>
      </c>
      <c r="Z948" s="77" t="str">
        <f>HYPERLINK("https://twitter.com/brmurf/status/1620810756538384384")</f>
        <v>https://twitter.com/brmurf/status/1620810756538384384</v>
      </c>
      <c r="AC948" s="78" t="s">
        <v>3615</v>
      </c>
      <c r="AE948" t="b">
        <v>0</v>
      </c>
      <c r="AF948">
        <v>3</v>
      </c>
      <c r="AG948" s="78" t="s">
        <v>4686</v>
      </c>
      <c r="AH948" t="b">
        <v>0</v>
      </c>
      <c r="AI948" t="s">
        <v>4829</v>
      </c>
      <c r="AK948" s="78" t="s">
        <v>4640</v>
      </c>
      <c r="AL948" t="b">
        <v>0</v>
      </c>
      <c r="AM948">
        <v>1</v>
      </c>
      <c r="AN948" s="78" t="s">
        <v>4640</v>
      </c>
      <c r="AO948" s="78" t="s">
        <v>4850</v>
      </c>
      <c r="AP948" t="b">
        <v>0</v>
      </c>
      <c r="AQ948" s="78" t="s">
        <v>3615</v>
      </c>
      <c r="AR948" t="s">
        <v>179</v>
      </c>
      <c r="AS948">
        <v>0</v>
      </c>
      <c r="AT948">
        <v>0</v>
      </c>
    </row>
    <row r="949" spans="1:54" x14ac:dyDescent="0.45">
      <c r="A949" s="62" t="s">
        <v>373</v>
      </c>
      <c r="B949" s="62" t="s">
        <v>372</v>
      </c>
      <c r="C949" s="63"/>
      <c r="D949" s="64"/>
      <c r="E949" s="65"/>
      <c r="F949" s="66"/>
      <c r="G949" s="63"/>
      <c r="H949" s="67"/>
      <c r="I949" s="68"/>
      <c r="J949" s="68"/>
      <c r="K949" s="32"/>
      <c r="L949" s="75"/>
      <c r="M949" s="75"/>
      <c r="N949" s="70"/>
      <c r="O949" t="s">
        <v>1569</v>
      </c>
      <c r="P949" s="76">
        <v>44958.686435185184</v>
      </c>
      <c r="Q949" t="s">
        <v>1713</v>
      </c>
      <c r="T949" s="78" t="s">
        <v>2337</v>
      </c>
      <c r="V949" s="77" t="str">
        <f>HYPERLINK("https://pbs.twimg.com/profile_images/1573742717200392192/VlGCdLK8_normal.jpg")</f>
        <v>https://pbs.twimg.com/profile_images/1573742717200392192/VlGCdLK8_normal.jpg</v>
      </c>
      <c r="W949" s="76">
        <v>44958.686435185184</v>
      </c>
      <c r="X949" s="80">
        <v>44958</v>
      </c>
      <c r="Y949" s="78" t="s">
        <v>2599</v>
      </c>
      <c r="Z949" s="77" t="str">
        <f>HYPERLINK("https://twitter.com/asauceman12/status/1620821395801505792")</f>
        <v>https://twitter.com/asauceman12/status/1620821395801505792</v>
      </c>
      <c r="AC949" s="78" t="s">
        <v>3616</v>
      </c>
      <c r="AE949" t="b">
        <v>0</v>
      </c>
      <c r="AF949">
        <v>0</v>
      </c>
      <c r="AG949" s="78" t="s">
        <v>4640</v>
      </c>
      <c r="AH949" t="b">
        <v>0</v>
      </c>
      <c r="AI949" t="s">
        <v>4829</v>
      </c>
      <c r="AK949" s="78" t="s">
        <v>4640</v>
      </c>
      <c r="AL949" t="b">
        <v>0</v>
      </c>
      <c r="AM949">
        <v>1</v>
      </c>
      <c r="AN949" s="78" t="s">
        <v>3615</v>
      </c>
      <c r="AO949" s="78" t="s">
        <v>4849</v>
      </c>
      <c r="AP949" t="b">
        <v>0</v>
      </c>
      <c r="AQ949" s="78" t="s">
        <v>3615</v>
      </c>
      <c r="AR949" t="s">
        <v>179</v>
      </c>
      <c r="AS949">
        <v>0</v>
      </c>
      <c r="AT949">
        <v>0</v>
      </c>
    </row>
    <row r="950" spans="1:54" x14ac:dyDescent="0.45">
      <c r="A950" s="62" t="s">
        <v>373</v>
      </c>
      <c r="B950" s="62" t="s">
        <v>242</v>
      </c>
      <c r="C950" s="63"/>
      <c r="D950" s="64"/>
      <c r="E950" s="65"/>
      <c r="F950" s="66"/>
      <c r="G950" s="63"/>
      <c r="H950" s="67"/>
      <c r="I950" s="68"/>
      <c r="J950" s="68"/>
      <c r="K950" s="32"/>
      <c r="L950" s="75"/>
      <c r="M950" s="75"/>
      <c r="N950" s="70"/>
      <c r="O950" t="s">
        <v>1570</v>
      </c>
      <c r="P950" s="76">
        <v>44958.686435185184</v>
      </c>
      <c r="Q950" t="s">
        <v>1713</v>
      </c>
      <c r="T950" s="78" t="s">
        <v>2337</v>
      </c>
      <c r="V950" s="77" t="str">
        <f>HYPERLINK("https://pbs.twimg.com/profile_images/1573742717200392192/VlGCdLK8_normal.jpg")</f>
        <v>https://pbs.twimg.com/profile_images/1573742717200392192/VlGCdLK8_normal.jpg</v>
      </c>
      <c r="W950" s="76">
        <v>44958.686435185184</v>
      </c>
      <c r="X950" s="80">
        <v>44958</v>
      </c>
      <c r="Y950" s="78" t="s">
        <v>2599</v>
      </c>
      <c r="Z950" s="77" t="str">
        <f>HYPERLINK("https://twitter.com/asauceman12/status/1620821395801505792")</f>
        <v>https://twitter.com/asauceman12/status/1620821395801505792</v>
      </c>
      <c r="AC950" s="78" t="s">
        <v>3616</v>
      </c>
      <c r="AE950" t="b">
        <v>0</v>
      </c>
      <c r="AF950">
        <v>0</v>
      </c>
      <c r="AG950" s="78" t="s">
        <v>4640</v>
      </c>
      <c r="AH950" t="b">
        <v>0</v>
      </c>
      <c r="AI950" t="s">
        <v>4829</v>
      </c>
      <c r="AK950" s="78" t="s">
        <v>4640</v>
      </c>
      <c r="AL950" t="b">
        <v>0</v>
      </c>
      <c r="AM950">
        <v>1</v>
      </c>
      <c r="AN950" s="78" t="s">
        <v>3615</v>
      </c>
      <c r="AO950" s="78" t="s">
        <v>4849</v>
      </c>
      <c r="AP950" t="b">
        <v>0</v>
      </c>
      <c r="AQ950" s="78" t="s">
        <v>3615</v>
      </c>
      <c r="AR950" t="s">
        <v>179</v>
      </c>
      <c r="AS950">
        <v>0</v>
      </c>
      <c r="AT950">
        <v>0</v>
      </c>
    </row>
    <row r="951" spans="1:54" x14ac:dyDescent="0.45">
      <c r="A951" s="62" t="s">
        <v>1022</v>
      </c>
      <c r="B951" s="62" t="s">
        <v>1180</v>
      </c>
      <c r="C951" s="63"/>
      <c r="D951" s="64"/>
      <c r="E951" s="65"/>
      <c r="F951" s="66"/>
      <c r="G951" s="63"/>
      <c r="H951" s="67"/>
      <c r="I951" s="68"/>
      <c r="J951" s="68"/>
      <c r="K951" s="32"/>
      <c r="L951" s="75"/>
      <c r="M951" s="75"/>
      <c r="N951" s="70"/>
      <c r="O951" t="s">
        <v>1568</v>
      </c>
      <c r="P951" s="76">
        <v>44959.396666666667</v>
      </c>
      <c r="Q951" t="s">
        <v>2176</v>
      </c>
      <c r="T951" s="78" t="s">
        <v>2411</v>
      </c>
      <c r="U951" s="77" t="str">
        <f>HYPERLINK("https://pbs.twimg.com/ext_tw_video_thumb/1621078687582937088/pu/img/UZAALa5rnU7fgwug.jpg")</f>
        <v>https://pbs.twimg.com/ext_tw_video_thumb/1621078687582937088/pu/img/UZAALa5rnU7fgwug.jpg</v>
      </c>
      <c r="V951" s="77" t="str">
        <f>HYPERLINK("https://pbs.twimg.com/ext_tw_video_thumb/1621078687582937088/pu/img/UZAALa5rnU7fgwug.jpg")</f>
        <v>https://pbs.twimg.com/ext_tw_video_thumb/1621078687582937088/pu/img/UZAALa5rnU7fgwug.jpg</v>
      </c>
      <c r="W951" s="76">
        <v>44959.396666666667</v>
      </c>
      <c r="X951" s="80">
        <v>44959</v>
      </c>
      <c r="Y951" s="78" t="s">
        <v>3319</v>
      </c>
      <c r="Z951" s="77" t="str">
        <f>HYPERLINK("https://twitter.com/fittobe100120/status/1621078775441297408")</f>
        <v>https://twitter.com/fittobe100120/status/1621078775441297408</v>
      </c>
      <c r="AC951" s="78" t="s">
        <v>4384</v>
      </c>
      <c r="AE951" t="b">
        <v>0</v>
      </c>
      <c r="AF951">
        <v>0</v>
      </c>
      <c r="AG951" s="78" t="s">
        <v>4640</v>
      </c>
      <c r="AH951" t="b">
        <v>0</v>
      </c>
      <c r="AI951" t="s">
        <v>4829</v>
      </c>
      <c r="AK951" s="78" t="s">
        <v>4640</v>
      </c>
      <c r="AL951" t="b">
        <v>0</v>
      </c>
      <c r="AM951">
        <v>0</v>
      </c>
      <c r="AN951" s="78" t="s">
        <v>4640</v>
      </c>
      <c r="AO951" s="78" t="s">
        <v>4849</v>
      </c>
      <c r="AP951" t="b">
        <v>0</v>
      </c>
      <c r="AQ951" s="78" t="s">
        <v>4384</v>
      </c>
      <c r="AR951" t="s">
        <v>179</v>
      </c>
      <c r="AS951">
        <v>0</v>
      </c>
      <c r="AT951">
        <v>0</v>
      </c>
    </row>
    <row r="952" spans="1:54" x14ac:dyDescent="0.45">
      <c r="A952" s="62" t="s">
        <v>1022</v>
      </c>
      <c r="B952" s="62" t="s">
        <v>1113</v>
      </c>
      <c r="C952" s="63"/>
      <c r="D952" s="64"/>
      <c r="E952" s="65"/>
      <c r="F952" s="66"/>
      <c r="G952" s="63"/>
      <c r="H952" s="67"/>
      <c r="I952" s="68"/>
      <c r="J952" s="68"/>
      <c r="K952" s="32"/>
      <c r="L952" s="75"/>
      <c r="M952" s="75"/>
      <c r="N952" s="70"/>
      <c r="O952" t="s">
        <v>1568</v>
      </c>
      <c r="P952" s="76">
        <v>44959.396666666667</v>
      </c>
      <c r="Q952" t="s">
        <v>2176</v>
      </c>
      <c r="T952" s="78" t="s">
        <v>2411</v>
      </c>
      <c r="U952" s="77" t="str">
        <f>HYPERLINK("https://pbs.twimg.com/ext_tw_video_thumb/1621078687582937088/pu/img/UZAALa5rnU7fgwug.jpg")</f>
        <v>https://pbs.twimg.com/ext_tw_video_thumb/1621078687582937088/pu/img/UZAALa5rnU7fgwug.jpg</v>
      </c>
      <c r="V952" s="77" t="str">
        <f>HYPERLINK("https://pbs.twimg.com/ext_tw_video_thumb/1621078687582937088/pu/img/UZAALa5rnU7fgwug.jpg")</f>
        <v>https://pbs.twimg.com/ext_tw_video_thumb/1621078687582937088/pu/img/UZAALa5rnU7fgwug.jpg</v>
      </c>
      <c r="W952" s="76">
        <v>44959.396666666667</v>
      </c>
      <c r="X952" s="80">
        <v>44959</v>
      </c>
      <c r="Y952" s="78" t="s">
        <v>3319</v>
      </c>
      <c r="Z952" s="77" t="str">
        <f>HYPERLINK("https://twitter.com/fittobe100120/status/1621078775441297408")</f>
        <v>https://twitter.com/fittobe100120/status/1621078775441297408</v>
      </c>
      <c r="AC952" s="78" t="s">
        <v>4384</v>
      </c>
      <c r="AE952" t="b">
        <v>0</v>
      </c>
      <c r="AF952">
        <v>0</v>
      </c>
      <c r="AG952" s="78" t="s">
        <v>4640</v>
      </c>
      <c r="AH952" t="b">
        <v>0</v>
      </c>
      <c r="AI952" t="s">
        <v>4829</v>
      </c>
      <c r="AK952" s="78" t="s">
        <v>4640</v>
      </c>
      <c r="AL952" t="b">
        <v>0</v>
      </c>
      <c r="AM952">
        <v>0</v>
      </c>
      <c r="AN952" s="78" t="s">
        <v>4640</v>
      </c>
      <c r="AO952" s="78" t="s">
        <v>4849</v>
      </c>
      <c r="AP952" t="b">
        <v>0</v>
      </c>
      <c r="AQ952" s="78" t="s">
        <v>4384</v>
      </c>
      <c r="AR952" t="s">
        <v>179</v>
      </c>
      <c r="AS952">
        <v>0</v>
      </c>
      <c r="AT952">
        <v>0</v>
      </c>
    </row>
    <row r="953" spans="1:54" x14ac:dyDescent="0.45">
      <c r="A953" s="62" t="s">
        <v>1022</v>
      </c>
      <c r="B953" s="62" t="s">
        <v>242</v>
      </c>
      <c r="C953" s="63"/>
      <c r="D953" s="64"/>
      <c r="E953" s="65"/>
      <c r="F953" s="66"/>
      <c r="G953" s="63"/>
      <c r="H953" s="67"/>
      <c r="I953" s="68"/>
      <c r="J953" s="68"/>
      <c r="K953" s="32"/>
      <c r="L953" s="75"/>
      <c r="M953" s="75"/>
      <c r="N953" s="70"/>
      <c r="O953" t="s">
        <v>1568</v>
      </c>
      <c r="P953" s="76">
        <v>44959.396666666667</v>
      </c>
      <c r="Q953" t="s">
        <v>2176</v>
      </c>
      <c r="T953" s="78" t="s">
        <v>2411</v>
      </c>
      <c r="U953" s="77" t="str">
        <f>HYPERLINK("https://pbs.twimg.com/ext_tw_video_thumb/1621078687582937088/pu/img/UZAALa5rnU7fgwug.jpg")</f>
        <v>https://pbs.twimg.com/ext_tw_video_thumb/1621078687582937088/pu/img/UZAALa5rnU7fgwug.jpg</v>
      </c>
      <c r="V953" s="77" t="str">
        <f>HYPERLINK("https://pbs.twimg.com/ext_tw_video_thumb/1621078687582937088/pu/img/UZAALa5rnU7fgwug.jpg")</f>
        <v>https://pbs.twimg.com/ext_tw_video_thumb/1621078687582937088/pu/img/UZAALa5rnU7fgwug.jpg</v>
      </c>
      <c r="W953" s="76">
        <v>44959.396666666667</v>
      </c>
      <c r="X953" s="80">
        <v>44959</v>
      </c>
      <c r="Y953" s="78" t="s">
        <v>3319</v>
      </c>
      <c r="Z953" s="77" t="str">
        <f>HYPERLINK("https://twitter.com/fittobe100120/status/1621078775441297408")</f>
        <v>https://twitter.com/fittobe100120/status/1621078775441297408</v>
      </c>
      <c r="AC953" s="78" t="s">
        <v>4384</v>
      </c>
      <c r="AE953" t="b">
        <v>0</v>
      </c>
      <c r="AF953">
        <v>0</v>
      </c>
      <c r="AG953" s="78" t="s">
        <v>4640</v>
      </c>
      <c r="AH953" t="b">
        <v>0</v>
      </c>
      <c r="AI953" t="s">
        <v>4829</v>
      </c>
      <c r="AK953" s="78" t="s">
        <v>4640</v>
      </c>
      <c r="AL953" t="b">
        <v>0</v>
      </c>
      <c r="AM953">
        <v>0</v>
      </c>
      <c r="AN953" s="78" t="s">
        <v>4640</v>
      </c>
      <c r="AO953" s="78" t="s">
        <v>4849</v>
      </c>
      <c r="AP953" t="b">
        <v>0</v>
      </c>
      <c r="AQ953" s="78" t="s">
        <v>4384</v>
      </c>
      <c r="AR953" t="s">
        <v>179</v>
      </c>
      <c r="AS953">
        <v>0</v>
      </c>
      <c r="AT953">
        <v>0</v>
      </c>
    </row>
    <row r="954" spans="1:54" x14ac:dyDescent="0.45">
      <c r="A954" s="62" t="s">
        <v>860</v>
      </c>
      <c r="B954" s="62" t="s">
        <v>1304</v>
      </c>
      <c r="C954" s="63"/>
      <c r="D954" s="64"/>
      <c r="E954" s="65"/>
      <c r="F954" s="66"/>
      <c r="G954" s="63"/>
      <c r="H954" s="67"/>
      <c r="I954" s="68"/>
      <c r="J954" s="68"/>
      <c r="K954" s="32"/>
      <c r="L954" s="75"/>
      <c r="M954" s="75"/>
      <c r="N954" s="70"/>
      <c r="O954" t="s">
        <v>1568</v>
      </c>
      <c r="P954" s="76">
        <v>44959.035069444442</v>
      </c>
      <c r="Q954" t="s">
        <v>2036</v>
      </c>
      <c r="T954" s="78" t="s">
        <v>2385</v>
      </c>
      <c r="V954" s="77" t="str">
        <f>HYPERLINK("https://pbs.twimg.com/profile_images/1600598134425587728/OpKQB9Fr_normal.jpg")</f>
        <v>https://pbs.twimg.com/profile_images/1600598134425587728/OpKQB9Fr_normal.jpg</v>
      </c>
      <c r="W954" s="76">
        <v>44959.035069444442</v>
      </c>
      <c r="X954" s="80">
        <v>44959</v>
      </c>
      <c r="Y954" s="78" t="s">
        <v>3120</v>
      </c>
      <c r="Z954" s="77" t="str">
        <f>HYPERLINK("https://twitter.com/angedeusrex/status/1620947734323941376")</f>
        <v>https://twitter.com/angedeusrex/status/1620947734323941376</v>
      </c>
      <c r="AC954" s="78" t="s">
        <v>4185</v>
      </c>
      <c r="AE954" t="b">
        <v>0</v>
      </c>
      <c r="AF954">
        <v>0</v>
      </c>
      <c r="AG954" s="78" t="s">
        <v>4640</v>
      </c>
      <c r="AH954" t="b">
        <v>0</v>
      </c>
      <c r="AI954" t="s">
        <v>4829</v>
      </c>
      <c r="AK954" s="78" t="s">
        <v>4640</v>
      </c>
      <c r="AL954" t="b">
        <v>0</v>
      </c>
      <c r="AM954">
        <v>0</v>
      </c>
      <c r="AN954" s="78" t="s">
        <v>4640</v>
      </c>
      <c r="AO954" s="78" t="s">
        <v>4849</v>
      </c>
      <c r="AP954" t="b">
        <v>0</v>
      </c>
      <c r="AQ954" s="78" t="s">
        <v>4185</v>
      </c>
      <c r="AR954" t="s">
        <v>179</v>
      </c>
      <c r="AS954">
        <v>0</v>
      </c>
      <c r="AT954">
        <v>0</v>
      </c>
      <c r="AU954" t="s">
        <v>4891</v>
      </c>
      <c r="AV954" t="s">
        <v>4899</v>
      </c>
      <c r="AW954" t="s">
        <v>4901</v>
      </c>
      <c r="AX954" t="s">
        <v>4920</v>
      </c>
      <c r="AY954" t="s">
        <v>4945</v>
      </c>
      <c r="AZ954" t="s">
        <v>4969</v>
      </c>
      <c r="BA954" t="s">
        <v>4975</v>
      </c>
      <c r="BB954" s="77" t="str">
        <f>HYPERLINK("https://api.twitter.com/1.1/geo/id/1d9a5370a355ab0c.json")</f>
        <v>https://api.twitter.com/1.1/geo/id/1d9a5370a355ab0c.json</v>
      </c>
    </row>
    <row r="955" spans="1:54" x14ac:dyDescent="0.45">
      <c r="A955" s="62" t="s">
        <v>860</v>
      </c>
      <c r="B955" s="62" t="s">
        <v>1282</v>
      </c>
      <c r="C955" s="63"/>
      <c r="D955" s="64"/>
      <c r="E955" s="65"/>
      <c r="F955" s="66"/>
      <c r="G955" s="63"/>
      <c r="H955" s="67"/>
      <c r="I955" s="68"/>
      <c r="J955" s="68"/>
      <c r="K955" s="32"/>
      <c r="L955" s="75"/>
      <c r="M955" s="75"/>
      <c r="N955" s="70"/>
      <c r="O955" t="s">
        <v>1568</v>
      </c>
      <c r="P955" s="76">
        <v>44959.035069444442</v>
      </c>
      <c r="Q955" t="s">
        <v>2036</v>
      </c>
      <c r="T955" s="78" t="s">
        <v>2385</v>
      </c>
      <c r="V955" s="77" t="str">
        <f>HYPERLINK("https://pbs.twimg.com/profile_images/1600598134425587728/OpKQB9Fr_normal.jpg")</f>
        <v>https://pbs.twimg.com/profile_images/1600598134425587728/OpKQB9Fr_normal.jpg</v>
      </c>
      <c r="W955" s="76">
        <v>44959.035069444442</v>
      </c>
      <c r="X955" s="80">
        <v>44959</v>
      </c>
      <c r="Y955" s="78" t="s">
        <v>3120</v>
      </c>
      <c r="Z955" s="77" t="str">
        <f>HYPERLINK("https://twitter.com/angedeusrex/status/1620947734323941376")</f>
        <v>https://twitter.com/angedeusrex/status/1620947734323941376</v>
      </c>
      <c r="AC955" s="78" t="s">
        <v>4185</v>
      </c>
      <c r="AE955" t="b">
        <v>0</v>
      </c>
      <c r="AF955">
        <v>0</v>
      </c>
      <c r="AG955" s="78" t="s">
        <v>4640</v>
      </c>
      <c r="AH955" t="b">
        <v>0</v>
      </c>
      <c r="AI955" t="s">
        <v>4829</v>
      </c>
      <c r="AK955" s="78" t="s">
        <v>4640</v>
      </c>
      <c r="AL955" t="b">
        <v>0</v>
      </c>
      <c r="AM955">
        <v>0</v>
      </c>
      <c r="AN955" s="78" t="s">
        <v>4640</v>
      </c>
      <c r="AO955" s="78" t="s">
        <v>4849</v>
      </c>
      <c r="AP955" t="b">
        <v>0</v>
      </c>
      <c r="AQ955" s="78" t="s">
        <v>4185</v>
      </c>
      <c r="AR955" t="s">
        <v>179</v>
      </c>
      <c r="AS955">
        <v>0</v>
      </c>
      <c r="AT955">
        <v>0</v>
      </c>
      <c r="AU955" t="s">
        <v>4891</v>
      </c>
      <c r="AV955" t="s">
        <v>4899</v>
      </c>
      <c r="AW955" t="s">
        <v>4901</v>
      </c>
      <c r="AX955" t="s">
        <v>4920</v>
      </c>
      <c r="AY955" t="s">
        <v>4945</v>
      </c>
      <c r="AZ955" t="s">
        <v>4969</v>
      </c>
      <c r="BA955" t="s">
        <v>4975</v>
      </c>
      <c r="BB955" s="77" t="str">
        <f>HYPERLINK("https://api.twitter.com/1.1/geo/id/1d9a5370a355ab0c.json")</f>
        <v>https://api.twitter.com/1.1/geo/id/1d9a5370a355ab0c.json</v>
      </c>
    </row>
    <row r="956" spans="1:54" x14ac:dyDescent="0.45">
      <c r="A956" s="62" t="s">
        <v>860</v>
      </c>
      <c r="B956" s="62" t="s">
        <v>242</v>
      </c>
      <c r="C956" s="63"/>
      <c r="D956" s="64"/>
      <c r="E956" s="65"/>
      <c r="F956" s="66"/>
      <c r="G956" s="63"/>
      <c r="H956" s="67"/>
      <c r="I956" s="68"/>
      <c r="J956" s="68"/>
      <c r="K956" s="32"/>
      <c r="L956" s="75"/>
      <c r="M956" s="75"/>
      <c r="N956" s="70"/>
      <c r="O956" t="s">
        <v>1568</v>
      </c>
      <c r="P956" s="76">
        <v>44959.035069444442</v>
      </c>
      <c r="Q956" t="s">
        <v>2036</v>
      </c>
      <c r="T956" s="78" t="s">
        <v>2385</v>
      </c>
      <c r="V956" s="77" t="str">
        <f>HYPERLINK("https://pbs.twimg.com/profile_images/1600598134425587728/OpKQB9Fr_normal.jpg")</f>
        <v>https://pbs.twimg.com/profile_images/1600598134425587728/OpKQB9Fr_normal.jpg</v>
      </c>
      <c r="W956" s="76">
        <v>44959.035069444442</v>
      </c>
      <c r="X956" s="80">
        <v>44959</v>
      </c>
      <c r="Y956" s="78" t="s">
        <v>3120</v>
      </c>
      <c r="Z956" s="77" t="str">
        <f>HYPERLINK("https://twitter.com/angedeusrex/status/1620947734323941376")</f>
        <v>https://twitter.com/angedeusrex/status/1620947734323941376</v>
      </c>
      <c r="AC956" s="78" t="s">
        <v>4185</v>
      </c>
      <c r="AE956" t="b">
        <v>0</v>
      </c>
      <c r="AF956">
        <v>0</v>
      </c>
      <c r="AG956" s="78" t="s">
        <v>4640</v>
      </c>
      <c r="AH956" t="b">
        <v>0</v>
      </c>
      <c r="AI956" t="s">
        <v>4829</v>
      </c>
      <c r="AK956" s="78" t="s">
        <v>4640</v>
      </c>
      <c r="AL956" t="b">
        <v>0</v>
      </c>
      <c r="AM956">
        <v>0</v>
      </c>
      <c r="AN956" s="78" t="s">
        <v>4640</v>
      </c>
      <c r="AO956" s="78" t="s">
        <v>4849</v>
      </c>
      <c r="AP956" t="b">
        <v>0</v>
      </c>
      <c r="AQ956" s="78" t="s">
        <v>4185</v>
      </c>
      <c r="AR956" t="s">
        <v>179</v>
      </c>
      <c r="AS956">
        <v>0</v>
      </c>
      <c r="AT956">
        <v>0</v>
      </c>
      <c r="AU956" t="s">
        <v>4891</v>
      </c>
      <c r="AV956" t="s">
        <v>4899</v>
      </c>
      <c r="AW956" t="s">
        <v>4901</v>
      </c>
      <c r="AX956" t="s">
        <v>4920</v>
      </c>
      <c r="AY956" t="s">
        <v>4945</v>
      </c>
      <c r="AZ956" t="s">
        <v>4969</v>
      </c>
      <c r="BA956" t="s">
        <v>4975</v>
      </c>
      <c r="BB956" s="77" t="str">
        <f>HYPERLINK("https://api.twitter.com/1.1/geo/id/1d9a5370a355ab0c.json")</f>
        <v>https://api.twitter.com/1.1/geo/id/1d9a5370a355ab0c.json</v>
      </c>
    </row>
    <row r="957" spans="1:54" x14ac:dyDescent="0.45">
      <c r="A957" s="62" t="s">
        <v>608</v>
      </c>
      <c r="B957" s="62" t="s">
        <v>1303</v>
      </c>
      <c r="C957" s="63"/>
      <c r="D957" s="64"/>
      <c r="E957" s="65"/>
      <c r="F957" s="66"/>
      <c r="G957" s="63"/>
      <c r="H957" s="67"/>
      <c r="I957" s="68"/>
      <c r="J957" s="68"/>
      <c r="K957" s="32"/>
      <c r="L957" s="75"/>
      <c r="M957" s="75"/>
      <c r="N957" s="70"/>
      <c r="O957" t="s">
        <v>1568</v>
      </c>
      <c r="P957" s="76">
        <v>44958.813263888886</v>
      </c>
      <c r="Q957" t="s">
        <v>1823</v>
      </c>
      <c r="T957" s="78" t="s">
        <v>2351</v>
      </c>
      <c r="U957" s="77" t="str">
        <f>HYPERLINK("https://pbs.twimg.com/media/Fn56K9zakAEdmyL.jpg")</f>
        <v>https://pbs.twimg.com/media/Fn56K9zakAEdmyL.jpg</v>
      </c>
      <c r="V957" s="77" t="str">
        <f>HYPERLINK("https://pbs.twimg.com/media/Fn56K9zakAEdmyL.jpg")</f>
        <v>https://pbs.twimg.com/media/Fn56K9zakAEdmyL.jpg</v>
      </c>
      <c r="W957" s="76">
        <v>44958.813263888886</v>
      </c>
      <c r="X957" s="80">
        <v>44958</v>
      </c>
      <c r="Y957" s="78" t="s">
        <v>2809</v>
      </c>
      <c r="Z957" s="77" t="str">
        <f>HYPERLINK("https://twitter.com/snakemannn/status/1620867355101499392")</f>
        <v>https://twitter.com/snakemannn/status/1620867355101499392</v>
      </c>
      <c r="AC957" s="78" t="s">
        <v>3872</v>
      </c>
      <c r="AE957" t="b">
        <v>0</v>
      </c>
      <c r="AF957">
        <v>1</v>
      </c>
      <c r="AG957" s="78" t="s">
        <v>4640</v>
      </c>
      <c r="AH957" t="b">
        <v>0</v>
      </c>
      <c r="AI957" t="s">
        <v>4829</v>
      </c>
      <c r="AK957" s="78" t="s">
        <v>4640</v>
      </c>
      <c r="AL957" t="b">
        <v>0</v>
      </c>
      <c r="AM957">
        <v>0</v>
      </c>
      <c r="AN957" s="78" t="s">
        <v>4640</v>
      </c>
      <c r="AO957" s="78" t="s">
        <v>4851</v>
      </c>
      <c r="AP957" t="b">
        <v>0</v>
      </c>
      <c r="AQ957" s="78" t="s">
        <v>3872</v>
      </c>
      <c r="AR957" t="s">
        <v>179</v>
      </c>
      <c r="AS957">
        <v>0</v>
      </c>
      <c r="AT957">
        <v>0</v>
      </c>
    </row>
    <row r="958" spans="1:54" x14ac:dyDescent="0.45">
      <c r="A958" s="62" t="s">
        <v>608</v>
      </c>
      <c r="B958" s="62" t="s">
        <v>1304</v>
      </c>
      <c r="C958" s="63"/>
      <c r="D958" s="64"/>
      <c r="E958" s="65"/>
      <c r="F958" s="66"/>
      <c r="G958" s="63"/>
      <c r="H958" s="67"/>
      <c r="I958" s="68"/>
      <c r="J958" s="68"/>
      <c r="K958" s="32"/>
      <c r="L958" s="75"/>
      <c r="M958" s="75"/>
      <c r="N958" s="70"/>
      <c r="O958" t="s">
        <v>1568</v>
      </c>
      <c r="P958" s="76">
        <v>44958.813263888886</v>
      </c>
      <c r="Q958" t="s">
        <v>1823</v>
      </c>
      <c r="T958" s="78" t="s">
        <v>2351</v>
      </c>
      <c r="U958" s="77" t="str">
        <f>HYPERLINK("https://pbs.twimg.com/media/Fn56K9zakAEdmyL.jpg")</f>
        <v>https://pbs.twimg.com/media/Fn56K9zakAEdmyL.jpg</v>
      </c>
      <c r="V958" s="77" t="str">
        <f>HYPERLINK("https://pbs.twimg.com/media/Fn56K9zakAEdmyL.jpg")</f>
        <v>https://pbs.twimg.com/media/Fn56K9zakAEdmyL.jpg</v>
      </c>
      <c r="W958" s="76">
        <v>44958.813263888886</v>
      </c>
      <c r="X958" s="80">
        <v>44958</v>
      </c>
      <c r="Y958" s="78" t="s">
        <v>2809</v>
      </c>
      <c r="Z958" s="77" t="str">
        <f>HYPERLINK("https://twitter.com/snakemannn/status/1620867355101499392")</f>
        <v>https://twitter.com/snakemannn/status/1620867355101499392</v>
      </c>
      <c r="AC958" s="78" t="s">
        <v>3872</v>
      </c>
      <c r="AE958" t="b">
        <v>0</v>
      </c>
      <c r="AF958">
        <v>1</v>
      </c>
      <c r="AG958" s="78" t="s">
        <v>4640</v>
      </c>
      <c r="AH958" t="b">
        <v>0</v>
      </c>
      <c r="AI958" t="s">
        <v>4829</v>
      </c>
      <c r="AK958" s="78" t="s">
        <v>4640</v>
      </c>
      <c r="AL958" t="b">
        <v>0</v>
      </c>
      <c r="AM958">
        <v>0</v>
      </c>
      <c r="AN958" s="78" t="s">
        <v>4640</v>
      </c>
      <c r="AO958" s="78" t="s">
        <v>4851</v>
      </c>
      <c r="AP958" t="b">
        <v>0</v>
      </c>
      <c r="AQ958" s="78" t="s">
        <v>3872</v>
      </c>
      <c r="AR958" t="s">
        <v>179</v>
      </c>
      <c r="AS958">
        <v>0</v>
      </c>
      <c r="AT958">
        <v>0</v>
      </c>
    </row>
    <row r="959" spans="1:54" x14ac:dyDescent="0.45">
      <c r="A959" s="62" t="s">
        <v>608</v>
      </c>
      <c r="B959" s="62" t="s">
        <v>242</v>
      </c>
      <c r="C959" s="63"/>
      <c r="D959" s="64"/>
      <c r="E959" s="65"/>
      <c r="F959" s="66"/>
      <c r="G959" s="63"/>
      <c r="H959" s="67"/>
      <c r="I959" s="68"/>
      <c r="J959" s="68"/>
      <c r="K959" s="32"/>
      <c r="L959" s="75"/>
      <c r="M959" s="75"/>
      <c r="N959" s="70"/>
      <c r="O959" t="s">
        <v>1568</v>
      </c>
      <c r="P959" s="76">
        <v>44958.813263888886</v>
      </c>
      <c r="Q959" t="s">
        <v>1823</v>
      </c>
      <c r="T959" s="78" t="s">
        <v>2351</v>
      </c>
      <c r="U959" s="77" t="str">
        <f>HYPERLINK("https://pbs.twimg.com/media/Fn56K9zakAEdmyL.jpg")</f>
        <v>https://pbs.twimg.com/media/Fn56K9zakAEdmyL.jpg</v>
      </c>
      <c r="V959" s="77" t="str">
        <f>HYPERLINK("https://pbs.twimg.com/media/Fn56K9zakAEdmyL.jpg")</f>
        <v>https://pbs.twimg.com/media/Fn56K9zakAEdmyL.jpg</v>
      </c>
      <c r="W959" s="76">
        <v>44958.813263888886</v>
      </c>
      <c r="X959" s="80">
        <v>44958</v>
      </c>
      <c r="Y959" s="78" t="s">
        <v>2809</v>
      </c>
      <c r="Z959" s="77" t="str">
        <f>HYPERLINK("https://twitter.com/snakemannn/status/1620867355101499392")</f>
        <v>https://twitter.com/snakemannn/status/1620867355101499392</v>
      </c>
      <c r="AC959" s="78" t="s">
        <v>3872</v>
      </c>
      <c r="AE959" t="b">
        <v>0</v>
      </c>
      <c r="AF959">
        <v>1</v>
      </c>
      <c r="AG959" s="78" t="s">
        <v>4640</v>
      </c>
      <c r="AH959" t="b">
        <v>0</v>
      </c>
      <c r="AI959" t="s">
        <v>4829</v>
      </c>
      <c r="AK959" s="78" t="s">
        <v>4640</v>
      </c>
      <c r="AL959" t="b">
        <v>0</v>
      </c>
      <c r="AM959">
        <v>0</v>
      </c>
      <c r="AN959" s="78" t="s">
        <v>4640</v>
      </c>
      <c r="AO959" s="78" t="s">
        <v>4851</v>
      </c>
      <c r="AP959" t="b">
        <v>0</v>
      </c>
      <c r="AQ959" s="78" t="s">
        <v>3872</v>
      </c>
      <c r="AR959" t="s">
        <v>179</v>
      </c>
      <c r="AS959">
        <v>0</v>
      </c>
      <c r="AT959">
        <v>0</v>
      </c>
    </row>
    <row r="960" spans="1:54" x14ac:dyDescent="0.45">
      <c r="A960" s="62" t="s">
        <v>676</v>
      </c>
      <c r="B960" s="62" t="s">
        <v>242</v>
      </c>
      <c r="C960" s="63"/>
      <c r="D960" s="64"/>
      <c r="E960" s="65"/>
      <c r="F960" s="66"/>
      <c r="G960" s="63"/>
      <c r="H960" s="67"/>
      <c r="I960" s="68"/>
      <c r="J960" s="68"/>
      <c r="K960" s="32"/>
      <c r="L960" s="75"/>
      <c r="M960" s="75"/>
      <c r="N960" s="70"/>
      <c r="O960" t="s">
        <v>1568</v>
      </c>
      <c r="P960" s="76">
        <v>44958.872719907406</v>
      </c>
      <c r="Q960" t="s">
        <v>1862</v>
      </c>
      <c r="T960" s="78" t="s">
        <v>2358</v>
      </c>
      <c r="U960" s="77" t="str">
        <f>HYPERLINK("https://pbs.twimg.com/media/Fn6NvQoXoAE89Ur.jpg")</f>
        <v>https://pbs.twimg.com/media/Fn6NvQoXoAE89Ur.jpg</v>
      </c>
      <c r="V960" s="77" t="str">
        <f>HYPERLINK("https://pbs.twimg.com/media/Fn6NvQoXoAE89Ur.jpg")</f>
        <v>https://pbs.twimg.com/media/Fn6NvQoXoAE89Ur.jpg</v>
      </c>
      <c r="W960" s="76">
        <v>44958.872719907406</v>
      </c>
      <c r="X960" s="80">
        <v>44958</v>
      </c>
      <c r="Y960" s="78" t="s">
        <v>2877</v>
      </c>
      <c r="Z960" s="77" t="str">
        <f>HYPERLINK("https://twitter.com/dynacraftwheels/status/1620888903359123458")</f>
        <v>https://twitter.com/dynacraftwheels/status/1620888903359123458</v>
      </c>
      <c r="AC960" s="78" t="s">
        <v>3942</v>
      </c>
      <c r="AE960" t="b">
        <v>0</v>
      </c>
      <c r="AF960">
        <v>0</v>
      </c>
      <c r="AG960" s="78" t="s">
        <v>4640</v>
      </c>
      <c r="AH960" t="b">
        <v>0</v>
      </c>
      <c r="AI960" t="s">
        <v>4829</v>
      </c>
      <c r="AK960" s="78" t="s">
        <v>4640</v>
      </c>
      <c r="AL960" t="b">
        <v>0</v>
      </c>
      <c r="AM960">
        <v>0</v>
      </c>
      <c r="AN960" s="78" t="s">
        <v>4640</v>
      </c>
      <c r="AO960" s="78" t="s">
        <v>4864</v>
      </c>
      <c r="AP960" t="b">
        <v>0</v>
      </c>
      <c r="AQ960" s="78" t="s">
        <v>3942</v>
      </c>
      <c r="AR960" t="s">
        <v>179</v>
      </c>
      <c r="AS960">
        <v>0</v>
      </c>
      <c r="AT960">
        <v>0</v>
      </c>
    </row>
    <row r="961" spans="1:54" x14ac:dyDescent="0.45">
      <c r="A961" s="62" t="s">
        <v>1048</v>
      </c>
      <c r="B961" s="62" t="s">
        <v>1527</v>
      </c>
      <c r="C961" s="63"/>
      <c r="D961" s="64"/>
      <c r="E961" s="65"/>
      <c r="F961" s="66"/>
      <c r="G961" s="63"/>
      <c r="H961" s="67"/>
      <c r="I961" s="68"/>
      <c r="J961" s="68"/>
      <c r="K961" s="32"/>
      <c r="L961" s="75"/>
      <c r="M961" s="75"/>
      <c r="N961" s="70"/>
      <c r="O961" t="s">
        <v>1568</v>
      </c>
      <c r="P961" s="76">
        <v>44959.470729166664</v>
      </c>
      <c r="Q961" t="s">
        <v>2200</v>
      </c>
      <c r="T961" s="78" t="s">
        <v>2414</v>
      </c>
      <c r="U961" s="77" t="str">
        <f>HYPERLINK("https://pbs.twimg.com/media/Fn9S9i2X0AIMADU.jpg")</f>
        <v>https://pbs.twimg.com/media/Fn9S9i2X0AIMADU.jpg</v>
      </c>
      <c r="V961" s="77" t="str">
        <f>HYPERLINK("https://pbs.twimg.com/media/Fn9S9i2X0AIMADU.jpg")</f>
        <v>https://pbs.twimg.com/media/Fn9S9i2X0AIMADU.jpg</v>
      </c>
      <c r="W961" s="76">
        <v>44959.470729166664</v>
      </c>
      <c r="X961" s="80">
        <v>44959</v>
      </c>
      <c r="Y961" s="78" t="s">
        <v>3357</v>
      </c>
      <c r="Z961" s="77" t="str">
        <f>HYPERLINK("https://twitter.com/dwntwndwn/status/1621105615027453952")</f>
        <v>https://twitter.com/dwntwndwn/status/1621105615027453952</v>
      </c>
      <c r="AC961" s="78" t="s">
        <v>4422</v>
      </c>
      <c r="AE961" t="b">
        <v>0</v>
      </c>
      <c r="AF961">
        <v>1</v>
      </c>
      <c r="AG961" s="78" t="s">
        <v>4640</v>
      </c>
      <c r="AH961" t="b">
        <v>0</v>
      </c>
      <c r="AI961" t="s">
        <v>4829</v>
      </c>
      <c r="AK961" s="78" t="s">
        <v>4640</v>
      </c>
      <c r="AL961" t="b">
        <v>0</v>
      </c>
      <c r="AM961">
        <v>0</v>
      </c>
      <c r="AN961" s="78" t="s">
        <v>4640</v>
      </c>
      <c r="AO961" s="78" t="s">
        <v>4849</v>
      </c>
      <c r="AP961" t="b">
        <v>0</v>
      </c>
      <c r="AQ961" s="78" t="s">
        <v>4422</v>
      </c>
      <c r="AR961" t="s">
        <v>179</v>
      </c>
      <c r="AS961">
        <v>0</v>
      </c>
      <c r="AT961">
        <v>0</v>
      </c>
      <c r="AU961" t="s">
        <v>4896</v>
      </c>
      <c r="AV961" t="s">
        <v>4899</v>
      </c>
      <c r="AW961" t="s">
        <v>4901</v>
      </c>
      <c r="AX961" t="s">
        <v>4925</v>
      </c>
      <c r="AY961" t="s">
        <v>4950</v>
      </c>
      <c r="AZ961" t="s">
        <v>4925</v>
      </c>
      <c r="BA961" t="s">
        <v>4977</v>
      </c>
      <c r="BB961" s="77" t="str">
        <f>HYPERLINK("https://api.twitter.com/1.1/geo/id/07d9f62c55086000.json")</f>
        <v>https://api.twitter.com/1.1/geo/id/07d9f62c55086000.json</v>
      </c>
    </row>
    <row r="962" spans="1:54" x14ac:dyDescent="0.45">
      <c r="A962" s="62" t="s">
        <v>1048</v>
      </c>
      <c r="B962" s="62" t="s">
        <v>1528</v>
      </c>
      <c r="C962" s="63"/>
      <c r="D962" s="64"/>
      <c r="E962" s="65"/>
      <c r="F962" s="66"/>
      <c r="G962" s="63"/>
      <c r="H962" s="67"/>
      <c r="I962" s="68"/>
      <c r="J962" s="68"/>
      <c r="K962" s="32"/>
      <c r="L962" s="75"/>
      <c r="M962" s="75"/>
      <c r="N962" s="70"/>
      <c r="O962" t="s">
        <v>1568</v>
      </c>
      <c r="P962" s="76">
        <v>44959.470729166664</v>
      </c>
      <c r="Q962" t="s">
        <v>2200</v>
      </c>
      <c r="T962" s="78" t="s">
        <v>2414</v>
      </c>
      <c r="U962" s="77" t="str">
        <f>HYPERLINK("https://pbs.twimg.com/media/Fn9S9i2X0AIMADU.jpg")</f>
        <v>https://pbs.twimg.com/media/Fn9S9i2X0AIMADU.jpg</v>
      </c>
      <c r="V962" s="77" t="str">
        <f>HYPERLINK("https://pbs.twimg.com/media/Fn9S9i2X0AIMADU.jpg")</f>
        <v>https://pbs.twimg.com/media/Fn9S9i2X0AIMADU.jpg</v>
      </c>
      <c r="W962" s="76">
        <v>44959.470729166664</v>
      </c>
      <c r="X962" s="80">
        <v>44959</v>
      </c>
      <c r="Y962" s="78" t="s">
        <v>3357</v>
      </c>
      <c r="Z962" s="77" t="str">
        <f>HYPERLINK("https://twitter.com/dwntwndwn/status/1621105615027453952")</f>
        <v>https://twitter.com/dwntwndwn/status/1621105615027453952</v>
      </c>
      <c r="AC962" s="78" t="s">
        <v>4422</v>
      </c>
      <c r="AE962" t="b">
        <v>0</v>
      </c>
      <c r="AF962">
        <v>1</v>
      </c>
      <c r="AG962" s="78" t="s">
        <v>4640</v>
      </c>
      <c r="AH962" t="b">
        <v>0</v>
      </c>
      <c r="AI962" t="s">
        <v>4829</v>
      </c>
      <c r="AK962" s="78" t="s">
        <v>4640</v>
      </c>
      <c r="AL962" t="b">
        <v>0</v>
      </c>
      <c r="AM962">
        <v>0</v>
      </c>
      <c r="AN962" s="78" t="s">
        <v>4640</v>
      </c>
      <c r="AO962" s="78" t="s">
        <v>4849</v>
      </c>
      <c r="AP962" t="b">
        <v>0</v>
      </c>
      <c r="AQ962" s="78" t="s">
        <v>4422</v>
      </c>
      <c r="AR962" t="s">
        <v>179</v>
      </c>
      <c r="AS962">
        <v>0</v>
      </c>
      <c r="AT962">
        <v>0</v>
      </c>
      <c r="AU962" t="s">
        <v>4896</v>
      </c>
      <c r="AV962" t="s">
        <v>4899</v>
      </c>
      <c r="AW962" t="s">
        <v>4901</v>
      </c>
      <c r="AX962" t="s">
        <v>4925</v>
      </c>
      <c r="AY962" t="s">
        <v>4950</v>
      </c>
      <c r="AZ962" t="s">
        <v>4925</v>
      </c>
      <c r="BA962" t="s">
        <v>4977</v>
      </c>
      <c r="BB962" s="77" t="str">
        <f>HYPERLINK("https://api.twitter.com/1.1/geo/id/07d9f62c55086000.json")</f>
        <v>https://api.twitter.com/1.1/geo/id/07d9f62c55086000.json</v>
      </c>
    </row>
    <row r="963" spans="1:54" x14ac:dyDescent="0.45">
      <c r="A963" s="62" t="s">
        <v>1048</v>
      </c>
      <c r="B963" s="62" t="s">
        <v>242</v>
      </c>
      <c r="C963" s="63"/>
      <c r="D963" s="64"/>
      <c r="E963" s="65"/>
      <c r="F963" s="66"/>
      <c r="G963" s="63"/>
      <c r="H963" s="67"/>
      <c r="I963" s="68"/>
      <c r="J963" s="68"/>
      <c r="K963" s="32"/>
      <c r="L963" s="75"/>
      <c r="M963" s="75"/>
      <c r="N963" s="70"/>
      <c r="O963" t="s">
        <v>1568</v>
      </c>
      <c r="P963" s="76">
        <v>44959.470729166664</v>
      </c>
      <c r="Q963" t="s">
        <v>2200</v>
      </c>
      <c r="T963" s="78" t="s">
        <v>2414</v>
      </c>
      <c r="U963" s="77" t="str">
        <f>HYPERLINK("https://pbs.twimg.com/media/Fn9S9i2X0AIMADU.jpg")</f>
        <v>https://pbs.twimg.com/media/Fn9S9i2X0AIMADU.jpg</v>
      </c>
      <c r="V963" s="77" t="str">
        <f>HYPERLINK("https://pbs.twimg.com/media/Fn9S9i2X0AIMADU.jpg")</f>
        <v>https://pbs.twimg.com/media/Fn9S9i2X0AIMADU.jpg</v>
      </c>
      <c r="W963" s="76">
        <v>44959.470729166664</v>
      </c>
      <c r="X963" s="80">
        <v>44959</v>
      </c>
      <c r="Y963" s="78" t="s">
        <v>3357</v>
      </c>
      <c r="Z963" s="77" t="str">
        <f>HYPERLINK("https://twitter.com/dwntwndwn/status/1621105615027453952")</f>
        <v>https://twitter.com/dwntwndwn/status/1621105615027453952</v>
      </c>
      <c r="AC963" s="78" t="s">
        <v>4422</v>
      </c>
      <c r="AE963" t="b">
        <v>0</v>
      </c>
      <c r="AF963">
        <v>1</v>
      </c>
      <c r="AG963" s="78" t="s">
        <v>4640</v>
      </c>
      <c r="AH963" t="b">
        <v>0</v>
      </c>
      <c r="AI963" t="s">
        <v>4829</v>
      </c>
      <c r="AK963" s="78" t="s">
        <v>4640</v>
      </c>
      <c r="AL963" t="b">
        <v>0</v>
      </c>
      <c r="AM963">
        <v>0</v>
      </c>
      <c r="AN963" s="78" t="s">
        <v>4640</v>
      </c>
      <c r="AO963" s="78" t="s">
        <v>4849</v>
      </c>
      <c r="AP963" t="b">
        <v>0</v>
      </c>
      <c r="AQ963" s="78" t="s">
        <v>4422</v>
      </c>
      <c r="AR963" t="s">
        <v>179</v>
      </c>
      <c r="AS963">
        <v>0</v>
      </c>
      <c r="AT963">
        <v>0</v>
      </c>
      <c r="AU963" t="s">
        <v>4896</v>
      </c>
      <c r="AV963" t="s">
        <v>4899</v>
      </c>
      <c r="AW963" t="s">
        <v>4901</v>
      </c>
      <c r="AX963" t="s">
        <v>4925</v>
      </c>
      <c r="AY963" t="s">
        <v>4950</v>
      </c>
      <c r="AZ963" t="s">
        <v>4925</v>
      </c>
      <c r="BA963" t="s">
        <v>4977</v>
      </c>
      <c r="BB963" s="77" t="str">
        <f>HYPERLINK("https://api.twitter.com/1.1/geo/id/07d9f62c55086000.json")</f>
        <v>https://api.twitter.com/1.1/geo/id/07d9f62c55086000.json</v>
      </c>
    </row>
    <row r="964" spans="1:54" x14ac:dyDescent="0.45">
      <c r="A964" s="62" t="s">
        <v>669</v>
      </c>
      <c r="B964" s="62" t="s">
        <v>242</v>
      </c>
      <c r="C964" s="63"/>
      <c r="D964" s="64"/>
      <c r="E964" s="65"/>
      <c r="F964" s="66"/>
      <c r="G964" s="63"/>
      <c r="H964" s="67"/>
      <c r="I964" s="68"/>
      <c r="J964" s="68"/>
      <c r="K964" s="32"/>
      <c r="L964" s="75"/>
      <c r="M964" s="75"/>
      <c r="N964" s="70"/>
      <c r="O964" t="s">
        <v>1568</v>
      </c>
      <c r="P964" s="76">
        <v>44958.866759259261</v>
      </c>
      <c r="Q964" t="s">
        <v>1858</v>
      </c>
      <c r="T964" s="78" t="s">
        <v>2357</v>
      </c>
      <c r="U964" s="77" t="str">
        <f>HYPERLINK("https://pbs.twimg.com/media/Fn6L4qAWQAEc51l.jpg")</f>
        <v>https://pbs.twimg.com/media/Fn6L4qAWQAEc51l.jpg</v>
      </c>
      <c r="V964" s="77" t="str">
        <f>HYPERLINK("https://pbs.twimg.com/media/Fn6L4qAWQAEc51l.jpg")</f>
        <v>https://pbs.twimg.com/media/Fn6L4qAWQAEc51l.jpg</v>
      </c>
      <c r="W964" s="76">
        <v>44958.866759259261</v>
      </c>
      <c r="X964" s="80">
        <v>44958</v>
      </c>
      <c r="Y964" s="78" t="s">
        <v>2870</v>
      </c>
      <c r="Z964" s="77" t="str">
        <f>HYPERLINK("https://twitter.com/optimusgear/status/1620886741099094017")</f>
        <v>https://twitter.com/optimusgear/status/1620886741099094017</v>
      </c>
      <c r="AC964" s="78" t="s">
        <v>3935</v>
      </c>
      <c r="AE964" t="b">
        <v>0</v>
      </c>
      <c r="AF964">
        <v>0</v>
      </c>
      <c r="AG964" s="78" t="s">
        <v>4640</v>
      </c>
      <c r="AH964" t="b">
        <v>0</v>
      </c>
      <c r="AI964" t="s">
        <v>4829</v>
      </c>
      <c r="AK964" s="78" t="s">
        <v>4640</v>
      </c>
      <c r="AL964" t="b">
        <v>0</v>
      </c>
      <c r="AM964">
        <v>0</v>
      </c>
      <c r="AN964" s="78" t="s">
        <v>4640</v>
      </c>
      <c r="AO964" s="78" t="s">
        <v>4849</v>
      </c>
      <c r="AP964" t="b">
        <v>0</v>
      </c>
      <c r="AQ964" s="78" t="s">
        <v>3935</v>
      </c>
      <c r="AR964" t="s">
        <v>179</v>
      </c>
      <c r="AS964">
        <v>0</v>
      </c>
      <c r="AT964">
        <v>0</v>
      </c>
    </row>
    <row r="965" spans="1:54" x14ac:dyDescent="0.45">
      <c r="A965" s="62" t="s">
        <v>901</v>
      </c>
      <c r="B965" s="62" t="s">
        <v>1209</v>
      </c>
      <c r="C965" s="63"/>
      <c r="D965" s="64"/>
      <c r="E965" s="65"/>
      <c r="F965" s="66"/>
      <c r="G965" s="63"/>
      <c r="H965" s="67"/>
      <c r="I965" s="68"/>
      <c r="J965" s="68"/>
      <c r="K965" s="32"/>
      <c r="L965" s="75"/>
      <c r="M965" s="75"/>
      <c r="N965" s="70"/>
      <c r="O965" t="s">
        <v>1568</v>
      </c>
      <c r="P965" s="76">
        <v>44958.517453703702</v>
      </c>
      <c r="Q965" t="s">
        <v>1661</v>
      </c>
      <c r="T965" s="78" t="s">
        <v>2326</v>
      </c>
      <c r="U965" s="77" t="str">
        <f>HYPERLINK("https://pbs.twimg.com/tweet_video_thumb/Fn4YxFEXEAQ4HDc.jpg")</f>
        <v>https://pbs.twimg.com/tweet_video_thumb/Fn4YxFEXEAQ4HDc.jpg</v>
      </c>
      <c r="V965" s="77" t="str">
        <f>HYPERLINK("https://pbs.twimg.com/tweet_video_thumb/Fn4YxFEXEAQ4HDc.jpg")</f>
        <v>https://pbs.twimg.com/tweet_video_thumb/Fn4YxFEXEAQ4HDc.jpg</v>
      </c>
      <c r="W965" s="76">
        <v>44958.517453703702</v>
      </c>
      <c r="X965" s="80">
        <v>44958</v>
      </c>
      <c r="Y965" s="78" t="s">
        <v>3164</v>
      </c>
      <c r="Z965" s="77" t="str">
        <f>HYPERLINK("https://twitter.com/samkj27/status/1620760158740840449")</f>
        <v>https://twitter.com/samkj27/status/1620760158740840449</v>
      </c>
      <c r="AC965" s="78" t="s">
        <v>4229</v>
      </c>
      <c r="AD965" s="78" t="s">
        <v>4594</v>
      </c>
      <c r="AE965" t="b">
        <v>0</v>
      </c>
      <c r="AF965">
        <v>13</v>
      </c>
      <c r="AG965" s="78" t="s">
        <v>4767</v>
      </c>
      <c r="AH965" t="b">
        <v>0</v>
      </c>
      <c r="AI965" t="s">
        <v>4829</v>
      </c>
      <c r="AK965" s="78" t="s">
        <v>4640</v>
      </c>
      <c r="AL965" t="b">
        <v>0</v>
      </c>
      <c r="AM965">
        <v>3</v>
      </c>
      <c r="AN965" s="78" t="s">
        <v>4640</v>
      </c>
      <c r="AO965" s="78" t="s">
        <v>4849</v>
      </c>
      <c r="AP965" t="b">
        <v>0</v>
      </c>
      <c r="AQ965" s="78" t="s">
        <v>4594</v>
      </c>
      <c r="AR965" t="s">
        <v>179</v>
      </c>
      <c r="AS965">
        <v>0</v>
      </c>
      <c r="AT965">
        <v>0</v>
      </c>
    </row>
    <row r="966" spans="1:54" x14ac:dyDescent="0.45">
      <c r="A966" s="62" t="s">
        <v>901</v>
      </c>
      <c r="B966" s="62" t="s">
        <v>242</v>
      </c>
      <c r="C966" s="63"/>
      <c r="D966" s="64"/>
      <c r="E966" s="65"/>
      <c r="F966" s="66"/>
      <c r="G966" s="63"/>
      <c r="H966" s="67"/>
      <c r="I966" s="68"/>
      <c r="J966" s="68"/>
      <c r="K966" s="32"/>
      <c r="L966" s="75"/>
      <c r="M966" s="75"/>
      <c r="N966" s="70"/>
      <c r="O966" t="s">
        <v>1568</v>
      </c>
      <c r="P966" s="76">
        <v>44958.517453703702</v>
      </c>
      <c r="Q966" t="s">
        <v>1661</v>
      </c>
      <c r="T966" s="78" t="s">
        <v>2326</v>
      </c>
      <c r="U966" s="77" t="str">
        <f>HYPERLINK("https://pbs.twimg.com/tweet_video_thumb/Fn4YxFEXEAQ4HDc.jpg")</f>
        <v>https://pbs.twimg.com/tweet_video_thumb/Fn4YxFEXEAQ4HDc.jpg</v>
      </c>
      <c r="V966" s="77" t="str">
        <f>HYPERLINK("https://pbs.twimg.com/tweet_video_thumb/Fn4YxFEXEAQ4HDc.jpg")</f>
        <v>https://pbs.twimg.com/tweet_video_thumb/Fn4YxFEXEAQ4HDc.jpg</v>
      </c>
      <c r="W966" s="76">
        <v>44958.517453703702</v>
      </c>
      <c r="X966" s="80">
        <v>44958</v>
      </c>
      <c r="Y966" s="78" t="s">
        <v>3164</v>
      </c>
      <c r="Z966" s="77" t="str">
        <f>HYPERLINK("https://twitter.com/samkj27/status/1620760158740840449")</f>
        <v>https://twitter.com/samkj27/status/1620760158740840449</v>
      </c>
      <c r="AC966" s="78" t="s">
        <v>4229</v>
      </c>
      <c r="AD966" s="78" t="s">
        <v>4594</v>
      </c>
      <c r="AE966" t="b">
        <v>0</v>
      </c>
      <c r="AF966">
        <v>13</v>
      </c>
      <c r="AG966" s="78" t="s">
        <v>4767</v>
      </c>
      <c r="AH966" t="b">
        <v>0</v>
      </c>
      <c r="AI966" t="s">
        <v>4829</v>
      </c>
      <c r="AK966" s="78" t="s">
        <v>4640</v>
      </c>
      <c r="AL966" t="b">
        <v>0</v>
      </c>
      <c r="AM966">
        <v>3</v>
      </c>
      <c r="AN966" s="78" t="s">
        <v>4640</v>
      </c>
      <c r="AO966" s="78" t="s">
        <v>4849</v>
      </c>
      <c r="AP966" t="b">
        <v>0</v>
      </c>
      <c r="AQ966" s="78" t="s">
        <v>4594</v>
      </c>
      <c r="AR966" t="s">
        <v>179</v>
      </c>
      <c r="AS966">
        <v>0</v>
      </c>
      <c r="AT966">
        <v>0</v>
      </c>
    </row>
    <row r="967" spans="1:54" x14ac:dyDescent="0.45">
      <c r="A967" s="62" t="s">
        <v>318</v>
      </c>
      <c r="B967" s="62" t="s">
        <v>1209</v>
      </c>
      <c r="C967" s="63"/>
      <c r="D967" s="64"/>
      <c r="E967" s="65"/>
      <c r="F967" s="66"/>
      <c r="G967" s="63"/>
      <c r="H967" s="67"/>
      <c r="I967" s="68"/>
      <c r="J967" s="68"/>
      <c r="K967" s="32"/>
      <c r="L967" s="75"/>
      <c r="M967" s="75"/>
      <c r="N967" s="70"/>
      <c r="O967" t="s">
        <v>1570</v>
      </c>
      <c r="P967" s="76">
        <v>44958.618530092594</v>
      </c>
      <c r="Q967" t="s">
        <v>1661</v>
      </c>
      <c r="T967" s="78" t="s">
        <v>2326</v>
      </c>
      <c r="U967" s="77" t="str">
        <f>HYPERLINK("https://pbs.twimg.com/tweet_video_thumb/Fn4YxFEXEAQ4HDc.jpg")</f>
        <v>https://pbs.twimg.com/tweet_video_thumb/Fn4YxFEXEAQ4HDc.jpg</v>
      </c>
      <c r="V967" s="77" t="str">
        <f>HYPERLINK("https://pbs.twimg.com/tweet_video_thumb/Fn4YxFEXEAQ4HDc.jpg")</f>
        <v>https://pbs.twimg.com/tweet_video_thumb/Fn4YxFEXEAQ4HDc.jpg</v>
      </c>
      <c r="W967" s="76">
        <v>44958.618530092594</v>
      </c>
      <c r="X967" s="80">
        <v>44958</v>
      </c>
      <c r="Y967" s="78" t="s">
        <v>2531</v>
      </c>
      <c r="Z967" s="77" t="str">
        <f>HYPERLINK("https://twitter.com/marinawriter1/status/1620796784695205888")</f>
        <v>https://twitter.com/marinawriter1/status/1620796784695205888</v>
      </c>
      <c r="AC967" s="78" t="s">
        <v>3547</v>
      </c>
      <c r="AE967" t="b">
        <v>0</v>
      </c>
      <c r="AF967">
        <v>0</v>
      </c>
      <c r="AG967" s="78" t="s">
        <v>4640</v>
      </c>
      <c r="AH967" t="b">
        <v>0</v>
      </c>
      <c r="AI967" t="s">
        <v>4829</v>
      </c>
      <c r="AK967" s="78" t="s">
        <v>4640</v>
      </c>
      <c r="AL967" t="b">
        <v>0</v>
      </c>
      <c r="AM967">
        <v>3</v>
      </c>
      <c r="AN967" s="78" t="s">
        <v>4229</v>
      </c>
      <c r="AO967" s="78" t="s">
        <v>4850</v>
      </c>
      <c r="AP967" t="b">
        <v>0</v>
      </c>
      <c r="AQ967" s="78" t="s">
        <v>4229</v>
      </c>
      <c r="AR967" t="s">
        <v>179</v>
      </c>
      <c r="AS967">
        <v>0</v>
      </c>
      <c r="AT967">
        <v>0</v>
      </c>
    </row>
    <row r="968" spans="1:54" x14ac:dyDescent="0.45">
      <c r="A968" s="62" t="s">
        <v>318</v>
      </c>
      <c r="B968" s="62" t="s">
        <v>242</v>
      </c>
      <c r="C968" s="63"/>
      <c r="D968" s="64"/>
      <c r="E968" s="65"/>
      <c r="F968" s="66"/>
      <c r="G968" s="63"/>
      <c r="H968" s="67"/>
      <c r="I968" s="68"/>
      <c r="J968" s="68"/>
      <c r="K968" s="32"/>
      <c r="L968" s="75"/>
      <c r="M968" s="75"/>
      <c r="N968" s="70"/>
      <c r="O968" t="s">
        <v>1570</v>
      </c>
      <c r="P968" s="76">
        <v>44958.618530092594</v>
      </c>
      <c r="Q968" t="s">
        <v>1661</v>
      </c>
      <c r="T968" s="78" t="s">
        <v>2326</v>
      </c>
      <c r="U968" s="77" t="str">
        <f>HYPERLINK("https://pbs.twimg.com/tweet_video_thumb/Fn4YxFEXEAQ4HDc.jpg")</f>
        <v>https://pbs.twimg.com/tweet_video_thumb/Fn4YxFEXEAQ4HDc.jpg</v>
      </c>
      <c r="V968" s="77" t="str">
        <f>HYPERLINK("https://pbs.twimg.com/tweet_video_thumb/Fn4YxFEXEAQ4HDc.jpg")</f>
        <v>https://pbs.twimg.com/tweet_video_thumb/Fn4YxFEXEAQ4HDc.jpg</v>
      </c>
      <c r="W968" s="76">
        <v>44958.618530092594</v>
      </c>
      <c r="X968" s="80">
        <v>44958</v>
      </c>
      <c r="Y968" s="78" t="s">
        <v>2531</v>
      </c>
      <c r="Z968" s="77" t="str">
        <f>HYPERLINK("https://twitter.com/marinawriter1/status/1620796784695205888")</f>
        <v>https://twitter.com/marinawriter1/status/1620796784695205888</v>
      </c>
      <c r="AC968" s="78" t="s">
        <v>3547</v>
      </c>
      <c r="AE968" t="b">
        <v>0</v>
      </c>
      <c r="AF968">
        <v>0</v>
      </c>
      <c r="AG968" s="78" t="s">
        <v>4640</v>
      </c>
      <c r="AH968" t="b">
        <v>0</v>
      </c>
      <c r="AI968" t="s">
        <v>4829</v>
      </c>
      <c r="AK968" s="78" t="s">
        <v>4640</v>
      </c>
      <c r="AL968" t="b">
        <v>0</v>
      </c>
      <c r="AM968">
        <v>3</v>
      </c>
      <c r="AN968" s="78" t="s">
        <v>4229</v>
      </c>
      <c r="AO968" s="78" t="s">
        <v>4850</v>
      </c>
      <c r="AP968" t="b">
        <v>0</v>
      </c>
      <c r="AQ968" s="78" t="s">
        <v>4229</v>
      </c>
      <c r="AR968" t="s">
        <v>179</v>
      </c>
      <c r="AS968">
        <v>0</v>
      </c>
      <c r="AT968">
        <v>0</v>
      </c>
    </row>
    <row r="969" spans="1:54" x14ac:dyDescent="0.45">
      <c r="A969" s="62" t="s">
        <v>318</v>
      </c>
      <c r="B969" s="62" t="s">
        <v>901</v>
      </c>
      <c r="C969" s="63"/>
      <c r="D969" s="64"/>
      <c r="E969" s="65"/>
      <c r="F969" s="66"/>
      <c r="G969" s="63"/>
      <c r="H969" s="67"/>
      <c r="I969" s="68"/>
      <c r="J969" s="68"/>
      <c r="K969" s="32"/>
      <c r="L969" s="75"/>
      <c r="M969" s="75"/>
      <c r="N969" s="70"/>
      <c r="O969" t="s">
        <v>1569</v>
      </c>
      <c r="P969" s="76">
        <v>44958.618530092594</v>
      </c>
      <c r="Q969" t="s">
        <v>1661</v>
      </c>
      <c r="T969" s="78" t="s">
        <v>2326</v>
      </c>
      <c r="U969" s="77" t="str">
        <f>HYPERLINK("https://pbs.twimg.com/tweet_video_thumb/Fn4YxFEXEAQ4HDc.jpg")</f>
        <v>https://pbs.twimg.com/tweet_video_thumb/Fn4YxFEXEAQ4HDc.jpg</v>
      </c>
      <c r="V969" s="77" t="str">
        <f>HYPERLINK("https://pbs.twimg.com/tweet_video_thumb/Fn4YxFEXEAQ4HDc.jpg")</f>
        <v>https://pbs.twimg.com/tweet_video_thumb/Fn4YxFEXEAQ4HDc.jpg</v>
      </c>
      <c r="W969" s="76">
        <v>44958.618530092594</v>
      </c>
      <c r="X969" s="80">
        <v>44958</v>
      </c>
      <c r="Y969" s="78" t="s">
        <v>2531</v>
      </c>
      <c r="Z969" s="77" t="str">
        <f>HYPERLINK("https://twitter.com/marinawriter1/status/1620796784695205888")</f>
        <v>https://twitter.com/marinawriter1/status/1620796784695205888</v>
      </c>
      <c r="AC969" s="78" t="s">
        <v>3547</v>
      </c>
      <c r="AE969" t="b">
        <v>0</v>
      </c>
      <c r="AF969">
        <v>0</v>
      </c>
      <c r="AG969" s="78" t="s">
        <v>4640</v>
      </c>
      <c r="AH969" t="b">
        <v>0</v>
      </c>
      <c r="AI969" t="s">
        <v>4829</v>
      </c>
      <c r="AK969" s="78" t="s">
        <v>4640</v>
      </c>
      <c r="AL969" t="b">
        <v>0</v>
      </c>
      <c r="AM969">
        <v>3</v>
      </c>
      <c r="AN969" s="78" t="s">
        <v>4229</v>
      </c>
      <c r="AO969" s="78" t="s">
        <v>4850</v>
      </c>
      <c r="AP969" t="b">
        <v>0</v>
      </c>
      <c r="AQ969" s="78" t="s">
        <v>4229</v>
      </c>
      <c r="AR969" t="s">
        <v>179</v>
      </c>
      <c r="AS969">
        <v>0</v>
      </c>
      <c r="AT969">
        <v>0</v>
      </c>
    </row>
    <row r="970" spans="1:54" x14ac:dyDescent="0.45">
      <c r="A970" s="62" t="s">
        <v>902</v>
      </c>
      <c r="B970" s="62" t="s">
        <v>1209</v>
      </c>
      <c r="C970" s="63"/>
      <c r="D970" s="64"/>
      <c r="E970" s="65"/>
      <c r="F970" s="66"/>
      <c r="G970" s="63"/>
      <c r="H970" s="67"/>
      <c r="I970" s="68"/>
      <c r="J970" s="68"/>
      <c r="K970" s="32"/>
      <c r="L970" s="75"/>
      <c r="M970" s="75"/>
      <c r="N970" s="70"/>
      <c r="O970" t="s">
        <v>1570</v>
      </c>
      <c r="P970" s="76">
        <v>44959.089861111112</v>
      </c>
      <c r="Q970" t="s">
        <v>1661</v>
      </c>
      <c r="T970" s="78" t="s">
        <v>2326</v>
      </c>
      <c r="U970" s="77" t="str">
        <f>HYPERLINK("https://pbs.twimg.com/tweet_video_thumb/Fn4YxFEXEAQ4HDc.jpg")</f>
        <v>https://pbs.twimg.com/tweet_video_thumb/Fn4YxFEXEAQ4HDc.jpg</v>
      </c>
      <c r="V970" s="77" t="str">
        <f>HYPERLINK("https://pbs.twimg.com/tweet_video_thumb/Fn4YxFEXEAQ4HDc.jpg")</f>
        <v>https://pbs.twimg.com/tweet_video_thumb/Fn4YxFEXEAQ4HDc.jpg</v>
      </c>
      <c r="W970" s="76">
        <v>44959.089861111112</v>
      </c>
      <c r="X970" s="80">
        <v>44959</v>
      </c>
      <c r="Y970" s="78" t="s">
        <v>3165</v>
      </c>
      <c r="Z970" s="77" t="str">
        <f>HYPERLINK("https://twitter.com/jasonpyyc/status/1620967592189136900")</f>
        <v>https://twitter.com/jasonpyyc/status/1620967592189136900</v>
      </c>
      <c r="AC970" s="78" t="s">
        <v>4230</v>
      </c>
      <c r="AE970" t="b">
        <v>0</v>
      </c>
      <c r="AF970">
        <v>0</v>
      </c>
      <c r="AG970" s="78" t="s">
        <v>4640</v>
      </c>
      <c r="AH970" t="b">
        <v>0</v>
      </c>
      <c r="AI970" t="s">
        <v>4829</v>
      </c>
      <c r="AK970" s="78" t="s">
        <v>4640</v>
      </c>
      <c r="AL970" t="b">
        <v>0</v>
      </c>
      <c r="AM970">
        <v>3</v>
      </c>
      <c r="AN970" s="78" t="s">
        <v>4229</v>
      </c>
      <c r="AO970" s="78" t="s">
        <v>4849</v>
      </c>
      <c r="AP970" t="b">
        <v>0</v>
      </c>
      <c r="AQ970" s="78" t="s">
        <v>4229</v>
      </c>
      <c r="AR970" t="s">
        <v>179</v>
      </c>
      <c r="AS970">
        <v>0</v>
      </c>
      <c r="AT970">
        <v>0</v>
      </c>
    </row>
    <row r="971" spans="1:54" x14ac:dyDescent="0.45">
      <c r="A971" s="62" t="s">
        <v>902</v>
      </c>
      <c r="B971" s="62" t="s">
        <v>901</v>
      </c>
      <c r="C971" s="63"/>
      <c r="D971" s="64"/>
      <c r="E971" s="65"/>
      <c r="F971" s="66"/>
      <c r="G971" s="63"/>
      <c r="H971" s="67"/>
      <c r="I971" s="68"/>
      <c r="J971" s="68"/>
      <c r="K971" s="32"/>
      <c r="L971" s="75"/>
      <c r="M971" s="75"/>
      <c r="N971" s="70"/>
      <c r="O971" t="s">
        <v>1569</v>
      </c>
      <c r="P971" s="76">
        <v>44959.089861111112</v>
      </c>
      <c r="Q971" t="s">
        <v>1661</v>
      </c>
      <c r="T971" s="78" t="s">
        <v>2326</v>
      </c>
      <c r="U971" s="77" t="str">
        <f>HYPERLINK("https://pbs.twimg.com/tweet_video_thumb/Fn4YxFEXEAQ4HDc.jpg")</f>
        <v>https://pbs.twimg.com/tweet_video_thumb/Fn4YxFEXEAQ4HDc.jpg</v>
      </c>
      <c r="V971" s="77" t="str">
        <f>HYPERLINK("https://pbs.twimg.com/tweet_video_thumb/Fn4YxFEXEAQ4HDc.jpg")</f>
        <v>https://pbs.twimg.com/tweet_video_thumb/Fn4YxFEXEAQ4HDc.jpg</v>
      </c>
      <c r="W971" s="76">
        <v>44959.089861111112</v>
      </c>
      <c r="X971" s="80">
        <v>44959</v>
      </c>
      <c r="Y971" s="78" t="s">
        <v>3165</v>
      </c>
      <c r="Z971" s="77" t="str">
        <f>HYPERLINK("https://twitter.com/jasonpyyc/status/1620967592189136900")</f>
        <v>https://twitter.com/jasonpyyc/status/1620967592189136900</v>
      </c>
      <c r="AC971" s="78" t="s">
        <v>4230</v>
      </c>
      <c r="AE971" t="b">
        <v>0</v>
      </c>
      <c r="AF971">
        <v>0</v>
      </c>
      <c r="AG971" s="78" t="s">
        <v>4640</v>
      </c>
      <c r="AH971" t="b">
        <v>0</v>
      </c>
      <c r="AI971" t="s">
        <v>4829</v>
      </c>
      <c r="AK971" s="78" t="s">
        <v>4640</v>
      </c>
      <c r="AL971" t="b">
        <v>0</v>
      </c>
      <c r="AM971">
        <v>3</v>
      </c>
      <c r="AN971" s="78" t="s">
        <v>4229</v>
      </c>
      <c r="AO971" s="78" t="s">
        <v>4849</v>
      </c>
      <c r="AP971" t="b">
        <v>0</v>
      </c>
      <c r="AQ971" s="78" t="s">
        <v>4229</v>
      </c>
      <c r="AR971" t="s">
        <v>179</v>
      </c>
      <c r="AS971">
        <v>0</v>
      </c>
      <c r="AT971">
        <v>0</v>
      </c>
    </row>
    <row r="972" spans="1:54" x14ac:dyDescent="0.45">
      <c r="A972" s="62" t="s">
        <v>902</v>
      </c>
      <c r="B972" s="62" t="s">
        <v>242</v>
      </c>
      <c r="C972" s="63"/>
      <c r="D972" s="64"/>
      <c r="E972" s="65"/>
      <c r="F972" s="66"/>
      <c r="G972" s="63"/>
      <c r="H972" s="67"/>
      <c r="I972" s="68"/>
      <c r="J972" s="68"/>
      <c r="K972" s="32"/>
      <c r="L972" s="75"/>
      <c r="M972" s="75"/>
      <c r="N972" s="70"/>
      <c r="O972" t="s">
        <v>1570</v>
      </c>
      <c r="P972" s="76">
        <v>44959.089861111112</v>
      </c>
      <c r="Q972" t="s">
        <v>1661</v>
      </c>
      <c r="T972" s="78" t="s">
        <v>2326</v>
      </c>
      <c r="U972" s="77" t="str">
        <f>HYPERLINK("https://pbs.twimg.com/tweet_video_thumb/Fn4YxFEXEAQ4HDc.jpg")</f>
        <v>https://pbs.twimg.com/tweet_video_thumb/Fn4YxFEXEAQ4HDc.jpg</v>
      </c>
      <c r="V972" s="77" t="str">
        <f>HYPERLINK("https://pbs.twimg.com/tweet_video_thumb/Fn4YxFEXEAQ4HDc.jpg")</f>
        <v>https://pbs.twimg.com/tweet_video_thumb/Fn4YxFEXEAQ4HDc.jpg</v>
      </c>
      <c r="W972" s="76">
        <v>44959.089861111112</v>
      </c>
      <c r="X972" s="80">
        <v>44959</v>
      </c>
      <c r="Y972" s="78" t="s">
        <v>3165</v>
      </c>
      <c r="Z972" s="77" t="str">
        <f>HYPERLINK("https://twitter.com/jasonpyyc/status/1620967592189136900")</f>
        <v>https://twitter.com/jasonpyyc/status/1620967592189136900</v>
      </c>
      <c r="AC972" s="78" t="s">
        <v>4230</v>
      </c>
      <c r="AE972" t="b">
        <v>0</v>
      </c>
      <c r="AF972">
        <v>0</v>
      </c>
      <c r="AG972" s="78" t="s">
        <v>4640</v>
      </c>
      <c r="AH972" t="b">
        <v>0</v>
      </c>
      <c r="AI972" t="s">
        <v>4829</v>
      </c>
      <c r="AK972" s="78" t="s">
        <v>4640</v>
      </c>
      <c r="AL972" t="b">
        <v>0</v>
      </c>
      <c r="AM972">
        <v>3</v>
      </c>
      <c r="AN972" s="78" t="s">
        <v>4229</v>
      </c>
      <c r="AO972" s="78" t="s">
        <v>4849</v>
      </c>
      <c r="AP972" t="b">
        <v>0</v>
      </c>
      <c r="AQ972" s="78" t="s">
        <v>4229</v>
      </c>
      <c r="AR972" t="s">
        <v>179</v>
      </c>
      <c r="AS972">
        <v>0</v>
      </c>
      <c r="AT972">
        <v>0</v>
      </c>
    </row>
    <row r="973" spans="1:54" x14ac:dyDescent="0.45">
      <c r="A973" s="62" t="s">
        <v>815</v>
      </c>
      <c r="B973" s="62" t="s">
        <v>1390</v>
      </c>
      <c r="C973" s="63"/>
      <c r="D973" s="64"/>
      <c r="E973" s="65"/>
      <c r="F973" s="66"/>
      <c r="G973" s="63"/>
      <c r="H973" s="67"/>
      <c r="I973" s="68"/>
      <c r="J973" s="68"/>
      <c r="K973" s="32"/>
      <c r="L973" s="75"/>
      <c r="M973" s="75"/>
      <c r="N973" s="70"/>
      <c r="O973" t="s">
        <v>1568</v>
      </c>
      <c r="P973" s="76">
        <v>44958.996064814812</v>
      </c>
      <c r="Q973" t="s">
        <v>1997</v>
      </c>
      <c r="T973" s="78" t="s">
        <v>2379</v>
      </c>
      <c r="U973" s="77" t="str">
        <f>HYPERLINK("https://pbs.twimg.com/media/Fn62EiZXkAAL8IN.jpg")</f>
        <v>https://pbs.twimg.com/media/Fn62EiZXkAAL8IN.jpg</v>
      </c>
      <c r="V973" s="77" t="str">
        <f>HYPERLINK("https://pbs.twimg.com/media/Fn62EiZXkAAL8IN.jpg")</f>
        <v>https://pbs.twimg.com/media/Fn62EiZXkAAL8IN.jpg</v>
      </c>
      <c r="W973" s="76">
        <v>44958.996064814812</v>
      </c>
      <c r="X973" s="80">
        <v>44958</v>
      </c>
      <c r="Y973" s="78" t="s">
        <v>3057</v>
      </c>
      <c r="Z973" s="77" t="str">
        <f>HYPERLINK("https://twitter.com/jcrawfordfsu/status/1620933598982578177")</f>
        <v>https://twitter.com/jcrawfordfsu/status/1620933598982578177</v>
      </c>
      <c r="AC973" s="78" t="s">
        <v>4122</v>
      </c>
      <c r="AE973" t="b">
        <v>0</v>
      </c>
      <c r="AF973">
        <v>0</v>
      </c>
      <c r="AG973" s="78" t="s">
        <v>4640</v>
      </c>
      <c r="AH973" t="b">
        <v>0</v>
      </c>
      <c r="AI973" t="s">
        <v>4829</v>
      </c>
      <c r="AK973" s="78" t="s">
        <v>4640</v>
      </c>
      <c r="AL973" t="b">
        <v>0</v>
      </c>
      <c r="AM973">
        <v>0</v>
      </c>
      <c r="AN973" s="78" t="s">
        <v>4640</v>
      </c>
      <c r="AO973" s="78" t="s">
        <v>4851</v>
      </c>
      <c r="AP973" t="b">
        <v>0</v>
      </c>
      <c r="AQ973" s="78" t="s">
        <v>4122</v>
      </c>
      <c r="AR973" t="s">
        <v>179</v>
      </c>
      <c r="AS973">
        <v>0</v>
      </c>
      <c r="AT973">
        <v>0</v>
      </c>
      <c r="AU973" t="s">
        <v>4889</v>
      </c>
      <c r="AV973" t="s">
        <v>4899</v>
      </c>
      <c r="AW973" t="s">
        <v>4901</v>
      </c>
      <c r="AX973" t="s">
        <v>4918</v>
      </c>
      <c r="AY973" t="s">
        <v>4943</v>
      </c>
      <c r="AZ973" t="s">
        <v>4918</v>
      </c>
      <c r="BA973" t="s">
        <v>4977</v>
      </c>
      <c r="BB973" s="77" t="str">
        <f>HYPERLINK("https://api.twitter.com/1.1/geo/id/07d9de3c3e484000.json")</f>
        <v>https://api.twitter.com/1.1/geo/id/07d9de3c3e484000.json</v>
      </c>
    </row>
    <row r="974" spans="1:54" x14ac:dyDescent="0.45">
      <c r="A974" s="62" t="s">
        <v>815</v>
      </c>
      <c r="B974" s="62" t="s">
        <v>242</v>
      </c>
      <c r="C974" s="63"/>
      <c r="D974" s="64"/>
      <c r="E974" s="65"/>
      <c r="F974" s="66"/>
      <c r="G974" s="63"/>
      <c r="H974" s="67"/>
      <c r="I974" s="68"/>
      <c r="J974" s="68"/>
      <c r="K974" s="32"/>
      <c r="L974" s="75"/>
      <c r="M974" s="75"/>
      <c r="N974" s="70"/>
      <c r="O974" t="s">
        <v>1568</v>
      </c>
      <c r="P974" s="76">
        <v>44958.996064814812</v>
      </c>
      <c r="Q974" t="s">
        <v>1997</v>
      </c>
      <c r="T974" s="78" t="s">
        <v>2379</v>
      </c>
      <c r="U974" s="77" t="str">
        <f>HYPERLINK("https://pbs.twimg.com/media/Fn62EiZXkAAL8IN.jpg")</f>
        <v>https://pbs.twimg.com/media/Fn62EiZXkAAL8IN.jpg</v>
      </c>
      <c r="V974" s="77" t="str">
        <f>HYPERLINK("https://pbs.twimg.com/media/Fn62EiZXkAAL8IN.jpg")</f>
        <v>https://pbs.twimg.com/media/Fn62EiZXkAAL8IN.jpg</v>
      </c>
      <c r="W974" s="76">
        <v>44958.996064814812</v>
      </c>
      <c r="X974" s="80">
        <v>44958</v>
      </c>
      <c r="Y974" s="78" t="s">
        <v>3057</v>
      </c>
      <c r="Z974" s="77" t="str">
        <f>HYPERLINK("https://twitter.com/jcrawfordfsu/status/1620933598982578177")</f>
        <v>https://twitter.com/jcrawfordfsu/status/1620933598982578177</v>
      </c>
      <c r="AC974" s="78" t="s">
        <v>4122</v>
      </c>
      <c r="AE974" t="b">
        <v>0</v>
      </c>
      <c r="AF974">
        <v>0</v>
      </c>
      <c r="AG974" s="78" t="s">
        <v>4640</v>
      </c>
      <c r="AH974" t="b">
        <v>0</v>
      </c>
      <c r="AI974" t="s">
        <v>4829</v>
      </c>
      <c r="AK974" s="78" t="s">
        <v>4640</v>
      </c>
      <c r="AL974" t="b">
        <v>0</v>
      </c>
      <c r="AM974">
        <v>0</v>
      </c>
      <c r="AN974" s="78" t="s">
        <v>4640</v>
      </c>
      <c r="AO974" s="78" t="s">
        <v>4851</v>
      </c>
      <c r="AP974" t="b">
        <v>0</v>
      </c>
      <c r="AQ974" s="78" t="s">
        <v>4122</v>
      </c>
      <c r="AR974" t="s">
        <v>179</v>
      </c>
      <c r="AS974">
        <v>0</v>
      </c>
      <c r="AT974">
        <v>0</v>
      </c>
      <c r="AU974" t="s">
        <v>4889</v>
      </c>
      <c r="AV974" t="s">
        <v>4899</v>
      </c>
      <c r="AW974" t="s">
        <v>4901</v>
      </c>
      <c r="AX974" t="s">
        <v>4918</v>
      </c>
      <c r="AY974" t="s">
        <v>4943</v>
      </c>
      <c r="AZ974" t="s">
        <v>4918</v>
      </c>
      <c r="BA974" t="s">
        <v>4977</v>
      </c>
      <c r="BB974" s="77" t="str">
        <f>HYPERLINK("https://api.twitter.com/1.1/geo/id/07d9de3c3e484000.json")</f>
        <v>https://api.twitter.com/1.1/geo/id/07d9de3c3e484000.json</v>
      </c>
    </row>
    <row r="975" spans="1:54" x14ac:dyDescent="0.45">
      <c r="A975" s="62" t="s">
        <v>912</v>
      </c>
      <c r="B975" s="62" t="s">
        <v>1429</v>
      </c>
      <c r="C975" s="63"/>
      <c r="D975" s="64"/>
      <c r="E975" s="65"/>
      <c r="F975" s="66"/>
      <c r="G975" s="63"/>
      <c r="H975" s="67"/>
      <c r="I975" s="68"/>
      <c r="J975" s="68"/>
      <c r="K975" s="32"/>
      <c r="L975" s="75"/>
      <c r="M975" s="75"/>
      <c r="N975" s="70"/>
      <c r="O975" t="s">
        <v>1568</v>
      </c>
      <c r="P975" s="76">
        <v>44959.103888888887</v>
      </c>
      <c r="Q975" t="s">
        <v>2071</v>
      </c>
      <c r="T975" s="78" t="s">
        <v>2393</v>
      </c>
      <c r="V975" s="77" t="str">
        <f>HYPERLINK("https://pbs.twimg.com/profile_images/1198841139899633666/J1TT6myP_normal.jpg")</f>
        <v>https://pbs.twimg.com/profile_images/1198841139899633666/J1TT6myP_normal.jpg</v>
      </c>
      <c r="W975" s="76">
        <v>44959.103888888887</v>
      </c>
      <c r="X975" s="80">
        <v>44959</v>
      </c>
      <c r="Y975" s="78" t="s">
        <v>3176</v>
      </c>
      <c r="Z975" s="77" t="str">
        <f>HYPERLINK("https://twitter.com/angel13224/status/1620972676348268545")</f>
        <v>https://twitter.com/angel13224/status/1620972676348268545</v>
      </c>
      <c r="AC975" s="78" t="s">
        <v>4241</v>
      </c>
      <c r="AE975" t="b">
        <v>0</v>
      </c>
      <c r="AF975">
        <v>0</v>
      </c>
      <c r="AG975" s="78" t="s">
        <v>4639</v>
      </c>
      <c r="AH975" t="b">
        <v>0</v>
      </c>
      <c r="AI975" t="s">
        <v>4829</v>
      </c>
      <c r="AK975" s="78" t="s">
        <v>4640</v>
      </c>
      <c r="AL975" t="b">
        <v>0</v>
      </c>
      <c r="AM975">
        <v>0</v>
      </c>
      <c r="AN975" s="78" t="s">
        <v>4640</v>
      </c>
      <c r="AO975" s="78" t="s">
        <v>4849</v>
      </c>
      <c r="AP975" t="b">
        <v>0</v>
      </c>
      <c r="AQ975" s="78" t="s">
        <v>4241</v>
      </c>
      <c r="AR975" t="s">
        <v>179</v>
      </c>
      <c r="AS975">
        <v>0</v>
      </c>
      <c r="AT975">
        <v>0</v>
      </c>
    </row>
    <row r="976" spans="1:54" x14ac:dyDescent="0.45">
      <c r="A976" s="62" t="s">
        <v>912</v>
      </c>
      <c r="B976" s="62" t="s">
        <v>242</v>
      </c>
      <c r="C976" s="63"/>
      <c r="D976" s="64"/>
      <c r="E976" s="65"/>
      <c r="F976" s="66"/>
      <c r="G976" s="63"/>
      <c r="H976" s="67"/>
      <c r="I976" s="68"/>
      <c r="J976" s="68"/>
      <c r="K976" s="32"/>
      <c r="L976" s="75"/>
      <c r="M976" s="75"/>
      <c r="N976" s="70"/>
      <c r="O976" t="s">
        <v>1567</v>
      </c>
      <c r="P976" s="76">
        <v>44959.103888888887</v>
      </c>
      <c r="Q976" t="s">
        <v>2071</v>
      </c>
      <c r="T976" s="78" t="s">
        <v>2393</v>
      </c>
      <c r="V976" s="77" t="str">
        <f>HYPERLINK("https://pbs.twimg.com/profile_images/1198841139899633666/J1TT6myP_normal.jpg")</f>
        <v>https://pbs.twimg.com/profile_images/1198841139899633666/J1TT6myP_normal.jpg</v>
      </c>
      <c r="W976" s="76">
        <v>44959.103888888887</v>
      </c>
      <c r="X976" s="80">
        <v>44959</v>
      </c>
      <c r="Y976" s="78" t="s">
        <v>3176</v>
      </c>
      <c r="Z976" s="77" t="str">
        <f>HYPERLINK("https://twitter.com/angel13224/status/1620972676348268545")</f>
        <v>https://twitter.com/angel13224/status/1620972676348268545</v>
      </c>
      <c r="AC976" s="78" t="s">
        <v>4241</v>
      </c>
      <c r="AE976" t="b">
        <v>0</v>
      </c>
      <c r="AF976">
        <v>0</v>
      </c>
      <c r="AG976" s="78" t="s">
        <v>4639</v>
      </c>
      <c r="AH976" t="b">
        <v>0</v>
      </c>
      <c r="AI976" t="s">
        <v>4829</v>
      </c>
      <c r="AK976" s="78" t="s">
        <v>4640</v>
      </c>
      <c r="AL976" t="b">
        <v>0</v>
      </c>
      <c r="AM976">
        <v>0</v>
      </c>
      <c r="AN976" s="78" t="s">
        <v>4640</v>
      </c>
      <c r="AO976" s="78" t="s">
        <v>4849</v>
      </c>
      <c r="AP976" t="b">
        <v>0</v>
      </c>
      <c r="AQ976" s="78" t="s">
        <v>4241</v>
      </c>
      <c r="AR976" t="s">
        <v>179</v>
      </c>
      <c r="AS976">
        <v>0</v>
      </c>
      <c r="AT976">
        <v>0</v>
      </c>
    </row>
    <row r="977" spans="1:46" x14ac:dyDescent="0.45">
      <c r="A977" s="62" t="s">
        <v>636</v>
      </c>
      <c r="B977" s="62" t="s">
        <v>1314</v>
      </c>
      <c r="C977" s="63"/>
      <c r="D977" s="64"/>
      <c r="E977" s="65"/>
      <c r="F977" s="66"/>
      <c r="G977" s="63"/>
      <c r="H977" s="67"/>
      <c r="I977" s="68"/>
      <c r="J977" s="68"/>
      <c r="K977" s="32"/>
      <c r="L977" s="75"/>
      <c r="M977" s="75"/>
      <c r="N977" s="70"/>
      <c r="O977" t="s">
        <v>1568</v>
      </c>
      <c r="P977" s="76">
        <v>44958.840937499997</v>
      </c>
      <c r="Q977" t="s">
        <v>1839</v>
      </c>
      <c r="T977" s="78" t="s">
        <v>2352</v>
      </c>
      <c r="U977" s="77" t="str">
        <f>HYPERLINK("https://pbs.twimg.com/media/Fn6DMIuXoAAsygL.jpg")</f>
        <v>https://pbs.twimg.com/media/Fn6DMIuXoAAsygL.jpg</v>
      </c>
      <c r="V977" s="77" t="str">
        <f>HYPERLINK("https://pbs.twimg.com/media/Fn6DMIuXoAAsygL.jpg")</f>
        <v>https://pbs.twimg.com/media/Fn6DMIuXoAAsygL.jpg</v>
      </c>
      <c r="W977" s="76">
        <v>44958.840937499997</v>
      </c>
      <c r="X977" s="80">
        <v>44958</v>
      </c>
      <c r="Y977" s="78" t="s">
        <v>2837</v>
      </c>
      <c r="Z977" s="77" t="str">
        <f>HYPERLINK("https://twitter.com/thefrontnc/status/1620877385540448256")</f>
        <v>https://twitter.com/thefrontnc/status/1620877385540448256</v>
      </c>
      <c r="AC977" s="78" t="s">
        <v>3901</v>
      </c>
      <c r="AE977" t="b">
        <v>0</v>
      </c>
      <c r="AF977">
        <v>0</v>
      </c>
      <c r="AG977" s="78" t="s">
        <v>4639</v>
      </c>
      <c r="AH977" t="b">
        <v>0</v>
      </c>
      <c r="AI977" t="s">
        <v>4829</v>
      </c>
      <c r="AK977" s="78" t="s">
        <v>4640</v>
      </c>
      <c r="AL977" t="b">
        <v>0</v>
      </c>
      <c r="AM977">
        <v>0</v>
      </c>
      <c r="AN977" s="78" t="s">
        <v>4640</v>
      </c>
      <c r="AO977" s="78" t="s">
        <v>4850</v>
      </c>
      <c r="AP977" t="b">
        <v>0</v>
      </c>
      <c r="AQ977" s="78" t="s">
        <v>3901</v>
      </c>
      <c r="AR977" t="s">
        <v>179</v>
      </c>
      <c r="AS977">
        <v>0</v>
      </c>
      <c r="AT977">
        <v>0</v>
      </c>
    </row>
    <row r="978" spans="1:46" x14ac:dyDescent="0.45">
      <c r="A978" s="62" t="s">
        <v>636</v>
      </c>
      <c r="B978" s="62" t="s">
        <v>242</v>
      </c>
      <c r="C978" s="63"/>
      <c r="D978" s="64"/>
      <c r="E978" s="65"/>
      <c r="F978" s="66"/>
      <c r="G978" s="63"/>
      <c r="H978" s="67"/>
      <c r="I978" s="68"/>
      <c r="J978" s="68"/>
      <c r="K978" s="32"/>
      <c r="L978" s="75"/>
      <c r="M978" s="75"/>
      <c r="N978" s="70"/>
      <c r="O978" t="s">
        <v>1567</v>
      </c>
      <c r="P978" s="76">
        <v>44958.840937499997</v>
      </c>
      <c r="Q978" t="s">
        <v>1839</v>
      </c>
      <c r="T978" s="78" t="s">
        <v>2352</v>
      </c>
      <c r="U978" s="77" t="str">
        <f>HYPERLINK("https://pbs.twimg.com/media/Fn6DMIuXoAAsygL.jpg")</f>
        <v>https://pbs.twimg.com/media/Fn6DMIuXoAAsygL.jpg</v>
      </c>
      <c r="V978" s="77" t="str">
        <f>HYPERLINK("https://pbs.twimg.com/media/Fn6DMIuXoAAsygL.jpg")</f>
        <v>https://pbs.twimg.com/media/Fn6DMIuXoAAsygL.jpg</v>
      </c>
      <c r="W978" s="76">
        <v>44958.840937499997</v>
      </c>
      <c r="X978" s="80">
        <v>44958</v>
      </c>
      <c r="Y978" s="78" t="s">
        <v>2837</v>
      </c>
      <c r="Z978" s="77" t="str">
        <f>HYPERLINK("https://twitter.com/thefrontnc/status/1620877385540448256")</f>
        <v>https://twitter.com/thefrontnc/status/1620877385540448256</v>
      </c>
      <c r="AC978" s="78" t="s">
        <v>3901</v>
      </c>
      <c r="AE978" t="b">
        <v>0</v>
      </c>
      <c r="AF978">
        <v>0</v>
      </c>
      <c r="AG978" s="78" t="s">
        <v>4639</v>
      </c>
      <c r="AH978" t="b">
        <v>0</v>
      </c>
      <c r="AI978" t="s">
        <v>4829</v>
      </c>
      <c r="AK978" s="78" t="s">
        <v>4640</v>
      </c>
      <c r="AL978" t="b">
        <v>0</v>
      </c>
      <c r="AM978">
        <v>0</v>
      </c>
      <c r="AN978" s="78" t="s">
        <v>4640</v>
      </c>
      <c r="AO978" s="78" t="s">
        <v>4850</v>
      </c>
      <c r="AP978" t="b">
        <v>0</v>
      </c>
      <c r="AQ978" s="78" t="s">
        <v>3901</v>
      </c>
      <c r="AR978" t="s">
        <v>179</v>
      </c>
      <c r="AS978">
        <v>0</v>
      </c>
      <c r="AT978">
        <v>0</v>
      </c>
    </row>
    <row r="979" spans="1:46" x14ac:dyDescent="0.45">
      <c r="A979" s="62" t="s">
        <v>220</v>
      </c>
      <c r="B979" s="62" t="s">
        <v>1108</v>
      </c>
      <c r="C979" s="63"/>
      <c r="D979" s="64"/>
      <c r="E979" s="65"/>
      <c r="F979" s="66"/>
      <c r="G979" s="63"/>
      <c r="H979" s="67"/>
      <c r="I979" s="68"/>
      <c r="J979" s="68"/>
      <c r="K979" s="32"/>
      <c r="L979" s="75"/>
      <c r="M979" s="75"/>
      <c r="N979" s="70"/>
      <c r="O979" t="s">
        <v>1568</v>
      </c>
      <c r="P979" s="76">
        <v>44958.286111111112</v>
      </c>
      <c r="Q979" t="s">
        <v>1574</v>
      </c>
      <c r="T979" s="78" t="s">
        <v>2308</v>
      </c>
      <c r="V979" s="77" t="str">
        <f>HYPERLINK("https://pbs.twimg.com/profile_images/1470352502704902147/wTD6HKX__normal.jpg")</f>
        <v>https://pbs.twimg.com/profile_images/1470352502704902147/wTD6HKX__normal.jpg</v>
      </c>
      <c r="W979" s="76">
        <v>44958.286111111112</v>
      </c>
      <c r="X979" s="80">
        <v>44958</v>
      </c>
      <c r="Y979" s="78" t="s">
        <v>2423</v>
      </c>
      <c r="Z979" s="77" t="str">
        <f>HYPERLINK("https://twitter.com/4swiin/status/1620676319867719681")</f>
        <v>https://twitter.com/4swiin/status/1620676319867719681</v>
      </c>
      <c r="AC979" s="78" t="s">
        <v>3438</v>
      </c>
      <c r="AE979" t="b">
        <v>0</v>
      </c>
      <c r="AF979">
        <v>0</v>
      </c>
      <c r="AG979" s="78" t="s">
        <v>4642</v>
      </c>
      <c r="AH979" t="b">
        <v>0</v>
      </c>
      <c r="AI979" t="s">
        <v>4829</v>
      </c>
      <c r="AK979" s="78" t="s">
        <v>4640</v>
      </c>
      <c r="AL979" t="b">
        <v>0</v>
      </c>
      <c r="AM979">
        <v>0</v>
      </c>
      <c r="AN979" s="78" t="s">
        <v>4640</v>
      </c>
      <c r="AO979" s="78" t="s">
        <v>4850</v>
      </c>
      <c r="AP979" t="b">
        <v>0</v>
      </c>
      <c r="AQ979" s="78" t="s">
        <v>3438</v>
      </c>
      <c r="AR979" t="s">
        <v>179</v>
      </c>
      <c r="AS979">
        <v>0</v>
      </c>
      <c r="AT979">
        <v>0</v>
      </c>
    </row>
    <row r="980" spans="1:46" x14ac:dyDescent="0.45">
      <c r="A980" s="62" t="s">
        <v>220</v>
      </c>
      <c r="B980" s="62" t="s">
        <v>242</v>
      </c>
      <c r="C980" s="63"/>
      <c r="D980" s="64"/>
      <c r="E980" s="65"/>
      <c r="F980" s="66"/>
      <c r="G980" s="63"/>
      <c r="H980" s="67"/>
      <c r="I980" s="68"/>
      <c r="J980" s="68"/>
      <c r="K980" s="32"/>
      <c r="L980" s="75"/>
      <c r="M980" s="75"/>
      <c r="N980" s="70"/>
      <c r="O980" t="s">
        <v>1568</v>
      </c>
      <c r="P980" s="76">
        <v>44958.286111111112</v>
      </c>
      <c r="Q980" t="s">
        <v>1574</v>
      </c>
      <c r="T980" s="78" t="s">
        <v>2308</v>
      </c>
      <c r="V980" s="77" t="str">
        <f>HYPERLINK("https://pbs.twimg.com/profile_images/1470352502704902147/wTD6HKX__normal.jpg")</f>
        <v>https://pbs.twimg.com/profile_images/1470352502704902147/wTD6HKX__normal.jpg</v>
      </c>
      <c r="W980" s="76">
        <v>44958.286111111112</v>
      </c>
      <c r="X980" s="80">
        <v>44958</v>
      </c>
      <c r="Y980" s="78" t="s">
        <v>2423</v>
      </c>
      <c r="Z980" s="77" t="str">
        <f>HYPERLINK("https://twitter.com/4swiin/status/1620676319867719681")</f>
        <v>https://twitter.com/4swiin/status/1620676319867719681</v>
      </c>
      <c r="AC980" s="78" t="s">
        <v>3438</v>
      </c>
      <c r="AE980" t="b">
        <v>0</v>
      </c>
      <c r="AF980">
        <v>0</v>
      </c>
      <c r="AG980" s="78" t="s">
        <v>4642</v>
      </c>
      <c r="AH980" t="b">
        <v>0</v>
      </c>
      <c r="AI980" t="s">
        <v>4829</v>
      </c>
      <c r="AK980" s="78" t="s">
        <v>4640</v>
      </c>
      <c r="AL980" t="b">
        <v>0</v>
      </c>
      <c r="AM980">
        <v>0</v>
      </c>
      <c r="AN980" s="78" t="s">
        <v>4640</v>
      </c>
      <c r="AO980" s="78" t="s">
        <v>4850</v>
      </c>
      <c r="AP980" t="b">
        <v>0</v>
      </c>
      <c r="AQ980" s="78" t="s">
        <v>3438</v>
      </c>
      <c r="AR980" t="s">
        <v>179</v>
      </c>
      <c r="AS980">
        <v>0</v>
      </c>
      <c r="AT980">
        <v>0</v>
      </c>
    </row>
    <row r="981" spans="1:46" x14ac:dyDescent="0.45">
      <c r="A981" s="62" t="s">
        <v>220</v>
      </c>
      <c r="B981" s="62" t="s">
        <v>1109</v>
      </c>
      <c r="C981" s="63"/>
      <c r="D981" s="64"/>
      <c r="E981" s="65"/>
      <c r="F981" s="66"/>
      <c r="G981" s="63"/>
      <c r="H981" s="67"/>
      <c r="I981" s="68"/>
      <c r="J981" s="68"/>
      <c r="K981" s="32"/>
      <c r="L981" s="75"/>
      <c r="M981" s="75"/>
      <c r="N981" s="70"/>
      <c r="O981" t="s">
        <v>1568</v>
      </c>
      <c r="P981" s="76">
        <v>44958.286111111112</v>
      </c>
      <c r="Q981" t="s">
        <v>1574</v>
      </c>
      <c r="T981" s="78" t="s">
        <v>2308</v>
      </c>
      <c r="V981" s="77" t="str">
        <f>HYPERLINK("https://pbs.twimg.com/profile_images/1470352502704902147/wTD6HKX__normal.jpg")</f>
        <v>https://pbs.twimg.com/profile_images/1470352502704902147/wTD6HKX__normal.jpg</v>
      </c>
      <c r="W981" s="76">
        <v>44958.286111111112</v>
      </c>
      <c r="X981" s="80">
        <v>44958</v>
      </c>
      <c r="Y981" s="78" t="s">
        <v>2423</v>
      </c>
      <c r="Z981" s="77" t="str">
        <f>HYPERLINK("https://twitter.com/4swiin/status/1620676319867719681")</f>
        <v>https://twitter.com/4swiin/status/1620676319867719681</v>
      </c>
      <c r="AC981" s="78" t="s">
        <v>3438</v>
      </c>
      <c r="AE981" t="b">
        <v>0</v>
      </c>
      <c r="AF981">
        <v>0</v>
      </c>
      <c r="AG981" s="78" t="s">
        <v>4642</v>
      </c>
      <c r="AH981" t="b">
        <v>0</v>
      </c>
      <c r="AI981" t="s">
        <v>4829</v>
      </c>
      <c r="AK981" s="78" t="s">
        <v>4640</v>
      </c>
      <c r="AL981" t="b">
        <v>0</v>
      </c>
      <c r="AM981">
        <v>0</v>
      </c>
      <c r="AN981" s="78" t="s">
        <v>4640</v>
      </c>
      <c r="AO981" s="78" t="s">
        <v>4850</v>
      </c>
      <c r="AP981" t="b">
        <v>0</v>
      </c>
      <c r="AQ981" s="78" t="s">
        <v>3438</v>
      </c>
      <c r="AR981" t="s">
        <v>179</v>
      </c>
      <c r="AS981">
        <v>0</v>
      </c>
      <c r="AT981">
        <v>0</v>
      </c>
    </row>
    <row r="982" spans="1:46" x14ac:dyDescent="0.45">
      <c r="A982" s="62" t="s">
        <v>220</v>
      </c>
      <c r="B982" s="62" t="s">
        <v>1110</v>
      </c>
      <c r="C982" s="63"/>
      <c r="D982" s="64"/>
      <c r="E982" s="65"/>
      <c r="F982" s="66"/>
      <c r="G982" s="63"/>
      <c r="H982" s="67"/>
      <c r="I982" s="68"/>
      <c r="J982" s="68"/>
      <c r="K982" s="32"/>
      <c r="L982" s="75"/>
      <c r="M982" s="75"/>
      <c r="N982" s="70"/>
      <c r="O982" t="s">
        <v>1567</v>
      </c>
      <c r="P982" s="76">
        <v>44958.286111111112</v>
      </c>
      <c r="Q982" t="s">
        <v>1574</v>
      </c>
      <c r="T982" s="78" t="s">
        <v>2308</v>
      </c>
      <c r="V982" s="77" t="str">
        <f>HYPERLINK("https://pbs.twimg.com/profile_images/1470352502704902147/wTD6HKX__normal.jpg")</f>
        <v>https://pbs.twimg.com/profile_images/1470352502704902147/wTD6HKX__normal.jpg</v>
      </c>
      <c r="W982" s="76">
        <v>44958.286111111112</v>
      </c>
      <c r="X982" s="80">
        <v>44958</v>
      </c>
      <c r="Y982" s="78" t="s">
        <v>2423</v>
      </c>
      <c r="Z982" s="77" t="str">
        <f>HYPERLINK("https://twitter.com/4swiin/status/1620676319867719681")</f>
        <v>https://twitter.com/4swiin/status/1620676319867719681</v>
      </c>
      <c r="AC982" s="78" t="s">
        <v>3438</v>
      </c>
      <c r="AE982" t="b">
        <v>0</v>
      </c>
      <c r="AF982">
        <v>0</v>
      </c>
      <c r="AG982" s="78" t="s">
        <v>4642</v>
      </c>
      <c r="AH982" t="b">
        <v>0</v>
      </c>
      <c r="AI982" t="s">
        <v>4829</v>
      </c>
      <c r="AK982" s="78" t="s">
        <v>4640</v>
      </c>
      <c r="AL982" t="b">
        <v>0</v>
      </c>
      <c r="AM982">
        <v>0</v>
      </c>
      <c r="AN982" s="78" t="s">
        <v>4640</v>
      </c>
      <c r="AO982" s="78" t="s">
        <v>4850</v>
      </c>
      <c r="AP982" t="b">
        <v>0</v>
      </c>
      <c r="AQ982" s="78" t="s">
        <v>3438</v>
      </c>
      <c r="AR982" t="s">
        <v>179</v>
      </c>
      <c r="AS982">
        <v>0</v>
      </c>
      <c r="AT982">
        <v>0</v>
      </c>
    </row>
    <row r="983" spans="1:46" x14ac:dyDescent="0.45">
      <c r="A983" s="62" t="s">
        <v>917</v>
      </c>
      <c r="B983" s="62" t="s">
        <v>1441</v>
      </c>
      <c r="C983" s="63"/>
      <c r="D983" s="64"/>
      <c r="E983" s="65"/>
      <c r="F983" s="66"/>
      <c r="G983" s="63"/>
      <c r="H983" s="67"/>
      <c r="I983" s="68"/>
      <c r="J983" s="68"/>
      <c r="K983" s="32"/>
      <c r="L983" s="75"/>
      <c r="M983" s="75"/>
      <c r="N983" s="70"/>
      <c r="O983" t="s">
        <v>1568</v>
      </c>
      <c r="P983" s="76">
        <v>44959.113113425927</v>
      </c>
      <c r="Q983" t="s">
        <v>2077</v>
      </c>
      <c r="T983" s="78" t="s">
        <v>2397</v>
      </c>
      <c r="U983" s="77" t="str">
        <f>HYPERLINK("https://pbs.twimg.com/media/Fn7dFdvWIAEyEp3.jpg")</f>
        <v>https://pbs.twimg.com/media/Fn7dFdvWIAEyEp3.jpg</v>
      </c>
      <c r="V983" s="77" t="str">
        <f>HYPERLINK("https://pbs.twimg.com/media/Fn7dFdvWIAEyEp3.jpg")</f>
        <v>https://pbs.twimg.com/media/Fn7dFdvWIAEyEp3.jpg</v>
      </c>
      <c r="W983" s="76">
        <v>44959.113113425927</v>
      </c>
      <c r="X983" s="80">
        <v>44959</v>
      </c>
      <c r="Y983" s="78" t="s">
        <v>3182</v>
      </c>
      <c r="Z983" s="77" t="str">
        <f>HYPERLINK("https://twitter.com/beardboss20/status/1620976016058617856")</f>
        <v>https://twitter.com/beardboss20/status/1620976016058617856</v>
      </c>
      <c r="AC983" s="78" t="s">
        <v>4247</v>
      </c>
      <c r="AE983" t="b">
        <v>0</v>
      </c>
      <c r="AF983">
        <v>0</v>
      </c>
      <c r="AG983" s="78" t="s">
        <v>4640</v>
      </c>
      <c r="AH983" t="b">
        <v>0</v>
      </c>
      <c r="AI983" t="s">
        <v>4829</v>
      </c>
      <c r="AK983" s="78" t="s">
        <v>4640</v>
      </c>
      <c r="AL983" t="b">
        <v>0</v>
      </c>
      <c r="AM983">
        <v>0</v>
      </c>
      <c r="AN983" s="78" t="s">
        <v>4640</v>
      </c>
      <c r="AO983" s="78" t="s">
        <v>4849</v>
      </c>
      <c r="AP983" t="b">
        <v>0</v>
      </c>
      <c r="AQ983" s="78" t="s">
        <v>4247</v>
      </c>
      <c r="AR983" t="s">
        <v>179</v>
      </c>
      <c r="AS983">
        <v>0</v>
      </c>
      <c r="AT983">
        <v>0</v>
      </c>
    </row>
    <row r="984" spans="1:46" x14ac:dyDescent="0.45">
      <c r="A984" s="62" t="s">
        <v>917</v>
      </c>
      <c r="B984" s="62" t="s">
        <v>242</v>
      </c>
      <c r="C984" s="63"/>
      <c r="D984" s="64"/>
      <c r="E984" s="65"/>
      <c r="F984" s="66"/>
      <c r="G984" s="63"/>
      <c r="H984" s="67"/>
      <c r="I984" s="68"/>
      <c r="J984" s="68"/>
      <c r="K984" s="32"/>
      <c r="L984" s="75"/>
      <c r="M984" s="75"/>
      <c r="N984" s="70"/>
      <c r="O984" t="s">
        <v>1568</v>
      </c>
      <c r="P984" s="76">
        <v>44959.113113425927</v>
      </c>
      <c r="Q984" t="s">
        <v>2077</v>
      </c>
      <c r="T984" s="78" t="s">
        <v>2397</v>
      </c>
      <c r="U984" s="77" t="str">
        <f>HYPERLINK("https://pbs.twimg.com/media/Fn7dFdvWIAEyEp3.jpg")</f>
        <v>https://pbs.twimg.com/media/Fn7dFdvWIAEyEp3.jpg</v>
      </c>
      <c r="V984" s="77" t="str">
        <f>HYPERLINK("https://pbs.twimg.com/media/Fn7dFdvWIAEyEp3.jpg")</f>
        <v>https://pbs.twimg.com/media/Fn7dFdvWIAEyEp3.jpg</v>
      </c>
      <c r="W984" s="76">
        <v>44959.113113425927</v>
      </c>
      <c r="X984" s="80">
        <v>44959</v>
      </c>
      <c r="Y984" s="78" t="s">
        <v>3182</v>
      </c>
      <c r="Z984" s="77" t="str">
        <f>HYPERLINK("https://twitter.com/beardboss20/status/1620976016058617856")</f>
        <v>https://twitter.com/beardboss20/status/1620976016058617856</v>
      </c>
      <c r="AC984" s="78" t="s">
        <v>4247</v>
      </c>
      <c r="AE984" t="b">
        <v>0</v>
      </c>
      <c r="AF984">
        <v>0</v>
      </c>
      <c r="AG984" s="78" t="s">
        <v>4640</v>
      </c>
      <c r="AH984" t="b">
        <v>0</v>
      </c>
      <c r="AI984" t="s">
        <v>4829</v>
      </c>
      <c r="AK984" s="78" t="s">
        <v>4640</v>
      </c>
      <c r="AL984" t="b">
        <v>0</v>
      </c>
      <c r="AM984">
        <v>0</v>
      </c>
      <c r="AN984" s="78" t="s">
        <v>4640</v>
      </c>
      <c r="AO984" s="78" t="s">
        <v>4849</v>
      </c>
      <c r="AP984" t="b">
        <v>0</v>
      </c>
      <c r="AQ984" s="78" t="s">
        <v>4247</v>
      </c>
      <c r="AR984" t="s">
        <v>179</v>
      </c>
      <c r="AS984">
        <v>0</v>
      </c>
      <c r="AT984">
        <v>0</v>
      </c>
    </row>
    <row r="985" spans="1:46" x14ac:dyDescent="0.45">
      <c r="A985" s="62" t="s">
        <v>327</v>
      </c>
      <c r="B985" s="62" t="s">
        <v>1215</v>
      </c>
      <c r="C985" s="63"/>
      <c r="D985" s="64"/>
      <c r="E985" s="65"/>
      <c r="F985" s="66"/>
      <c r="G985" s="63"/>
      <c r="H985" s="67"/>
      <c r="I985" s="68"/>
      <c r="J985" s="68"/>
      <c r="K985" s="32"/>
      <c r="L985" s="75"/>
      <c r="M985" s="75"/>
      <c r="N985" s="70"/>
      <c r="O985" t="s">
        <v>1568</v>
      </c>
      <c r="P985" s="76">
        <v>44839.570810185185</v>
      </c>
      <c r="Q985" t="s">
        <v>1674</v>
      </c>
      <c r="T985" s="78" t="s">
        <v>2328</v>
      </c>
      <c r="U985" s="77" t="str">
        <f>HYPERLINK("https://pbs.twimg.com/media/FeTzP87WYAAqenN.jpg")</f>
        <v>https://pbs.twimg.com/media/FeTzP87WYAAqenN.jpg</v>
      </c>
      <c r="V985" s="77" t="str">
        <f>HYPERLINK("https://pbs.twimg.com/media/FeTzP87WYAAqenN.jpg")</f>
        <v>https://pbs.twimg.com/media/FeTzP87WYAAqenN.jpg</v>
      </c>
      <c r="W985" s="76">
        <v>44839.570810185185</v>
      </c>
      <c r="X985" s="80">
        <v>44839</v>
      </c>
      <c r="Y985" s="78" t="s">
        <v>2544</v>
      </c>
      <c r="Z985" s="77" t="str">
        <f>HYPERLINK("https://twitter.com/thirdacademy_/status/1577655339046035456")</f>
        <v>https://twitter.com/thirdacademy_/status/1577655339046035456</v>
      </c>
      <c r="AC985" s="78" t="s">
        <v>3561</v>
      </c>
      <c r="AE985" t="b">
        <v>0</v>
      </c>
      <c r="AF985">
        <v>226</v>
      </c>
      <c r="AG985" s="78" t="s">
        <v>4640</v>
      </c>
      <c r="AH985" t="b">
        <v>0</v>
      </c>
      <c r="AI985" t="s">
        <v>4829</v>
      </c>
      <c r="AK985" s="78" t="s">
        <v>4640</v>
      </c>
      <c r="AL985" t="b">
        <v>0</v>
      </c>
      <c r="AM985">
        <v>29</v>
      </c>
      <c r="AN985" s="78" t="s">
        <v>4640</v>
      </c>
      <c r="AO985" s="78" t="s">
        <v>4851</v>
      </c>
      <c r="AP985" t="b">
        <v>0</v>
      </c>
      <c r="AQ985" s="78" t="s">
        <v>3561</v>
      </c>
      <c r="AR985" t="s">
        <v>1569</v>
      </c>
      <c r="AS985">
        <v>0</v>
      </c>
      <c r="AT985">
        <v>0</v>
      </c>
    </row>
    <row r="986" spans="1:46" x14ac:dyDescent="0.45">
      <c r="A986" s="62" t="s">
        <v>327</v>
      </c>
      <c r="B986" s="62" t="s">
        <v>242</v>
      </c>
      <c r="C986" s="63"/>
      <c r="D986" s="64"/>
      <c r="E986" s="65"/>
      <c r="F986" s="66"/>
      <c r="G986" s="63"/>
      <c r="H986" s="67"/>
      <c r="I986" s="68"/>
      <c r="J986" s="68"/>
      <c r="K986" s="32"/>
      <c r="L986" s="75"/>
      <c r="M986" s="75"/>
      <c r="N986" s="70"/>
      <c r="O986" t="s">
        <v>1568</v>
      </c>
      <c r="P986" s="76">
        <v>44839.570810185185</v>
      </c>
      <c r="Q986" t="s">
        <v>1674</v>
      </c>
      <c r="T986" s="78" t="s">
        <v>2328</v>
      </c>
      <c r="U986" s="77" t="str">
        <f>HYPERLINK("https://pbs.twimg.com/media/FeTzP87WYAAqenN.jpg")</f>
        <v>https://pbs.twimg.com/media/FeTzP87WYAAqenN.jpg</v>
      </c>
      <c r="V986" s="77" t="str">
        <f>HYPERLINK("https://pbs.twimg.com/media/FeTzP87WYAAqenN.jpg")</f>
        <v>https://pbs.twimg.com/media/FeTzP87WYAAqenN.jpg</v>
      </c>
      <c r="W986" s="76">
        <v>44839.570810185185</v>
      </c>
      <c r="X986" s="80">
        <v>44839</v>
      </c>
      <c r="Y986" s="78" t="s">
        <v>2544</v>
      </c>
      <c r="Z986" s="77" t="str">
        <f>HYPERLINK("https://twitter.com/thirdacademy_/status/1577655339046035456")</f>
        <v>https://twitter.com/thirdacademy_/status/1577655339046035456</v>
      </c>
      <c r="AC986" s="78" t="s">
        <v>3561</v>
      </c>
      <c r="AE986" t="b">
        <v>0</v>
      </c>
      <c r="AF986">
        <v>226</v>
      </c>
      <c r="AG986" s="78" t="s">
        <v>4640</v>
      </c>
      <c r="AH986" t="b">
        <v>0</v>
      </c>
      <c r="AI986" t="s">
        <v>4829</v>
      </c>
      <c r="AK986" s="78" t="s">
        <v>4640</v>
      </c>
      <c r="AL986" t="b">
        <v>0</v>
      </c>
      <c r="AM986">
        <v>29</v>
      </c>
      <c r="AN986" s="78" t="s">
        <v>4640</v>
      </c>
      <c r="AO986" s="78" t="s">
        <v>4851</v>
      </c>
      <c r="AP986" t="b">
        <v>0</v>
      </c>
      <c r="AQ986" s="78" t="s">
        <v>3561</v>
      </c>
      <c r="AR986" t="s">
        <v>1569</v>
      </c>
      <c r="AS986">
        <v>0</v>
      </c>
      <c r="AT986">
        <v>0</v>
      </c>
    </row>
    <row r="987" spans="1:46" x14ac:dyDescent="0.45">
      <c r="A987" s="62" t="s">
        <v>327</v>
      </c>
      <c r="B987" s="62" t="s">
        <v>1216</v>
      </c>
      <c r="C987" s="63"/>
      <c r="D987" s="64"/>
      <c r="E987" s="65"/>
      <c r="F987" s="66"/>
      <c r="G987" s="63"/>
      <c r="H987" s="67"/>
      <c r="I987" s="68"/>
      <c r="J987" s="68"/>
      <c r="K987" s="32"/>
      <c r="L987" s="75"/>
      <c r="M987" s="75"/>
      <c r="N987" s="70"/>
      <c r="O987" t="s">
        <v>1568</v>
      </c>
      <c r="P987" s="76">
        <v>44839.570810185185</v>
      </c>
      <c r="Q987" t="s">
        <v>1674</v>
      </c>
      <c r="T987" s="78" t="s">
        <v>2328</v>
      </c>
      <c r="U987" s="77" t="str">
        <f>HYPERLINK("https://pbs.twimg.com/media/FeTzP87WYAAqenN.jpg")</f>
        <v>https://pbs.twimg.com/media/FeTzP87WYAAqenN.jpg</v>
      </c>
      <c r="V987" s="77" t="str">
        <f>HYPERLINK("https://pbs.twimg.com/media/FeTzP87WYAAqenN.jpg")</f>
        <v>https://pbs.twimg.com/media/FeTzP87WYAAqenN.jpg</v>
      </c>
      <c r="W987" s="76">
        <v>44839.570810185185</v>
      </c>
      <c r="X987" s="80">
        <v>44839</v>
      </c>
      <c r="Y987" s="78" t="s">
        <v>2544</v>
      </c>
      <c r="Z987" s="77" t="str">
        <f>HYPERLINK("https://twitter.com/thirdacademy_/status/1577655339046035456")</f>
        <v>https://twitter.com/thirdacademy_/status/1577655339046035456</v>
      </c>
      <c r="AC987" s="78" t="s">
        <v>3561</v>
      </c>
      <c r="AE987" t="b">
        <v>0</v>
      </c>
      <c r="AF987">
        <v>226</v>
      </c>
      <c r="AG987" s="78" t="s">
        <v>4640</v>
      </c>
      <c r="AH987" t="b">
        <v>0</v>
      </c>
      <c r="AI987" t="s">
        <v>4829</v>
      </c>
      <c r="AK987" s="78" t="s">
        <v>4640</v>
      </c>
      <c r="AL987" t="b">
        <v>0</v>
      </c>
      <c r="AM987">
        <v>29</v>
      </c>
      <c r="AN987" s="78" t="s">
        <v>4640</v>
      </c>
      <c r="AO987" s="78" t="s">
        <v>4851</v>
      </c>
      <c r="AP987" t="b">
        <v>0</v>
      </c>
      <c r="AQ987" s="78" t="s">
        <v>3561</v>
      </c>
      <c r="AR987" t="s">
        <v>1569</v>
      </c>
      <c r="AS987">
        <v>0</v>
      </c>
      <c r="AT987">
        <v>0</v>
      </c>
    </row>
    <row r="988" spans="1:46" x14ac:dyDescent="0.45">
      <c r="A988" s="62" t="s">
        <v>328</v>
      </c>
      <c r="B988" s="62" t="s">
        <v>327</v>
      </c>
      <c r="C988" s="63"/>
      <c r="D988" s="64"/>
      <c r="E988" s="65"/>
      <c r="F988" s="66"/>
      <c r="G988" s="63"/>
      <c r="H988" s="67"/>
      <c r="I988" s="68"/>
      <c r="J988" s="68"/>
      <c r="K988" s="32"/>
      <c r="L988" s="75"/>
      <c r="M988" s="75"/>
      <c r="N988" s="70"/>
      <c r="O988" t="s">
        <v>1569</v>
      </c>
      <c r="P988" s="76">
        <v>44958.636261574073</v>
      </c>
      <c r="Q988" t="s">
        <v>1674</v>
      </c>
      <c r="T988" s="78" t="s">
        <v>2328</v>
      </c>
      <c r="U988" s="77" t="str">
        <f>HYPERLINK("https://pbs.twimg.com/media/FeTzP87WYAAqenN.jpg")</f>
        <v>https://pbs.twimg.com/media/FeTzP87WYAAqenN.jpg</v>
      </c>
      <c r="V988" s="77" t="str">
        <f>HYPERLINK("https://pbs.twimg.com/media/FeTzP87WYAAqenN.jpg")</f>
        <v>https://pbs.twimg.com/media/FeTzP87WYAAqenN.jpg</v>
      </c>
      <c r="W988" s="76">
        <v>44958.636261574073</v>
      </c>
      <c r="X988" s="80">
        <v>44958</v>
      </c>
      <c r="Y988" s="78" t="s">
        <v>2545</v>
      </c>
      <c r="Z988" s="77" t="str">
        <f>HYPERLINK("https://twitter.com/tententen1990/status/1620803210163388416")</f>
        <v>https://twitter.com/tententen1990/status/1620803210163388416</v>
      </c>
      <c r="AC988" s="78" t="s">
        <v>3562</v>
      </c>
      <c r="AE988" t="b">
        <v>0</v>
      </c>
      <c r="AF988">
        <v>0</v>
      </c>
      <c r="AG988" s="78" t="s">
        <v>4640</v>
      </c>
      <c r="AH988" t="b">
        <v>0</v>
      </c>
      <c r="AI988" t="s">
        <v>4829</v>
      </c>
      <c r="AK988" s="78" t="s">
        <v>4640</v>
      </c>
      <c r="AL988" t="b">
        <v>0</v>
      </c>
      <c r="AM988">
        <v>29</v>
      </c>
      <c r="AN988" s="78" t="s">
        <v>3561</v>
      </c>
      <c r="AO988" s="78" t="s">
        <v>4851</v>
      </c>
      <c r="AP988" t="b">
        <v>0</v>
      </c>
      <c r="AQ988" s="78" t="s">
        <v>3561</v>
      </c>
      <c r="AR988" t="s">
        <v>179</v>
      </c>
      <c r="AS988">
        <v>0</v>
      </c>
      <c r="AT988">
        <v>0</v>
      </c>
    </row>
    <row r="989" spans="1:46" x14ac:dyDescent="0.45">
      <c r="A989" s="62" t="s">
        <v>328</v>
      </c>
      <c r="B989" s="62" t="s">
        <v>1215</v>
      </c>
      <c r="C989" s="63"/>
      <c r="D989" s="64"/>
      <c r="E989" s="65"/>
      <c r="F989" s="66"/>
      <c r="G989" s="63"/>
      <c r="H989" s="67"/>
      <c r="I989" s="68"/>
      <c r="J989" s="68"/>
      <c r="K989" s="32"/>
      <c r="L989" s="75"/>
      <c r="M989" s="75"/>
      <c r="N989" s="70"/>
      <c r="O989" t="s">
        <v>1570</v>
      </c>
      <c r="P989" s="76">
        <v>44958.636261574073</v>
      </c>
      <c r="Q989" t="s">
        <v>1674</v>
      </c>
      <c r="T989" s="78" t="s">
        <v>2328</v>
      </c>
      <c r="U989" s="77" t="str">
        <f>HYPERLINK("https://pbs.twimg.com/media/FeTzP87WYAAqenN.jpg")</f>
        <v>https://pbs.twimg.com/media/FeTzP87WYAAqenN.jpg</v>
      </c>
      <c r="V989" s="77" t="str">
        <f>HYPERLINK("https://pbs.twimg.com/media/FeTzP87WYAAqenN.jpg")</f>
        <v>https://pbs.twimg.com/media/FeTzP87WYAAqenN.jpg</v>
      </c>
      <c r="W989" s="76">
        <v>44958.636261574073</v>
      </c>
      <c r="X989" s="80">
        <v>44958</v>
      </c>
      <c r="Y989" s="78" t="s">
        <v>2545</v>
      </c>
      <c r="Z989" s="77" t="str">
        <f>HYPERLINK("https://twitter.com/tententen1990/status/1620803210163388416")</f>
        <v>https://twitter.com/tententen1990/status/1620803210163388416</v>
      </c>
      <c r="AC989" s="78" t="s">
        <v>3562</v>
      </c>
      <c r="AE989" t="b">
        <v>0</v>
      </c>
      <c r="AF989">
        <v>0</v>
      </c>
      <c r="AG989" s="78" t="s">
        <v>4640</v>
      </c>
      <c r="AH989" t="b">
        <v>0</v>
      </c>
      <c r="AI989" t="s">
        <v>4829</v>
      </c>
      <c r="AK989" s="78" t="s">
        <v>4640</v>
      </c>
      <c r="AL989" t="b">
        <v>0</v>
      </c>
      <c r="AM989">
        <v>29</v>
      </c>
      <c r="AN989" s="78" t="s">
        <v>3561</v>
      </c>
      <c r="AO989" s="78" t="s">
        <v>4851</v>
      </c>
      <c r="AP989" t="b">
        <v>0</v>
      </c>
      <c r="AQ989" s="78" t="s">
        <v>3561</v>
      </c>
      <c r="AR989" t="s">
        <v>179</v>
      </c>
      <c r="AS989">
        <v>0</v>
      </c>
      <c r="AT989">
        <v>0</v>
      </c>
    </row>
    <row r="990" spans="1:46" x14ac:dyDescent="0.45">
      <c r="A990" s="62" t="s">
        <v>328</v>
      </c>
      <c r="B990" s="62" t="s">
        <v>242</v>
      </c>
      <c r="C990" s="63"/>
      <c r="D990" s="64"/>
      <c r="E990" s="65"/>
      <c r="F990" s="66"/>
      <c r="G990" s="63"/>
      <c r="H990" s="67"/>
      <c r="I990" s="68"/>
      <c r="J990" s="68"/>
      <c r="K990" s="32"/>
      <c r="L990" s="75"/>
      <c r="M990" s="75"/>
      <c r="N990" s="70"/>
      <c r="O990" t="s">
        <v>1570</v>
      </c>
      <c r="P990" s="76">
        <v>44958.636261574073</v>
      </c>
      <c r="Q990" t="s">
        <v>1674</v>
      </c>
      <c r="T990" s="78" t="s">
        <v>2328</v>
      </c>
      <c r="U990" s="77" t="str">
        <f>HYPERLINK("https://pbs.twimg.com/media/FeTzP87WYAAqenN.jpg")</f>
        <v>https://pbs.twimg.com/media/FeTzP87WYAAqenN.jpg</v>
      </c>
      <c r="V990" s="77" t="str">
        <f>HYPERLINK("https://pbs.twimg.com/media/FeTzP87WYAAqenN.jpg")</f>
        <v>https://pbs.twimg.com/media/FeTzP87WYAAqenN.jpg</v>
      </c>
      <c r="W990" s="76">
        <v>44958.636261574073</v>
      </c>
      <c r="X990" s="80">
        <v>44958</v>
      </c>
      <c r="Y990" s="78" t="s">
        <v>2545</v>
      </c>
      <c r="Z990" s="77" t="str">
        <f>HYPERLINK("https://twitter.com/tententen1990/status/1620803210163388416")</f>
        <v>https://twitter.com/tententen1990/status/1620803210163388416</v>
      </c>
      <c r="AC990" s="78" t="s">
        <v>3562</v>
      </c>
      <c r="AE990" t="b">
        <v>0</v>
      </c>
      <c r="AF990">
        <v>0</v>
      </c>
      <c r="AG990" s="78" t="s">
        <v>4640</v>
      </c>
      <c r="AH990" t="b">
        <v>0</v>
      </c>
      <c r="AI990" t="s">
        <v>4829</v>
      </c>
      <c r="AK990" s="78" t="s">
        <v>4640</v>
      </c>
      <c r="AL990" t="b">
        <v>0</v>
      </c>
      <c r="AM990">
        <v>29</v>
      </c>
      <c r="AN990" s="78" t="s">
        <v>3561</v>
      </c>
      <c r="AO990" s="78" t="s">
        <v>4851</v>
      </c>
      <c r="AP990" t="b">
        <v>0</v>
      </c>
      <c r="AQ990" s="78" t="s">
        <v>3561</v>
      </c>
      <c r="AR990" t="s">
        <v>179</v>
      </c>
      <c r="AS990">
        <v>0</v>
      </c>
      <c r="AT990">
        <v>0</v>
      </c>
    </row>
    <row r="991" spans="1:46" x14ac:dyDescent="0.45">
      <c r="A991" s="62" t="s">
        <v>328</v>
      </c>
      <c r="B991" s="62" t="s">
        <v>1216</v>
      </c>
      <c r="C991" s="63"/>
      <c r="D991" s="64"/>
      <c r="E991" s="65"/>
      <c r="F991" s="66"/>
      <c r="G991" s="63"/>
      <c r="H991" s="67"/>
      <c r="I991" s="68"/>
      <c r="J991" s="68"/>
      <c r="K991" s="32"/>
      <c r="L991" s="75"/>
      <c r="M991" s="75"/>
      <c r="N991" s="70"/>
      <c r="O991" t="s">
        <v>1570</v>
      </c>
      <c r="P991" s="76">
        <v>44958.636261574073</v>
      </c>
      <c r="Q991" t="s">
        <v>1674</v>
      </c>
      <c r="T991" s="78" t="s">
        <v>2328</v>
      </c>
      <c r="U991" s="77" t="str">
        <f>HYPERLINK("https://pbs.twimg.com/media/FeTzP87WYAAqenN.jpg")</f>
        <v>https://pbs.twimg.com/media/FeTzP87WYAAqenN.jpg</v>
      </c>
      <c r="V991" s="77" t="str">
        <f>HYPERLINK("https://pbs.twimg.com/media/FeTzP87WYAAqenN.jpg")</f>
        <v>https://pbs.twimg.com/media/FeTzP87WYAAqenN.jpg</v>
      </c>
      <c r="W991" s="76">
        <v>44958.636261574073</v>
      </c>
      <c r="X991" s="80">
        <v>44958</v>
      </c>
      <c r="Y991" s="78" t="s">
        <v>2545</v>
      </c>
      <c r="Z991" s="77" t="str">
        <f>HYPERLINK("https://twitter.com/tententen1990/status/1620803210163388416")</f>
        <v>https://twitter.com/tententen1990/status/1620803210163388416</v>
      </c>
      <c r="AC991" s="78" t="s">
        <v>3562</v>
      </c>
      <c r="AE991" t="b">
        <v>0</v>
      </c>
      <c r="AF991">
        <v>0</v>
      </c>
      <c r="AG991" s="78" t="s">
        <v>4640</v>
      </c>
      <c r="AH991" t="b">
        <v>0</v>
      </c>
      <c r="AI991" t="s">
        <v>4829</v>
      </c>
      <c r="AK991" s="78" t="s">
        <v>4640</v>
      </c>
      <c r="AL991" t="b">
        <v>0</v>
      </c>
      <c r="AM991">
        <v>29</v>
      </c>
      <c r="AN991" s="78" t="s">
        <v>3561</v>
      </c>
      <c r="AO991" s="78" t="s">
        <v>4851</v>
      </c>
      <c r="AP991" t="b">
        <v>0</v>
      </c>
      <c r="AQ991" s="78" t="s">
        <v>3561</v>
      </c>
      <c r="AR991" t="s">
        <v>179</v>
      </c>
      <c r="AS991">
        <v>0</v>
      </c>
      <c r="AT991">
        <v>0</v>
      </c>
    </row>
    <row r="992" spans="1:46" x14ac:dyDescent="0.45">
      <c r="A992" s="62" t="s">
        <v>765</v>
      </c>
      <c r="B992" s="62" t="s">
        <v>242</v>
      </c>
      <c r="C992" s="63"/>
      <c r="D992" s="64"/>
      <c r="E992" s="65"/>
      <c r="F992" s="66"/>
      <c r="G992" s="63"/>
      <c r="H992" s="67"/>
      <c r="I992" s="68"/>
      <c r="J992" s="68"/>
      <c r="K992" s="32"/>
      <c r="L992" s="75"/>
      <c r="M992" s="75"/>
      <c r="N992" s="70"/>
      <c r="O992" t="s">
        <v>1568</v>
      </c>
      <c r="P992" s="76">
        <v>44858.334733796299</v>
      </c>
      <c r="Q992" t="s">
        <v>1591</v>
      </c>
      <c r="T992" s="78" t="s">
        <v>2313</v>
      </c>
      <c r="U992" s="77" t="str">
        <f>HYPERLINK("https://pbs.twimg.com/media/Ff0dkMsWQAIbfFf.jpg")</f>
        <v>https://pbs.twimg.com/media/Ff0dkMsWQAIbfFf.jpg</v>
      </c>
      <c r="V992" s="77" t="str">
        <f>HYPERLINK("https://pbs.twimg.com/media/Ff0dkMsWQAIbfFf.jpg")</f>
        <v>https://pbs.twimg.com/media/Ff0dkMsWQAIbfFf.jpg</v>
      </c>
      <c r="W992" s="76">
        <v>44858.334733796299</v>
      </c>
      <c r="X992" s="80">
        <v>44858</v>
      </c>
      <c r="Y992" s="78" t="s">
        <v>2986</v>
      </c>
      <c r="Z992" s="77" t="str">
        <f>HYPERLINK("https://twitter.com/okx/status/1584455154484379648")</f>
        <v>https://twitter.com/okx/status/1584455154484379648</v>
      </c>
      <c r="AC992" s="78" t="s">
        <v>4051</v>
      </c>
      <c r="AE992" t="b">
        <v>0</v>
      </c>
      <c r="AF992">
        <v>69</v>
      </c>
      <c r="AG992" s="78" t="s">
        <v>4640</v>
      </c>
      <c r="AH992" t="b">
        <v>0</v>
      </c>
      <c r="AI992" t="s">
        <v>4829</v>
      </c>
      <c r="AK992" s="78" t="s">
        <v>4640</v>
      </c>
      <c r="AL992" t="b">
        <v>0</v>
      </c>
      <c r="AM992">
        <v>105</v>
      </c>
      <c r="AN992" s="78" t="s">
        <v>4640</v>
      </c>
      <c r="AO992" s="78" t="s">
        <v>4865</v>
      </c>
      <c r="AP992" t="b">
        <v>0</v>
      </c>
      <c r="AQ992" s="78" t="s">
        <v>4051</v>
      </c>
      <c r="AR992" t="s">
        <v>1569</v>
      </c>
      <c r="AS992">
        <v>0</v>
      </c>
      <c r="AT992">
        <v>0</v>
      </c>
    </row>
    <row r="993" spans="1:46" x14ac:dyDescent="0.45">
      <c r="A993" s="62" t="s">
        <v>239</v>
      </c>
      <c r="B993" s="62" t="s">
        <v>242</v>
      </c>
      <c r="C993" s="63"/>
      <c r="D993" s="64"/>
      <c r="E993" s="65"/>
      <c r="F993" s="66"/>
      <c r="G993" s="63"/>
      <c r="H993" s="67"/>
      <c r="I993" s="68"/>
      <c r="J993" s="68"/>
      <c r="K993" s="32"/>
      <c r="L993" s="75"/>
      <c r="M993" s="75"/>
      <c r="N993" s="70"/>
      <c r="O993" t="s">
        <v>1570</v>
      </c>
      <c r="P993" s="76">
        <v>44958.352430555555</v>
      </c>
      <c r="Q993" t="s">
        <v>1591</v>
      </c>
      <c r="T993" s="78" t="s">
        <v>2313</v>
      </c>
      <c r="U993" s="77" t="str">
        <f>HYPERLINK("https://pbs.twimg.com/media/Ff0dkMsWQAIbfFf.jpg")</f>
        <v>https://pbs.twimg.com/media/Ff0dkMsWQAIbfFf.jpg</v>
      </c>
      <c r="V993" s="77" t="str">
        <f>HYPERLINK("https://pbs.twimg.com/media/Ff0dkMsWQAIbfFf.jpg")</f>
        <v>https://pbs.twimg.com/media/Ff0dkMsWQAIbfFf.jpg</v>
      </c>
      <c r="W993" s="76">
        <v>44958.352430555555</v>
      </c>
      <c r="X993" s="80">
        <v>44958</v>
      </c>
      <c r="Y993" s="78" t="s">
        <v>2443</v>
      </c>
      <c r="Z993" s="77" t="str">
        <f>HYPERLINK("https://twitter.com/ranareno20/status/1620700353397153792")</f>
        <v>https://twitter.com/ranareno20/status/1620700353397153792</v>
      </c>
      <c r="AC993" s="78" t="s">
        <v>3458</v>
      </c>
      <c r="AE993" t="b">
        <v>0</v>
      </c>
      <c r="AF993">
        <v>0</v>
      </c>
      <c r="AG993" s="78" t="s">
        <v>4640</v>
      </c>
      <c r="AH993" t="b">
        <v>0</v>
      </c>
      <c r="AI993" t="s">
        <v>4829</v>
      </c>
      <c r="AK993" s="78" t="s">
        <v>4640</v>
      </c>
      <c r="AL993" t="b">
        <v>0</v>
      </c>
      <c r="AM993">
        <v>105</v>
      </c>
      <c r="AN993" s="78" t="s">
        <v>4051</v>
      </c>
      <c r="AO993" s="78" t="s">
        <v>4851</v>
      </c>
      <c r="AP993" t="b">
        <v>0</v>
      </c>
      <c r="AQ993" s="78" t="s">
        <v>4051</v>
      </c>
      <c r="AR993" t="s">
        <v>179</v>
      </c>
      <c r="AS993">
        <v>0</v>
      </c>
      <c r="AT993">
        <v>0</v>
      </c>
    </row>
    <row r="994" spans="1:46" x14ac:dyDescent="0.45">
      <c r="A994" s="62" t="s">
        <v>239</v>
      </c>
      <c r="B994" s="62" t="s">
        <v>765</v>
      </c>
      <c r="C994" s="63"/>
      <c r="D994" s="64"/>
      <c r="E994" s="65"/>
      <c r="F994" s="66"/>
      <c r="G994" s="63"/>
      <c r="H994" s="67"/>
      <c r="I994" s="68"/>
      <c r="J994" s="68"/>
      <c r="K994" s="32"/>
      <c r="L994" s="75"/>
      <c r="M994" s="75"/>
      <c r="N994" s="70"/>
      <c r="O994" t="s">
        <v>1569</v>
      </c>
      <c r="P994" s="76">
        <v>44958.352430555555</v>
      </c>
      <c r="Q994" t="s">
        <v>1591</v>
      </c>
      <c r="T994" s="78" t="s">
        <v>2313</v>
      </c>
      <c r="U994" s="77" t="str">
        <f>HYPERLINK("https://pbs.twimg.com/media/Ff0dkMsWQAIbfFf.jpg")</f>
        <v>https://pbs.twimg.com/media/Ff0dkMsWQAIbfFf.jpg</v>
      </c>
      <c r="V994" s="77" t="str">
        <f>HYPERLINK("https://pbs.twimg.com/media/Ff0dkMsWQAIbfFf.jpg")</f>
        <v>https://pbs.twimg.com/media/Ff0dkMsWQAIbfFf.jpg</v>
      </c>
      <c r="W994" s="76">
        <v>44958.352430555555</v>
      </c>
      <c r="X994" s="80">
        <v>44958</v>
      </c>
      <c r="Y994" s="78" t="s">
        <v>2443</v>
      </c>
      <c r="Z994" s="77" t="str">
        <f>HYPERLINK("https://twitter.com/ranareno20/status/1620700353397153792")</f>
        <v>https://twitter.com/ranareno20/status/1620700353397153792</v>
      </c>
      <c r="AC994" s="78" t="s">
        <v>3458</v>
      </c>
      <c r="AE994" t="b">
        <v>0</v>
      </c>
      <c r="AF994">
        <v>0</v>
      </c>
      <c r="AG994" s="78" t="s">
        <v>4640</v>
      </c>
      <c r="AH994" t="b">
        <v>0</v>
      </c>
      <c r="AI994" t="s">
        <v>4829</v>
      </c>
      <c r="AK994" s="78" t="s">
        <v>4640</v>
      </c>
      <c r="AL994" t="b">
        <v>0</v>
      </c>
      <c r="AM994">
        <v>105</v>
      </c>
      <c r="AN994" s="78" t="s">
        <v>4051</v>
      </c>
      <c r="AO994" s="78" t="s">
        <v>4851</v>
      </c>
      <c r="AP994" t="b">
        <v>0</v>
      </c>
      <c r="AQ994" s="78" t="s">
        <v>4051</v>
      </c>
      <c r="AR994" t="s">
        <v>179</v>
      </c>
      <c r="AS994">
        <v>0</v>
      </c>
      <c r="AT994">
        <v>0</v>
      </c>
    </row>
    <row r="995" spans="1:46" x14ac:dyDescent="0.45">
      <c r="A995" s="62" t="s">
        <v>241</v>
      </c>
      <c r="B995" s="62" t="s">
        <v>242</v>
      </c>
      <c r="C995" s="63"/>
      <c r="D995" s="64"/>
      <c r="E995" s="65"/>
      <c r="F995" s="66"/>
      <c r="G995" s="63"/>
      <c r="H995" s="67"/>
      <c r="I995" s="68"/>
      <c r="J995" s="68"/>
      <c r="K995" s="32"/>
      <c r="L995" s="75"/>
      <c r="M995" s="75"/>
      <c r="N995" s="70"/>
      <c r="O995" t="s">
        <v>1570</v>
      </c>
      <c r="P995" s="76">
        <v>44958.377129629633</v>
      </c>
      <c r="Q995" t="s">
        <v>1591</v>
      </c>
      <c r="T995" s="78" t="s">
        <v>2313</v>
      </c>
      <c r="U995" s="77" t="str">
        <f>HYPERLINK("https://pbs.twimg.com/media/Ff0dkMsWQAIbfFf.jpg")</f>
        <v>https://pbs.twimg.com/media/Ff0dkMsWQAIbfFf.jpg</v>
      </c>
      <c r="V995" s="77" t="str">
        <f>HYPERLINK("https://pbs.twimg.com/media/Ff0dkMsWQAIbfFf.jpg")</f>
        <v>https://pbs.twimg.com/media/Ff0dkMsWQAIbfFf.jpg</v>
      </c>
      <c r="W995" s="76">
        <v>44958.377129629633</v>
      </c>
      <c r="X995" s="80">
        <v>44958</v>
      </c>
      <c r="Y995" s="78" t="s">
        <v>2445</v>
      </c>
      <c r="Z995" s="77" t="str">
        <f>HYPERLINK("https://twitter.com/bobbik8/status/1620709307049189378")</f>
        <v>https://twitter.com/bobbik8/status/1620709307049189378</v>
      </c>
      <c r="AC995" s="78" t="s">
        <v>3460</v>
      </c>
      <c r="AE995" t="b">
        <v>0</v>
      </c>
      <c r="AF995">
        <v>0</v>
      </c>
      <c r="AG995" s="78" t="s">
        <v>4640</v>
      </c>
      <c r="AH995" t="b">
        <v>0</v>
      </c>
      <c r="AI995" t="s">
        <v>4829</v>
      </c>
      <c r="AK995" s="78" t="s">
        <v>4640</v>
      </c>
      <c r="AL995" t="b">
        <v>0</v>
      </c>
      <c r="AM995">
        <v>105</v>
      </c>
      <c r="AN995" s="78" t="s">
        <v>4051</v>
      </c>
      <c r="AO995" s="78" t="s">
        <v>4851</v>
      </c>
      <c r="AP995" t="b">
        <v>0</v>
      </c>
      <c r="AQ995" s="78" t="s">
        <v>4051</v>
      </c>
      <c r="AR995" t="s">
        <v>179</v>
      </c>
      <c r="AS995">
        <v>0</v>
      </c>
      <c r="AT995">
        <v>0</v>
      </c>
    </row>
    <row r="996" spans="1:46" x14ac:dyDescent="0.45">
      <c r="A996" s="62" t="s">
        <v>241</v>
      </c>
      <c r="B996" s="62" t="s">
        <v>765</v>
      </c>
      <c r="C996" s="63"/>
      <c r="D996" s="64"/>
      <c r="E996" s="65"/>
      <c r="F996" s="66"/>
      <c r="G996" s="63"/>
      <c r="H996" s="67"/>
      <c r="I996" s="68"/>
      <c r="J996" s="68"/>
      <c r="K996" s="32"/>
      <c r="L996" s="75"/>
      <c r="M996" s="75"/>
      <c r="N996" s="70"/>
      <c r="O996" t="s">
        <v>1569</v>
      </c>
      <c r="P996" s="76">
        <v>44958.377129629633</v>
      </c>
      <c r="Q996" t="s">
        <v>1591</v>
      </c>
      <c r="T996" s="78" t="s">
        <v>2313</v>
      </c>
      <c r="U996" s="77" t="str">
        <f>HYPERLINK("https://pbs.twimg.com/media/Ff0dkMsWQAIbfFf.jpg")</f>
        <v>https://pbs.twimg.com/media/Ff0dkMsWQAIbfFf.jpg</v>
      </c>
      <c r="V996" s="77" t="str">
        <f>HYPERLINK("https://pbs.twimg.com/media/Ff0dkMsWQAIbfFf.jpg")</f>
        <v>https://pbs.twimg.com/media/Ff0dkMsWQAIbfFf.jpg</v>
      </c>
      <c r="W996" s="76">
        <v>44958.377129629633</v>
      </c>
      <c r="X996" s="80">
        <v>44958</v>
      </c>
      <c r="Y996" s="78" t="s">
        <v>2445</v>
      </c>
      <c r="Z996" s="77" t="str">
        <f>HYPERLINK("https://twitter.com/bobbik8/status/1620709307049189378")</f>
        <v>https://twitter.com/bobbik8/status/1620709307049189378</v>
      </c>
      <c r="AC996" s="78" t="s">
        <v>3460</v>
      </c>
      <c r="AE996" t="b">
        <v>0</v>
      </c>
      <c r="AF996">
        <v>0</v>
      </c>
      <c r="AG996" s="78" t="s">
        <v>4640</v>
      </c>
      <c r="AH996" t="b">
        <v>0</v>
      </c>
      <c r="AI996" t="s">
        <v>4829</v>
      </c>
      <c r="AK996" s="78" t="s">
        <v>4640</v>
      </c>
      <c r="AL996" t="b">
        <v>0</v>
      </c>
      <c r="AM996">
        <v>105</v>
      </c>
      <c r="AN996" s="78" t="s">
        <v>4051</v>
      </c>
      <c r="AO996" s="78" t="s">
        <v>4851</v>
      </c>
      <c r="AP996" t="b">
        <v>0</v>
      </c>
      <c r="AQ996" s="78" t="s">
        <v>4051</v>
      </c>
      <c r="AR996" t="s">
        <v>179</v>
      </c>
      <c r="AS996">
        <v>0</v>
      </c>
      <c r="AT996">
        <v>0</v>
      </c>
    </row>
    <row r="997" spans="1:46" x14ac:dyDescent="0.45">
      <c r="A997" s="62" t="s">
        <v>249</v>
      </c>
      <c r="B997" s="62" t="s">
        <v>242</v>
      </c>
      <c r="C997" s="63"/>
      <c r="D997" s="64"/>
      <c r="E997" s="65"/>
      <c r="F997" s="66"/>
      <c r="G997" s="63"/>
      <c r="H997" s="67"/>
      <c r="I997" s="68"/>
      <c r="J997" s="68"/>
      <c r="K997" s="32"/>
      <c r="L997" s="75"/>
      <c r="M997" s="75"/>
      <c r="N997" s="70"/>
      <c r="O997" t="s">
        <v>1570</v>
      </c>
      <c r="P997" s="76">
        <v>44958.425763888888</v>
      </c>
      <c r="Q997" t="s">
        <v>1591</v>
      </c>
      <c r="T997" s="78" t="s">
        <v>2313</v>
      </c>
      <c r="U997" s="77" t="str">
        <f>HYPERLINK("https://pbs.twimg.com/media/Ff0dkMsWQAIbfFf.jpg")</f>
        <v>https://pbs.twimg.com/media/Ff0dkMsWQAIbfFf.jpg</v>
      </c>
      <c r="V997" s="77" t="str">
        <f>HYPERLINK("https://pbs.twimg.com/media/Ff0dkMsWQAIbfFf.jpg")</f>
        <v>https://pbs.twimg.com/media/Ff0dkMsWQAIbfFf.jpg</v>
      </c>
      <c r="W997" s="76">
        <v>44958.425763888888</v>
      </c>
      <c r="X997" s="80">
        <v>44958</v>
      </c>
      <c r="Y997" s="78" t="s">
        <v>2454</v>
      </c>
      <c r="Z997" s="77" t="str">
        <f>HYPERLINK("https://twitter.com/mamnga2/status/1620726930428362752")</f>
        <v>https://twitter.com/mamnga2/status/1620726930428362752</v>
      </c>
      <c r="AC997" s="78" t="s">
        <v>3469</v>
      </c>
      <c r="AE997" t="b">
        <v>0</v>
      </c>
      <c r="AF997">
        <v>0</v>
      </c>
      <c r="AG997" s="78" t="s">
        <v>4640</v>
      </c>
      <c r="AH997" t="b">
        <v>0</v>
      </c>
      <c r="AI997" t="s">
        <v>4829</v>
      </c>
      <c r="AK997" s="78" t="s">
        <v>4640</v>
      </c>
      <c r="AL997" t="b">
        <v>0</v>
      </c>
      <c r="AM997">
        <v>105</v>
      </c>
      <c r="AN997" s="78" t="s">
        <v>4051</v>
      </c>
      <c r="AO997" s="78" t="s">
        <v>4851</v>
      </c>
      <c r="AP997" t="b">
        <v>0</v>
      </c>
      <c r="AQ997" s="78" t="s">
        <v>4051</v>
      </c>
      <c r="AR997" t="s">
        <v>179</v>
      </c>
      <c r="AS997">
        <v>0</v>
      </c>
      <c r="AT997">
        <v>0</v>
      </c>
    </row>
    <row r="998" spans="1:46" x14ac:dyDescent="0.45">
      <c r="A998" s="62" t="s">
        <v>249</v>
      </c>
      <c r="B998" s="62" t="s">
        <v>765</v>
      </c>
      <c r="C998" s="63"/>
      <c r="D998" s="64"/>
      <c r="E998" s="65"/>
      <c r="F998" s="66"/>
      <c r="G998" s="63"/>
      <c r="H998" s="67"/>
      <c r="I998" s="68"/>
      <c r="J998" s="68"/>
      <c r="K998" s="32"/>
      <c r="L998" s="75"/>
      <c r="M998" s="75"/>
      <c r="N998" s="70"/>
      <c r="O998" t="s">
        <v>1569</v>
      </c>
      <c r="P998" s="76">
        <v>44958.425763888888</v>
      </c>
      <c r="Q998" t="s">
        <v>1591</v>
      </c>
      <c r="T998" s="78" t="s">
        <v>2313</v>
      </c>
      <c r="U998" s="77" t="str">
        <f>HYPERLINK("https://pbs.twimg.com/media/Ff0dkMsWQAIbfFf.jpg")</f>
        <v>https://pbs.twimg.com/media/Ff0dkMsWQAIbfFf.jpg</v>
      </c>
      <c r="V998" s="77" t="str">
        <f>HYPERLINK("https://pbs.twimg.com/media/Ff0dkMsWQAIbfFf.jpg")</f>
        <v>https://pbs.twimg.com/media/Ff0dkMsWQAIbfFf.jpg</v>
      </c>
      <c r="W998" s="76">
        <v>44958.425763888888</v>
      </c>
      <c r="X998" s="80">
        <v>44958</v>
      </c>
      <c r="Y998" s="78" t="s">
        <v>2454</v>
      </c>
      <c r="Z998" s="77" t="str">
        <f>HYPERLINK("https://twitter.com/mamnga2/status/1620726930428362752")</f>
        <v>https://twitter.com/mamnga2/status/1620726930428362752</v>
      </c>
      <c r="AC998" s="78" t="s">
        <v>3469</v>
      </c>
      <c r="AE998" t="b">
        <v>0</v>
      </c>
      <c r="AF998">
        <v>0</v>
      </c>
      <c r="AG998" s="78" t="s">
        <v>4640</v>
      </c>
      <c r="AH998" t="b">
        <v>0</v>
      </c>
      <c r="AI998" t="s">
        <v>4829</v>
      </c>
      <c r="AK998" s="78" t="s">
        <v>4640</v>
      </c>
      <c r="AL998" t="b">
        <v>0</v>
      </c>
      <c r="AM998">
        <v>105</v>
      </c>
      <c r="AN998" s="78" t="s">
        <v>4051</v>
      </c>
      <c r="AO998" s="78" t="s">
        <v>4851</v>
      </c>
      <c r="AP998" t="b">
        <v>0</v>
      </c>
      <c r="AQ998" s="78" t="s">
        <v>4051</v>
      </c>
      <c r="AR998" t="s">
        <v>179</v>
      </c>
      <c r="AS998">
        <v>0</v>
      </c>
      <c r="AT998">
        <v>0</v>
      </c>
    </row>
    <row r="999" spans="1:46" x14ac:dyDescent="0.45">
      <c r="A999" s="62" t="s">
        <v>256</v>
      </c>
      <c r="B999" s="62" t="s">
        <v>242</v>
      </c>
      <c r="C999" s="63"/>
      <c r="D999" s="64"/>
      <c r="E999" s="65"/>
      <c r="F999" s="66"/>
      <c r="G999" s="63"/>
      <c r="H999" s="67"/>
      <c r="I999" s="68"/>
      <c r="J999" s="68"/>
      <c r="K999" s="32"/>
      <c r="L999" s="75"/>
      <c r="M999" s="75"/>
      <c r="N999" s="70"/>
      <c r="O999" t="s">
        <v>1570</v>
      </c>
      <c r="P999" s="76">
        <v>44958.455960648149</v>
      </c>
      <c r="Q999" t="s">
        <v>1591</v>
      </c>
      <c r="T999" s="78" t="s">
        <v>2313</v>
      </c>
      <c r="U999" s="77" t="str">
        <f>HYPERLINK("https://pbs.twimg.com/media/Ff0dkMsWQAIbfFf.jpg")</f>
        <v>https://pbs.twimg.com/media/Ff0dkMsWQAIbfFf.jpg</v>
      </c>
      <c r="V999" s="77" t="str">
        <f>HYPERLINK("https://pbs.twimg.com/media/Ff0dkMsWQAIbfFf.jpg")</f>
        <v>https://pbs.twimg.com/media/Ff0dkMsWQAIbfFf.jpg</v>
      </c>
      <c r="W999" s="76">
        <v>44958.455960648149</v>
      </c>
      <c r="X999" s="80">
        <v>44958</v>
      </c>
      <c r="Y999" s="78" t="s">
        <v>2462</v>
      </c>
      <c r="Z999" s="77" t="str">
        <f>HYPERLINK("https://twitter.com/1900_dilara/status/1620737874197987330")</f>
        <v>https://twitter.com/1900_dilara/status/1620737874197987330</v>
      </c>
      <c r="AC999" s="78" t="s">
        <v>3477</v>
      </c>
      <c r="AE999" t="b">
        <v>0</v>
      </c>
      <c r="AF999">
        <v>0</v>
      </c>
      <c r="AG999" s="78" t="s">
        <v>4640</v>
      </c>
      <c r="AH999" t="b">
        <v>0</v>
      </c>
      <c r="AI999" t="s">
        <v>4829</v>
      </c>
      <c r="AK999" s="78" t="s">
        <v>4640</v>
      </c>
      <c r="AL999" t="b">
        <v>0</v>
      </c>
      <c r="AM999">
        <v>105</v>
      </c>
      <c r="AN999" s="78" t="s">
        <v>4051</v>
      </c>
      <c r="AO999" s="78" t="s">
        <v>4851</v>
      </c>
      <c r="AP999" t="b">
        <v>0</v>
      </c>
      <c r="AQ999" s="78" t="s">
        <v>4051</v>
      </c>
      <c r="AR999" t="s">
        <v>179</v>
      </c>
      <c r="AS999">
        <v>0</v>
      </c>
      <c r="AT999">
        <v>0</v>
      </c>
    </row>
    <row r="1000" spans="1:46" x14ac:dyDescent="0.45">
      <c r="A1000" s="62" t="s">
        <v>256</v>
      </c>
      <c r="B1000" s="62" t="s">
        <v>765</v>
      </c>
      <c r="C1000" s="63"/>
      <c r="D1000" s="64"/>
      <c r="E1000" s="65"/>
      <c r="F1000" s="66"/>
      <c r="G1000" s="63"/>
      <c r="H1000" s="67"/>
      <c r="I1000" s="68"/>
      <c r="J1000" s="68"/>
      <c r="K1000" s="32"/>
      <c r="L1000" s="75"/>
      <c r="M1000" s="75"/>
      <c r="N1000" s="70"/>
      <c r="O1000" t="s">
        <v>1569</v>
      </c>
      <c r="P1000" s="76">
        <v>44958.455960648149</v>
      </c>
      <c r="Q1000" t="s">
        <v>1591</v>
      </c>
      <c r="T1000" s="78" t="s">
        <v>2313</v>
      </c>
      <c r="U1000" s="77" t="str">
        <f>HYPERLINK("https://pbs.twimg.com/media/Ff0dkMsWQAIbfFf.jpg")</f>
        <v>https://pbs.twimg.com/media/Ff0dkMsWQAIbfFf.jpg</v>
      </c>
      <c r="V1000" s="77" t="str">
        <f>HYPERLINK("https://pbs.twimg.com/media/Ff0dkMsWQAIbfFf.jpg")</f>
        <v>https://pbs.twimg.com/media/Ff0dkMsWQAIbfFf.jpg</v>
      </c>
      <c r="W1000" s="76">
        <v>44958.455960648149</v>
      </c>
      <c r="X1000" s="80">
        <v>44958</v>
      </c>
      <c r="Y1000" s="78" t="s">
        <v>2462</v>
      </c>
      <c r="Z1000" s="77" t="str">
        <f>HYPERLINK("https://twitter.com/1900_dilara/status/1620737874197987330")</f>
        <v>https://twitter.com/1900_dilara/status/1620737874197987330</v>
      </c>
      <c r="AC1000" s="78" t="s">
        <v>3477</v>
      </c>
      <c r="AE1000" t="b">
        <v>0</v>
      </c>
      <c r="AF1000">
        <v>0</v>
      </c>
      <c r="AG1000" s="78" t="s">
        <v>4640</v>
      </c>
      <c r="AH1000" t="b">
        <v>0</v>
      </c>
      <c r="AI1000" t="s">
        <v>4829</v>
      </c>
      <c r="AK1000" s="78" t="s">
        <v>4640</v>
      </c>
      <c r="AL1000" t="b">
        <v>0</v>
      </c>
      <c r="AM1000">
        <v>105</v>
      </c>
      <c r="AN1000" s="78" t="s">
        <v>4051</v>
      </c>
      <c r="AO1000" s="78" t="s">
        <v>4851</v>
      </c>
      <c r="AP1000" t="b">
        <v>0</v>
      </c>
      <c r="AQ1000" s="78" t="s">
        <v>4051</v>
      </c>
      <c r="AR1000" t="s">
        <v>179</v>
      </c>
      <c r="AS1000">
        <v>0</v>
      </c>
      <c r="AT1000">
        <v>0</v>
      </c>
    </row>
    <row r="1001" spans="1:46" x14ac:dyDescent="0.45">
      <c r="A1001" s="62" t="s">
        <v>277</v>
      </c>
      <c r="B1001" s="62" t="s">
        <v>242</v>
      </c>
      <c r="C1001" s="63"/>
      <c r="D1001" s="64"/>
      <c r="E1001" s="65"/>
      <c r="F1001" s="66"/>
      <c r="G1001" s="63"/>
      <c r="H1001" s="67"/>
      <c r="I1001" s="68"/>
      <c r="J1001" s="68"/>
      <c r="K1001" s="32"/>
      <c r="L1001" s="75"/>
      <c r="M1001" s="75"/>
      <c r="N1001" s="70"/>
      <c r="O1001" t="s">
        <v>1570</v>
      </c>
      <c r="P1001" s="76">
        <v>44958.523680555554</v>
      </c>
      <c r="Q1001" t="s">
        <v>1591</v>
      </c>
      <c r="T1001" s="78" t="s">
        <v>2313</v>
      </c>
      <c r="U1001" s="77" t="str">
        <f>HYPERLINK("https://pbs.twimg.com/media/Ff0dkMsWQAIbfFf.jpg")</f>
        <v>https://pbs.twimg.com/media/Ff0dkMsWQAIbfFf.jpg</v>
      </c>
      <c r="V1001" s="77" t="str">
        <f>HYPERLINK("https://pbs.twimg.com/media/Ff0dkMsWQAIbfFf.jpg")</f>
        <v>https://pbs.twimg.com/media/Ff0dkMsWQAIbfFf.jpg</v>
      </c>
      <c r="W1001" s="76">
        <v>44958.523680555554</v>
      </c>
      <c r="X1001" s="80">
        <v>44958</v>
      </c>
      <c r="Y1001" s="78" t="s">
        <v>2483</v>
      </c>
      <c r="Z1001" s="77" t="str">
        <f>HYPERLINK("https://twitter.com/ts_kiti/status/1620762412814143488")</f>
        <v>https://twitter.com/ts_kiti/status/1620762412814143488</v>
      </c>
      <c r="AC1001" s="78" t="s">
        <v>3498</v>
      </c>
      <c r="AE1001" t="b">
        <v>0</v>
      </c>
      <c r="AF1001">
        <v>0</v>
      </c>
      <c r="AG1001" s="78" t="s">
        <v>4640</v>
      </c>
      <c r="AH1001" t="b">
        <v>0</v>
      </c>
      <c r="AI1001" t="s">
        <v>4829</v>
      </c>
      <c r="AK1001" s="78" t="s">
        <v>4640</v>
      </c>
      <c r="AL1001" t="b">
        <v>0</v>
      </c>
      <c r="AM1001">
        <v>105</v>
      </c>
      <c r="AN1001" s="78" t="s">
        <v>4051</v>
      </c>
      <c r="AO1001" s="78" t="s">
        <v>4851</v>
      </c>
      <c r="AP1001" t="b">
        <v>0</v>
      </c>
      <c r="AQ1001" s="78" t="s">
        <v>4051</v>
      </c>
      <c r="AR1001" t="s">
        <v>179</v>
      </c>
      <c r="AS1001">
        <v>0</v>
      </c>
      <c r="AT1001">
        <v>0</v>
      </c>
    </row>
    <row r="1002" spans="1:46" x14ac:dyDescent="0.45">
      <c r="A1002" s="62" t="s">
        <v>277</v>
      </c>
      <c r="B1002" s="62" t="s">
        <v>765</v>
      </c>
      <c r="C1002" s="63"/>
      <c r="D1002" s="64"/>
      <c r="E1002" s="65"/>
      <c r="F1002" s="66"/>
      <c r="G1002" s="63"/>
      <c r="H1002" s="67"/>
      <c r="I1002" s="68"/>
      <c r="J1002" s="68"/>
      <c r="K1002" s="32"/>
      <c r="L1002" s="75"/>
      <c r="M1002" s="75"/>
      <c r="N1002" s="70"/>
      <c r="O1002" t="s">
        <v>1569</v>
      </c>
      <c r="P1002" s="76">
        <v>44958.523680555554</v>
      </c>
      <c r="Q1002" t="s">
        <v>1591</v>
      </c>
      <c r="T1002" s="78" t="s">
        <v>2313</v>
      </c>
      <c r="U1002" s="77" t="str">
        <f>HYPERLINK("https://pbs.twimg.com/media/Ff0dkMsWQAIbfFf.jpg")</f>
        <v>https://pbs.twimg.com/media/Ff0dkMsWQAIbfFf.jpg</v>
      </c>
      <c r="V1002" s="77" t="str">
        <f>HYPERLINK("https://pbs.twimg.com/media/Ff0dkMsWQAIbfFf.jpg")</f>
        <v>https://pbs.twimg.com/media/Ff0dkMsWQAIbfFf.jpg</v>
      </c>
      <c r="W1002" s="76">
        <v>44958.523680555554</v>
      </c>
      <c r="X1002" s="80">
        <v>44958</v>
      </c>
      <c r="Y1002" s="78" t="s">
        <v>2483</v>
      </c>
      <c r="Z1002" s="77" t="str">
        <f>HYPERLINK("https://twitter.com/ts_kiti/status/1620762412814143488")</f>
        <v>https://twitter.com/ts_kiti/status/1620762412814143488</v>
      </c>
      <c r="AC1002" s="78" t="s">
        <v>3498</v>
      </c>
      <c r="AE1002" t="b">
        <v>0</v>
      </c>
      <c r="AF1002">
        <v>0</v>
      </c>
      <c r="AG1002" s="78" t="s">
        <v>4640</v>
      </c>
      <c r="AH1002" t="b">
        <v>0</v>
      </c>
      <c r="AI1002" t="s">
        <v>4829</v>
      </c>
      <c r="AK1002" s="78" t="s">
        <v>4640</v>
      </c>
      <c r="AL1002" t="b">
        <v>0</v>
      </c>
      <c r="AM1002">
        <v>105</v>
      </c>
      <c r="AN1002" s="78" t="s">
        <v>4051</v>
      </c>
      <c r="AO1002" s="78" t="s">
        <v>4851</v>
      </c>
      <c r="AP1002" t="b">
        <v>0</v>
      </c>
      <c r="AQ1002" s="78" t="s">
        <v>4051</v>
      </c>
      <c r="AR1002" t="s">
        <v>179</v>
      </c>
      <c r="AS1002">
        <v>0</v>
      </c>
      <c r="AT1002">
        <v>0</v>
      </c>
    </row>
    <row r="1003" spans="1:46" x14ac:dyDescent="0.45">
      <c r="A1003" s="62" t="s">
        <v>314</v>
      </c>
      <c r="B1003" s="62" t="s">
        <v>242</v>
      </c>
      <c r="C1003" s="63"/>
      <c r="D1003" s="64"/>
      <c r="E1003" s="65"/>
      <c r="F1003" s="66"/>
      <c r="G1003" s="63"/>
      <c r="H1003" s="67"/>
      <c r="I1003" s="68"/>
      <c r="J1003" s="68"/>
      <c r="K1003" s="32"/>
      <c r="L1003" s="75"/>
      <c r="M1003" s="75"/>
      <c r="N1003" s="70"/>
      <c r="O1003" t="s">
        <v>1570</v>
      </c>
      <c r="P1003" s="76">
        <v>44958.611504629633</v>
      </c>
      <c r="Q1003" t="s">
        <v>1591</v>
      </c>
      <c r="T1003" s="78" t="s">
        <v>2313</v>
      </c>
      <c r="U1003" s="77" t="str">
        <f>HYPERLINK("https://pbs.twimg.com/media/Ff0dkMsWQAIbfFf.jpg")</f>
        <v>https://pbs.twimg.com/media/Ff0dkMsWQAIbfFf.jpg</v>
      </c>
      <c r="V1003" s="77" t="str">
        <f>HYPERLINK("https://pbs.twimg.com/media/Ff0dkMsWQAIbfFf.jpg")</f>
        <v>https://pbs.twimg.com/media/Ff0dkMsWQAIbfFf.jpg</v>
      </c>
      <c r="W1003" s="76">
        <v>44958.611504629633</v>
      </c>
      <c r="X1003" s="80">
        <v>44958</v>
      </c>
      <c r="Y1003" s="78" t="s">
        <v>2527</v>
      </c>
      <c r="Z1003" s="77" t="str">
        <f>HYPERLINK("https://twitter.com/beastie904/status/1620794242179256321")</f>
        <v>https://twitter.com/beastie904/status/1620794242179256321</v>
      </c>
      <c r="AC1003" s="78" t="s">
        <v>3542</v>
      </c>
      <c r="AE1003" t="b">
        <v>0</v>
      </c>
      <c r="AF1003">
        <v>0</v>
      </c>
      <c r="AG1003" s="78" t="s">
        <v>4640</v>
      </c>
      <c r="AH1003" t="b">
        <v>0</v>
      </c>
      <c r="AI1003" t="s">
        <v>4829</v>
      </c>
      <c r="AK1003" s="78" t="s">
        <v>4640</v>
      </c>
      <c r="AL1003" t="b">
        <v>0</v>
      </c>
      <c r="AM1003">
        <v>105</v>
      </c>
      <c r="AN1003" s="78" t="s">
        <v>4051</v>
      </c>
      <c r="AO1003" s="78" t="s">
        <v>4851</v>
      </c>
      <c r="AP1003" t="b">
        <v>0</v>
      </c>
      <c r="AQ1003" s="78" t="s">
        <v>4051</v>
      </c>
      <c r="AR1003" t="s">
        <v>179</v>
      </c>
      <c r="AS1003">
        <v>0</v>
      </c>
      <c r="AT1003">
        <v>0</v>
      </c>
    </row>
    <row r="1004" spans="1:46" x14ac:dyDescent="0.45">
      <c r="A1004" s="62" t="s">
        <v>314</v>
      </c>
      <c r="B1004" s="62" t="s">
        <v>765</v>
      </c>
      <c r="C1004" s="63"/>
      <c r="D1004" s="64"/>
      <c r="E1004" s="65"/>
      <c r="F1004" s="66"/>
      <c r="G1004" s="63"/>
      <c r="H1004" s="67"/>
      <c r="I1004" s="68"/>
      <c r="J1004" s="68"/>
      <c r="K1004" s="32"/>
      <c r="L1004" s="75"/>
      <c r="M1004" s="75"/>
      <c r="N1004" s="70"/>
      <c r="O1004" t="s">
        <v>1569</v>
      </c>
      <c r="P1004" s="76">
        <v>44958.611504629633</v>
      </c>
      <c r="Q1004" t="s">
        <v>1591</v>
      </c>
      <c r="T1004" s="78" t="s">
        <v>2313</v>
      </c>
      <c r="U1004" s="77" t="str">
        <f>HYPERLINK("https://pbs.twimg.com/media/Ff0dkMsWQAIbfFf.jpg")</f>
        <v>https://pbs.twimg.com/media/Ff0dkMsWQAIbfFf.jpg</v>
      </c>
      <c r="V1004" s="77" t="str">
        <f>HYPERLINK("https://pbs.twimg.com/media/Ff0dkMsWQAIbfFf.jpg")</f>
        <v>https://pbs.twimg.com/media/Ff0dkMsWQAIbfFf.jpg</v>
      </c>
      <c r="W1004" s="76">
        <v>44958.611504629633</v>
      </c>
      <c r="X1004" s="80">
        <v>44958</v>
      </c>
      <c r="Y1004" s="78" t="s">
        <v>2527</v>
      </c>
      <c r="Z1004" s="77" t="str">
        <f>HYPERLINK("https://twitter.com/beastie904/status/1620794242179256321")</f>
        <v>https://twitter.com/beastie904/status/1620794242179256321</v>
      </c>
      <c r="AC1004" s="78" t="s">
        <v>3542</v>
      </c>
      <c r="AE1004" t="b">
        <v>0</v>
      </c>
      <c r="AF1004">
        <v>0</v>
      </c>
      <c r="AG1004" s="78" t="s">
        <v>4640</v>
      </c>
      <c r="AH1004" t="b">
        <v>0</v>
      </c>
      <c r="AI1004" t="s">
        <v>4829</v>
      </c>
      <c r="AK1004" s="78" t="s">
        <v>4640</v>
      </c>
      <c r="AL1004" t="b">
        <v>0</v>
      </c>
      <c r="AM1004">
        <v>105</v>
      </c>
      <c r="AN1004" s="78" t="s">
        <v>4051</v>
      </c>
      <c r="AO1004" s="78" t="s">
        <v>4851</v>
      </c>
      <c r="AP1004" t="b">
        <v>0</v>
      </c>
      <c r="AQ1004" s="78" t="s">
        <v>4051</v>
      </c>
      <c r="AR1004" t="s">
        <v>179</v>
      </c>
      <c r="AS1004">
        <v>0</v>
      </c>
      <c r="AT1004">
        <v>0</v>
      </c>
    </row>
    <row r="1005" spans="1:46" x14ac:dyDescent="0.45">
      <c r="A1005" s="62" t="s">
        <v>315</v>
      </c>
      <c r="B1005" s="62" t="s">
        <v>242</v>
      </c>
      <c r="C1005" s="63"/>
      <c r="D1005" s="64"/>
      <c r="E1005" s="65"/>
      <c r="F1005" s="66"/>
      <c r="G1005" s="63"/>
      <c r="H1005" s="67"/>
      <c r="I1005" s="68"/>
      <c r="J1005" s="68"/>
      <c r="K1005" s="32"/>
      <c r="L1005" s="75"/>
      <c r="M1005" s="75"/>
      <c r="N1005" s="70"/>
      <c r="O1005" t="s">
        <v>1570</v>
      </c>
      <c r="P1005" s="76">
        <v>44958.567673611113</v>
      </c>
      <c r="Q1005" t="s">
        <v>1591</v>
      </c>
      <c r="T1005" s="78" t="s">
        <v>2313</v>
      </c>
      <c r="U1005" s="77" t="str">
        <f>HYPERLINK("https://pbs.twimg.com/media/Ff0dkMsWQAIbfFf.jpg")</f>
        <v>https://pbs.twimg.com/media/Ff0dkMsWQAIbfFf.jpg</v>
      </c>
      <c r="V1005" s="77" t="str">
        <f>HYPERLINK("https://pbs.twimg.com/media/Ff0dkMsWQAIbfFf.jpg")</f>
        <v>https://pbs.twimg.com/media/Ff0dkMsWQAIbfFf.jpg</v>
      </c>
      <c r="W1005" s="76">
        <v>44958.567673611113</v>
      </c>
      <c r="X1005" s="80">
        <v>44958</v>
      </c>
      <c r="Y1005" s="78" t="s">
        <v>2528</v>
      </c>
      <c r="Z1005" s="77" t="str">
        <f>HYPERLINK("https://twitter.com/john_nenasai/status/1620778357821407233")</f>
        <v>https://twitter.com/john_nenasai/status/1620778357821407233</v>
      </c>
      <c r="AC1005" s="78" t="s">
        <v>3543</v>
      </c>
      <c r="AE1005" t="b">
        <v>0</v>
      </c>
      <c r="AF1005">
        <v>0</v>
      </c>
      <c r="AG1005" s="78" t="s">
        <v>4640</v>
      </c>
      <c r="AH1005" t="b">
        <v>0</v>
      </c>
      <c r="AI1005" t="s">
        <v>4829</v>
      </c>
      <c r="AK1005" s="78" t="s">
        <v>4640</v>
      </c>
      <c r="AL1005" t="b">
        <v>0</v>
      </c>
      <c r="AM1005">
        <v>105</v>
      </c>
      <c r="AN1005" s="78" t="s">
        <v>4051</v>
      </c>
      <c r="AO1005" s="78" t="s">
        <v>4851</v>
      </c>
      <c r="AP1005" t="b">
        <v>0</v>
      </c>
      <c r="AQ1005" s="78" t="s">
        <v>4051</v>
      </c>
      <c r="AR1005" t="s">
        <v>179</v>
      </c>
      <c r="AS1005">
        <v>0</v>
      </c>
      <c r="AT1005">
        <v>0</v>
      </c>
    </row>
    <row r="1006" spans="1:46" x14ac:dyDescent="0.45">
      <c r="A1006" s="62" t="s">
        <v>315</v>
      </c>
      <c r="B1006" s="62" t="s">
        <v>765</v>
      </c>
      <c r="C1006" s="63"/>
      <c r="D1006" s="64"/>
      <c r="E1006" s="65"/>
      <c r="F1006" s="66"/>
      <c r="G1006" s="63"/>
      <c r="H1006" s="67"/>
      <c r="I1006" s="68"/>
      <c r="J1006" s="68"/>
      <c r="K1006" s="32"/>
      <c r="L1006" s="75"/>
      <c r="M1006" s="75"/>
      <c r="N1006" s="70"/>
      <c r="O1006" t="s">
        <v>1569</v>
      </c>
      <c r="P1006" s="76">
        <v>44958.567673611113</v>
      </c>
      <c r="Q1006" t="s">
        <v>1591</v>
      </c>
      <c r="T1006" s="78" t="s">
        <v>2313</v>
      </c>
      <c r="U1006" s="77" t="str">
        <f>HYPERLINK("https://pbs.twimg.com/media/Ff0dkMsWQAIbfFf.jpg")</f>
        <v>https://pbs.twimg.com/media/Ff0dkMsWQAIbfFf.jpg</v>
      </c>
      <c r="V1006" s="77" t="str">
        <f>HYPERLINK("https://pbs.twimg.com/media/Ff0dkMsWQAIbfFf.jpg")</f>
        <v>https://pbs.twimg.com/media/Ff0dkMsWQAIbfFf.jpg</v>
      </c>
      <c r="W1006" s="76">
        <v>44958.567673611113</v>
      </c>
      <c r="X1006" s="80">
        <v>44958</v>
      </c>
      <c r="Y1006" s="78" t="s">
        <v>2528</v>
      </c>
      <c r="Z1006" s="77" t="str">
        <f>HYPERLINK("https://twitter.com/john_nenasai/status/1620778357821407233")</f>
        <v>https://twitter.com/john_nenasai/status/1620778357821407233</v>
      </c>
      <c r="AC1006" s="78" t="s">
        <v>3543</v>
      </c>
      <c r="AE1006" t="b">
        <v>0</v>
      </c>
      <c r="AF1006">
        <v>0</v>
      </c>
      <c r="AG1006" s="78" t="s">
        <v>4640</v>
      </c>
      <c r="AH1006" t="b">
        <v>0</v>
      </c>
      <c r="AI1006" t="s">
        <v>4829</v>
      </c>
      <c r="AK1006" s="78" t="s">
        <v>4640</v>
      </c>
      <c r="AL1006" t="b">
        <v>0</v>
      </c>
      <c r="AM1006">
        <v>105</v>
      </c>
      <c r="AN1006" s="78" t="s">
        <v>4051</v>
      </c>
      <c r="AO1006" s="78" t="s">
        <v>4851</v>
      </c>
      <c r="AP1006" t="b">
        <v>0</v>
      </c>
      <c r="AQ1006" s="78" t="s">
        <v>4051</v>
      </c>
      <c r="AR1006" t="s">
        <v>179</v>
      </c>
      <c r="AS1006">
        <v>0</v>
      </c>
      <c r="AT1006">
        <v>0</v>
      </c>
    </row>
    <row r="1007" spans="1:46" x14ac:dyDescent="0.45">
      <c r="A1007" s="62" t="s">
        <v>341</v>
      </c>
      <c r="B1007" s="62" t="s">
        <v>242</v>
      </c>
      <c r="C1007" s="63"/>
      <c r="D1007" s="64"/>
      <c r="E1007" s="65"/>
      <c r="F1007" s="66"/>
      <c r="G1007" s="63"/>
      <c r="H1007" s="67"/>
      <c r="I1007" s="68"/>
      <c r="J1007" s="68"/>
      <c r="K1007" s="32"/>
      <c r="L1007" s="75"/>
      <c r="M1007" s="75"/>
      <c r="N1007" s="70"/>
      <c r="O1007" t="s">
        <v>1570</v>
      </c>
      <c r="P1007" s="76">
        <v>44958.656574074077</v>
      </c>
      <c r="Q1007" t="s">
        <v>1591</v>
      </c>
      <c r="T1007" s="78" t="s">
        <v>2313</v>
      </c>
      <c r="U1007" s="77" t="str">
        <f>HYPERLINK("https://pbs.twimg.com/media/Ff0dkMsWQAIbfFf.jpg")</f>
        <v>https://pbs.twimg.com/media/Ff0dkMsWQAIbfFf.jpg</v>
      </c>
      <c r="V1007" s="77" t="str">
        <f>HYPERLINK("https://pbs.twimg.com/media/Ff0dkMsWQAIbfFf.jpg")</f>
        <v>https://pbs.twimg.com/media/Ff0dkMsWQAIbfFf.jpg</v>
      </c>
      <c r="W1007" s="76">
        <v>44958.656574074077</v>
      </c>
      <c r="X1007" s="80">
        <v>44958</v>
      </c>
      <c r="Y1007" s="78" t="s">
        <v>2562</v>
      </c>
      <c r="Z1007" s="77" t="str">
        <f>HYPERLINK("https://twitter.com/sayupy1003/status/1620810572076924928")</f>
        <v>https://twitter.com/sayupy1003/status/1620810572076924928</v>
      </c>
      <c r="AC1007" s="78" t="s">
        <v>3579</v>
      </c>
      <c r="AE1007" t="b">
        <v>0</v>
      </c>
      <c r="AF1007">
        <v>0</v>
      </c>
      <c r="AG1007" s="78" t="s">
        <v>4640</v>
      </c>
      <c r="AH1007" t="b">
        <v>0</v>
      </c>
      <c r="AI1007" t="s">
        <v>4829</v>
      </c>
      <c r="AK1007" s="78" t="s">
        <v>4640</v>
      </c>
      <c r="AL1007" t="b">
        <v>0</v>
      </c>
      <c r="AM1007">
        <v>105</v>
      </c>
      <c r="AN1007" s="78" t="s">
        <v>4051</v>
      </c>
      <c r="AO1007" s="78" t="s">
        <v>4851</v>
      </c>
      <c r="AP1007" t="b">
        <v>0</v>
      </c>
      <c r="AQ1007" s="78" t="s">
        <v>4051</v>
      </c>
      <c r="AR1007" t="s">
        <v>179</v>
      </c>
      <c r="AS1007">
        <v>0</v>
      </c>
      <c r="AT1007">
        <v>0</v>
      </c>
    </row>
    <row r="1008" spans="1:46" x14ac:dyDescent="0.45">
      <c r="A1008" s="62" t="s">
        <v>341</v>
      </c>
      <c r="B1008" s="62" t="s">
        <v>765</v>
      </c>
      <c r="C1008" s="63"/>
      <c r="D1008" s="64"/>
      <c r="E1008" s="65"/>
      <c r="F1008" s="66"/>
      <c r="G1008" s="63"/>
      <c r="H1008" s="67"/>
      <c r="I1008" s="68"/>
      <c r="J1008" s="68"/>
      <c r="K1008" s="32"/>
      <c r="L1008" s="75"/>
      <c r="M1008" s="75"/>
      <c r="N1008" s="70"/>
      <c r="O1008" t="s">
        <v>1569</v>
      </c>
      <c r="P1008" s="76">
        <v>44958.656574074077</v>
      </c>
      <c r="Q1008" t="s">
        <v>1591</v>
      </c>
      <c r="T1008" s="78" t="s">
        <v>2313</v>
      </c>
      <c r="U1008" s="77" t="str">
        <f>HYPERLINK("https://pbs.twimg.com/media/Ff0dkMsWQAIbfFf.jpg")</f>
        <v>https://pbs.twimg.com/media/Ff0dkMsWQAIbfFf.jpg</v>
      </c>
      <c r="V1008" s="77" t="str">
        <f>HYPERLINK("https://pbs.twimg.com/media/Ff0dkMsWQAIbfFf.jpg")</f>
        <v>https://pbs.twimg.com/media/Ff0dkMsWQAIbfFf.jpg</v>
      </c>
      <c r="W1008" s="76">
        <v>44958.656574074077</v>
      </c>
      <c r="X1008" s="80">
        <v>44958</v>
      </c>
      <c r="Y1008" s="78" t="s">
        <v>2562</v>
      </c>
      <c r="Z1008" s="77" t="str">
        <f>HYPERLINK("https://twitter.com/sayupy1003/status/1620810572076924928")</f>
        <v>https://twitter.com/sayupy1003/status/1620810572076924928</v>
      </c>
      <c r="AC1008" s="78" t="s">
        <v>3579</v>
      </c>
      <c r="AE1008" t="b">
        <v>0</v>
      </c>
      <c r="AF1008">
        <v>0</v>
      </c>
      <c r="AG1008" s="78" t="s">
        <v>4640</v>
      </c>
      <c r="AH1008" t="b">
        <v>0</v>
      </c>
      <c r="AI1008" t="s">
        <v>4829</v>
      </c>
      <c r="AK1008" s="78" t="s">
        <v>4640</v>
      </c>
      <c r="AL1008" t="b">
        <v>0</v>
      </c>
      <c r="AM1008">
        <v>105</v>
      </c>
      <c r="AN1008" s="78" t="s">
        <v>4051</v>
      </c>
      <c r="AO1008" s="78" t="s">
        <v>4851</v>
      </c>
      <c r="AP1008" t="b">
        <v>0</v>
      </c>
      <c r="AQ1008" s="78" t="s">
        <v>4051</v>
      </c>
      <c r="AR1008" t="s">
        <v>179</v>
      </c>
      <c r="AS1008">
        <v>0</v>
      </c>
      <c r="AT1008">
        <v>0</v>
      </c>
    </row>
    <row r="1009" spans="1:46" x14ac:dyDescent="0.45">
      <c r="A1009" s="62" t="s">
        <v>391</v>
      </c>
      <c r="B1009" s="62" t="s">
        <v>242</v>
      </c>
      <c r="C1009" s="63"/>
      <c r="D1009" s="64"/>
      <c r="E1009" s="65"/>
      <c r="F1009" s="66"/>
      <c r="G1009" s="63"/>
      <c r="H1009" s="67"/>
      <c r="I1009" s="68"/>
      <c r="J1009" s="68"/>
      <c r="K1009" s="32"/>
      <c r="L1009" s="75"/>
      <c r="M1009" s="75"/>
      <c r="N1009" s="70"/>
      <c r="O1009" t="s">
        <v>1570</v>
      </c>
      <c r="P1009" s="76">
        <v>44958.699513888889</v>
      </c>
      <c r="Q1009" t="s">
        <v>1591</v>
      </c>
      <c r="T1009" s="78" t="s">
        <v>2313</v>
      </c>
      <c r="U1009" s="77" t="str">
        <f>HYPERLINK("https://pbs.twimg.com/media/Ff0dkMsWQAIbfFf.jpg")</f>
        <v>https://pbs.twimg.com/media/Ff0dkMsWQAIbfFf.jpg</v>
      </c>
      <c r="V1009" s="77" t="str">
        <f>HYPERLINK("https://pbs.twimg.com/media/Ff0dkMsWQAIbfFf.jpg")</f>
        <v>https://pbs.twimg.com/media/Ff0dkMsWQAIbfFf.jpg</v>
      </c>
      <c r="W1009" s="76">
        <v>44958.699513888889</v>
      </c>
      <c r="X1009" s="80">
        <v>44958</v>
      </c>
      <c r="Y1009" s="78" t="s">
        <v>2619</v>
      </c>
      <c r="Z1009" s="77" t="str">
        <f>HYPERLINK("https://twitter.com/azapretty9/status/1620826132860833792")</f>
        <v>https://twitter.com/azapretty9/status/1620826132860833792</v>
      </c>
      <c r="AC1009" s="78" t="s">
        <v>3636</v>
      </c>
      <c r="AE1009" t="b">
        <v>0</v>
      </c>
      <c r="AF1009">
        <v>0</v>
      </c>
      <c r="AG1009" s="78" t="s">
        <v>4640</v>
      </c>
      <c r="AH1009" t="b">
        <v>0</v>
      </c>
      <c r="AI1009" t="s">
        <v>4829</v>
      </c>
      <c r="AK1009" s="78" t="s">
        <v>4640</v>
      </c>
      <c r="AL1009" t="b">
        <v>0</v>
      </c>
      <c r="AM1009">
        <v>105</v>
      </c>
      <c r="AN1009" s="78" t="s">
        <v>4051</v>
      </c>
      <c r="AO1009" s="78" t="s">
        <v>4851</v>
      </c>
      <c r="AP1009" t="b">
        <v>0</v>
      </c>
      <c r="AQ1009" s="78" t="s">
        <v>4051</v>
      </c>
      <c r="AR1009" t="s">
        <v>179</v>
      </c>
      <c r="AS1009">
        <v>0</v>
      </c>
      <c r="AT1009">
        <v>0</v>
      </c>
    </row>
    <row r="1010" spans="1:46" x14ac:dyDescent="0.45">
      <c r="A1010" s="62" t="s">
        <v>391</v>
      </c>
      <c r="B1010" s="62" t="s">
        <v>765</v>
      </c>
      <c r="C1010" s="63"/>
      <c r="D1010" s="64"/>
      <c r="E1010" s="65"/>
      <c r="F1010" s="66"/>
      <c r="G1010" s="63"/>
      <c r="H1010" s="67"/>
      <c r="I1010" s="68"/>
      <c r="J1010" s="68"/>
      <c r="K1010" s="32"/>
      <c r="L1010" s="75"/>
      <c r="M1010" s="75"/>
      <c r="N1010" s="70"/>
      <c r="O1010" t="s">
        <v>1569</v>
      </c>
      <c r="P1010" s="76">
        <v>44958.699513888889</v>
      </c>
      <c r="Q1010" t="s">
        <v>1591</v>
      </c>
      <c r="T1010" s="78" t="s">
        <v>2313</v>
      </c>
      <c r="U1010" s="77" t="str">
        <f>HYPERLINK("https://pbs.twimg.com/media/Ff0dkMsWQAIbfFf.jpg")</f>
        <v>https://pbs.twimg.com/media/Ff0dkMsWQAIbfFf.jpg</v>
      </c>
      <c r="V1010" s="77" t="str">
        <f>HYPERLINK("https://pbs.twimg.com/media/Ff0dkMsWQAIbfFf.jpg")</f>
        <v>https://pbs.twimg.com/media/Ff0dkMsWQAIbfFf.jpg</v>
      </c>
      <c r="W1010" s="76">
        <v>44958.699513888889</v>
      </c>
      <c r="X1010" s="80">
        <v>44958</v>
      </c>
      <c r="Y1010" s="78" t="s">
        <v>2619</v>
      </c>
      <c r="Z1010" s="77" t="str">
        <f>HYPERLINK("https://twitter.com/azapretty9/status/1620826132860833792")</f>
        <v>https://twitter.com/azapretty9/status/1620826132860833792</v>
      </c>
      <c r="AC1010" s="78" t="s">
        <v>3636</v>
      </c>
      <c r="AE1010" t="b">
        <v>0</v>
      </c>
      <c r="AF1010">
        <v>0</v>
      </c>
      <c r="AG1010" s="78" t="s">
        <v>4640</v>
      </c>
      <c r="AH1010" t="b">
        <v>0</v>
      </c>
      <c r="AI1010" t="s">
        <v>4829</v>
      </c>
      <c r="AK1010" s="78" t="s">
        <v>4640</v>
      </c>
      <c r="AL1010" t="b">
        <v>0</v>
      </c>
      <c r="AM1010">
        <v>105</v>
      </c>
      <c r="AN1010" s="78" t="s">
        <v>4051</v>
      </c>
      <c r="AO1010" s="78" t="s">
        <v>4851</v>
      </c>
      <c r="AP1010" t="b">
        <v>0</v>
      </c>
      <c r="AQ1010" s="78" t="s">
        <v>4051</v>
      </c>
      <c r="AR1010" t="s">
        <v>179</v>
      </c>
      <c r="AS1010">
        <v>0</v>
      </c>
      <c r="AT1010">
        <v>0</v>
      </c>
    </row>
    <row r="1011" spans="1:46" x14ac:dyDescent="0.45">
      <c r="A1011" s="62" t="s">
        <v>452</v>
      </c>
      <c r="B1011" s="62" t="s">
        <v>242</v>
      </c>
      <c r="C1011" s="63"/>
      <c r="D1011" s="64"/>
      <c r="E1011" s="65"/>
      <c r="F1011" s="66"/>
      <c r="G1011" s="63"/>
      <c r="H1011" s="67"/>
      <c r="I1011" s="68"/>
      <c r="J1011" s="68"/>
      <c r="K1011" s="32"/>
      <c r="L1011" s="75"/>
      <c r="M1011" s="75"/>
      <c r="N1011" s="70"/>
      <c r="O1011" t="s">
        <v>1570</v>
      </c>
      <c r="P1011" s="76">
        <v>44958.727719907409</v>
      </c>
      <c r="Q1011" t="s">
        <v>1591</v>
      </c>
      <c r="T1011" s="78" t="s">
        <v>2313</v>
      </c>
      <c r="U1011" s="77" t="str">
        <f>HYPERLINK("https://pbs.twimg.com/media/Ff0dkMsWQAIbfFf.jpg")</f>
        <v>https://pbs.twimg.com/media/Ff0dkMsWQAIbfFf.jpg</v>
      </c>
      <c r="V1011" s="77" t="str">
        <f>HYPERLINK("https://pbs.twimg.com/media/Ff0dkMsWQAIbfFf.jpg")</f>
        <v>https://pbs.twimg.com/media/Ff0dkMsWQAIbfFf.jpg</v>
      </c>
      <c r="W1011" s="76">
        <v>44958.727719907409</v>
      </c>
      <c r="X1011" s="80">
        <v>44958</v>
      </c>
      <c r="Y1011" s="78" t="s">
        <v>2682</v>
      </c>
      <c r="Z1011" s="77" t="str">
        <f>HYPERLINK("https://twitter.com/azril_nabila4/status/1620836354161774592")</f>
        <v>https://twitter.com/azril_nabila4/status/1620836354161774592</v>
      </c>
      <c r="AC1011" s="78" t="s">
        <v>3700</v>
      </c>
      <c r="AE1011" t="b">
        <v>0</v>
      </c>
      <c r="AF1011">
        <v>0</v>
      </c>
      <c r="AG1011" s="78" t="s">
        <v>4640</v>
      </c>
      <c r="AH1011" t="b">
        <v>0</v>
      </c>
      <c r="AI1011" t="s">
        <v>4829</v>
      </c>
      <c r="AK1011" s="78" t="s">
        <v>4640</v>
      </c>
      <c r="AL1011" t="b">
        <v>0</v>
      </c>
      <c r="AM1011">
        <v>105</v>
      </c>
      <c r="AN1011" s="78" t="s">
        <v>4051</v>
      </c>
      <c r="AO1011" s="78" t="s">
        <v>4851</v>
      </c>
      <c r="AP1011" t="b">
        <v>0</v>
      </c>
      <c r="AQ1011" s="78" t="s">
        <v>4051</v>
      </c>
      <c r="AR1011" t="s">
        <v>179</v>
      </c>
      <c r="AS1011">
        <v>0</v>
      </c>
      <c r="AT1011">
        <v>0</v>
      </c>
    </row>
    <row r="1012" spans="1:46" x14ac:dyDescent="0.45">
      <c r="A1012" s="62" t="s">
        <v>452</v>
      </c>
      <c r="B1012" s="62" t="s">
        <v>765</v>
      </c>
      <c r="C1012" s="63"/>
      <c r="D1012" s="64"/>
      <c r="E1012" s="65"/>
      <c r="F1012" s="66"/>
      <c r="G1012" s="63"/>
      <c r="H1012" s="67"/>
      <c r="I1012" s="68"/>
      <c r="J1012" s="68"/>
      <c r="K1012" s="32"/>
      <c r="L1012" s="75"/>
      <c r="M1012" s="75"/>
      <c r="N1012" s="70"/>
      <c r="O1012" t="s">
        <v>1569</v>
      </c>
      <c r="P1012" s="76">
        <v>44958.727719907409</v>
      </c>
      <c r="Q1012" t="s">
        <v>1591</v>
      </c>
      <c r="T1012" s="78" t="s">
        <v>2313</v>
      </c>
      <c r="U1012" s="77" t="str">
        <f>HYPERLINK("https://pbs.twimg.com/media/Ff0dkMsWQAIbfFf.jpg")</f>
        <v>https://pbs.twimg.com/media/Ff0dkMsWQAIbfFf.jpg</v>
      </c>
      <c r="V1012" s="77" t="str">
        <f>HYPERLINK("https://pbs.twimg.com/media/Ff0dkMsWQAIbfFf.jpg")</f>
        <v>https://pbs.twimg.com/media/Ff0dkMsWQAIbfFf.jpg</v>
      </c>
      <c r="W1012" s="76">
        <v>44958.727719907409</v>
      </c>
      <c r="X1012" s="80">
        <v>44958</v>
      </c>
      <c r="Y1012" s="78" t="s">
        <v>2682</v>
      </c>
      <c r="Z1012" s="77" t="str">
        <f>HYPERLINK("https://twitter.com/azril_nabila4/status/1620836354161774592")</f>
        <v>https://twitter.com/azril_nabila4/status/1620836354161774592</v>
      </c>
      <c r="AC1012" s="78" t="s">
        <v>3700</v>
      </c>
      <c r="AE1012" t="b">
        <v>0</v>
      </c>
      <c r="AF1012">
        <v>0</v>
      </c>
      <c r="AG1012" s="78" t="s">
        <v>4640</v>
      </c>
      <c r="AH1012" t="b">
        <v>0</v>
      </c>
      <c r="AI1012" t="s">
        <v>4829</v>
      </c>
      <c r="AK1012" s="78" t="s">
        <v>4640</v>
      </c>
      <c r="AL1012" t="b">
        <v>0</v>
      </c>
      <c r="AM1012">
        <v>105</v>
      </c>
      <c r="AN1012" s="78" t="s">
        <v>4051</v>
      </c>
      <c r="AO1012" s="78" t="s">
        <v>4851</v>
      </c>
      <c r="AP1012" t="b">
        <v>0</v>
      </c>
      <c r="AQ1012" s="78" t="s">
        <v>4051</v>
      </c>
      <c r="AR1012" t="s">
        <v>179</v>
      </c>
      <c r="AS1012">
        <v>0</v>
      </c>
      <c r="AT1012">
        <v>0</v>
      </c>
    </row>
    <row r="1013" spans="1:46" x14ac:dyDescent="0.45">
      <c r="A1013" s="62" t="s">
        <v>497</v>
      </c>
      <c r="B1013" s="62" t="s">
        <v>242</v>
      </c>
      <c r="C1013" s="63"/>
      <c r="D1013" s="64"/>
      <c r="E1013" s="65"/>
      <c r="F1013" s="66"/>
      <c r="G1013" s="63"/>
      <c r="H1013" s="67"/>
      <c r="I1013" s="68"/>
      <c r="J1013" s="68"/>
      <c r="K1013" s="32"/>
      <c r="L1013" s="75"/>
      <c r="M1013" s="75"/>
      <c r="N1013" s="70"/>
      <c r="O1013" t="s">
        <v>1570</v>
      </c>
      <c r="P1013" s="76">
        <v>44958.752326388887</v>
      </c>
      <c r="Q1013" t="s">
        <v>1591</v>
      </c>
      <c r="T1013" s="78" t="s">
        <v>2313</v>
      </c>
      <c r="U1013" s="77" t="str">
        <f>HYPERLINK("https://pbs.twimg.com/media/Ff0dkMsWQAIbfFf.jpg")</f>
        <v>https://pbs.twimg.com/media/Ff0dkMsWQAIbfFf.jpg</v>
      </c>
      <c r="V1013" s="77" t="str">
        <f>HYPERLINK("https://pbs.twimg.com/media/Ff0dkMsWQAIbfFf.jpg")</f>
        <v>https://pbs.twimg.com/media/Ff0dkMsWQAIbfFf.jpg</v>
      </c>
      <c r="W1013" s="76">
        <v>44958.752326388887</v>
      </c>
      <c r="X1013" s="80">
        <v>44958</v>
      </c>
      <c r="Y1013" s="78" t="s">
        <v>2737</v>
      </c>
      <c r="Z1013" s="77" t="str">
        <f>HYPERLINK("https://twitter.com/mariia_deleon/status/1620845273718063105")</f>
        <v>https://twitter.com/mariia_deleon/status/1620845273718063105</v>
      </c>
      <c r="AC1013" s="78" t="s">
        <v>3756</v>
      </c>
      <c r="AE1013" t="b">
        <v>0</v>
      </c>
      <c r="AF1013">
        <v>0</v>
      </c>
      <c r="AG1013" s="78" t="s">
        <v>4640</v>
      </c>
      <c r="AH1013" t="b">
        <v>0</v>
      </c>
      <c r="AI1013" t="s">
        <v>4829</v>
      </c>
      <c r="AK1013" s="78" t="s">
        <v>4640</v>
      </c>
      <c r="AL1013" t="b">
        <v>0</v>
      </c>
      <c r="AM1013">
        <v>105</v>
      </c>
      <c r="AN1013" s="78" t="s">
        <v>4051</v>
      </c>
      <c r="AO1013" s="78" t="s">
        <v>4851</v>
      </c>
      <c r="AP1013" t="b">
        <v>0</v>
      </c>
      <c r="AQ1013" s="78" t="s">
        <v>4051</v>
      </c>
      <c r="AR1013" t="s">
        <v>179</v>
      </c>
      <c r="AS1013">
        <v>0</v>
      </c>
      <c r="AT1013">
        <v>0</v>
      </c>
    </row>
    <row r="1014" spans="1:46" x14ac:dyDescent="0.45">
      <c r="A1014" s="62" t="s">
        <v>497</v>
      </c>
      <c r="B1014" s="62" t="s">
        <v>765</v>
      </c>
      <c r="C1014" s="63"/>
      <c r="D1014" s="64"/>
      <c r="E1014" s="65"/>
      <c r="F1014" s="66"/>
      <c r="G1014" s="63"/>
      <c r="H1014" s="67"/>
      <c r="I1014" s="68"/>
      <c r="J1014" s="68"/>
      <c r="K1014" s="32"/>
      <c r="L1014" s="75"/>
      <c r="M1014" s="75"/>
      <c r="N1014" s="70"/>
      <c r="O1014" t="s">
        <v>1569</v>
      </c>
      <c r="P1014" s="76">
        <v>44958.752326388887</v>
      </c>
      <c r="Q1014" t="s">
        <v>1591</v>
      </c>
      <c r="T1014" s="78" t="s">
        <v>2313</v>
      </c>
      <c r="U1014" s="77" t="str">
        <f>HYPERLINK("https://pbs.twimg.com/media/Ff0dkMsWQAIbfFf.jpg")</f>
        <v>https://pbs.twimg.com/media/Ff0dkMsWQAIbfFf.jpg</v>
      </c>
      <c r="V1014" s="77" t="str">
        <f>HYPERLINK("https://pbs.twimg.com/media/Ff0dkMsWQAIbfFf.jpg")</f>
        <v>https://pbs.twimg.com/media/Ff0dkMsWQAIbfFf.jpg</v>
      </c>
      <c r="W1014" s="76">
        <v>44958.752326388887</v>
      </c>
      <c r="X1014" s="80">
        <v>44958</v>
      </c>
      <c r="Y1014" s="78" t="s">
        <v>2737</v>
      </c>
      <c r="Z1014" s="77" t="str">
        <f>HYPERLINK("https://twitter.com/mariia_deleon/status/1620845273718063105")</f>
        <v>https://twitter.com/mariia_deleon/status/1620845273718063105</v>
      </c>
      <c r="AC1014" s="78" t="s">
        <v>3756</v>
      </c>
      <c r="AE1014" t="b">
        <v>0</v>
      </c>
      <c r="AF1014">
        <v>0</v>
      </c>
      <c r="AG1014" s="78" t="s">
        <v>4640</v>
      </c>
      <c r="AH1014" t="b">
        <v>0</v>
      </c>
      <c r="AI1014" t="s">
        <v>4829</v>
      </c>
      <c r="AK1014" s="78" t="s">
        <v>4640</v>
      </c>
      <c r="AL1014" t="b">
        <v>0</v>
      </c>
      <c r="AM1014">
        <v>105</v>
      </c>
      <c r="AN1014" s="78" t="s">
        <v>4051</v>
      </c>
      <c r="AO1014" s="78" t="s">
        <v>4851</v>
      </c>
      <c r="AP1014" t="b">
        <v>0</v>
      </c>
      <c r="AQ1014" s="78" t="s">
        <v>4051</v>
      </c>
      <c r="AR1014" t="s">
        <v>179</v>
      </c>
      <c r="AS1014">
        <v>0</v>
      </c>
      <c r="AT1014">
        <v>0</v>
      </c>
    </row>
    <row r="1015" spans="1:46" x14ac:dyDescent="0.45">
      <c r="A1015" s="62" t="s">
        <v>536</v>
      </c>
      <c r="B1015" s="62" t="s">
        <v>242</v>
      </c>
      <c r="C1015" s="63"/>
      <c r="D1015" s="64"/>
      <c r="E1015" s="65"/>
      <c r="F1015" s="66"/>
      <c r="G1015" s="63"/>
      <c r="H1015" s="67"/>
      <c r="I1015" s="68"/>
      <c r="J1015" s="68"/>
      <c r="K1015" s="32"/>
      <c r="L1015" s="75"/>
      <c r="M1015" s="75"/>
      <c r="N1015" s="70"/>
      <c r="O1015" t="s">
        <v>1570</v>
      </c>
      <c r="P1015" s="76">
        <v>44958.789907407408</v>
      </c>
      <c r="Q1015" t="s">
        <v>1591</v>
      </c>
      <c r="T1015" s="78" t="s">
        <v>2313</v>
      </c>
      <c r="U1015" s="77" t="str">
        <f>HYPERLINK("https://pbs.twimg.com/media/Ff0dkMsWQAIbfFf.jpg")</f>
        <v>https://pbs.twimg.com/media/Ff0dkMsWQAIbfFf.jpg</v>
      </c>
      <c r="V1015" s="77" t="str">
        <f>HYPERLINK("https://pbs.twimg.com/media/Ff0dkMsWQAIbfFf.jpg")</f>
        <v>https://pbs.twimg.com/media/Ff0dkMsWQAIbfFf.jpg</v>
      </c>
      <c r="W1015" s="76">
        <v>44958.789907407408</v>
      </c>
      <c r="X1015" s="80">
        <v>44958</v>
      </c>
      <c r="Y1015" s="78" t="s">
        <v>2778</v>
      </c>
      <c r="Z1015" s="77" t="str">
        <f>HYPERLINK("https://twitter.com/skraaa_h/status/1620858892623151118")</f>
        <v>https://twitter.com/skraaa_h/status/1620858892623151118</v>
      </c>
      <c r="AC1015" s="78" t="s">
        <v>3797</v>
      </c>
      <c r="AE1015" t="b">
        <v>0</v>
      </c>
      <c r="AF1015">
        <v>0</v>
      </c>
      <c r="AG1015" s="78" t="s">
        <v>4640</v>
      </c>
      <c r="AH1015" t="b">
        <v>0</v>
      </c>
      <c r="AI1015" t="s">
        <v>4829</v>
      </c>
      <c r="AK1015" s="78" t="s">
        <v>4640</v>
      </c>
      <c r="AL1015" t="b">
        <v>0</v>
      </c>
      <c r="AM1015">
        <v>105</v>
      </c>
      <c r="AN1015" s="78" t="s">
        <v>4051</v>
      </c>
      <c r="AO1015" s="78" t="s">
        <v>4851</v>
      </c>
      <c r="AP1015" t="b">
        <v>0</v>
      </c>
      <c r="AQ1015" s="78" t="s">
        <v>4051</v>
      </c>
      <c r="AR1015" t="s">
        <v>179</v>
      </c>
      <c r="AS1015">
        <v>0</v>
      </c>
      <c r="AT1015">
        <v>0</v>
      </c>
    </row>
    <row r="1016" spans="1:46" x14ac:dyDescent="0.45">
      <c r="A1016" s="62" t="s">
        <v>536</v>
      </c>
      <c r="B1016" s="62" t="s">
        <v>765</v>
      </c>
      <c r="C1016" s="63"/>
      <c r="D1016" s="64"/>
      <c r="E1016" s="65"/>
      <c r="F1016" s="66"/>
      <c r="G1016" s="63"/>
      <c r="H1016" s="67"/>
      <c r="I1016" s="68"/>
      <c r="J1016" s="68"/>
      <c r="K1016" s="32"/>
      <c r="L1016" s="75"/>
      <c r="M1016" s="75"/>
      <c r="N1016" s="70"/>
      <c r="O1016" t="s">
        <v>1569</v>
      </c>
      <c r="P1016" s="76">
        <v>44958.789907407408</v>
      </c>
      <c r="Q1016" t="s">
        <v>1591</v>
      </c>
      <c r="T1016" s="78" t="s">
        <v>2313</v>
      </c>
      <c r="U1016" s="77" t="str">
        <f>HYPERLINK("https://pbs.twimg.com/media/Ff0dkMsWQAIbfFf.jpg")</f>
        <v>https://pbs.twimg.com/media/Ff0dkMsWQAIbfFf.jpg</v>
      </c>
      <c r="V1016" s="77" t="str">
        <f>HYPERLINK("https://pbs.twimg.com/media/Ff0dkMsWQAIbfFf.jpg")</f>
        <v>https://pbs.twimg.com/media/Ff0dkMsWQAIbfFf.jpg</v>
      </c>
      <c r="W1016" s="76">
        <v>44958.789907407408</v>
      </c>
      <c r="X1016" s="80">
        <v>44958</v>
      </c>
      <c r="Y1016" s="78" t="s">
        <v>2778</v>
      </c>
      <c r="Z1016" s="77" t="str">
        <f>HYPERLINK("https://twitter.com/skraaa_h/status/1620858892623151118")</f>
        <v>https://twitter.com/skraaa_h/status/1620858892623151118</v>
      </c>
      <c r="AC1016" s="78" t="s">
        <v>3797</v>
      </c>
      <c r="AE1016" t="b">
        <v>0</v>
      </c>
      <c r="AF1016">
        <v>0</v>
      </c>
      <c r="AG1016" s="78" t="s">
        <v>4640</v>
      </c>
      <c r="AH1016" t="b">
        <v>0</v>
      </c>
      <c r="AI1016" t="s">
        <v>4829</v>
      </c>
      <c r="AK1016" s="78" t="s">
        <v>4640</v>
      </c>
      <c r="AL1016" t="b">
        <v>0</v>
      </c>
      <c r="AM1016">
        <v>105</v>
      </c>
      <c r="AN1016" s="78" t="s">
        <v>4051</v>
      </c>
      <c r="AO1016" s="78" t="s">
        <v>4851</v>
      </c>
      <c r="AP1016" t="b">
        <v>0</v>
      </c>
      <c r="AQ1016" s="78" t="s">
        <v>4051</v>
      </c>
      <c r="AR1016" t="s">
        <v>179</v>
      </c>
      <c r="AS1016">
        <v>0</v>
      </c>
      <c r="AT1016">
        <v>0</v>
      </c>
    </row>
    <row r="1017" spans="1:46" x14ac:dyDescent="0.45">
      <c r="A1017" s="62" t="s">
        <v>689</v>
      </c>
      <c r="B1017" s="62" t="s">
        <v>242</v>
      </c>
      <c r="C1017" s="63"/>
      <c r="D1017" s="64"/>
      <c r="E1017" s="65"/>
      <c r="F1017" s="66"/>
      <c r="G1017" s="63"/>
      <c r="H1017" s="67"/>
      <c r="I1017" s="68"/>
      <c r="J1017" s="68"/>
      <c r="K1017" s="32"/>
      <c r="L1017" s="75"/>
      <c r="M1017" s="75"/>
      <c r="N1017" s="70"/>
      <c r="O1017" t="s">
        <v>1570</v>
      </c>
      <c r="P1017" s="76">
        <v>44958.887025462966</v>
      </c>
      <c r="Q1017" t="s">
        <v>1591</v>
      </c>
      <c r="T1017" s="78" t="s">
        <v>2313</v>
      </c>
      <c r="U1017" s="77" t="str">
        <f>HYPERLINK("https://pbs.twimg.com/media/Ff0dkMsWQAIbfFf.jpg")</f>
        <v>https://pbs.twimg.com/media/Ff0dkMsWQAIbfFf.jpg</v>
      </c>
      <c r="V1017" s="77" t="str">
        <f>HYPERLINK("https://pbs.twimg.com/media/Ff0dkMsWQAIbfFf.jpg")</f>
        <v>https://pbs.twimg.com/media/Ff0dkMsWQAIbfFf.jpg</v>
      </c>
      <c r="W1017" s="76">
        <v>44958.887025462966</v>
      </c>
      <c r="X1017" s="80">
        <v>44958</v>
      </c>
      <c r="Y1017" s="78" t="s">
        <v>2891</v>
      </c>
      <c r="Z1017" s="77" t="str">
        <f>HYPERLINK("https://twitter.com/_above__average/status/1620894087208394752")</f>
        <v>https://twitter.com/_above__average/status/1620894087208394752</v>
      </c>
      <c r="AC1017" s="78" t="s">
        <v>3956</v>
      </c>
      <c r="AE1017" t="b">
        <v>0</v>
      </c>
      <c r="AF1017">
        <v>0</v>
      </c>
      <c r="AG1017" s="78" t="s">
        <v>4640</v>
      </c>
      <c r="AH1017" t="b">
        <v>0</v>
      </c>
      <c r="AI1017" t="s">
        <v>4829</v>
      </c>
      <c r="AK1017" s="78" t="s">
        <v>4640</v>
      </c>
      <c r="AL1017" t="b">
        <v>0</v>
      </c>
      <c r="AM1017">
        <v>105</v>
      </c>
      <c r="AN1017" s="78" t="s">
        <v>4051</v>
      </c>
      <c r="AO1017" s="78" t="s">
        <v>4851</v>
      </c>
      <c r="AP1017" t="b">
        <v>0</v>
      </c>
      <c r="AQ1017" s="78" t="s">
        <v>4051</v>
      </c>
      <c r="AR1017" t="s">
        <v>179</v>
      </c>
      <c r="AS1017">
        <v>0</v>
      </c>
      <c r="AT1017">
        <v>0</v>
      </c>
    </row>
    <row r="1018" spans="1:46" x14ac:dyDescent="0.45">
      <c r="A1018" s="62" t="s">
        <v>689</v>
      </c>
      <c r="B1018" s="62" t="s">
        <v>765</v>
      </c>
      <c r="C1018" s="63"/>
      <c r="D1018" s="64"/>
      <c r="E1018" s="65"/>
      <c r="F1018" s="66"/>
      <c r="G1018" s="63"/>
      <c r="H1018" s="67"/>
      <c r="I1018" s="68"/>
      <c r="J1018" s="68"/>
      <c r="K1018" s="32"/>
      <c r="L1018" s="75"/>
      <c r="M1018" s="75"/>
      <c r="N1018" s="70"/>
      <c r="O1018" t="s">
        <v>1569</v>
      </c>
      <c r="P1018" s="76">
        <v>44958.887025462966</v>
      </c>
      <c r="Q1018" t="s">
        <v>1591</v>
      </c>
      <c r="T1018" s="78" t="s">
        <v>2313</v>
      </c>
      <c r="U1018" s="77" t="str">
        <f>HYPERLINK("https://pbs.twimg.com/media/Ff0dkMsWQAIbfFf.jpg")</f>
        <v>https://pbs.twimg.com/media/Ff0dkMsWQAIbfFf.jpg</v>
      </c>
      <c r="V1018" s="77" t="str">
        <f>HYPERLINK("https://pbs.twimg.com/media/Ff0dkMsWQAIbfFf.jpg")</f>
        <v>https://pbs.twimg.com/media/Ff0dkMsWQAIbfFf.jpg</v>
      </c>
      <c r="W1018" s="76">
        <v>44958.887025462966</v>
      </c>
      <c r="X1018" s="80">
        <v>44958</v>
      </c>
      <c r="Y1018" s="78" t="s">
        <v>2891</v>
      </c>
      <c r="Z1018" s="77" t="str">
        <f>HYPERLINK("https://twitter.com/_above__average/status/1620894087208394752")</f>
        <v>https://twitter.com/_above__average/status/1620894087208394752</v>
      </c>
      <c r="AC1018" s="78" t="s">
        <v>3956</v>
      </c>
      <c r="AE1018" t="b">
        <v>0</v>
      </c>
      <c r="AF1018">
        <v>0</v>
      </c>
      <c r="AG1018" s="78" t="s">
        <v>4640</v>
      </c>
      <c r="AH1018" t="b">
        <v>0</v>
      </c>
      <c r="AI1018" t="s">
        <v>4829</v>
      </c>
      <c r="AK1018" s="78" t="s">
        <v>4640</v>
      </c>
      <c r="AL1018" t="b">
        <v>0</v>
      </c>
      <c r="AM1018">
        <v>105</v>
      </c>
      <c r="AN1018" s="78" t="s">
        <v>4051</v>
      </c>
      <c r="AO1018" s="78" t="s">
        <v>4851</v>
      </c>
      <c r="AP1018" t="b">
        <v>0</v>
      </c>
      <c r="AQ1018" s="78" t="s">
        <v>4051</v>
      </c>
      <c r="AR1018" t="s">
        <v>179</v>
      </c>
      <c r="AS1018">
        <v>0</v>
      </c>
      <c r="AT1018">
        <v>0</v>
      </c>
    </row>
    <row r="1019" spans="1:46" x14ac:dyDescent="0.45">
      <c r="A1019" s="62" t="s">
        <v>698</v>
      </c>
      <c r="B1019" s="62" t="s">
        <v>242</v>
      </c>
      <c r="C1019" s="63"/>
      <c r="D1019" s="64"/>
      <c r="E1019" s="65"/>
      <c r="F1019" s="66"/>
      <c r="G1019" s="63"/>
      <c r="H1019" s="67"/>
      <c r="I1019" s="68"/>
      <c r="J1019" s="68"/>
      <c r="K1019" s="32"/>
      <c r="L1019" s="75"/>
      <c r="M1019" s="75"/>
      <c r="N1019" s="70"/>
      <c r="O1019" t="s">
        <v>1570</v>
      </c>
      <c r="P1019" s="76">
        <v>44958.892546296294</v>
      </c>
      <c r="Q1019" t="s">
        <v>1591</v>
      </c>
      <c r="T1019" s="78" t="s">
        <v>2313</v>
      </c>
      <c r="U1019" s="77" t="str">
        <f>HYPERLINK("https://pbs.twimg.com/media/Ff0dkMsWQAIbfFf.jpg")</f>
        <v>https://pbs.twimg.com/media/Ff0dkMsWQAIbfFf.jpg</v>
      </c>
      <c r="V1019" s="77" t="str">
        <f>HYPERLINK("https://pbs.twimg.com/media/Ff0dkMsWQAIbfFf.jpg")</f>
        <v>https://pbs.twimg.com/media/Ff0dkMsWQAIbfFf.jpg</v>
      </c>
      <c r="W1019" s="76">
        <v>44958.892546296294</v>
      </c>
      <c r="X1019" s="80">
        <v>44958</v>
      </c>
      <c r="Y1019" s="78" t="s">
        <v>2902</v>
      </c>
      <c r="Z1019" s="77" t="str">
        <f>HYPERLINK("https://twitter.com/oyster_bay_golf/status/1620896086842908673")</f>
        <v>https://twitter.com/oyster_bay_golf/status/1620896086842908673</v>
      </c>
      <c r="AC1019" s="78" t="s">
        <v>3967</v>
      </c>
      <c r="AE1019" t="b">
        <v>0</v>
      </c>
      <c r="AF1019">
        <v>0</v>
      </c>
      <c r="AG1019" s="78" t="s">
        <v>4640</v>
      </c>
      <c r="AH1019" t="b">
        <v>0</v>
      </c>
      <c r="AI1019" t="s">
        <v>4829</v>
      </c>
      <c r="AK1019" s="78" t="s">
        <v>4640</v>
      </c>
      <c r="AL1019" t="b">
        <v>0</v>
      </c>
      <c r="AM1019">
        <v>105</v>
      </c>
      <c r="AN1019" s="78" t="s">
        <v>4051</v>
      </c>
      <c r="AO1019" s="78" t="s">
        <v>4851</v>
      </c>
      <c r="AP1019" t="b">
        <v>0</v>
      </c>
      <c r="AQ1019" s="78" t="s">
        <v>4051</v>
      </c>
      <c r="AR1019" t="s">
        <v>179</v>
      </c>
      <c r="AS1019">
        <v>0</v>
      </c>
      <c r="AT1019">
        <v>0</v>
      </c>
    </row>
    <row r="1020" spans="1:46" x14ac:dyDescent="0.45">
      <c r="A1020" s="62" t="s">
        <v>698</v>
      </c>
      <c r="B1020" s="62" t="s">
        <v>765</v>
      </c>
      <c r="C1020" s="63"/>
      <c r="D1020" s="64"/>
      <c r="E1020" s="65"/>
      <c r="F1020" s="66"/>
      <c r="G1020" s="63"/>
      <c r="H1020" s="67"/>
      <c r="I1020" s="68"/>
      <c r="J1020" s="68"/>
      <c r="K1020" s="32"/>
      <c r="L1020" s="75"/>
      <c r="M1020" s="75"/>
      <c r="N1020" s="70"/>
      <c r="O1020" t="s">
        <v>1569</v>
      </c>
      <c r="P1020" s="76">
        <v>44958.892546296294</v>
      </c>
      <c r="Q1020" t="s">
        <v>1591</v>
      </c>
      <c r="T1020" s="78" t="s">
        <v>2313</v>
      </c>
      <c r="U1020" s="77" t="str">
        <f>HYPERLINK("https://pbs.twimg.com/media/Ff0dkMsWQAIbfFf.jpg")</f>
        <v>https://pbs.twimg.com/media/Ff0dkMsWQAIbfFf.jpg</v>
      </c>
      <c r="V1020" s="77" t="str">
        <f>HYPERLINK("https://pbs.twimg.com/media/Ff0dkMsWQAIbfFf.jpg")</f>
        <v>https://pbs.twimg.com/media/Ff0dkMsWQAIbfFf.jpg</v>
      </c>
      <c r="W1020" s="76">
        <v>44958.892546296294</v>
      </c>
      <c r="X1020" s="80">
        <v>44958</v>
      </c>
      <c r="Y1020" s="78" t="s">
        <v>2902</v>
      </c>
      <c r="Z1020" s="77" t="str">
        <f>HYPERLINK("https://twitter.com/oyster_bay_golf/status/1620896086842908673")</f>
        <v>https://twitter.com/oyster_bay_golf/status/1620896086842908673</v>
      </c>
      <c r="AC1020" s="78" t="s">
        <v>3967</v>
      </c>
      <c r="AE1020" t="b">
        <v>0</v>
      </c>
      <c r="AF1020">
        <v>0</v>
      </c>
      <c r="AG1020" s="78" t="s">
        <v>4640</v>
      </c>
      <c r="AH1020" t="b">
        <v>0</v>
      </c>
      <c r="AI1020" t="s">
        <v>4829</v>
      </c>
      <c r="AK1020" s="78" t="s">
        <v>4640</v>
      </c>
      <c r="AL1020" t="b">
        <v>0</v>
      </c>
      <c r="AM1020">
        <v>105</v>
      </c>
      <c r="AN1020" s="78" t="s">
        <v>4051</v>
      </c>
      <c r="AO1020" s="78" t="s">
        <v>4851</v>
      </c>
      <c r="AP1020" t="b">
        <v>0</v>
      </c>
      <c r="AQ1020" s="78" t="s">
        <v>4051</v>
      </c>
      <c r="AR1020" t="s">
        <v>179</v>
      </c>
      <c r="AS1020">
        <v>0</v>
      </c>
      <c r="AT1020">
        <v>0</v>
      </c>
    </row>
    <row r="1021" spans="1:46" x14ac:dyDescent="0.45">
      <c r="A1021" s="62" t="s">
        <v>727</v>
      </c>
      <c r="B1021" s="62" t="s">
        <v>242</v>
      </c>
      <c r="C1021" s="63"/>
      <c r="D1021" s="64"/>
      <c r="E1021" s="65"/>
      <c r="F1021" s="66"/>
      <c r="G1021" s="63"/>
      <c r="H1021" s="67"/>
      <c r="I1021" s="68"/>
      <c r="J1021" s="68"/>
      <c r="K1021" s="32"/>
      <c r="L1021" s="75"/>
      <c r="M1021" s="75"/>
      <c r="N1021" s="70"/>
      <c r="O1021" t="s">
        <v>1570</v>
      </c>
      <c r="P1021" s="76">
        <v>44958.920069444444</v>
      </c>
      <c r="Q1021" t="s">
        <v>1591</v>
      </c>
      <c r="T1021" s="78" t="s">
        <v>2313</v>
      </c>
      <c r="U1021" s="77" t="str">
        <f>HYPERLINK("https://pbs.twimg.com/media/Ff0dkMsWQAIbfFf.jpg")</f>
        <v>https://pbs.twimg.com/media/Ff0dkMsWQAIbfFf.jpg</v>
      </c>
      <c r="V1021" s="77" t="str">
        <f>HYPERLINK("https://pbs.twimg.com/media/Ff0dkMsWQAIbfFf.jpg")</f>
        <v>https://pbs.twimg.com/media/Ff0dkMsWQAIbfFf.jpg</v>
      </c>
      <c r="W1021" s="76">
        <v>44958.920069444444</v>
      </c>
      <c r="X1021" s="80">
        <v>44958</v>
      </c>
      <c r="Y1021" s="78" t="s">
        <v>2946</v>
      </c>
      <c r="Z1021" s="77" t="str">
        <f>HYPERLINK("https://twitter.com/waleed51_1/status/1620906059928838144")</f>
        <v>https://twitter.com/waleed51_1/status/1620906059928838144</v>
      </c>
      <c r="AC1021" s="78" t="s">
        <v>4011</v>
      </c>
      <c r="AE1021" t="b">
        <v>0</v>
      </c>
      <c r="AF1021">
        <v>0</v>
      </c>
      <c r="AG1021" s="78" t="s">
        <v>4640</v>
      </c>
      <c r="AH1021" t="b">
        <v>0</v>
      </c>
      <c r="AI1021" t="s">
        <v>4829</v>
      </c>
      <c r="AK1021" s="78" t="s">
        <v>4640</v>
      </c>
      <c r="AL1021" t="b">
        <v>0</v>
      </c>
      <c r="AM1021">
        <v>105</v>
      </c>
      <c r="AN1021" s="78" t="s">
        <v>4051</v>
      </c>
      <c r="AO1021" s="78" t="s">
        <v>4851</v>
      </c>
      <c r="AP1021" t="b">
        <v>0</v>
      </c>
      <c r="AQ1021" s="78" t="s">
        <v>4051</v>
      </c>
      <c r="AR1021" t="s">
        <v>179</v>
      </c>
      <c r="AS1021">
        <v>0</v>
      </c>
      <c r="AT1021">
        <v>0</v>
      </c>
    </row>
    <row r="1022" spans="1:46" x14ac:dyDescent="0.45">
      <c r="A1022" s="62" t="s">
        <v>727</v>
      </c>
      <c r="B1022" s="62" t="s">
        <v>765</v>
      </c>
      <c r="C1022" s="63"/>
      <c r="D1022" s="64"/>
      <c r="E1022" s="65"/>
      <c r="F1022" s="66"/>
      <c r="G1022" s="63"/>
      <c r="H1022" s="67"/>
      <c r="I1022" s="68"/>
      <c r="J1022" s="68"/>
      <c r="K1022" s="32"/>
      <c r="L1022" s="75"/>
      <c r="M1022" s="75"/>
      <c r="N1022" s="70"/>
      <c r="O1022" t="s">
        <v>1569</v>
      </c>
      <c r="P1022" s="76">
        <v>44958.920069444444</v>
      </c>
      <c r="Q1022" t="s">
        <v>1591</v>
      </c>
      <c r="T1022" s="78" t="s">
        <v>2313</v>
      </c>
      <c r="U1022" s="77" t="str">
        <f>HYPERLINK("https://pbs.twimg.com/media/Ff0dkMsWQAIbfFf.jpg")</f>
        <v>https://pbs.twimg.com/media/Ff0dkMsWQAIbfFf.jpg</v>
      </c>
      <c r="V1022" s="77" t="str">
        <f>HYPERLINK("https://pbs.twimg.com/media/Ff0dkMsWQAIbfFf.jpg")</f>
        <v>https://pbs.twimg.com/media/Ff0dkMsWQAIbfFf.jpg</v>
      </c>
      <c r="W1022" s="76">
        <v>44958.920069444444</v>
      </c>
      <c r="X1022" s="80">
        <v>44958</v>
      </c>
      <c r="Y1022" s="78" t="s">
        <v>2946</v>
      </c>
      <c r="Z1022" s="77" t="str">
        <f>HYPERLINK("https://twitter.com/waleed51_1/status/1620906059928838144")</f>
        <v>https://twitter.com/waleed51_1/status/1620906059928838144</v>
      </c>
      <c r="AC1022" s="78" t="s">
        <v>4011</v>
      </c>
      <c r="AE1022" t="b">
        <v>0</v>
      </c>
      <c r="AF1022">
        <v>0</v>
      </c>
      <c r="AG1022" s="78" t="s">
        <v>4640</v>
      </c>
      <c r="AH1022" t="b">
        <v>0</v>
      </c>
      <c r="AI1022" t="s">
        <v>4829</v>
      </c>
      <c r="AK1022" s="78" t="s">
        <v>4640</v>
      </c>
      <c r="AL1022" t="b">
        <v>0</v>
      </c>
      <c r="AM1022">
        <v>105</v>
      </c>
      <c r="AN1022" s="78" t="s">
        <v>4051</v>
      </c>
      <c r="AO1022" s="78" t="s">
        <v>4851</v>
      </c>
      <c r="AP1022" t="b">
        <v>0</v>
      </c>
      <c r="AQ1022" s="78" t="s">
        <v>4051</v>
      </c>
      <c r="AR1022" t="s">
        <v>179</v>
      </c>
      <c r="AS1022">
        <v>0</v>
      </c>
      <c r="AT1022">
        <v>0</v>
      </c>
    </row>
    <row r="1023" spans="1:46" x14ac:dyDescent="0.45">
      <c r="A1023" s="62" t="s">
        <v>741</v>
      </c>
      <c r="B1023" s="62" t="s">
        <v>242</v>
      </c>
      <c r="C1023" s="63"/>
      <c r="D1023" s="64"/>
      <c r="E1023" s="65"/>
      <c r="F1023" s="66"/>
      <c r="G1023" s="63"/>
      <c r="H1023" s="67"/>
      <c r="I1023" s="68"/>
      <c r="J1023" s="68"/>
      <c r="K1023" s="32"/>
      <c r="L1023" s="75"/>
      <c r="M1023" s="75"/>
      <c r="N1023" s="70"/>
      <c r="O1023" t="s">
        <v>1570</v>
      </c>
      <c r="P1023" s="76">
        <v>44958.937847222223</v>
      </c>
      <c r="Q1023" t="s">
        <v>1591</v>
      </c>
      <c r="T1023" s="78" t="s">
        <v>2313</v>
      </c>
      <c r="U1023" s="77" t="str">
        <f>HYPERLINK("https://pbs.twimg.com/media/Ff0dkMsWQAIbfFf.jpg")</f>
        <v>https://pbs.twimg.com/media/Ff0dkMsWQAIbfFf.jpg</v>
      </c>
      <c r="V1023" s="77" t="str">
        <f>HYPERLINK("https://pbs.twimg.com/media/Ff0dkMsWQAIbfFf.jpg")</f>
        <v>https://pbs.twimg.com/media/Ff0dkMsWQAIbfFf.jpg</v>
      </c>
      <c r="W1023" s="76">
        <v>44958.937847222223</v>
      </c>
      <c r="X1023" s="80">
        <v>44958</v>
      </c>
      <c r="Y1023" s="78" t="s">
        <v>2960</v>
      </c>
      <c r="Z1023" s="77" t="str">
        <f>HYPERLINK("https://twitter.com/kahoiwai3/status/1620912502644084737")</f>
        <v>https://twitter.com/kahoiwai3/status/1620912502644084737</v>
      </c>
      <c r="AC1023" s="78" t="s">
        <v>4025</v>
      </c>
      <c r="AE1023" t="b">
        <v>0</v>
      </c>
      <c r="AF1023">
        <v>0</v>
      </c>
      <c r="AG1023" s="78" t="s">
        <v>4640</v>
      </c>
      <c r="AH1023" t="b">
        <v>0</v>
      </c>
      <c r="AI1023" t="s">
        <v>4829</v>
      </c>
      <c r="AK1023" s="78" t="s">
        <v>4640</v>
      </c>
      <c r="AL1023" t="b">
        <v>0</v>
      </c>
      <c r="AM1023">
        <v>105</v>
      </c>
      <c r="AN1023" s="78" t="s">
        <v>4051</v>
      </c>
      <c r="AO1023" s="78" t="s">
        <v>4851</v>
      </c>
      <c r="AP1023" t="b">
        <v>0</v>
      </c>
      <c r="AQ1023" s="78" t="s">
        <v>4051</v>
      </c>
      <c r="AR1023" t="s">
        <v>179</v>
      </c>
      <c r="AS1023">
        <v>0</v>
      </c>
      <c r="AT1023">
        <v>0</v>
      </c>
    </row>
    <row r="1024" spans="1:46" x14ac:dyDescent="0.45">
      <c r="A1024" s="62" t="s">
        <v>741</v>
      </c>
      <c r="B1024" s="62" t="s">
        <v>765</v>
      </c>
      <c r="C1024" s="63"/>
      <c r="D1024" s="64"/>
      <c r="E1024" s="65"/>
      <c r="F1024" s="66"/>
      <c r="G1024" s="63"/>
      <c r="H1024" s="67"/>
      <c r="I1024" s="68"/>
      <c r="J1024" s="68"/>
      <c r="K1024" s="32"/>
      <c r="L1024" s="75"/>
      <c r="M1024" s="75"/>
      <c r="N1024" s="70"/>
      <c r="O1024" t="s">
        <v>1569</v>
      </c>
      <c r="P1024" s="76">
        <v>44958.937847222223</v>
      </c>
      <c r="Q1024" t="s">
        <v>1591</v>
      </c>
      <c r="T1024" s="78" t="s">
        <v>2313</v>
      </c>
      <c r="U1024" s="77" t="str">
        <f>HYPERLINK("https://pbs.twimg.com/media/Ff0dkMsWQAIbfFf.jpg")</f>
        <v>https://pbs.twimg.com/media/Ff0dkMsWQAIbfFf.jpg</v>
      </c>
      <c r="V1024" s="77" t="str">
        <f>HYPERLINK("https://pbs.twimg.com/media/Ff0dkMsWQAIbfFf.jpg")</f>
        <v>https://pbs.twimg.com/media/Ff0dkMsWQAIbfFf.jpg</v>
      </c>
      <c r="W1024" s="76">
        <v>44958.937847222223</v>
      </c>
      <c r="X1024" s="80">
        <v>44958</v>
      </c>
      <c r="Y1024" s="78" t="s">
        <v>2960</v>
      </c>
      <c r="Z1024" s="77" t="str">
        <f>HYPERLINK("https://twitter.com/kahoiwai3/status/1620912502644084737")</f>
        <v>https://twitter.com/kahoiwai3/status/1620912502644084737</v>
      </c>
      <c r="AC1024" s="78" t="s">
        <v>4025</v>
      </c>
      <c r="AE1024" t="b">
        <v>0</v>
      </c>
      <c r="AF1024">
        <v>0</v>
      </c>
      <c r="AG1024" s="78" t="s">
        <v>4640</v>
      </c>
      <c r="AH1024" t="b">
        <v>0</v>
      </c>
      <c r="AI1024" t="s">
        <v>4829</v>
      </c>
      <c r="AK1024" s="78" t="s">
        <v>4640</v>
      </c>
      <c r="AL1024" t="b">
        <v>0</v>
      </c>
      <c r="AM1024">
        <v>105</v>
      </c>
      <c r="AN1024" s="78" t="s">
        <v>4051</v>
      </c>
      <c r="AO1024" s="78" t="s">
        <v>4851</v>
      </c>
      <c r="AP1024" t="b">
        <v>0</v>
      </c>
      <c r="AQ1024" s="78" t="s">
        <v>4051</v>
      </c>
      <c r="AR1024" t="s">
        <v>179</v>
      </c>
      <c r="AS1024">
        <v>0</v>
      </c>
      <c r="AT1024">
        <v>0</v>
      </c>
    </row>
    <row r="1025" spans="1:46" x14ac:dyDescent="0.45">
      <c r="A1025" s="62" t="s">
        <v>766</v>
      </c>
      <c r="B1025" s="62" t="s">
        <v>765</v>
      </c>
      <c r="C1025" s="63"/>
      <c r="D1025" s="64"/>
      <c r="E1025" s="65"/>
      <c r="F1025" s="66"/>
      <c r="G1025" s="63"/>
      <c r="H1025" s="67"/>
      <c r="I1025" s="68"/>
      <c r="J1025" s="68"/>
      <c r="K1025" s="32"/>
      <c r="L1025" s="75"/>
      <c r="M1025" s="75"/>
      <c r="N1025" s="70"/>
      <c r="O1025" t="s">
        <v>1569</v>
      </c>
      <c r="P1025" s="76">
        <v>44958.952210648145</v>
      </c>
      <c r="Q1025" t="s">
        <v>1591</v>
      </c>
      <c r="T1025" s="78" t="s">
        <v>2313</v>
      </c>
      <c r="U1025" s="77" t="str">
        <f>HYPERLINK("https://pbs.twimg.com/media/Ff0dkMsWQAIbfFf.jpg")</f>
        <v>https://pbs.twimg.com/media/Ff0dkMsWQAIbfFf.jpg</v>
      </c>
      <c r="V1025" s="77" t="str">
        <f>HYPERLINK("https://pbs.twimg.com/media/Ff0dkMsWQAIbfFf.jpg")</f>
        <v>https://pbs.twimg.com/media/Ff0dkMsWQAIbfFf.jpg</v>
      </c>
      <c r="W1025" s="76">
        <v>44958.952210648145</v>
      </c>
      <c r="X1025" s="80">
        <v>44958</v>
      </c>
      <c r="Y1025" s="78" t="s">
        <v>2987</v>
      </c>
      <c r="Z1025" s="77" t="str">
        <f>HYPERLINK("https://twitter.com/writter48/status/1620917707209150465")</f>
        <v>https://twitter.com/writter48/status/1620917707209150465</v>
      </c>
      <c r="AC1025" s="78" t="s">
        <v>4052</v>
      </c>
      <c r="AE1025" t="b">
        <v>0</v>
      </c>
      <c r="AF1025">
        <v>0</v>
      </c>
      <c r="AG1025" s="78" t="s">
        <v>4640</v>
      </c>
      <c r="AH1025" t="b">
        <v>0</v>
      </c>
      <c r="AI1025" t="s">
        <v>4829</v>
      </c>
      <c r="AK1025" s="78" t="s">
        <v>4640</v>
      </c>
      <c r="AL1025" t="b">
        <v>0</v>
      </c>
      <c r="AM1025">
        <v>105</v>
      </c>
      <c r="AN1025" s="78" t="s">
        <v>4051</v>
      </c>
      <c r="AO1025" s="78" t="s">
        <v>4851</v>
      </c>
      <c r="AP1025" t="b">
        <v>0</v>
      </c>
      <c r="AQ1025" s="78" t="s">
        <v>4051</v>
      </c>
      <c r="AR1025" t="s">
        <v>179</v>
      </c>
      <c r="AS1025">
        <v>0</v>
      </c>
      <c r="AT1025">
        <v>0</v>
      </c>
    </row>
    <row r="1026" spans="1:46" x14ac:dyDescent="0.45">
      <c r="A1026" s="62" t="s">
        <v>766</v>
      </c>
      <c r="B1026" s="62" t="s">
        <v>242</v>
      </c>
      <c r="C1026" s="63"/>
      <c r="D1026" s="64"/>
      <c r="E1026" s="65"/>
      <c r="F1026" s="66"/>
      <c r="G1026" s="63"/>
      <c r="H1026" s="67"/>
      <c r="I1026" s="68"/>
      <c r="J1026" s="68"/>
      <c r="K1026" s="32"/>
      <c r="L1026" s="75"/>
      <c r="M1026" s="75"/>
      <c r="N1026" s="70"/>
      <c r="O1026" t="s">
        <v>1570</v>
      </c>
      <c r="P1026" s="76">
        <v>44958.952210648145</v>
      </c>
      <c r="Q1026" t="s">
        <v>1591</v>
      </c>
      <c r="T1026" s="78" t="s">
        <v>2313</v>
      </c>
      <c r="U1026" s="77" t="str">
        <f>HYPERLINK("https://pbs.twimg.com/media/Ff0dkMsWQAIbfFf.jpg")</f>
        <v>https://pbs.twimg.com/media/Ff0dkMsWQAIbfFf.jpg</v>
      </c>
      <c r="V1026" s="77" t="str">
        <f>HYPERLINK("https://pbs.twimg.com/media/Ff0dkMsWQAIbfFf.jpg")</f>
        <v>https://pbs.twimg.com/media/Ff0dkMsWQAIbfFf.jpg</v>
      </c>
      <c r="W1026" s="76">
        <v>44958.952210648145</v>
      </c>
      <c r="X1026" s="80">
        <v>44958</v>
      </c>
      <c r="Y1026" s="78" t="s">
        <v>2987</v>
      </c>
      <c r="Z1026" s="77" t="str">
        <f>HYPERLINK("https://twitter.com/writter48/status/1620917707209150465")</f>
        <v>https://twitter.com/writter48/status/1620917707209150465</v>
      </c>
      <c r="AC1026" s="78" t="s">
        <v>4052</v>
      </c>
      <c r="AE1026" t="b">
        <v>0</v>
      </c>
      <c r="AF1026">
        <v>0</v>
      </c>
      <c r="AG1026" s="78" t="s">
        <v>4640</v>
      </c>
      <c r="AH1026" t="b">
        <v>0</v>
      </c>
      <c r="AI1026" t="s">
        <v>4829</v>
      </c>
      <c r="AK1026" s="78" t="s">
        <v>4640</v>
      </c>
      <c r="AL1026" t="b">
        <v>0</v>
      </c>
      <c r="AM1026">
        <v>105</v>
      </c>
      <c r="AN1026" s="78" t="s">
        <v>4051</v>
      </c>
      <c r="AO1026" s="78" t="s">
        <v>4851</v>
      </c>
      <c r="AP1026" t="b">
        <v>0</v>
      </c>
      <c r="AQ1026" s="78" t="s">
        <v>4051</v>
      </c>
      <c r="AR1026" t="s">
        <v>179</v>
      </c>
      <c r="AS1026">
        <v>0</v>
      </c>
      <c r="AT1026">
        <v>0</v>
      </c>
    </row>
    <row r="1027" spans="1:46" x14ac:dyDescent="0.45">
      <c r="A1027" s="62" t="s">
        <v>1060</v>
      </c>
      <c r="B1027" s="62" t="s">
        <v>242</v>
      </c>
      <c r="C1027" s="63"/>
      <c r="D1027" s="64"/>
      <c r="E1027" s="65"/>
      <c r="F1027" s="66"/>
      <c r="G1027" s="63"/>
      <c r="H1027" s="67"/>
      <c r="I1027" s="68"/>
      <c r="J1027" s="68"/>
      <c r="K1027" s="32"/>
      <c r="L1027" s="75"/>
      <c r="M1027" s="75"/>
      <c r="N1027" s="70"/>
      <c r="O1027" t="s">
        <v>1568</v>
      </c>
      <c r="P1027" s="76">
        <v>44959.517164351855</v>
      </c>
      <c r="Q1027" t="s">
        <v>2209</v>
      </c>
      <c r="T1027" s="78" t="s">
        <v>2416</v>
      </c>
      <c r="U1027" s="77" t="str">
        <f>HYPERLINK("https://pbs.twimg.com/media/Fn9iQdFWQAAUZgx.jpg")</f>
        <v>https://pbs.twimg.com/media/Fn9iQdFWQAAUZgx.jpg</v>
      </c>
      <c r="V1027" s="77" t="str">
        <f>HYPERLINK("https://pbs.twimg.com/media/Fn9iQdFWQAAUZgx.jpg")</f>
        <v>https://pbs.twimg.com/media/Fn9iQdFWQAAUZgx.jpg</v>
      </c>
      <c r="W1027" s="76">
        <v>44959.517164351855</v>
      </c>
      <c r="X1027" s="80">
        <v>44959</v>
      </c>
      <c r="Y1027" s="78" t="s">
        <v>3373</v>
      </c>
      <c r="Z1027" s="77" t="str">
        <f>HYPERLINK("https://twitter.com/jboogiebrown/status/1621122439798480897")</f>
        <v>https://twitter.com/jboogiebrown/status/1621122439798480897</v>
      </c>
      <c r="AC1027" s="78" t="s">
        <v>4438</v>
      </c>
      <c r="AD1027" s="78" t="s">
        <v>4627</v>
      </c>
      <c r="AE1027" t="b">
        <v>0</v>
      </c>
      <c r="AF1027">
        <v>0</v>
      </c>
      <c r="AG1027" s="78" t="s">
        <v>4813</v>
      </c>
      <c r="AH1027" t="b">
        <v>0</v>
      </c>
      <c r="AI1027" t="s">
        <v>4829</v>
      </c>
      <c r="AK1027" s="78" t="s">
        <v>4640</v>
      </c>
      <c r="AL1027" t="b">
        <v>0</v>
      </c>
      <c r="AM1027">
        <v>0</v>
      </c>
      <c r="AN1027" s="78" t="s">
        <v>4640</v>
      </c>
      <c r="AO1027" s="78" t="s">
        <v>4850</v>
      </c>
      <c r="AP1027" t="b">
        <v>0</v>
      </c>
      <c r="AQ1027" s="78" t="s">
        <v>4627</v>
      </c>
      <c r="AR1027" t="s">
        <v>179</v>
      </c>
      <c r="AS1027">
        <v>0</v>
      </c>
      <c r="AT1027">
        <v>0</v>
      </c>
    </row>
    <row r="1028" spans="1:46" x14ac:dyDescent="0.45">
      <c r="A1028" s="62" t="s">
        <v>1060</v>
      </c>
      <c r="B1028" s="62" t="s">
        <v>1113</v>
      </c>
      <c r="C1028" s="63"/>
      <c r="D1028" s="64"/>
      <c r="E1028" s="65"/>
      <c r="F1028" s="66"/>
      <c r="G1028" s="63"/>
      <c r="H1028" s="67"/>
      <c r="I1028" s="68"/>
      <c r="J1028" s="68"/>
      <c r="K1028" s="32"/>
      <c r="L1028" s="75"/>
      <c r="M1028" s="75"/>
      <c r="N1028" s="70"/>
      <c r="O1028" t="s">
        <v>1568</v>
      </c>
      <c r="P1028" s="76">
        <v>44959.517164351855</v>
      </c>
      <c r="Q1028" t="s">
        <v>2209</v>
      </c>
      <c r="T1028" s="78" t="s">
        <v>2416</v>
      </c>
      <c r="U1028" s="77" t="str">
        <f>HYPERLINK("https://pbs.twimg.com/media/Fn9iQdFWQAAUZgx.jpg")</f>
        <v>https://pbs.twimg.com/media/Fn9iQdFWQAAUZgx.jpg</v>
      </c>
      <c r="V1028" s="77" t="str">
        <f>HYPERLINK("https://pbs.twimg.com/media/Fn9iQdFWQAAUZgx.jpg")</f>
        <v>https://pbs.twimg.com/media/Fn9iQdFWQAAUZgx.jpg</v>
      </c>
      <c r="W1028" s="76">
        <v>44959.517164351855</v>
      </c>
      <c r="X1028" s="80">
        <v>44959</v>
      </c>
      <c r="Y1028" s="78" t="s">
        <v>3373</v>
      </c>
      <c r="Z1028" s="77" t="str">
        <f>HYPERLINK("https://twitter.com/jboogiebrown/status/1621122439798480897")</f>
        <v>https://twitter.com/jboogiebrown/status/1621122439798480897</v>
      </c>
      <c r="AC1028" s="78" t="s">
        <v>4438</v>
      </c>
      <c r="AD1028" s="78" t="s">
        <v>4627</v>
      </c>
      <c r="AE1028" t="b">
        <v>0</v>
      </c>
      <c r="AF1028">
        <v>0</v>
      </c>
      <c r="AG1028" s="78" t="s">
        <v>4813</v>
      </c>
      <c r="AH1028" t="b">
        <v>0</v>
      </c>
      <c r="AI1028" t="s">
        <v>4829</v>
      </c>
      <c r="AK1028" s="78" t="s">
        <v>4640</v>
      </c>
      <c r="AL1028" t="b">
        <v>0</v>
      </c>
      <c r="AM1028">
        <v>0</v>
      </c>
      <c r="AN1028" s="78" t="s">
        <v>4640</v>
      </c>
      <c r="AO1028" s="78" t="s">
        <v>4850</v>
      </c>
      <c r="AP1028" t="b">
        <v>0</v>
      </c>
      <c r="AQ1028" s="78" t="s">
        <v>4627</v>
      </c>
      <c r="AR1028" t="s">
        <v>179</v>
      </c>
      <c r="AS1028">
        <v>0</v>
      </c>
      <c r="AT1028">
        <v>0</v>
      </c>
    </row>
    <row r="1029" spans="1:46" x14ac:dyDescent="0.45">
      <c r="A1029" s="62" t="s">
        <v>682</v>
      </c>
      <c r="B1029" s="62" t="s">
        <v>1327</v>
      </c>
      <c r="C1029" s="63"/>
      <c r="D1029" s="64"/>
      <c r="E1029" s="65"/>
      <c r="F1029" s="66"/>
      <c r="G1029" s="63"/>
      <c r="H1029" s="67"/>
      <c r="I1029" s="68"/>
      <c r="J1029" s="68"/>
      <c r="K1029" s="32"/>
      <c r="L1029" s="75"/>
      <c r="M1029" s="75"/>
      <c r="N1029" s="70"/>
      <c r="O1029" t="s">
        <v>1568</v>
      </c>
      <c r="P1029" s="76">
        <v>44958.878136574072</v>
      </c>
      <c r="Q1029" t="s">
        <v>1867</v>
      </c>
      <c r="T1029" s="78" t="s">
        <v>2360</v>
      </c>
      <c r="U1029" s="77" t="str">
        <f>HYPERLINK("https://pbs.twimg.com/ext_tw_video_thumb/1620889832909152258/pu/img/LL4tyPxnIj4AUQ8l.jpg")</f>
        <v>https://pbs.twimg.com/ext_tw_video_thumb/1620889832909152258/pu/img/LL4tyPxnIj4AUQ8l.jpg</v>
      </c>
      <c r="V1029" s="77" t="str">
        <f>HYPERLINK("https://pbs.twimg.com/ext_tw_video_thumb/1620889832909152258/pu/img/LL4tyPxnIj4AUQ8l.jpg")</f>
        <v>https://pbs.twimg.com/ext_tw_video_thumb/1620889832909152258/pu/img/LL4tyPxnIj4AUQ8l.jpg</v>
      </c>
      <c r="W1029" s="76">
        <v>44958.878136574072</v>
      </c>
      <c r="X1029" s="80">
        <v>44958</v>
      </c>
      <c r="Y1029" s="78" t="s">
        <v>2883</v>
      </c>
      <c r="Z1029" s="77" t="str">
        <f>HYPERLINK("https://twitter.com/taillighttv/status/1620890865572122625")</f>
        <v>https://twitter.com/taillighttv/status/1620890865572122625</v>
      </c>
      <c r="AC1029" s="78" t="s">
        <v>3948</v>
      </c>
      <c r="AE1029" t="b">
        <v>0</v>
      </c>
      <c r="AF1029">
        <v>0</v>
      </c>
      <c r="AG1029" s="78" t="s">
        <v>4640</v>
      </c>
      <c r="AH1029" t="b">
        <v>0</v>
      </c>
      <c r="AI1029" t="s">
        <v>4829</v>
      </c>
      <c r="AK1029" s="78" t="s">
        <v>4640</v>
      </c>
      <c r="AL1029" t="b">
        <v>0</v>
      </c>
      <c r="AM1029">
        <v>0</v>
      </c>
      <c r="AN1029" s="78" t="s">
        <v>4640</v>
      </c>
      <c r="AO1029" s="78" t="s">
        <v>4851</v>
      </c>
      <c r="AP1029" t="b">
        <v>0</v>
      </c>
      <c r="AQ1029" s="78" t="s">
        <v>3948</v>
      </c>
      <c r="AR1029" t="s">
        <v>179</v>
      </c>
      <c r="AS1029">
        <v>0</v>
      </c>
      <c r="AT1029">
        <v>0</v>
      </c>
    </row>
    <row r="1030" spans="1:46" x14ac:dyDescent="0.45">
      <c r="A1030" s="62" t="s">
        <v>682</v>
      </c>
      <c r="B1030" s="62" t="s">
        <v>1328</v>
      </c>
      <c r="C1030" s="63"/>
      <c r="D1030" s="64"/>
      <c r="E1030" s="65"/>
      <c r="F1030" s="66"/>
      <c r="G1030" s="63"/>
      <c r="H1030" s="67"/>
      <c r="I1030" s="68"/>
      <c r="J1030" s="68"/>
      <c r="K1030" s="32"/>
      <c r="L1030" s="75"/>
      <c r="M1030" s="75"/>
      <c r="N1030" s="70"/>
      <c r="O1030" t="s">
        <v>1568</v>
      </c>
      <c r="P1030" s="76">
        <v>44958.878136574072</v>
      </c>
      <c r="Q1030" t="s">
        <v>1867</v>
      </c>
      <c r="T1030" s="78" t="s">
        <v>2360</v>
      </c>
      <c r="U1030" s="77" t="str">
        <f>HYPERLINK("https://pbs.twimg.com/ext_tw_video_thumb/1620889832909152258/pu/img/LL4tyPxnIj4AUQ8l.jpg")</f>
        <v>https://pbs.twimg.com/ext_tw_video_thumb/1620889832909152258/pu/img/LL4tyPxnIj4AUQ8l.jpg</v>
      </c>
      <c r="V1030" s="77" t="str">
        <f>HYPERLINK("https://pbs.twimg.com/ext_tw_video_thumb/1620889832909152258/pu/img/LL4tyPxnIj4AUQ8l.jpg")</f>
        <v>https://pbs.twimg.com/ext_tw_video_thumb/1620889832909152258/pu/img/LL4tyPxnIj4AUQ8l.jpg</v>
      </c>
      <c r="W1030" s="76">
        <v>44958.878136574072</v>
      </c>
      <c r="X1030" s="80">
        <v>44958</v>
      </c>
      <c r="Y1030" s="78" t="s">
        <v>2883</v>
      </c>
      <c r="Z1030" s="77" t="str">
        <f>HYPERLINK("https://twitter.com/taillighttv/status/1620890865572122625")</f>
        <v>https://twitter.com/taillighttv/status/1620890865572122625</v>
      </c>
      <c r="AC1030" s="78" t="s">
        <v>3948</v>
      </c>
      <c r="AE1030" t="b">
        <v>0</v>
      </c>
      <c r="AF1030">
        <v>0</v>
      </c>
      <c r="AG1030" s="78" t="s">
        <v>4640</v>
      </c>
      <c r="AH1030" t="b">
        <v>0</v>
      </c>
      <c r="AI1030" t="s">
        <v>4829</v>
      </c>
      <c r="AK1030" s="78" t="s">
        <v>4640</v>
      </c>
      <c r="AL1030" t="b">
        <v>0</v>
      </c>
      <c r="AM1030">
        <v>0</v>
      </c>
      <c r="AN1030" s="78" t="s">
        <v>4640</v>
      </c>
      <c r="AO1030" s="78" t="s">
        <v>4851</v>
      </c>
      <c r="AP1030" t="b">
        <v>0</v>
      </c>
      <c r="AQ1030" s="78" t="s">
        <v>3948</v>
      </c>
      <c r="AR1030" t="s">
        <v>179</v>
      </c>
      <c r="AS1030">
        <v>0</v>
      </c>
      <c r="AT1030">
        <v>0</v>
      </c>
    </row>
    <row r="1031" spans="1:46" x14ac:dyDescent="0.45">
      <c r="A1031" s="62" t="s">
        <v>682</v>
      </c>
      <c r="B1031" s="62" t="s">
        <v>242</v>
      </c>
      <c r="C1031" s="63"/>
      <c r="D1031" s="64"/>
      <c r="E1031" s="65"/>
      <c r="F1031" s="66"/>
      <c r="G1031" s="63"/>
      <c r="H1031" s="67"/>
      <c r="I1031" s="68"/>
      <c r="J1031" s="68"/>
      <c r="K1031" s="32"/>
      <c r="L1031" s="75"/>
      <c r="M1031" s="75"/>
      <c r="N1031" s="70"/>
      <c r="O1031" t="s">
        <v>1568</v>
      </c>
      <c r="P1031" s="76">
        <v>44958.878136574072</v>
      </c>
      <c r="Q1031" t="s">
        <v>1867</v>
      </c>
      <c r="T1031" s="78" t="s">
        <v>2360</v>
      </c>
      <c r="U1031" s="77" t="str">
        <f>HYPERLINK("https://pbs.twimg.com/ext_tw_video_thumb/1620889832909152258/pu/img/LL4tyPxnIj4AUQ8l.jpg")</f>
        <v>https://pbs.twimg.com/ext_tw_video_thumb/1620889832909152258/pu/img/LL4tyPxnIj4AUQ8l.jpg</v>
      </c>
      <c r="V1031" s="77" t="str">
        <f>HYPERLINK("https://pbs.twimg.com/ext_tw_video_thumb/1620889832909152258/pu/img/LL4tyPxnIj4AUQ8l.jpg")</f>
        <v>https://pbs.twimg.com/ext_tw_video_thumb/1620889832909152258/pu/img/LL4tyPxnIj4AUQ8l.jpg</v>
      </c>
      <c r="W1031" s="76">
        <v>44958.878136574072</v>
      </c>
      <c r="X1031" s="80">
        <v>44958</v>
      </c>
      <c r="Y1031" s="78" t="s">
        <v>2883</v>
      </c>
      <c r="Z1031" s="77" t="str">
        <f>HYPERLINK("https://twitter.com/taillighttv/status/1620890865572122625")</f>
        <v>https://twitter.com/taillighttv/status/1620890865572122625</v>
      </c>
      <c r="AC1031" s="78" t="s">
        <v>3948</v>
      </c>
      <c r="AE1031" t="b">
        <v>0</v>
      </c>
      <c r="AF1031">
        <v>0</v>
      </c>
      <c r="AG1031" s="78" t="s">
        <v>4640</v>
      </c>
      <c r="AH1031" t="b">
        <v>0</v>
      </c>
      <c r="AI1031" t="s">
        <v>4829</v>
      </c>
      <c r="AK1031" s="78" t="s">
        <v>4640</v>
      </c>
      <c r="AL1031" t="b">
        <v>0</v>
      </c>
      <c r="AM1031">
        <v>0</v>
      </c>
      <c r="AN1031" s="78" t="s">
        <v>4640</v>
      </c>
      <c r="AO1031" s="78" t="s">
        <v>4851</v>
      </c>
      <c r="AP1031" t="b">
        <v>0</v>
      </c>
      <c r="AQ1031" s="78" t="s">
        <v>3948</v>
      </c>
      <c r="AR1031" t="s">
        <v>179</v>
      </c>
      <c r="AS1031">
        <v>0</v>
      </c>
      <c r="AT1031">
        <v>0</v>
      </c>
    </row>
    <row r="1032" spans="1:46" x14ac:dyDescent="0.45">
      <c r="A1032" s="62" t="s">
        <v>783</v>
      </c>
      <c r="B1032" s="62" t="s">
        <v>242</v>
      </c>
      <c r="C1032" s="63"/>
      <c r="D1032" s="64"/>
      <c r="E1032" s="65"/>
      <c r="F1032" s="66"/>
      <c r="G1032" s="63"/>
      <c r="H1032" s="67"/>
      <c r="I1032" s="68"/>
      <c r="J1032" s="68"/>
      <c r="K1032" s="32"/>
      <c r="L1032" s="75"/>
      <c r="M1032" s="75"/>
      <c r="N1032" s="70"/>
      <c r="O1032" t="s">
        <v>1568</v>
      </c>
      <c r="P1032" s="76">
        <v>44958.967615740738</v>
      </c>
      <c r="Q1032" t="s">
        <v>1957</v>
      </c>
      <c r="T1032" s="78" t="s">
        <v>2373</v>
      </c>
      <c r="U1032" s="77" t="str">
        <f>HYPERLINK("https://pbs.twimg.com/media/Fn6tJLgWQAAaIL6.jpg")</f>
        <v>https://pbs.twimg.com/media/Fn6tJLgWQAAaIL6.jpg</v>
      </c>
      <c r="V1032" s="77" t="str">
        <f>HYPERLINK("https://pbs.twimg.com/media/Fn6tJLgWQAAaIL6.jpg")</f>
        <v>https://pbs.twimg.com/media/Fn6tJLgWQAAaIL6.jpg</v>
      </c>
      <c r="W1032" s="76">
        <v>44958.967615740738</v>
      </c>
      <c r="X1032" s="80">
        <v>44958</v>
      </c>
      <c r="Y1032" s="78" t="s">
        <v>3005</v>
      </c>
      <c r="Z1032" s="77" t="str">
        <f>HYPERLINK("https://twitter.com/beaaar/status/1620923292197724160")</f>
        <v>https://twitter.com/beaaar/status/1620923292197724160</v>
      </c>
      <c r="AC1032" s="78" t="s">
        <v>4070</v>
      </c>
      <c r="AE1032" t="b">
        <v>0</v>
      </c>
      <c r="AF1032">
        <v>0</v>
      </c>
      <c r="AG1032" s="78" t="s">
        <v>4640</v>
      </c>
      <c r="AH1032" t="b">
        <v>0</v>
      </c>
      <c r="AI1032" t="s">
        <v>4829</v>
      </c>
      <c r="AK1032" s="78" t="s">
        <v>4640</v>
      </c>
      <c r="AL1032" t="b">
        <v>0</v>
      </c>
      <c r="AM1032">
        <v>0</v>
      </c>
      <c r="AN1032" s="78" t="s">
        <v>4640</v>
      </c>
      <c r="AO1032" s="78" t="s">
        <v>4850</v>
      </c>
      <c r="AP1032" t="b">
        <v>0</v>
      </c>
      <c r="AQ1032" s="78" t="s">
        <v>4070</v>
      </c>
      <c r="AR1032" t="s">
        <v>179</v>
      </c>
      <c r="AS1032">
        <v>0</v>
      </c>
      <c r="AT1032">
        <v>0</v>
      </c>
    </row>
    <row r="1033" spans="1:46" x14ac:dyDescent="0.45">
      <c r="A1033" s="62" t="s">
        <v>926</v>
      </c>
      <c r="B1033" s="62" t="s">
        <v>242</v>
      </c>
      <c r="C1033" s="63"/>
      <c r="D1033" s="64"/>
      <c r="E1033" s="65"/>
      <c r="F1033" s="66"/>
      <c r="G1033" s="63"/>
      <c r="H1033" s="67"/>
      <c r="I1033" s="68"/>
      <c r="J1033" s="68"/>
      <c r="K1033" s="32"/>
      <c r="L1033" s="75"/>
      <c r="M1033" s="75"/>
      <c r="N1033" s="70"/>
      <c r="O1033" t="s">
        <v>1567</v>
      </c>
      <c r="P1033" s="76">
        <v>44959.127013888887</v>
      </c>
      <c r="Q1033" t="s">
        <v>2087</v>
      </c>
      <c r="T1033" s="78" t="s">
        <v>2398</v>
      </c>
      <c r="U1033" s="77" t="str">
        <f>HYPERLINK("https://pbs.twimg.com/media/Fn7hrc2X0AMdqo1.jpg")</f>
        <v>https://pbs.twimg.com/media/Fn7hrc2X0AMdqo1.jpg</v>
      </c>
      <c r="V1033" s="77" t="str">
        <f>HYPERLINK("https://pbs.twimg.com/media/Fn7hrc2X0AMdqo1.jpg")</f>
        <v>https://pbs.twimg.com/media/Fn7hrc2X0AMdqo1.jpg</v>
      </c>
      <c r="W1033" s="76">
        <v>44959.127013888887</v>
      </c>
      <c r="X1033" s="80">
        <v>44959</v>
      </c>
      <c r="Y1033" s="78" t="s">
        <v>3194</v>
      </c>
      <c r="Z1033" s="77" t="str">
        <f>HYPERLINK("https://twitter.com/clarkinfamous/status/1620981055804309505")</f>
        <v>https://twitter.com/clarkinfamous/status/1620981055804309505</v>
      </c>
      <c r="AC1033" s="78" t="s">
        <v>4259</v>
      </c>
      <c r="AE1033" t="b">
        <v>0</v>
      </c>
      <c r="AF1033">
        <v>0</v>
      </c>
      <c r="AG1033" s="78" t="s">
        <v>4639</v>
      </c>
      <c r="AH1033" t="b">
        <v>0</v>
      </c>
      <c r="AI1033" t="s">
        <v>4829</v>
      </c>
      <c r="AK1033" s="78" t="s">
        <v>4640</v>
      </c>
      <c r="AL1033" t="b">
        <v>0</v>
      </c>
      <c r="AM1033">
        <v>0</v>
      </c>
      <c r="AN1033" s="78" t="s">
        <v>4640</v>
      </c>
      <c r="AO1033" s="78" t="s">
        <v>4850</v>
      </c>
      <c r="AP1033" t="b">
        <v>0</v>
      </c>
      <c r="AQ1033" s="78" t="s">
        <v>4259</v>
      </c>
      <c r="AR1033" t="s">
        <v>179</v>
      </c>
      <c r="AS1033">
        <v>0</v>
      </c>
      <c r="AT1033">
        <v>0</v>
      </c>
    </row>
    <row r="1034" spans="1:46" x14ac:dyDescent="0.45">
      <c r="A1034" s="62" t="s">
        <v>242</v>
      </c>
      <c r="B1034" s="62" t="s">
        <v>242</v>
      </c>
      <c r="C1034" s="63"/>
      <c r="D1034" s="64"/>
      <c r="E1034" s="65"/>
      <c r="F1034" s="66"/>
      <c r="G1034" s="63"/>
      <c r="H1034" s="67"/>
      <c r="I1034" s="68"/>
      <c r="J1034" s="68"/>
      <c r="K1034" s="32"/>
      <c r="L1034" s="75"/>
      <c r="M1034" s="75"/>
      <c r="N1034" s="70"/>
      <c r="O1034" t="s">
        <v>179</v>
      </c>
      <c r="P1034" s="76">
        <v>44958.98</v>
      </c>
      <c r="Q1034" t="s">
        <v>1971</v>
      </c>
      <c r="T1034" s="78" t="s">
        <v>2376</v>
      </c>
      <c r="V1034" s="77" t="str">
        <f>HYPERLINK("https://pbs.twimg.com/profile_images/1614031605676253184/n4E7yeWV_normal.jpg")</f>
        <v>https://pbs.twimg.com/profile_images/1614031605676253184/n4E7yeWV_normal.jpg</v>
      </c>
      <c r="W1034" s="76">
        <v>44958.98</v>
      </c>
      <c r="X1034" s="80">
        <v>44958</v>
      </c>
      <c r="Y1034" s="78" t="s">
        <v>3432</v>
      </c>
      <c r="Z1034" s="77" t="str">
        <f>HYPERLINK("https://twitter.com/walmart/status/1620927779348058114")</f>
        <v>https://twitter.com/walmart/status/1620927779348058114</v>
      </c>
      <c r="AC1034" s="78" t="s">
        <v>4497</v>
      </c>
      <c r="AE1034" t="b">
        <v>0</v>
      </c>
      <c r="AF1034">
        <v>56</v>
      </c>
      <c r="AG1034" s="78" t="s">
        <v>4640</v>
      </c>
      <c r="AH1034" t="b">
        <v>0</v>
      </c>
      <c r="AI1034" t="s">
        <v>4829</v>
      </c>
      <c r="AK1034" s="78" t="s">
        <v>4640</v>
      </c>
      <c r="AL1034" t="b">
        <v>0</v>
      </c>
      <c r="AM1034">
        <v>7</v>
      </c>
      <c r="AN1034" s="78" t="s">
        <v>4640</v>
      </c>
      <c r="AO1034" s="78" t="s">
        <v>4851</v>
      </c>
      <c r="AP1034" t="b">
        <v>0</v>
      </c>
      <c r="AQ1034" s="78" t="s">
        <v>4497</v>
      </c>
      <c r="AR1034" t="s">
        <v>1569</v>
      </c>
      <c r="AS1034">
        <v>0</v>
      </c>
      <c r="AT1034">
        <v>0</v>
      </c>
    </row>
    <row r="1035" spans="1:46" x14ac:dyDescent="0.45">
      <c r="A1035" s="62" t="s">
        <v>800</v>
      </c>
      <c r="B1035" s="62" t="s">
        <v>242</v>
      </c>
      <c r="C1035" s="63"/>
      <c r="D1035" s="64"/>
      <c r="E1035" s="65"/>
      <c r="F1035" s="66"/>
      <c r="G1035" s="63"/>
      <c r="H1035" s="67"/>
      <c r="I1035" s="68"/>
      <c r="J1035" s="68"/>
      <c r="K1035" s="32"/>
      <c r="L1035" s="75"/>
      <c r="M1035" s="75"/>
      <c r="N1035" s="70"/>
      <c r="O1035" t="s">
        <v>1569</v>
      </c>
      <c r="P1035" s="76">
        <v>44958.980057870373</v>
      </c>
      <c r="Q1035" t="s">
        <v>1971</v>
      </c>
      <c r="T1035" s="78" t="s">
        <v>2376</v>
      </c>
      <c r="V1035" s="77" t="str">
        <f>HYPERLINK("https://pbs.twimg.com/profile_images/1554594370405400576/e7H-UDtd_normal.jpg")</f>
        <v>https://pbs.twimg.com/profile_images/1554594370405400576/e7H-UDtd_normal.jpg</v>
      </c>
      <c r="W1035" s="76">
        <v>44958.980057870373</v>
      </c>
      <c r="X1035" s="80">
        <v>44958</v>
      </c>
      <c r="Y1035" s="78" t="s">
        <v>3025</v>
      </c>
      <c r="Z1035" s="77" t="str">
        <f>HYPERLINK("https://twitter.com/battistoni_kyle/status/1620927801347149825")</f>
        <v>https://twitter.com/battistoni_kyle/status/1620927801347149825</v>
      </c>
      <c r="AC1035" s="78" t="s">
        <v>4090</v>
      </c>
      <c r="AE1035" t="b">
        <v>0</v>
      </c>
      <c r="AF1035">
        <v>0</v>
      </c>
      <c r="AG1035" s="78" t="s">
        <v>4640</v>
      </c>
      <c r="AH1035" t="b">
        <v>0</v>
      </c>
      <c r="AI1035" t="s">
        <v>4829</v>
      </c>
      <c r="AK1035" s="78" t="s">
        <v>4640</v>
      </c>
      <c r="AL1035" t="b">
        <v>0</v>
      </c>
      <c r="AM1035">
        <v>7</v>
      </c>
      <c r="AN1035" s="78" t="s">
        <v>4497</v>
      </c>
      <c r="AO1035" s="78" t="s">
        <v>4849</v>
      </c>
      <c r="AP1035" t="b">
        <v>0</v>
      </c>
      <c r="AQ1035" s="78" t="s">
        <v>4497</v>
      </c>
      <c r="AR1035" t="s">
        <v>179</v>
      </c>
      <c r="AS1035">
        <v>0</v>
      </c>
      <c r="AT1035">
        <v>0</v>
      </c>
    </row>
    <row r="1036" spans="1:46" x14ac:dyDescent="0.45">
      <c r="A1036" s="62" t="s">
        <v>801</v>
      </c>
      <c r="B1036" s="62" t="s">
        <v>242</v>
      </c>
      <c r="C1036" s="63"/>
      <c r="D1036" s="64"/>
      <c r="E1036" s="65"/>
      <c r="F1036" s="66"/>
      <c r="G1036" s="63"/>
      <c r="H1036" s="67"/>
      <c r="I1036" s="68"/>
      <c r="J1036" s="68"/>
      <c r="K1036" s="32"/>
      <c r="L1036" s="75"/>
      <c r="M1036" s="75"/>
      <c r="N1036" s="70"/>
      <c r="O1036" t="s">
        <v>1569</v>
      </c>
      <c r="P1036" s="76">
        <v>44958.980358796296</v>
      </c>
      <c r="Q1036" t="s">
        <v>1971</v>
      </c>
      <c r="T1036" s="78" t="s">
        <v>2376</v>
      </c>
      <c r="V1036" s="77" t="str">
        <f>HYPERLINK("https://pbs.twimg.com/profile_images/1409369735037345793/B3O_kjfe_normal.jpg")</f>
        <v>https://pbs.twimg.com/profile_images/1409369735037345793/B3O_kjfe_normal.jpg</v>
      </c>
      <c r="W1036" s="76">
        <v>44958.980358796296</v>
      </c>
      <c r="X1036" s="80">
        <v>44958</v>
      </c>
      <c r="Y1036" s="78" t="s">
        <v>3026</v>
      </c>
      <c r="Z1036" s="77" t="str">
        <f>HYPERLINK("https://twitter.com/janabananaky/status/1620927910717825025")</f>
        <v>https://twitter.com/janabananaky/status/1620927910717825025</v>
      </c>
      <c r="AC1036" s="78" t="s">
        <v>4091</v>
      </c>
      <c r="AE1036" t="b">
        <v>0</v>
      </c>
      <c r="AF1036">
        <v>0</v>
      </c>
      <c r="AG1036" s="78" t="s">
        <v>4640</v>
      </c>
      <c r="AH1036" t="b">
        <v>0</v>
      </c>
      <c r="AI1036" t="s">
        <v>4829</v>
      </c>
      <c r="AK1036" s="78" t="s">
        <v>4640</v>
      </c>
      <c r="AL1036" t="b">
        <v>0</v>
      </c>
      <c r="AM1036">
        <v>7</v>
      </c>
      <c r="AN1036" s="78" t="s">
        <v>4497</v>
      </c>
      <c r="AO1036" s="78" t="s">
        <v>4849</v>
      </c>
      <c r="AP1036" t="b">
        <v>0</v>
      </c>
      <c r="AQ1036" s="78" t="s">
        <v>4497</v>
      </c>
      <c r="AR1036" t="s">
        <v>179</v>
      </c>
      <c r="AS1036">
        <v>0</v>
      </c>
      <c r="AT1036">
        <v>0</v>
      </c>
    </row>
    <row r="1037" spans="1:46" x14ac:dyDescent="0.45">
      <c r="A1037" s="62" t="s">
        <v>802</v>
      </c>
      <c r="B1037" s="62" t="s">
        <v>242</v>
      </c>
      <c r="C1037" s="63"/>
      <c r="D1037" s="64"/>
      <c r="E1037" s="65"/>
      <c r="F1037" s="66"/>
      <c r="G1037" s="63"/>
      <c r="H1037" s="67"/>
      <c r="I1037" s="68"/>
      <c r="J1037" s="68"/>
      <c r="K1037" s="32"/>
      <c r="L1037" s="75"/>
      <c r="M1037" s="75"/>
      <c r="N1037" s="70"/>
      <c r="O1037" t="s">
        <v>1569</v>
      </c>
      <c r="P1037" s="76">
        <v>44958.980520833335</v>
      </c>
      <c r="Q1037" t="s">
        <v>1971</v>
      </c>
      <c r="T1037" s="78" t="s">
        <v>2376</v>
      </c>
      <c r="V1037" s="77" t="str">
        <f>HYPERLINK("https://pbs.twimg.com/profile_images/1600838314529099777/otOg6vRG_normal.jpg")</f>
        <v>https://pbs.twimg.com/profile_images/1600838314529099777/otOg6vRG_normal.jpg</v>
      </c>
      <c r="W1037" s="76">
        <v>44958.980520833335</v>
      </c>
      <c r="X1037" s="80">
        <v>44958</v>
      </c>
      <c r="Y1037" s="78" t="s">
        <v>3027</v>
      </c>
      <c r="Z1037" s="77" t="str">
        <f>HYPERLINK("https://twitter.com/eggswiffyshady/status/1620927966615150593")</f>
        <v>https://twitter.com/eggswiffyshady/status/1620927966615150593</v>
      </c>
      <c r="AC1037" s="78" t="s">
        <v>4092</v>
      </c>
      <c r="AE1037" t="b">
        <v>0</v>
      </c>
      <c r="AF1037">
        <v>0</v>
      </c>
      <c r="AG1037" s="78" t="s">
        <v>4640</v>
      </c>
      <c r="AH1037" t="b">
        <v>0</v>
      </c>
      <c r="AI1037" t="s">
        <v>4829</v>
      </c>
      <c r="AK1037" s="78" t="s">
        <v>4640</v>
      </c>
      <c r="AL1037" t="b">
        <v>0</v>
      </c>
      <c r="AM1037">
        <v>7</v>
      </c>
      <c r="AN1037" s="78" t="s">
        <v>4497</v>
      </c>
      <c r="AO1037" s="78" t="s">
        <v>4849</v>
      </c>
      <c r="AP1037" t="b">
        <v>0</v>
      </c>
      <c r="AQ1037" s="78" t="s">
        <v>4497</v>
      </c>
      <c r="AR1037" t="s">
        <v>179</v>
      </c>
      <c r="AS1037">
        <v>0</v>
      </c>
      <c r="AT1037">
        <v>0</v>
      </c>
    </row>
    <row r="1038" spans="1:46" x14ac:dyDescent="0.45">
      <c r="A1038" s="62" t="s">
        <v>803</v>
      </c>
      <c r="B1038" s="62" t="s">
        <v>242</v>
      </c>
      <c r="C1038" s="63"/>
      <c r="D1038" s="64"/>
      <c r="E1038" s="65"/>
      <c r="F1038" s="66"/>
      <c r="G1038" s="63"/>
      <c r="H1038" s="67"/>
      <c r="I1038" s="68"/>
      <c r="J1038" s="68"/>
      <c r="K1038" s="32"/>
      <c r="L1038" s="75"/>
      <c r="M1038" s="75"/>
      <c r="N1038" s="70"/>
      <c r="O1038" t="s">
        <v>1569</v>
      </c>
      <c r="P1038" s="76">
        <v>44958.981608796297</v>
      </c>
      <c r="Q1038" t="s">
        <v>1971</v>
      </c>
      <c r="T1038" s="78" t="s">
        <v>2376</v>
      </c>
      <c r="V1038" s="77" t="str">
        <f>HYPERLINK("https://pbs.twimg.com/profile_images/1473759264158142484/4VTRT7JR_normal.jpg")</f>
        <v>https://pbs.twimg.com/profile_images/1473759264158142484/4VTRT7JR_normal.jpg</v>
      </c>
      <c r="W1038" s="76">
        <v>44958.981608796297</v>
      </c>
      <c r="X1038" s="80">
        <v>44958</v>
      </c>
      <c r="Y1038" s="78" t="s">
        <v>3028</v>
      </c>
      <c r="Z1038" s="77" t="str">
        <f>HYPERLINK("https://twitter.com/mstinamarii/status/1620928361827803136")</f>
        <v>https://twitter.com/mstinamarii/status/1620928361827803136</v>
      </c>
      <c r="AC1038" s="78" t="s">
        <v>4093</v>
      </c>
      <c r="AE1038" t="b">
        <v>0</v>
      </c>
      <c r="AF1038">
        <v>0</v>
      </c>
      <c r="AG1038" s="78" t="s">
        <v>4640</v>
      </c>
      <c r="AH1038" t="b">
        <v>0</v>
      </c>
      <c r="AI1038" t="s">
        <v>4829</v>
      </c>
      <c r="AK1038" s="78" t="s">
        <v>4640</v>
      </c>
      <c r="AL1038" t="b">
        <v>0</v>
      </c>
      <c r="AM1038">
        <v>7</v>
      </c>
      <c r="AN1038" s="78" t="s">
        <v>4497</v>
      </c>
      <c r="AO1038" s="78" t="s">
        <v>4849</v>
      </c>
      <c r="AP1038" t="b">
        <v>0</v>
      </c>
      <c r="AQ1038" s="78" t="s">
        <v>4497</v>
      </c>
      <c r="AR1038" t="s">
        <v>179</v>
      </c>
      <c r="AS1038">
        <v>0</v>
      </c>
      <c r="AT1038">
        <v>0</v>
      </c>
    </row>
    <row r="1039" spans="1:46" x14ac:dyDescent="0.45">
      <c r="A1039" s="62" t="s">
        <v>813</v>
      </c>
      <c r="B1039" s="62" t="s">
        <v>242</v>
      </c>
      <c r="C1039" s="63"/>
      <c r="D1039" s="64"/>
      <c r="E1039" s="65"/>
      <c r="F1039" s="66"/>
      <c r="G1039" s="63"/>
      <c r="H1039" s="67"/>
      <c r="I1039" s="68"/>
      <c r="J1039" s="68"/>
      <c r="K1039" s="32"/>
      <c r="L1039" s="75"/>
      <c r="M1039" s="75"/>
      <c r="N1039" s="70"/>
      <c r="O1039" t="s">
        <v>1569</v>
      </c>
      <c r="P1039" s="76">
        <v>44958.994386574072</v>
      </c>
      <c r="Q1039" t="s">
        <v>1971</v>
      </c>
      <c r="T1039" s="78" t="s">
        <v>2376</v>
      </c>
      <c r="V1039" s="77" t="str">
        <f>HYPERLINK("https://pbs.twimg.com/profile_images/1619546011122429953/am4WM1s5_normal.jpg")</f>
        <v>https://pbs.twimg.com/profile_images/1619546011122429953/am4WM1s5_normal.jpg</v>
      </c>
      <c r="W1039" s="76">
        <v>44958.994386574072</v>
      </c>
      <c r="X1039" s="80">
        <v>44958</v>
      </c>
      <c r="Y1039" s="78" t="s">
        <v>3052</v>
      </c>
      <c r="Z1039" s="77" t="str">
        <f>HYPERLINK("https://twitter.com/silvrscrnqueen/status/1620932993924878337")</f>
        <v>https://twitter.com/silvrscrnqueen/status/1620932993924878337</v>
      </c>
      <c r="AC1039" s="78" t="s">
        <v>4117</v>
      </c>
      <c r="AE1039" t="b">
        <v>0</v>
      </c>
      <c r="AF1039">
        <v>0</v>
      </c>
      <c r="AG1039" s="78" t="s">
        <v>4640</v>
      </c>
      <c r="AH1039" t="b">
        <v>0</v>
      </c>
      <c r="AI1039" t="s">
        <v>4829</v>
      </c>
      <c r="AK1039" s="78" t="s">
        <v>4640</v>
      </c>
      <c r="AL1039" t="b">
        <v>0</v>
      </c>
      <c r="AM1039">
        <v>7</v>
      </c>
      <c r="AN1039" s="78" t="s">
        <v>4497</v>
      </c>
      <c r="AO1039" s="78" t="s">
        <v>4850</v>
      </c>
      <c r="AP1039" t="b">
        <v>0</v>
      </c>
      <c r="AQ1039" s="78" t="s">
        <v>4497</v>
      </c>
      <c r="AR1039" t="s">
        <v>179</v>
      </c>
      <c r="AS1039">
        <v>0</v>
      </c>
      <c r="AT1039">
        <v>0</v>
      </c>
    </row>
    <row r="1040" spans="1:46" x14ac:dyDescent="0.45">
      <c r="A1040" s="62" t="s">
        <v>861</v>
      </c>
      <c r="B1040" s="62" t="s">
        <v>242</v>
      </c>
      <c r="C1040" s="63"/>
      <c r="D1040" s="64"/>
      <c r="E1040" s="65"/>
      <c r="F1040" s="66"/>
      <c r="G1040" s="63"/>
      <c r="H1040" s="67"/>
      <c r="I1040" s="68"/>
      <c r="J1040" s="68"/>
      <c r="K1040" s="32"/>
      <c r="L1040" s="75"/>
      <c r="M1040" s="75"/>
      <c r="N1040" s="70"/>
      <c r="O1040" t="s">
        <v>1569</v>
      </c>
      <c r="P1040" s="76">
        <v>44959.039479166669</v>
      </c>
      <c r="Q1040" t="s">
        <v>1971</v>
      </c>
      <c r="T1040" s="78" t="s">
        <v>2376</v>
      </c>
      <c r="V1040" s="77" t="str">
        <f>HYPERLINK("https://pbs.twimg.com/profile_images/904062986964180992/h-NZBPc8_normal.jpg")</f>
        <v>https://pbs.twimg.com/profile_images/904062986964180992/h-NZBPc8_normal.jpg</v>
      </c>
      <c r="W1040" s="76">
        <v>44959.039479166669</v>
      </c>
      <c r="X1040" s="80">
        <v>44959</v>
      </c>
      <c r="Y1040" s="78" t="s">
        <v>3121</v>
      </c>
      <c r="Z1040" s="77" t="str">
        <f>HYPERLINK("https://twitter.com/oldlady12345/status/1620949333972586496")</f>
        <v>https://twitter.com/oldlady12345/status/1620949333972586496</v>
      </c>
      <c r="AC1040" s="78" t="s">
        <v>4186</v>
      </c>
      <c r="AE1040" t="b">
        <v>0</v>
      </c>
      <c r="AF1040">
        <v>0</v>
      </c>
      <c r="AG1040" s="78" t="s">
        <v>4640</v>
      </c>
      <c r="AH1040" t="b">
        <v>0</v>
      </c>
      <c r="AI1040" t="s">
        <v>4829</v>
      </c>
      <c r="AK1040" s="78" t="s">
        <v>4640</v>
      </c>
      <c r="AL1040" t="b">
        <v>0</v>
      </c>
      <c r="AM1040">
        <v>7</v>
      </c>
      <c r="AN1040" s="78" t="s">
        <v>4497</v>
      </c>
      <c r="AO1040" s="78" t="s">
        <v>4850</v>
      </c>
      <c r="AP1040" t="b">
        <v>0</v>
      </c>
      <c r="AQ1040" s="78" t="s">
        <v>4497</v>
      </c>
      <c r="AR1040" t="s">
        <v>179</v>
      </c>
      <c r="AS1040">
        <v>0</v>
      </c>
      <c r="AT1040">
        <v>0</v>
      </c>
    </row>
    <row r="1041" spans="1:46" x14ac:dyDescent="0.45">
      <c r="A1041" s="62" t="s">
        <v>1063</v>
      </c>
      <c r="B1041" s="62" t="s">
        <v>242</v>
      </c>
      <c r="C1041" s="63"/>
      <c r="D1041" s="64"/>
      <c r="E1041" s="65"/>
      <c r="F1041" s="66"/>
      <c r="G1041" s="63"/>
      <c r="H1041" s="67"/>
      <c r="I1041" s="68"/>
      <c r="J1041" s="68"/>
      <c r="K1041" s="32"/>
      <c r="L1041" s="75"/>
      <c r="M1041" s="75"/>
      <c r="N1041" s="70"/>
      <c r="O1041" t="s">
        <v>1569</v>
      </c>
      <c r="P1041" s="76">
        <v>44959.536412037036</v>
      </c>
      <c r="Q1041" t="s">
        <v>1971</v>
      </c>
      <c r="T1041" s="78" t="s">
        <v>2376</v>
      </c>
      <c r="V1041" s="77" t="str">
        <f>HYPERLINK("https://pbs.twimg.com/profile_images/1608530466566508545/wWsTkpdu_normal.jpg")</f>
        <v>https://pbs.twimg.com/profile_images/1608530466566508545/wWsTkpdu_normal.jpg</v>
      </c>
      <c r="W1041" s="76">
        <v>44959.536412037036</v>
      </c>
      <c r="X1041" s="80">
        <v>44959</v>
      </c>
      <c r="Y1041" s="78" t="s">
        <v>3376</v>
      </c>
      <c r="Z1041" s="77" t="str">
        <f>HYPERLINK("https://twitter.com/ejayarrow/status/1621129415932481538")</f>
        <v>https://twitter.com/ejayarrow/status/1621129415932481538</v>
      </c>
      <c r="AC1041" s="78" t="s">
        <v>4441</v>
      </c>
      <c r="AE1041" t="b">
        <v>0</v>
      </c>
      <c r="AF1041">
        <v>0</v>
      </c>
      <c r="AG1041" s="78" t="s">
        <v>4640</v>
      </c>
      <c r="AH1041" t="b">
        <v>0</v>
      </c>
      <c r="AI1041" t="s">
        <v>4829</v>
      </c>
      <c r="AK1041" s="78" t="s">
        <v>4640</v>
      </c>
      <c r="AL1041" t="b">
        <v>0</v>
      </c>
      <c r="AM1041">
        <v>7</v>
      </c>
      <c r="AN1041" s="78" t="s">
        <v>4497</v>
      </c>
      <c r="AO1041" s="78" t="s">
        <v>4849</v>
      </c>
      <c r="AP1041" t="b">
        <v>0</v>
      </c>
      <c r="AQ1041" s="78" t="s">
        <v>4497</v>
      </c>
      <c r="AR1041" t="s">
        <v>179</v>
      </c>
      <c r="AS1041">
        <v>0</v>
      </c>
      <c r="AT1041">
        <v>0</v>
      </c>
    </row>
    <row r="1042" spans="1:46" x14ac:dyDescent="0.45">
      <c r="A1042" s="62" t="s">
        <v>494</v>
      </c>
      <c r="B1042" s="62" t="s">
        <v>1290</v>
      </c>
      <c r="C1042" s="63"/>
      <c r="D1042" s="64"/>
      <c r="E1042" s="65"/>
      <c r="F1042" s="66"/>
      <c r="G1042" s="63"/>
      <c r="H1042" s="67"/>
      <c r="I1042" s="68"/>
      <c r="J1042" s="68"/>
      <c r="K1042" s="32"/>
      <c r="L1042" s="75"/>
      <c r="M1042" s="75"/>
      <c r="N1042" s="70"/>
      <c r="O1042" t="s">
        <v>1568</v>
      </c>
      <c r="P1042" s="76">
        <v>44958.750532407408</v>
      </c>
      <c r="Q1042" t="s">
        <v>1794</v>
      </c>
      <c r="T1042" s="78" t="s">
        <v>2346</v>
      </c>
      <c r="V1042" s="77" t="str">
        <f>HYPERLINK("https://pbs.twimg.com/profile_images/1620849130103767053/NZkpaIi8_normal.jpg")</f>
        <v>https://pbs.twimg.com/profile_images/1620849130103767053/NZkpaIi8_normal.jpg</v>
      </c>
      <c r="W1042" s="76">
        <v>44958.750532407408</v>
      </c>
      <c r="X1042" s="80">
        <v>44958</v>
      </c>
      <c r="Y1042" s="78" t="s">
        <v>2754</v>
      </c>
      <c r="Z1042" s="77" t="str">
        <f>HYPERLINK("https://twitter.com/labordayworx/status/1620844624259739648")</f>
        <v>https://twitter.com/labordayworx/status/1620844624259739648</v>
      </c>
      <c r="AC1042" s="78" t="s">
        <v>3773</v>
      </c>
      <c r="AE1042" t="b">
        <v>0</v>
      </c>
      <c r="AF1042">
        <v>4</v>
      </c>
      <c r="AG1042" s="78" t="s">
        <v>4709</v>
      </c>
      <c r="AH1042" t="b">
        <v>0</v>
      </c>
      <c r="AI1042" t="s">
        <v>4829</v>
      </c>
      <c r="AK1042" s="78" t="s">
        <v>4640</v>
      </c>
      <c r="AL1042" t="b">
        <v>0</v>
      </c>
      <c r="AM1042">
        <v>1</v>
      </c>
      <c r="AN1042" s="78" t="s">
        <v>4640</v>
      </c>
      <c r="AO1042" s="78" t="s">
        <v>4851</v>
      </c>
      <c r="AP1042" t="b">
        <v>0</v>
      </c>
      <c r="AQ1042" s="78" t="s">
        <v>3773</v>
      </c>
      <c r="AR1042" t="s">
        <v>179</v>
      </c>
      <c r="AS1042">
        <v>0</v>
      </c>
      <c r="AT1042">
        <v>0</v>
      </c>
    </row>
    <row r="1043" spans="1:46" x14ac:dyDescent="0.45">
      <c r="A1043" s="62" t="s">
        <v>494</v>
      </c>
      <c r="B1043" s="62" t="s">
        <v>242</v>
      </c>
      <c r="C1043" s="63"/>
      <c r="D1043" s="64"/>
      <c r="E1043" s="65"/>
      <c r="F1043" s="66"/>
      <c r="G1043" s="63"/>
      <c r="H1043" s="67"/>
      <c r="I1043" s="68"/>
      <c r="J1043" s="68"/>
      <c r="K1043" s="32"/>
      <c r="L1043" s="75"/>
      <c r="M1043" s="75"/>
      <c r="N1043" s="70"/>
      <c r="O1043" t="s">
        <v>1568</v>
      </c>
      <c r="P1043" s="76">
        <v>44958.750532407408</v>
      </c>
      <c r="Q1043" t="s">
        <v>1794</v>
      </c>
      <c r="T1043" s="78" t="s">
        <v>2346</v>
      </c>
      <c r="V1043" s="77" t="str">
        <f>HYPERLINK("https://pbs.twimg.com/profile_images/1620849130103767053/NZkpaIi8_normal.jpg")</f>
        <v>https://pbs.twimg.com/profile_images/1620849130103767053/NZkpaIi8_normal.jpg</v>
      </c>
      <c r="W1043" s="76">
        <v>44958.750532407408</v>
      </c>
      <c r="X1043" s="80">
        <v>44958</v>
      </c>
      <c r="Y1043" s="78" t="s">
        <v>2754</v>
      </c>
      <c r="Z1043" s="77" t="str">
        <f>HYPERLINK("https://twitter.com/labordayworx/status/1620844624259739648")</f>
        <v>https://twitter.com/labordayworx/status/1620844624259739648</v>
      </c>
      <c r="AC1043" s="78" t="s">
        <v>3773</v>
      </c>
      <c r="AE1043" t="b">
        <v>0</v>
      </c>
      <c r="AF1043">
        <v>4</v>
      </c>
      <c r="AG1043" s="78" t="s">
        <v>4709</v>
      </c>
      <c r="AH1043" t="b">
        <v>0</v>
      </c>
      <c r="AI1043" t="s">
        <v>4829</v>
      </c>
      <c r="AK1043" s="78" t="s">
        <v>4640</v>
      </c>
      <c r="AL1043" t="b">
        <v>0</v>
      </c>
      <c r="AM1043">
        <v>1</v>
      </c>
      <c r="AN1043" s="78" t="s">
        <v>4640</v>
      </c>
      <c r="AO1043" s="78" t="s">
        <v>4851</v>
      </c>
      <c r="AP1043" t="b">
        <v>0</v>
      </c>
      <c r="AQ1043" s="78" t="s">
        <v>3773</v>
      </c>
      <c r="AR1043" t="s">
        <v>179</v>
      </c>
      <c r="AS1043">
        <v>0</v>
      </c>
      <c r="AT1043">
        <v>0</v>
      </c>
    </row>
    <row r="1044" spans="1:46" x14ac:dyDescent="0.45">
      <c r="A1044" s="62" t="s">
        <v>494</v>
      </c>
      <c r="B1044" s="62" t="s">
        <v>1291</v>
      </c>
      <c r="C1044" s="63"/>
      <c r="D1044" s="64"/>
      <c r="E1044" s="65"/>
      <c r="F1044" s="66"/>
      <c r="G1044" s="63"/>
      <c r="H1044" s="67"/>
      <c r="I1044" s="68"/>
      <c r="J1044" s="68"/>
      <c r="K1044" s="32"/>
      <c r="L1044" s="75"/>
      <c r="M1044" s="75"/>
      <c r="N1044" s="70"/>
      <c r="O1044" t="s">
        <v>1567</v>
      </c>
      <c r="P1044" s="76">
        <v>44958.750532407408</v>
      </c>
      <c r="Q1044" t="s">
        <v>1794</v>
      </c>
      <c r="T1044" s="78" t="s">
        <v>2346</v>
      </c>
      <c r="V1044" s="77" t="str">
        <f>HYPERLINK("https://pbs.twimg.com/profile_images/1620849130103767053/NZkpaIi8_normal.jpg")</f>
        <v>https://pbs.twimg.com/profile_images/1620849130103767053/NZkpaIi8_normal.jpg</v>
      </c>
      <c r="W1044" s="76">
        <v>44958.750532407408</v>
      </c>
      <c r="X1044" s="80">
        <v>44958</v>
      </c>
      <c r="Y1044" s="78" t="s">
        <v>2754</v>
      </c>
      <c r="Z1044" s="77" t="str">
        <f>HYPERLINK("https://twitter.com/labordayworx/status/1620844624259739648")</f>
        <v>https://twitter.com/labordayworx/status/1620844624259739648</v>
      </c>
      <c r="AC1044" s="78" t="s">
        <v>3773</v>
      </c>
      <c r="AE1044" t="b">
        <v>0</v>
      </c>
      <c r="AF1044">
        <v>4</v>
      </c>
      <c r="AG1044" s="78" t="s">
        <v>4709</v>
      </c>
      <c r="AH1044" t="b">
        <v>0</v>
      </c>
      <c r="AI1044" t="s">
        <v>4829</v>
      </c>
      <c r="AK1044" s="78" t="s">
        <v>4640</v>
      </c>
      <c r="AL1044" t="b">
        <v>0</v>
      </c>
      <c r="AM1044">
        <v>1</v>
      </c>
      <c r="AN1044" s="78" t="s">
        <v>4640</v>
      </c>
      <c r="AO1044" s="78" t="s">
        <v>4851</v>
      </c>
      <c r="AP1044" t="b">
        <v>0</v>
      </c>
      <c r="AQ1044" s="78" t="s">
        <v>3773</v>
      </c>
      <c r="AR1044" t="s">
        <v>179</v>
      </c>
      <c r="AS1044">
        <v>0</v>
      </c>
      <c r="AT1044">
        <v>0</v>
      </c>
    </row>
    <row r="1045" spans="1:46" x14ac:dyDescent="0.45">
      <c r="A1045" s="62" t="s">
        <v>514</v>
      </c>
      <c r="B1045" s="62" t="s">
        <v>1290</v>
      </c>
      <c r="C1045" s="63"/>
      <c r="D1045" s="64"/>
      <c r="E1045" s="65"/>
      <c r="F1045" s="66"/>
      <c r="G1045" s="63"/>
      <c r="H1045" s="67"/>
      <c r="I1045" s="68"/>
      <c r="J1045" s="68"/>
      <c r="K1045" s="32"/>
      <c r="L1045" s="75"/>
      <c r="M1045" s="75"/>
      <c r="N1045" s="70"/>
      <c r="O1045" t="s">
        <v>1570</v>
      </c>
      <c r="P1045" s="76">
        <v>44958.770451388889</v>
      </c>
      <c r="Q1045" t="s">
        <v>1794</v>
      </c>
      <c r="T1045" s="78" t="s">
        <v>2346</v>
      </c>
      <c r="V1045" s="77" t="str">
        <f>HYPERLINK("https://pbs.twimg.com/profile_images/1600195538577928192/iXRe65jg_normal.jpg")</f>
        <v>https://pbs.twimg.com/profile_images/1600195538577928192/iXRe65jg_normal.jpg</v>
      </c>
      <c r="W1045" s="76">
        <v>44958.770451388889</v>
      </c>
      <c r="X1045" s="80">
        <v>44958</v>
      </c>
      <c r="Y1045" s="78" t="s">
        <v>2755</v>
      </c>
      <c r="Z1045" s="77" t="str">
        <f>HYPERLINK("https://twitter.com/reformufcw/status/1620851840287113217")</f>
        <v>https://twitter.com/reformufcw/status/1620851840287113217</v>
      </c>
      <c r="AC1045" s="78" t="s">
        <v>3774</v>
      </c>
      <c r="AE1045" t="b">
        <v>0</v>
      </c>
      <c r="AF1045">
        <v>0</v>
      </c>
      <c r="AG1045" s="78" t="s">
        <v>4640</v>
      </c>
      <c r="AH1045" t="b">
        <v>0</v>
      </c>
      <c r="AI1045" t="s">
        <v>4829</v>
      </c>
      <c r="AK1045" s="78" t="s">
        <v>4640</v>
      </c>
      <c r="AL1045" t="b">
        <v>0</v>
      </c>
      <c r="AM1045">
        <v>1</v>
      </c>
      <c r="AN1045" s="78" t="s">
        <v>3773</v>
      </c>
      <c r="AO1045" s="78" t="s">
        <v>4849</v>
      </c>
      <c r="AP1045" t="b">
        <v>0</v>
      </c>
      <c r="AQ1045" s="78" t="s">
        <v>3773</v>
      </c>
      <c r="AR1045" t="s">
        <v>179</v>
      </c>
      <c r="AS1045">
        <v>0</v>
      </c>
      <c r="AT1045">
        <v>0</v>
      </c>
    </row>
    <row r="1046" spans="1:46" x14ac:dyDescent="0.45">
      <c r="A1046" s="62" t="s">
        <v>514</v>
      </c>
      <c r="B1046" s="62" t="s">
        <v>494</v>
      </c>
      <c r="C1046" s="63"/>
      <c r="D1046" s="64"/>
      <c r="E1046" s="65"/>
      <c r="F1046" s="66"/>
      <c r="G1046" s="63"/>
      <c r="H1046" s="67"/>
      <c r="I1046" s="68"/>
      <c r="J1046" s="68"/>
      <c r="K1046" s="32"/>
      <c r="L1046" s="75"/>
      <c r="M1046" s="75"/>
      <c r="N1046" s="70"/>
      <c r="O1046" t="s">
        <v>1569</v>
      </c>
      <c r="P1046" s="76">
        <v>44958.770451388889</v>
      </c>
      <c r="Q1046" t="s">
        <v>1794</v>
      </c>
      <c r="T1046" s="78" t="s">
        <v>2346</v>
      </c>
      <c r="V1046" s="77" t="str">
        <f>HYPERLINK("https://pbs.twimg.com/profile_images/1600195538577928192/iXRe65jg_normal.jpg")</f>
        <v>https://pbs.twimg.com/profile_images/1600195538577928192/iXRe65jg_normal.jpg</v>
      </c>
      <c r="W1046" s="76">
        <v>44958.770451388889</v>
      </c>
      <c r="X1046" s="80">
        <v>44958</v>
      </c>
      <c r="Y1046" s="78" t="s">
        <v>2755</v>
      </c>
      <c r="Z1046" s="77" t="str">
        <f>HYPERLINK("https://twitter.com/reformufcw/status/1620851840287113217")</f>
        <v>https://twitter.com/reformufcw/status/1620851840287113217</v>
      </c>
      <c r="AC1046" s="78" t="s">
        <v>3774</v>
      </c>
      <c r="AE1046" t="b">
        <v>0</v>
      </c>
      <c r="AF1046">
        <v>0</v>
      </c>
      <c r="AG1046" s="78" t="s">
        <v>4640</v>
      </c>
      <c r="AH1046" t="b">
        <v>0</v>
      </c>
      <c r="AI1046" t="s">
        <v>4829</v>
      </c>
      <c r="AK1046" s="78" t="s">
        <v>4640</v>
      </c>
      <c r="AL1046" t="b">
        <v>0</v>
      </c>
      <c r="AM1046">
        <v>1</v>
      </c>
      <c r="AN1046" s="78" t="s">
        <v>3773</v>
      </c>
      <c r="AO1046" s="78" t="s">
        <v>4849</v>
      </c>
      <c r="AP1046" t="b">
        <v>0</v>
      </c>
      <c r="AQ1046" s="78" t="s">
        <v>3773</v>
      </c>
      <c r="AR1046" t="s">
        <v>179</v>
      </c>
      <c r="AS1046">
        <v>0</v>
      </c>
      <c r="AT1046">
        <v>0</v>
      </c>
    </row>
    <row r="1047" spans="1:46" x14ac:dyDescent="0.45">
      <c r="A1047" s="62" t="s">
        <v>514</v>
      </c>
      <c r="B1047" s="62" t="s">
        <v>1291</v>
      </c>
      <c r="C1047" s="63"/>
      <c r="D1047" s="64"/>
      <c r="E1047" s="65"/>
      <c r="F1047" s="66"/>
      <c r="G1047" s="63"/>
      <c r="H1047" s="67"/>
      <c r="I1047" s="68"/>
      <c r="J1047" s="68"/>
      <c r="K1047" s="32"/>
      <c r="L1047" s="75"/>
      <c r="M1047" s="75"/>
      <c r="N1047" s="70"/>
      <c r="O1047" t="s">
        <v>1567</v>
      </c>
      <c r="P1047" s="76">
        <v>44958.770451388889</v>
      </c>
      <c r="Q1047" t="s">
        <v>1794</v>
      </c>
      <c r="T1047" s="78" t="s">
        <v>2346</v>
      </c>
      <c r="V1047" s="77" t="str">
        <f>HYPERLINK("https://pbs.twimg.com/profile_images/1600195538577928192/iXRe65jg_normal.jpg")</f>
        <v>https://pbs.twimg.com/profile_images/1600195538577928192/iXRe65jg_normal.jpg</v>
      </c>
      <c r="W1047" s="76">
        <v>44958.770451388889</v>
      </c>
      <c r="X1047" s="80">
        <v>44958</v>
      </c>
      <c r="Y1047" s="78" t="s">
        <v>2755</v>
      </c>
      <c r="Z1047" s="77" t="str">
        <f>HYPERLINK("https://twitter.com/reformufcw/status/1620851840287113217")</f>
        <v>https://twitter.com/reformufcw/status/1620851840287113217</v>
      </c>
      <c r="AC1047" s="78" t="s">
        <v>3774</v>
      </c>
      <c r="AE1047" t="b">
        <v>0</v>
      </c>
      <c r="AF1047">
        <v>0</v>
      </c>
      <c r="AG1047" s="78" t="s">
        <v>4640</v>
      </c>
      <c r="AH1047" t="b">
        <v>0</v>
      </c>
      <c r="AI1047" t="s">
        <v>4829</v>
      </c>
      <c r="AK1047" s="78" t="s">
        <v>4640</v>
      </c>
      <c r="AL1047" t="b">
        <v>0</v>
      </c>
      <c r="AM1047">
        <v>1</v>
      </c>
      <c r="AN1047" s="78" t="s">
        <v>3773</v>
      </c>
      <c r="AO1047" s="78" t="s">
        <v>4849</v>
      </c>
      <c r="AP1047" t="b">
        <v>0</v>
      </c>
      <c r="AQ1047" s="78" t="s">
        <v>3773</v>
      </c>
      <c r="AR1047" t="s">
        <v>179</v>
      </c>
      <c r="AS1047">
        <v>0</v>
      </c>
      <c r="AT1047">
        <v>0</v>
      </c>
    </row>
    <row r="1048" spans="1:46" x14ac:dyDescent="0.45">
      <c r="A1048" s="62" t="s">
        <v>514</v>
      </c>
      <c r="B1048" s="62" t="s">
        <v>242</v>
      </c>
      <c r="C1048" s="63"/>
      <c r="D1048" s="64"/>
      <c r="E1048" s="65"/>
      <c r="F1048" s="66"/>
      <c r="G1048" s="63"/>
      <c r="H1048" s="67"/>
      <c r="I1048" s="68"/>
      <c r="J1048" s="68"/>
      <c r="K1048" s="32"/>
      <c r="L1048" s="75"/>
      <c r="M1048" s="75"/>
      <c r="N1048" s="70"/>
      <c r="O1048" t="s">
        <v>1570</v>
      </c>
      <c r="P1048" s="76">
        <v>44958.770451388889</v>
      </c>
      <c r="Q1048" t="s">
        <v>1794</v>
      </c>
      <c r="T1048" s="78" t="s">
        <v>2346</v>
      </c>
      <c r="V1048" s="77" t="str">
        <f>HYPERLINK("https://pbs.twimg.com/profile_images/1600195538577928192/iXRe65jg_normal.jpg")</f>
        <v>https://pbs.twimg.com/profile_images/1600195538577928192/iXRe65jg_normal.jpg</v>
      </c>
      <c r="W1048" s="76">
        <v>44958.770451388889</v>
      </c>
      <c r="X1048" s="80">
        <v>44958</v>
      </c>
      <c r="Y1048" s="78" t="s">
        <v>2755</v>
      </c>
      <c r="Z1048" s="77" t="str">
        <f>HYPERLINK("https://twitter.com/reformufcw/status/1620851840287113217")</f>
        <v>https://twitter.com/reformufcw/status/1620851840287113217</v>
      </c>
      <c r="AC1048" s="78" t="s">
        <v>3774</v>
      </c>
      <c r="AE1048" t="b">
        <v>0</v>
      </c>
      <c r="AF1048">
        <v>0</v>
      </c>
      <c r="AG1048" s="78" t="s">
        <v>4640</v>
      </c>
      <c r="AH1048" t="b">
        <v>0</v>
      </c>
      <c r="AI1048" t="s">
        <v>4829</v>
      </c>
      <c r="AK1048" s="78" t="s">
        <v>4640</v>
      </c>
      <c r="AL1048" t="b">
        <v>0</v>
      </c>
      <c r="AM1048">
        <v>1</v>
      </c>
      <c r="AN1048" s="78" t="s">
        <v>3773</v>
      </c>
      <c r="AO1048" s="78" t="s">
        <v>4849</v>
      </c>
      <c r="AP1048" t="b">
        <v>0</v>
      </c>
      <c r="AQ1048" s="78" t="s">
        <v>3773</v>
      </c>
      <c r="AR1048" t="s">
        <v>179</v>
      </c>
      <c r="AS1048">
        <v>0</v>
      </c>
      <c r="AT1048">
        <v>0</v>
      </c>
    </row>
    <row r="1049" spans="1:46" x14ac:dyDescent="0.45">
      <c r="A1049" s="62" t="s">
        <v>999</v>
      </c>
      <c r="B1049" s="62" t="s">
        <v>1248</v>
      </c>
      <c r="C1049" s="63"/>
      <c r="D1049" s="64"/>
      <c r="E1049" s="65"/>
      <c r="F1049" s="66"/>
      <c r="G1049" s="63"/>
      <c r="H1049" s="67"/>
      <c r="I1049" s="68"/>
      <c r="J1049" s="68"/>
      <c r="K1049" s="32"/>
      <c r="L1049" s="75"/>
      <c r="M1049" s="75"/>
      <c r="N1049" s="70"/>
      <c r="O1049" t="s">
        <v>1568</v>
      </c>
      <c r="P1049" s="76">
        <v>44959.279965277776</v>
      </c>
      <c r="Q1049" t="s">
        <v>2158</v>
      </c>
      <c r="T1049" s="78" t="s">
        <v>2405</v>
      </c>
      <c r="U1049" s="77" t="str">
        <f>HYPERLINK("https://pbs.twimg.com/media/Fn8UFuuXgAI4iwl.jpg")</f>
        <v>https://pbs.twimg.com/media/Fn8UFuuXgAI4iwl.jpg</v>
      </c>
      <c r="V1049" s="77" t="str">
        <f>HYPERLINK("https://pbs.twimg.com/media/Fn8UFuuXgAI4iwl.jpg")</f>
        <v>https://pbs.twimg.com/media/Fn8UFuuXgAI4iwl.jpg</v>
      </c>
      <c r="W1049" s="76">
        <v>44959.279965277776</v>
      </c>
      <c r="X1049" s="80">
        <v>44959</v>
      </c>
      <c r="Y1049" s="78" t="s">
        <v>3286</v>
      </c>
      <c r="Z1049" s="77" t="str">
        <f>HYPERLINK("https://twitter.com/optix_c/status/1621036482197700616")</f>
        <v>https://twitter.com/optix_c/status/1621036482197700616</v>
      </c>
      <c r="AC1049" s="78" t="s">
        <v>4351</v>
      </c>
      <c r="AE1049" t="b">
        <v>0</v>
      </c>
      <c r="AF1049">
        <v>0</v>
      </c>
      <c r="AG1049" s="78" t="s">
        <v>4640</v>
      </c>
      <c r="AH1049" t="b">
        <v>0</v>
      </c>
      <c r="AI1049" t="s">
        <v>4829</v>
      </c>
      <c r="AK1049" s="78" t="s">
        <v>4640</v>
      </c>
      <c r="AL1049" t="b">
        <v>0</v>
      </c>
      <c r="AM1049">
        <v>0</v>
      </c>
      <c r="AN1049" s="78" t="s">
        <v>4640</v>
      </c>
      <c r="AO1049" s="78" t="s">
        <v>4849</v>
      </c>
      <c r="AP1049" t="b">
        <v>0</v>
      </c>
      <c r="AQ1049" s="78" t="s">
        <v>4351</v>
      </c>
      <c r="AR1049" t="s">
        <v>179</v>
      </c>
      <c r="AS1049">
        <v>0</v>
      </c>
      <c r="AT1049">
        <v>0</v>
      </c>
    </row>
    <row r="1050" spans="1:46" x14ac:dyDescent="0.45">
      <c r="A1050" s="62" t="s">
        <v>999</v>
      </c>
      <c r="B1050" s="62" t="s">
        <v>242</v>
      </c>
      <c r="C1050" s="63"/>
      <c r="D1050" s="64"/>
      <c r="E1050" s="65"/>
      <c r="F1050" s="66"/>
      <c r="G1050" s="63"/>
      <c r="H1050" s="67"/>
      <c r="I1050" s="68"/>
      <c r="J1050" s="68"/>
      <c r="K1050" s="32"/>
      <c r="L1050" s="75"/>
      <c r="M1050" s="75"/>
      <c r="N1050" s="70"/>
      <c r="O1050" t="s">
        <v>1568</v>
      </c>
      <c r="P1050" s="76">
        <v>44959.279965277776</v>
      </c>
      <c r="Q1050" t="s">
        <v>2158</v>
      </c>
      <c r="T1050" s="78" t="s">
        <v>2405</v>
      </c>
      <c r="U1050" s="77" t="str">
        <f>HYPERLINK("https://pbs.twimg.com/media/Fn8UFuuXgAI4iwl.jpg")</f>
        <v>https://pbs.twimg.com/media/Fn8UFuuXgAI4iwl.jpg</v>
      </c>
      <c r="V1050" s="77" t="str">
        <f>HYPERLINK("https://pbs.twimg.com/media/Fn8UFuuXgAI4iwl.jpg")</f>
        <v>https://pbs.twimg.com/media/Fn8UFuuXgAI4iwl.jpg</v>
      </c>
      <c r="W1050" s="76">
        <v>44959.279965277776</v>
      </c>
      <c r="X1050" s="80">
        <v>44959</v>
      </c>
      <c r="Y1050" s="78" t="s">
        <v>3286</v>
      </c>
      <c r="Z1050" s="77" t="str">
        <f>HYPERLINK("https://twitter.com/optix_c/status/1621036482197700616")</f>
        <v>https://twitter.com/optix_c/status/1621036482197700616</v>
      </c>
      <c r="AC1050" s="78" t="s">
        <v>4351</v>
      </c>
      <c r="AE1050" t="b">
        <v>0</v>
      </c>
      <c r="AF1050">
        <v>0</v>
      </c>
      <c r="AG1050" s="78" t="s">
        <v>4640</v>
      </c>
      <c r="AH1050" t="b">
        <v>0</v>
      </c>
      <c r="AI1050" t="s">
        <v>4829</v>
      </c>
      <c r="AK1050" s="78" t="s">
        <v>4640</v>
      </c>
      <c r="AL1050" t="b">
        <v>0</v>
      </c>
      <c r="AM1050">
        <v>0</v>
      </c>
      <c r="AN1050" s="78" t="s">
        <v>4640</v>
      </c>
      <c r="AO1050" s="78" t="s">
        <v>4849</v>
      </c>
      <c r="AP1050" t="b">
        <v>0</v>
      </c>
      <c r="AQ1050" s="78" t="s">
        <v>4351</v>
      </c>
      <c r="AR1050" t="s">
        <v>179</v>
      </c>
      <c r="AS1050">
        <v>0</v>
      </c>
      <c r="AT1050">
        <v>0</v>
      </c>
    </row>
    <row r="1051" spans="1:46" x14ac:dyDescent="0.45">
      <c r="A1051" s="62" t="s">
        <v>1078</v>
      </c>
      <c r="B1051" s="62" t="s">
        <v>1550</v>
      </c>
      <c r="C1051" s="63"/>
      <c r="D1051" s="64"/>
      <c r="E1051" s="65"/>
      <c r="F1051" s="66"/>
      <c r="G1051" s="63"/>
      <c r="H1051" s="67"/>
      <c r="I1051" s="68"/>
      <c r="J1051" s="68"/>
      <c r="K1051" s="32"/>
      <c r="L1051" s="75"/>
      <c r="M1051" s="75"/>
      <c r="N1051" s="70"/>
      <c r="O1051" t="s">
        <v>1568</v>
      </c>
      <c r="P1051" s="76">
        <v>44959.561574074076</v>
      </c>
      <c r="Q1051" t="s">
        <v>2226</v>
      </c>
      <c r="T1051" s="78" t="s">
        <v>2418</v>
      </c>
      <c r="V1051" s="77" t="str">
        <f>HYPERLINK("https://pbs.twimg.com/profile_images/1528972959171416064/unfax-h6_normal.jpg")</f>
        <v>https://pbs.twimg.com/profile_images/1528972959171416064/unfax-h6_normal.jpg</v>
      </c>
      <c r="W1051" s="76">
        <v>44959.561574074076</v>
      </c>
      <c r="X1051" s="80">
        <v>44959</v>
      </c>
      <c r="Y1051" s="78" t="s">
        <v>3394</v>
      </c>
      <c r="Z1051" s="77" t="str">
        <f>HYPERLINK("https://twitter.com/whodo66712820/status/1621138533242085377")</f>
        <v>https://twitter.com/whodo66712820/status/1621138533242085377</v>
      </c>
      <c r="AC1051" s="78" t="s">
        <v>4459</v>
      </c>
      <c r="AE1051" t="b">
        <v>0</v>
      </c>
      <c r="AF1051">
        <v>0</v>
      </c>
      <c r="AG1051" s="78" t="s">
        <v>4639</v>
      </c>
      <c r="AH1051" t="b">
        <v>0</v>
      </c>
      <c r="AI1051" t="s">
        <v>4829</v>
      </c>
      <c r="AK1051" s="78" t="s">
        <v>4640</v>
      </c>
      <c r="AL1051" t="b">
        <v>0</v>
      </c>
      <c r="AM1051">
        <v>0</v>
      </c>
      <c r="AN1051" s="78" t="s">
        <v>4640</v>
      </c>
      <c r="AO1051" s="78" t="s">
        <v>4849</v>
      </c>
      <c r="AP1051" t="b">
        <v>0</v>
      </c>
      <c r="AQ1051" s="78" t="s">
        <v>4459</v>
      </c>
      <c r="AR1051" t="s">
        <v>179</v>
      </c>
      <c r="AS1051">
        <v>0</v>
      </c>
      <c r="AT1051">
        <v>0</v>
      </c>
    </row>
    <row r="1052" spans="1:46" x14ac:dyDescent="0.45">
      <c r="A1052" s="62" t="s">
        <v>1078</v>
      </c>
      <c r="B1052" s="62" t="s">
        <v>1551</v>
      </c>
      <c r="C1052" s="63"/>
      <c r="D1052" s="64"/>
      <c r="E1052" s="65"/>
      <c r="F1052" s="66"/>
      <c r="G1052" s="63"/>
      <c r="H1052" s="67"/>
      <c r="I1052" s="68"/>
      <c r="J1052" s="68"/>
      <c r="K1052" s="32"/>
      <c r="L1052" s="75"/>
      <c r="M1052" s="75"/>
      <c r="N1052" s="70"/>
      <c r="O1052" t="s">
        <v>1568</v>
      </c>
      <c r="P1052" s="76">
        <v>44959.561574074076</v>
      </c>
      <c r="Q1052" t="s">
        <v>2226</v>
      </c>
      <c r="T1052" s="78" t="s">
        <v>2418</v>
      </c>
      <c r="V1052" s="77" t="str">
        <f>HYPERLINK("https://pbs.twimg.com/profile_images/1528972959171416064/unfax-h6_normal.jpg")</f>
        <v>https://pbs.twimg.com/profile_images/1528972959171416064/unfax-h6_normal.jpg</v>
      </c>
      <c r="W1052" s="76">
        <v>44959.561574074076</v>
      </c>
      <c r="X1052" s="80">
        <v>44959</v>
      </c>
      <c r="Y1052" s="78" t="s">
        <v>3394</v>
      </c>
      <c r="Z1052" s="77" t="str">
        <f>HYPERLINK("https://twitter.com/whodo66712820/status/1621138533242085377")</f>
        <v>https://twitter.com/whodo66712820/status/1621138533242085377</v>
      </c>
      <c r="AC1052" s="78" t="s">
        <v>4459</v>
      </c>
      <c r="AE1052" t="b">
        <v>0</v>
      </c>
      <c r="AF1052">
        <v>0</v>
      </c>
      <c r="AG1052" s="78" t="s">
        <v>4639</v>
      </c>
      <c r="AH1052" t="b">
        <v>0</v>
      </c>
      <c r="AI1052" t="s">
        <v>4829</v>
      </c>
      <c r="AK1052" s="78" t="s">
        <v>4640</v>
      </c>
      <c r="AL1052" t="b">
        <v>0</v>
      </c>
      <c r="AM1052">
        <v>0</v>
      </c>
      <c r="AN1052" s="78" t="s">
        <v>4640</v>
      </c>
      <c r="AO1052" s="78" t="s">
        <v>4849</v>
      </c>
      <c r="AP1052" t="b">
        <v>0</v>
      </c>
      <c r="AQ1052" s="78" t="s">
        <v>4459</v>
      </c>
      <c r="AR1052" t="s">
        <v>179</v>
      </c>
      <c r="AS1052">
        <v>0</v>
      </c>
      <c r="AT1052">
        <v>0</v>
      </c>
    </row>
    <row r="1053" spans="1:46" x14ac:dyDescent="0.45">
      <c r="A1053" s="62" t="s">
        <v>1078</v>
      </c>
      <c r="B1053" s="62" t="s">
        <v>1552</v>
      </c>
      <c r="C1053" s="63"/>
      <c r="D1053" s="64"/>
      <c r="E1053" s="65"/>
      <c r="F1053" s="66"/>
      <c r="G1053" s="63"/>
      <c r="H1053" s="67"/>
      <c r="I1053" s="68"/>
      <c r="J1053" s="68"/>
      <c r="K1053" s="32"/>
      <c r="L1053" s="75"/>
      <c r="M1053" s="75"/>
      <c r="N1053" s="70"/>
      <c r="O1053" t="s">
        <v>1568</v>
      </c>
      <c r="P1053" s="76">
        <v>44959.561574074076</v>
      </c>
      <c r="Q1053" t="s">
        <v>2226</v>
      </c>
      <c r="T1053" s="78" t="s">
        <v>2418</v>
      </c>
      <c r="V1053" s="77" t="str">
        <f>HYPERLINK("https://pbs.twimg.com/profile_images/1528972959171416064/unfax-h6_normal.jpg")</f>
        <v>https://pbs.twimg.com/profile_images/1528972959171416064/unfax-h6_normal.jpg</v>
      </c>
      <c r="W1053" s="76">
        <v>44959.561574074076</v>
      </c>
      <c r="X1053" s="80">
        <v>44959</v>
      </c>
      <c r="Y1053" s="78" t="s">
        <v>3394</v>
      </c>
      <c r="Z1053" s="77" t="str">
        <f>HYPERLINK("https://twitter.com/whodo66712820/status/1621138533242085377")</f>
        <v>https://twitter.com/whodo66712820/status/1621138533242085377</v>
      </c>
      <c r="AC1053" s="78" t="s">
        <v>4459</v>
      </c>
      <c r="AE1053" t="b">
        <v>0</v>
      </c>
      <c r="AF1053">
        <v>0</v>
      </c>
      <c r="AG1053" s="78" t="s">
        <v>4639</v>
      </c>
      <c r="AH1053" t="b">
        <v>0</v>
      </c>
      <c r="AI1053" t="s">
        <v>4829</v>
      </c>
      <c r="AK1053" s="78" t="s">
        <v>4640</v>
      </c>
      <c r="AL1053" t="b">
        <v>0</v>
      </c>
      <c r="AM1053">
        <v>0</v>
      </c>
      <c r="AN1053" s="78" t="s">
        <v>4640</v>
      </c>
      <c r="AO1053" s="78" t="s">
        <v>4849</v>
      </c>
      <c r="AP1053" t="b">
        <v>0</v>
      </c>
      <c r="AQ1053" s="78" t="s">
        <v>4459</v>
      </c>
      <c r="AR1053" t="s">
        <v>179</v>
      </c>
      <c r="AS1053">
        <v>0</v>
      </c>
      <c r="AT1053">
        <v>0</v>
      </c>
    </row>
    <row r="1054" spans="1:46" x14ac:dyDescent="0.45">
      <c r="A1054" s="62" t="s">
        <v>1078</v>
      </c>
      <c r="B1054" s="62" t="s">
        <v>1553</v>
      </c>
      <c r="C1054" s="63"/>
      <c r="D1054" s="64"/>
      <c r="E1054" s="65"/>
      <c r="F1054" s="66"/>
      <c r="G1054" s="63"/>
      <c r="H1054" s="67"/>
      <c r="I1054" s="68"/>
      <c r="J1054" s="68"/>
      <c r="K1054" s="32"/>
      <c r="L1054" s="75"/>
      <c r="M1054" s="75"/>
      <c r="N1054" s="70"/>
      <c r="O1054" t="s">
        <v>1568</v>
      </c>
      <c r="P1054" s="76">
        <v>44959.561574074076</v>
      </c>
      <c r="Q1054" t="s">
        <v>2226</v>
      </c>
      <c r="T1054" s="78" t="s">
        <v>2418</v>
      </c>
      <c r="V1054" s="77" t="str">
        <f>HYPERLINK("https://pbs.twimg.com/profile_images/1528972959171416064/unfax-h6_normal.jpg")</f>
        <v>https://pbs.twimg.com/profile_images/1528972959171416064/unfax-h6_normal.jpg</v>
      </c>
      <c r="W1054" s="76">
        <v>44959.561574074076</v>
      </c>
      <c r="X1054" s="80">
        <v>44959</v>
      </c>
      <c r="Y1054" s="78" t="s">
        <v>3394</v>
      </c>
      <c r="Z1054" s="77" t="str">
        <f>HYPERLINK("https://twitter.com/whodo66712820/status/1621138533242085377")</f>
        <v>https://twitter.com/whodo66712820/status/1621138533242085377</v>
      </c>
      <c r="AC1054" s="78" t="s">
        <v>4459</v>
      </c>
      <c r="AE1054" t="b">
        <v>0</v>
      </c>
      <c r="AF1054">
        <v>0</v>
      </c>
      <c r="AG1054" s="78" t="s">
        <v>4639</v>
      </c>
      <c r="AH1054" t="b">
        <v>0</v>
      </c>
      <c r="AI1054" t="s">
        <v>4829</v>
      </c>
      <c r="AK1054" s="78" t="s">
        <v>4640</v>
      </c>
      <c r="AL1054" t="b">
        <v>0</v>
      </c>
      <c r="AM1054">
        <v>0</v>
      </c>
      <c r="AN1054" s="78" t="s">
        <v>4640</v>
      </c>
      <c r="AO1054" s="78" t="s">
        <v>4849</v>
      </c>
      <c r="AP1054" t="b">
        <v>0</v>
      </c>
      <c r="AQ1054" s="78" t="s">
        <v>4459</v>
      </c>
      <c r="AR1054" t="s">
        <v>179</v>
      </c>
      <c r="AS1054">
        <v>0</v>
      </c>
      <c r="AT1054">
        <v>0</v>
      </c>
    </row>
    <row r="1055" spans="1:46" x14ac:dyDescent="0.45">
      <c r="A1055" s="62" t="s">
        <v>1078</v>
      </c>
      <c r="B1055" s="62" t="s">
        <v>1554</v>
      </c>
      <c r="C1055" s="63"/>
      <c r="D1055" s="64"/>
      <c r="E1055" s="65"/>
      <c r="F1055" s="66"/>
      <c r="G1055" s="63"/>
      <c r="H1055" s="67"/>
      <c r="I1055" s="68"/>
      <c r="J1055" s="68"/>
      <c r="K1055" s="32"/>
      <c r="L1055" s="75"/>
      <c r="M1055" s="75"/>
      <c r="N1055" s="70"/>
      <c r="O1055" t="s">
        <v>1568</v>
      </c>
      <c r="P1055" s="76">
        <v>44959.561574074076</v>
      </c>
      <c r="Q1055" t="s">
        <v>2226</v>
      </c>
      <c r="T1055" s="78" t="s">
        <v>2418</v>
      </c>
      <c r="V1055" s="77" t="str">
        <f>HYPERLINK("https://pbs.twimg.com/profile_images/1528972959171416064/unfax-h6_normal.jpg")</f>
        <v>https://pbs.twimg.com/profile_images/1528972959171416064/unfax-h6_normal.jpg</v>
      </c>
      <c r="W1055" s="76">
        <v>44959.561574074076</v>
      </c>
      <c r="X1055" s="80">
        <v>44959</v>
      </c>
      <c r="Y1055" s="78" t="s">
        <v>3394</v>
      </c>
      <c r="Z1055" s="77" t="str">
        <f>HYPERLINK("https://twitter.com/whodo66712820/status/1621138533242085377")</f>
        <v>https://twitter.com/whodo66712820/status/1621138533242085377</v>
      </c>
      <c r="AC1055" s="78" t="s">
        <v>4459</v>
      </c>
      <c r="AE1055" t="b">
        <v>0</v>
      </c>
      <c r="AF1055">
        <v>0</v>
      </c>
      <c r="AG1055" s="78" t="s">
        <v>4639</v>
      </c>
      <c r="AH1055" t="b">
        <v>0</v>
      </c>
      <c r="AI1055" t="s">
        <v>4829</v>
      </c>
      <c r="AK1055" s="78" t="s">
        <v>4640</v>
      </c>
      <c r="AL1055" t="b">
        <v>0</v>
      </c>
      <c r="AM1055">
        <v>0</v>
      </c>
      <c r="AN1055" s="78" t="s">
        <v>4640</v>
      </c>
      <c r="AO1055" s="78" t="s">
        <v>4849</v>
      </c>
      <c r="AP1055" t="b">
        <v>0</v>
      </c>
      <c r="AQ1055" s="78" t="s">
        <v>4459</v>
      </c>
      <c r="AR1055" t="s">
        <v>179</v>
      </c>
      <c r="AS1055">
        <v>0</v>
      </c>
      <c r="AT1055">
        <v>0</v>
      </c>
    </row>
    <row r="1056" spans="1:46" x14ac:dyDescent="0.45">
      <c r="A1056" s="62" t="s">
        <v>1078</v>
      </c>
      <c r="B1056" s="62" t="s">
        <v>242</v>
      </c>
      <c r="C1056" s="63"/>
      <c r="D1056" s="64"/>
      <c r="E1056" s="65"/>
      <c r="F1056" s="66"/>
      <c r="G1056" s="63"/>
      <c r="H1056" s="67"/>
      <c r="I1056" s="68"/>
      <c r="J1056" s="68"/>
      <c r="K1056" s="32"/>
      <c r="L1056" s="75"/>
      <c r="M1056" s="75"/>
      <c r="N1056" s="70"/>
      <c r="O1056" t="s">
        <v>1567</v>
      </c>
      <c r="P1056" s="76">
        <v>44959.561574074076</v>
      </c>
      <c r="Q1056" t="s">
        <v>2226</v>
      </c>
      <c r="T1056" s="78" t="s">
        <v>2418</v>
      </c>
      <c r="V1056" s="77" t="str">
        <f>HYPERLINK("https://pbs.twimg.com/profile_images/1528972959171416064/unfax-h6_normal.jpg")</f>
        <v>https://pbs.twimg.com/profile_images/1528972959171416064/unfax-h6_normal.jpg</v>
      </c>
      <c r="W1056" s="76">
        <v>44959.561574074076</v>
      </c>
      <c r="X1056" s="80">
        <v>44959</v>
      </c>
      <c r="Y1056" s="78" t="s">
        <v>3394</v>
      </c>
      <c r="Z1056" s="77" t="str">
        <f>HYPERLINK("https://twitter.com/whodo66712820/status/1621138533242085377")</f>
        <v>https://twitter.com/whodo66712820/status/1621138533242085377</v>
      </c>
      <c r="AC1056" s="78" t="s">
        <v>4459</v>
      </c>
      <c r="AE1056" t="b">
        <v>0</v>
      </c>
      <c r="AF1056">
        <v>0</v>
      </c>
      <c r="AG1056" s="78" t="s">
        <v>4639</v>
      </c>
      <c r="AH1056" t="b">
        <v>0</v>
      </c>
      <c r="AI1056" t="s">
        <v>4829</v>
      </c>
      <c r="AK1056" s="78" t="s">
        <v>4640</v>
      </c>
      <c r="AL1056" t="b">
        <v>0</v>
      </c>
      <c r="AM1056">
        <v>0</v>
      </c>
      <c r="AN1056" s="78" t="s">
        <v>4640</v>
      </c>
      <c r="AO1056" s="78" t="s">
        <v>4849</v>
      </c>
      <c r="AP1056" t="b">
        <v>0</v>
      </c>
      <c r="AQ1056" s="78" t="s">
        <v>4459</v>
      </c>
      <c r="AR1056" t="s">
        <v>179</v>
      </c>
      <c r="AS1056">
        <v>0</v>
      </c>
      <c r="AT1056">
        <v>0</v>
      </c>
    </row>
    <row r="1057" spans="1:46" x14ac:dyDescent="0.45">
      <c r="A1057" s="62" t="s">
        <v>534</v>
      </c>
      <c r="B1057" s="62" t="s">
        <v>242</v>
      </c>
      <c r="C1057" s="63"/>
      <c r="D1057" s="64"/>
      <c r="E1057" s="65"/>
      <c r="F1057" s="66"/>
      <c r="G1057" s="63"/>
      <c r="H1057" s="67"/>
      <c r="I1057" s="68"/>
      <c r="J1057" s="68"/>
      <c r="K1057" s="32"/>
      <c r="L1057" s="75"/>
      <c r="M1057" s="75"/>
      <c r="N1057" s="70"/>
      <c r="O1057" t="s">
        <v>1568</v>
      </c>
      <c r="P1057" s="76">
        <v>44958.787164351852</v>
      </c>
      <c r="Q1057" t="s">
        <v>1805</v>
      </c>
      <c r="T1057" s="78" t="s">
        <v>2347</v>
      </c>
      <c r="U1057" s="77" t="str">
        <f>HYPERLINK("https://pbs.twimg.com/media/Fn5xfg5aIAELQgX.jpg")</f>
        <v>https://pbs.twimg.com/media/Fn5xfg5aIAELQgX.jpg</v>
      </c>
      <c r="V1057" s="77" t="str">
        <f>HYPERLINK("https://pbs.twimg.com/media/Fn5xfg5aIAELQgX.jpg")</f>
        <v>https://pbs.twimg.com/media/Fn5xfg5aIAELQgX.jpg</v>
      </c>
      <c r="W1057" s="76">
        <v>44958.787164351852</v>
      </c>
      <c r="X1057" s="80">
        <v>44958</v>
      </c>
      <c r="Y1057" s="78" t="s">
        <v>2776</v>
      </c>
      <c r="Z1057" s="77" t="str">
        <f>HYPERLINK("https://twitter.com/liltoot62/status/1620857897055027202")</f>
        <v>https://twitter.com/liltoot62/status/1620857897055027202</v>
      </c>
      <c r="AC1057" s="78" t="s">
        <v>3795</v>
      </c>
      <c r="AE1057" t="b">
        <v>0</v>
      </c>
      <c r="AF1057">
        <v>0</v>
      </c>
      <c r="AG1057" s="78" t="s">
        <v>4640</v>
      </c>
      <c r="AH1057" t="b">
        <v>0</v>
      </c>
      <c r="AI1057" t="s">
        <v>4829</v>
      </c>
      <c r="AK1057" s="78" t="s">
        <v>4640</v>
      </c>
      <c r="AL1057" t="b">
        <v>0</v>
      </c>
      <c r="AM1057">
        <v>0</v>
      </c>
      <c r="AN1057" s="78" t="s">
        <v>4640</v>
      </c>
      <c r="AO1057" s="78" t="s">
        <v>4849</v>
      </c>
      <c r="AP1057" t="b">
        <v>0</v>
      </c>
      <c r="AQ1057" s="78" t="s">
        <v>3795</v>
      </c>
      <c r="AR1057" t="s">
        <v>179</v>
      </c>
      <c r="AS1057">
        <v>0</v>
      </c>
      <c r="AT1057">
        <v>0</v>
      </c>
    </row>
    <row r="1058" spans="1:46" x14ac:dyDescent="0.45">
      <c r="A1058" s="62" t="s">
        <v>761</v>
      </c>
      <c r="B1058" s="62" t="s">
        <v>1359</v>
      </c>
      <c r="C1058" s="63"/>
      <c r="D1058" s="64"/>
      <c r="E1058" s="65"/>
      <c r="F1058" s="66"/>
      <c r="G1058" s="63"/>
      <c r="H1058" s="67"/>
      <c r="I1058" s="68"/>
      <c r="J1058" s="68"/>
      <c r="K1058" s="32"/>
      <c r="L1058" s="75"/>
      <c r="M1058" s="75"/>
      <c r="N1058" s="70"/>
      <c r="O1058" t="s">
        <v>1568</v>
      </c>
      <c r="P1058" s="76">
        <v>44958.948333333334</v>
      </c>
      <c r="Q1058" t="s">
        <v>1940</v>
      </c>
      <c r="T1058" s="78" t="s">
        <v>2370</v>
      </c>
      <c r="U1058" s="77" t="str">
        <f>HYPERLINK("https://pbs.twimg.com/ext_tw_video_thumb/1620916248543387648/pu/img/JbL0_UQaiA7--Bq_.jpg")</f>
        <v>https://pbs.twimg.com/ext_tw_video_thumb/1620916248543387648/pu/img/JbL0_UQaiA7--Bq_.jpg</v>
      </c>
      <c r="V1058" s="77" t="str">
        <f>HYPERLINK("https://pbs.twimg.com/ext_tw_video_thumb/1620916248543387648/pu/img/JbL0_UQaiA7--Bq_.jpg")</f>
        <v>https://pbs.twimg.com/ext_tw_video_thumb/1620916248543387648/pu/img/JbL0_UQaiA7--Bq_.jpg</v>
      </c>
      <c r="W1058" s="76">
        <v>44958.948333333334</v>
      </c>
      <c r="X1058" s="80">
        <v>44958</v>
      </c>
      <c r="Y1058" s="78" t="s">
        <v>2981</v>
      </c>
      <c r="Z1058" s="77" t="str">
        <f>HYPERLINK("https://twitter.com/shoecrazywine/status/1620916303077994496")</f>
        <v>https://twitter.com/shoecrazywine/status/1620916303077994496</v>
      </c>
      <c r="AC1058" s="78" t="s">
        <v>4046</v>
      </c>
      <c r="AE1058" t="b">
        <v>0</v>
      </c>
      <c r="AF1058">
        <v>0</v>
      </c>
      <c r="AG1058" s="78" t="s">
        <v>4640</v>
      </c>
      <c r="AH1058" t="b">
        <v>0</v>
      </c>
      <c r="AI1058" t="s">
        <v>4829</v>
      </c>
      <c r="AK1058" s="78" t="s">
        <v>4640</v>
      </c>
      <c r="AL1058" t="b">
        <v>0</v>
      </c>
      <c r="AM1058">
        <v>0</v>
      </c>
      <c r="AN1058" s="78" t="s">
        <v>4640</v>
      </c>
      <c r="AO1058" s="78" t="s">
        <v>4849</v>
      </c>
      <c r="AP1058" t="b">
        <v>0</v>
      </c>
      <c r="AQ1058" s="78" t="s">
        <v>4046</v>
      </c>
      <c r="AR1058" t="s">
        <v>179</v>
      </c>
      <c r="AS1058">
        <v>0</v>
      </c>
      <c r="AT1058">
        <v>0</v>
      </c>
    </row>
    <row r="1059" spans="1:46" x14ac:dyDescent="0.45">
      <c r="A1059" s="62" t="s">
        <v>761</v>
      </c>
      <c r="B1059" s="62" t="s">
        <v>1360</v>
      </c>
      <c r="C1059" s="63"/>
      <c r="D1059" s="64"/>
      <c r="E1059" s="65"/>
      <c r="F1059" s="66"/>
      <c r="G1059" s="63"/>
      <c r="H1059" s="67"/>
      <c r="I1059" s="68"/>
      <c r="J1059" s="68"/>
      <c r="K1059" s="32"/>
      <c r="L1059" s="75"/>
      <c r="M1059" s="75"/>
      <c r="N1059" s="70"/>
      <c r="O1059" t="s">
        <v>1568</v>
      </c>
      <c r="P1059" s="76">
        <v>44958.948333333334</v>
      </c>
      <c r="Q1059" t="s">
        <v>1940</v>
      </c>
      <c r="T1059" s="78" t="s">
        <v>2370</v>
      </c>
      <c r="U1059" s="77" t="str">
        <f>HYPERLINK("https://pbs.twimg.com/ext_tw_video_thumb/1620916248543387648/pu/img/JbL0_UQaiA7--Bq_.jpg")</f>
        <v>https://pbs.twimg.com/ext_tw_video_thumb/1620916248543387648/pu/img/JbL0_UQaiA7--Bq_.jpg</v>
      </c>
      <c r="V1059" s="77" t="str">
        <f>HYPERLINK("https://pbs.twimg.com/ext_tw_video_thumb/1620916248543387648/pu/img/JbL0_UQaiA7--Bq_.jpg")</f>
        <v>https://pbs.twimg.com/ext_tw_video_thumb/1620916248543387648/pu/img/JbL0_UQaiA7--Bq_.jpg</v>
      </c>
      <c r="W1059" s="76">
        <v>44958.948333333334</v>
      </c>
      <c r="X1059" s="80">
        <v>44958</v>
      </c>
      <c r="Y1059" s="78" t="s">
        <v>2981</v>
      </c>
      <c r="Z1059" s="77" t="str">
        <f>HYPERLINK("https://twitter.com/shoecrazywine/status/1620916303077994496")</f>
        <v>https://twitter.com/shoecrazywine/status/1620916303077994496</v>
      </c>
      <c r="AC1059" s="78" t="s">
        <v>4046</v>
      </c>
      <c r="AE1059" t="b">
        <v>0</v>
      </c>
      <c r="AF1059">
        <v>0</v>
      </c>
      <c r="AG1059" s="78" t="s">
        <v>4640</v>
      </c>
      <c r="AH1059" t="b">
        <v>0</v>
      </c>
      <c r="AI1059" t="s">
        <v>4829</v>
      </c>
      <c r="AK1059" s="78" t="s">
        <v>4640</v>
      </c>
      <c r="AL1059" t="b">
        <v>0</v>
      </c>
      <c r="AM1059">
        <v>0</v>
      </c>
      <c r="AN1059" s="78" t="s">
        <v>4640</v>
      </c>
      <c r="AO1059" s="78" t="s">
        <v>4849</v>
      </c>
      <c r="AP1059" t="b">
        <v>0</v>
      </c>
      <c r="AQ1059" s="78" t="s">
        <v>4046</v>
      </c>
      <c r="AR1059" t="s">
        <v>179</v>
      </c>
      <c r="AS1059">
        <v>0</v>
      </c>
      <c r="AT1059">
        <v>0</v>
      </c>
    </row>
    <row r="1060" spans="1:46" x14ac:dyDescent="0.45">
      <c r="A1060" s="62" t="s">
        <v>761</v>
      </c>
      <c r="B1060" s="62" t="s">
        <v>1181</v>
      </c>
      <c r="C1060" s="63"/>
      <c r="D1060" s="64"/>
      <c r="E1060" s="65"/>
      <c r="F1060" s="66"/>
      <c r="G1060" s="63"/>
      <c r="H1060" s="67"/>
      <c r="I1060" s="68"/>
      <c r="J1060" s="68"/>
      <c r="K1060" s="32"/>
      <c r="L1060" s="75"/>
      <c r="M1060" s="75"/>
      <c r="N1060" s="70"/>
      <c r="O1060" t="s">
        <v>1568</v>
      </c>
      <c r="P1060" s="76">
        <v>44958.948333333334</v>
      </c>
      <c r="Q1060" t="s">
        <v>1940</v>
      </c>
      <c r="T1060" s="78" t="s">
        <v>2370</v>
      </c>
      <c r="U1060" s="77" t="str">
        <f>HYPERLINK("https://pbs.twimg.com/ext_tw_video_thumb/1620916248543387648/pu/img/JbL0_UQaiA7--Bq_.jpg")</f>
        <v>https://pbs.twimg.com/ext_tw_video_thumb/1620916248543387648/pu/img/JbL0_UQaiA7--Bq_.jpg</v>
      </c>
      <c r="V1060" s="77" t="str">
        <f>HYPERLINK("https://pbs.twimg.com/ext_tw_video_thumb/1620916248543387648/pu/img/JbL0_UQaiA7--Bq_.jpg")</f>
        <v>https://pbs.twimg.com/ext_tw_video_thumb/1620916248543387648/pu/img/JbL0_UQaiA7--Bq_.jpg</v>
      </c>
      <c r="W1060" s="76">
        <v>44958.948333333334</v>
      </c>
      <c r="X1060" s="80">
        <v>44958</v>
      </c>
      <c r="Y1060" s="78" t="s">
        <v>2981</v>
      </c>
      <c r="Z1060" s="77" t="str">
        <f>HYPERLINK("https://twitter.com/shoecrazywine/status/1620916303077994496")</f>
        <v>https://twitter.com/shoecrazywine/status/1620916303077994496</v>
      </c>
      <c r="AC1060" s="78" t="s">
        <v>4046</v>
      </c>
      <c r="AE1060" t="b">
        <v>0</v>
      </c>
      <c r="AF1060">
        <v>0</v>
      </c>
      <c r="AG1060" s="78" t="s">
        <v>4640</v>
      </c>
      <c r="AH1060" t="b">
        <v>0</v>
      </c>
      <c r="AI1060" t="s">
        <v>4829</v>
      </c>
      <c r="AK1060" s="78" t="s">
        <v>4640</v>
      </c>
      <c r="AL1060" t="b">
        <v>0</v>
      </c>
      <c r="AM1060">
        <v>0</v>
      </c>
      <c r="AN1060" s="78" t="s">
        <v>4640</v>
      </c>
      <c r="AO1060" s="78" t="s">
        <v>4849</v>
      </c>
      <c r="AP1060" t="b">
        <v>0</v>
      </c>
      <c r="AQ1060" s="78" t="s">
        <v>4046</v>
      </c>
      <c r="AR1060" t="s">
        <v>179</v>
      </c>
      <c r="AS1060">
        <v>0</v>
      </c>
      <c r="AT1060">
        <v>0</v>
      </c>
    </row>
    <row r="1061" spans="1:46" x14ac:dyDescent="0.45">
      <c r="A1061" s="62" t="s">
        <v>761</v>
      </c>
      <c r="B1061" s="62" t="s">
        <v>242</v>
      </c>
      <c r="C1061" s="63"/>
      <c r="D1061" s="64"/>
      <c r="E1061" s="65"/>
      <c r="F1061" s="66"/>
      <c r="G1061" s="63"/>
      <c r="H1061" s="67"/>
      <c r="I1061" s="68"/>
      <c r="J1061" s="68"/>
      <c r="K1061" s="32"/>
      <c r="L1061" s="75"/>
      <c r="M1061" s="75"/>
      <c r="N1061" s="70"/>
      <c r="O1061" t="s">
        <v>1568</v>
      </c>
      <c r="P1061" s="76">
        <v>44958.948333333334</v>
      </c>
      <c r="Q1061" t="s">
        <v>1940</v>
      </c>
      <c r="T1061" s="78" t="s">
        <v>2370</v>
      </c>
      <c r="U1061" s="77" t="str">
        <f>HYPERLINK("https://pbs.twimg.com/ext_tw_video_thumb/1620916248543387648/pu/img/JbL0_UQaiA7--Bq_.jpg")</f>
        <v>https://pbs.twimg.com/ext_tw_video_thumb/1620916248543387648/pu/img/JbL0_UQaiA7--Bq_.jpg</v>
      </c>
      <c r="V1061" s="77" t="str">
        <f>HYPERLINK("https://pbs.twimg.com/ext_tw_video_thumb/1620916248543387648/pu/img/JbL0_UQaiA7--Bq_.jpg")</f>
        <v>https://pbs.twimg.com/ext_tw_video_thumb/1620916248543387648/pu/img/JbL0_UQaiA7--Bq_.jpg</v>
      </c>
      <c r="W1061" s="76">
        <v>44958.948333333334</v>
      </c>
      <c r="X1061" s="80">
        <v>44958</v>
      </c>
      <c r="Y1061" s="78" t="s">
        <v>2981</v>
      </c>
      <c r="Z1061" s="77" t="str">
        <f>HYPERLINK("https://twitter.com/shoecrazywine/status/1620916303077994496")</f>
        <v>https://twitter.com/shoecrazywine/status/1620916303077994496</v>
      </c>
      <c r="AC1061" s="78" t="s">
        <v>4046</v>
      </c>
      <c r="AE1061" t="b">
        <v>0</v>
      </c>
      <c r="AF1061">
        <v>0</v>
      </c>
      <c r="AG1061" s="78" t="s">
        <v>4640</v>
      </c>
      <c r="AH1061" t="b">
        <v>0</v>
      </c>
      <c r="AI1061" t="s">
        <v>4829</v>
      </c>
      <c r="AK1061" s="78" t="s">
        <v>4640</v>
      </c>
      <c r="AL1061" t="b">
        <v>0</v>
      </c>
      <c r="AM1061">
        <v>0</v>
      </c>
      <c r="AN1061" s="78" t="s">
        <v>4640</v>
      </c>
      <c r="AO1061" s="78" t="s">
        <v>4849</v>
      </c>
      <c r="AP1061" t="b">
        <v>0</v>
      </c>
      <c r="AQ1061" s="78" t="s">
        <v>4046</v>
      </c>
      <c r="AR1061" t="s">
        <v>179</v>
      </c>
      <c r="AS1061">
        <v>0</v>
      </c>
      <c r="AT1061">
        <v>0</v>
      </c>
    </row>
    <row r="1062" spans="1:46" x14ac:dyDescent="0.45">
      <c r="A1062" s="62" t="s">
        <v>807</v>
      </c>
      <c r="B1062" s="62" t="s">
        <v>1385</v>
      </c>
      <c r="C1062" s="63"/>
      <c r="D1062" s="64"/>
      <c r="E1062" s="65"/>
      <c r="F1062" s="66"/>
      <c r="G1062" s="63"/>
      <c r="H1062" s="67"/>
      <c r="I1062" s="68"/>
      <c r="J1062" s="68"/>
      <c r="K1062" s="32"/>
      <c r="L1062" s="75"/>
      <c r="M1062" s="75"/>
      <c r="N1062" s="70"/>
      <c r="O1062" t="s">
        <v>1568</v>
      </c>
      <c r="P1062" s="76">
        <v>44958.590358796297</v>
      </c>
      <c r="Q1062" t="s">
        <v>1975</v>
      </c>
      <c r="T1062" s="78" t="s">
        <v>2377</v>
      </c>
      <c r="V1062" s="77" t="str">
        <f>HYPERLINK("https://pbs.twimg.com/profile_images/1097508718223257600/W9XlJBRj_normal.jpg")</f>
        <v>https://pbs.twimg.com/profile_images/1097508718223257600/W9XlJBRj_normal.jpg</v>
      </c>
      <c r="W1062" s="76">
        <v>44958.590358796297</v>
      </c>
      <c r="X1062" s="80">
        <v>44958</v>
      </c>
      <c r="Y1062" s="78" t="s">
        <v>3032</v>
      </c>
      <c r="Z1062" s="77" t="str">
        <f>HYPERLINK("https://twitter.com/sebrango_9/status/1620786575901876225")</f>
        <v>https://twitter.com/sebrango_9/status/1620786575901876225</v>
      </c>
      <c r="AC1062" s="78" t="s">
        <v>4097</v>
      </c>
      <c r="AE1062" t="b">
        <v>0</v>
      </c>
      <c r="AF1062">
        <v>5</v>
      </c>
      <c r="AG1062" s="78" t="s">
        <v>4640</v>
      </c>
      <c r="AH1062" t="b">
        <v>0</v>
      </c>
      <c r="AI1062" t="s">
        <v>4829</v>
      </c>
      <c r="AK1062" s="78" t="s">
        <v>4640</v>
      </c>
      <c r="AL1062" t="b">
        <v>0</v>
      </c>
      <c r="AM1062">
        <v>0</v>
      </c>
      <c r="AN1062" s="78" t="s">
        <v>4640</v>
      </c>
      <c r="AO1062" s="78" t="s">
        <v>4849</v>
      </c>
      <c r="AP1062" t="b">
        <v>0</v>
      </c>
      <c r="AQ1062" s="78" t="s">
        <v>4097</v>
      </c>
      <c r="AR1062" t="s">
        <v>179</v>
      </c>
      <c r="AS1062">
        <v>0</v>
      </c>
      <c r="AT1062">
        <v>0</v>
      </c>
    </row>
    <row r="1063" spans="1:46" x14ac:dyDescent="0.45">
      <c r="A1063" s="62" t="s">
        <v>807</v>
      </c>
      <c r="B1063" s="62" t="s">
        <v>242</v>
      </c>
      <c r="C1063" s="63"/>
      <c r="D1063" s="64"/>
      <c r="E1063" s="65"/>
      <c r="F1063" s="66"/>
      <c r="G1063" s="63"/>
      <c r="H1063" s="67"/>
      <c r="I1063" s="68"/>
      <c r="J1063" s="68"/>
      <c r="K1063" s="32"/>
      <c r="L1063" s="75"/>
      <c r="M1063" s="75"/>
      <c r="N1063" s="70"/>
      <c r="O1063" t="s">
        <v>1568</v>
      </c>
      <c r="P1063" s="76">
        <v>44958.590358796297</v>
      </c>
      <c r="Q1063" t="s">
        <v>1975</v>
      </c>
      <c r="T1063" s="78" t="s">
        <v>2377</v>
      </c>
      <c r="V1063" s="77" t="str">
        <f>HYPERLINK("https://pbs.twimg.com/profile_images/1097508718223257600/W9XlJBRj_normal.jpg")</f>
        <v>https://pbs.twimg.com/profile_images/1097508718223257600/W9XlJBRj_normal.jpg</v>
      </c>
      <c r="W1063" s="76">
        <v>44958.590358796297</v>
      </c>
      <c r="X1063" s="80">
        <v>44958</v>
      </c>
      <c r="Y1063" s="78" t="s">
        <v>3032</v>
      </c>
      <c r="Z1063" s="77" t="str">
        <f>HYPERLINK("https://twitter.com/sebrango_9/status/1620786575901876225")</f>
        <v>https://twitter.com/sebrango_9/status/1620786575901876225</v>
      </c>
      <c r="AC1063" s="78" t="s">
        <v>4097</v>
      </c>
      <c r="AE1063" t="b">
        <v>0</v>
      </c>
      <c r="AF1063">
        <v>5</v>
      </c>
      <c r="AG1063" s="78" t="s">
        <v>4640</v>
      </c>
      <c r="AH1063" t="b">
        <v>0</v>
      </c>
      <c r="AI1063" t="s">
        <v>4829</v>
      </c>
      <c r="AK1063" s="78" t="s">
        <v>4640</v>
      </c>
      <c r="AL1063" t="b">
        <v>0</v>
      </c>
      <c r="AM1063">
        <v>0</v>
      </c>
      <c r="AN1063" s="78" t="s">
        <v>4640</v>
      </c>
      <c r="AO1063" s="78" t="s">
        <v>4849</v>
      </c>
      <c r="AP1063" t="b">
        <v>0</v>
      </c>
      <c r="AQ1063" s="78" t="s">
        <v>4097</v>
      </c>
      <c r="AR1063" t="s">
        <v>179</v>
      </c>
      <c r="AS1063">
        <v>0</v>
      </c>
      <c r="AT1063">
        <v>0</v>
      </c>
    </row>
    <row r="1064" spans="1:46" x14ac:dyDescent="0.45">
      <c r="A1064" s="62" t="s">
        <v>1073</v>
      </c>
      <c r="B1064" s="62" t="s">
        <v>242</v>
      </c>
      <c r="C1064" s="63"/>
      <c r="D1064" s="64"/>
      <c r="E1064" s="65"/>
      <c r="F1064" s="66"/>
      <c r="G1064" s="63"/>
      <c r="H1064" s="67"/>
      <c r="I1064" s="68"/>
      <c r="J1064" s="68"/>
      <c r="K1064" s="32"/>
      <c r="L1064" s="75"/>
      <c r="M1064" s="75"/>
      <c r="N1064" s="70"/>
      <c r="O1064" t="s">
        <v>1568</v>
      </c>
      <c r="P1064" s="76">
        <v>44959.556689814817</v>
      </c>
      <c r="Q1064" t="s">
        <v>2222</v>
      </c>
      <c r="T1064" s="78" t="s">
        <v>2417</v>
      </c>
      <c r="U1064" s="77" t="str">
        <f>HYPERLINK("https://pbs.twimg.com/media/Fn9vSpQWYAA9a6c.jpg")</f>
        <v>https://pbs.twimg.com/media/Fn9vSpQWYAA9a6c.jpg</v>
      </c>
      <c r="V1064" s="77" t="str">
        <f>HYPERLINK("https://pbs.twimg.com/media/Fn9vSpQWYAA9a6c.jpg")</f>
        <v>https://pbs.twimg.com/media/Fn9vSpQWYAA9a6c.jpg</v>
      </c>
      <c r="W1064" s="76">
        <v>44959.556689814817</v>
      </c>
      <c r="X1064" s="80">
        <v>44959</v>
      </c>
      <c r="Y1064" s="78" t="s">
        <v>3389</v>
      </c>
      <c r="Z1064" s="77" t="str">
        <f>HYPERLINK("https://twitter.com/jeyodin/status/1621136762721697792")</f>
        <v>https://twitter.com/jeyodin/status/1621136762721697792</v>
      </c>
      <c r="AC1064" s="78" t="s">
        <v>4454</v>
      </c>
      <c r="AD1064" s="78" t="s">
        <v>4632</v>
      </c>
      <c r="AE1064" t="b">
        <v>0</v>
      </c>
      <c r="AF1064">
        <v>5</v>
      </c>
      <c r="AG1064" s="78" t="s">
        <v>4821</v>
      </c>
      <c r="AH1064" t="b">
        <v>0</v>
      </c>
      <c r="AI1064" t="s">
        <v>4829</v>
      </c>
      <c r="AK1064" s="78" t="s">
        <v>4640</v>
      </c>
      <c r="AL1064" t="b">
        <v>0</v>
      </c>
      <c r="AM1064">
        <v>1</v>
      </c>
      <c r="AN1064" s="78" t="s">
        <v>4640</v>
      </c>
      <c r="AO1064" s="78" t="s">
        <v>4849</v>
      </c>
      <c r="AP1064" t="b">
        <v>0</v>
      </c>
      <c r="AQ1064" s="78" t="s">
        <v>4632</v>
      </c>
      <c r="AR1064" t="s">
        <v>179</v>
      </c>
      <c r="AS1064">
        <v>0</v>
      </c>
      <c r="AT1064">
        <v>0</v>
      </c>
    </row>
    <row r="1065" spans="1:46" x14ac:dyDescent="0.45">
      <c r="A1065" s="62" t="s">
        <v>1073</v>
      </c>
      <c r="B1065" s="62" t="s">
        <v>1074</v>
      </c>
      <c r="C1065" s="63"/>
      <c r="D1065" s="64"/>
      <c r="E1065" s="65"/>
      <c r="F1065" s="66"/>
      <c r="G1065" s="63"/>
      <c r="H1065" s="67"/>
      <c r="I1065" s="68"/>
      <c r="J1065" s="68"/>
      <c r="K1065" s="32"/>
      <c r="L1065" s="75"/>
      <c r="M1065" s="75"/>
      <c r="N1065" s="70"/>
      <c r="O1065" t="s">
        <v>1568</v>
      </c>
      <c r="P1065" s="76">
        <v>44959.556689814817</v>
      </c>
      <c r="Q1065" t="s">
        <v>2222</v>
      </c>
      <c r="T1065" s="78" t="s">
        <v>2417</v>
      </c>
      <c r="U1065" s="77" t="str">
        <f>HYPERLINK("https://pbs.twimg.com/media/Fn9vSpQWYAA9a6c.jpg")</f>
        <v>https://pbs.twimg.com/media/Fn9vSpQWYAA9a6c.jpg</v>
      </c>
      <c r="V1065" s="77" t="str">
        <f>HYPERLINK("https://pbs.twimg.com/media/Fn9vSpQWYAA9a6c.jpg")</f>
        <v>https://pbs.twimg.com/media/Fn9vSpQWYAA9a6c.jpg</v>
      </c>
      <c r="W1065" s="76">
        <v>44959.556689814817</v>
      </c>
      <c r="X1065" s="80">
        <v>44959</v>
      </c>
      <c r="Y1065" s="78" t="s">
        <v>3389</v>
      </c>
      <c r="Z1065" s="77" t="str">
        <f>HYPERLINK("https://twitter.com/jeyodin/status/1621136762721697792")</f>
        <v>https://twitter.com/jeyodin/status/1621136762721697792</v>
      </c>
      <c r="AC1065" s="78" t="s">
        <v>4454</v>
      </c>
      <c r="AD1065" s="78" t="s">
        <v>4632</v>
      </c>
      <c r="AE1065" t="b">
        <v>0</v>
      </c>
      <c r="AF1065">
        <v>5</v>
      </c>
      <c r="AG1065" s="78" t="s">
        <v>4821</v>
      </c>
      <c r="AH1065" t="b">
        <v>0</v>
      </c>
      <c r="AI1065" t="s">
        <v>4829</v>
      </c>
      <c r="AK1065" s="78" t="s">
        <v>4640</v>
      </c>
      <c r="AL1065" t="b">
        <v>0</v>
      </c>
      <c r="AM1065">
        <v>1</v>
      </c>
      <c r="AN1065" s="78" t="s">
        <v>4640</v>
      </c>
      <c r="AO1065" s="78" t="s">
        <v>4849</v>
      </c>
      <c r="AP1065" t="b">
        <v>0</v>
      </c>
      <c r="AQ1065" s="78" t="s">
        <v>4632</v>
      </c>
      <c r="AR1065" t="s">
        <v>179</v>
      </c>
      <c r="AS1065">
        <v>0</v>
      </c>
      <c r="AT1065">
        <v>0</v>
      </c>
    </row>
    <row r="1066" spans="1:46" x14ac:dyDescent="0.45">
      <c r="A1066" s="62" t="s">
        <v>1074</v>
      </c>
      <c r="B1066" s="62" t="s">
        <v>1073</v>
      </c>
      <c r="C1066" s="63"/>
      <c r="D1066" s="64"/>
      <c r="E1066" s="65"/>
      <c r="F1066" s="66"/>
      <c r="G1066" s="63"/>
      <c r="H1066" s="67"/>
      <c r="I1066" s="68"/>
      <c r="J1066" s="68"/>
      <c r="K1066" s="32"/>
      <c r="L1066" s="75"/>
      <c r="M1066" s="75"/>
      <c r="N1066" s="70"/>
      <c r="O1066" t="s">
        <v>1569</v>
      </c>
      <c r="P1066" s="76">
        <v>44959.558321759258</v>
      </c>
      <c r="Q1066" t="s">
        <v>2222</v>
      </c>
      <c r="T1066" s="78" t="s">
        <v>2417</v>
      </c>
      <c r="U1066" s="77" t="str">
        <f>HYPERLINK("https://pbs.twimg.com/media/Fn9vSpQWYAA9a6c.jpg")</f>
        <v>https://pbs.twimg.com/media/Fn9vSpQWYAA9a6c.jpg</v>
      </c>
      <c r="V1066" s="77" t="str">
        <f>HYPERLINK("https://pbs.twimg.com/media/Fn9vSpQWYAA9a6c.jpg")</f>
        <v>https://pbs.twimg.com/media/Fn9vSpQWYAA9a6c.jpg</v>
      </c>
      <c r="W1066" s="76">
        <v>44959.558321759258</v>
      </c>
      <c r="X1066" s="80">
        <v>44959</v>
      </c>
      <c r="Y1066" s="78" t="s">
        <v>3390</v>
      </c>
      <c r="Z1066" s="77" t="str">
        <f>HYPERLINK("https://twitter.com/saturday_am/status/1621137354672209923")</f>
        <v>https://twitter.com/saturday_am/status/1621137354672209923</v>
      </c>
      <c r="AC1066" s="78" t="s">
        <v>4455</v>
      </c>
      <c r="AE1066" t="b">
        <v>0</v>
      </c>
      <c r="AF1066">
        <v>0</v>
      </c>
      <c r="AG1066" s="78" t="s">
        <v>4640</v>
      </c>
      <c r="AH1066" t="b">
        <v>0</v>
      </c>
      <c r="AI1066" t="s">
        <v>4829</v>
      </c>
      <c r="AK1066" s="78" t="s">
        <v>4640</v>
      </c>
      <c r="AL1066" t="b">
        <v>0</v>
      </c>
      <c r="AM1066">
        <v>1</v>
      </c>
      <c r="AN1066" s="78" t="s">
        <v>4454</v>
      </c>
      <c r="AO1066" s="78" t="s">
        <v>4851</v>
      </c>
      <c r="AP1066" t="b">
        <v>0</v>
      </c>
      <c r="AQ1066" s="78" t="s">
        <v>4454</v>
      </c>
      <c r="AR1066" t="s">
        <v>179</v>
      </c>
      <c r="AS1066">
        <v>0</v>
      </c>
      <c r="AT1066">
        <v>0</v>
      </c>
    </row>
    <row r="1067" spans="1:46" x14ac:dyDescent="0.45">
      <c r="A1067" s="62" t="s">
        <v>1074</v>
      </c>
      <c r="B1067" s="62" t="s">
        <v>242</v>
      </c>
      <c r="C1067" s="63"/>
      <c r="D1067" s="64"/>
      <c r="E1067" s="65"/>
      <c r="F1067" s="66"/>
      <c r="G1067" s="63"/>
      <c r="H1067" s="67"/>
      <c r="I1067" s="68"/>
      <c r="J1067" s="68"/>
      <c r="K1067" s="32"/>
      <c r="L1067" s="75"/>
      <c r="M1067" s="75"/>
      <c r="N1067" s="70"/>
      <c r="O1067" t="s">
        <v>1570</v>
      </c>
      <c r="P1067" s="76">
        <v>44959.558321759258</v>
      </c>
      <c r="Q1067" t="s">
        <v>2222</v>
      </c>
      <c r="T1067" s="78" t="s">
        <v>2417</v>
      </c>
      <c r="U1067" s="77" t="str">
        <f>HYPERLINK("https://pbs.twimg.com/media/Fn9vSpQWYAA9a6c.jpg")</f>
        <v>https://pbs.twimg.com/media/Fn9vSpQWYAA9a6c.jpg</v>
      </c>
      <c r="V1067" s="77" t="str">
        <f>HYPERLINK("https://pbs.twimg.com/media/Fn9vSpQWYAA9a6c.jpg")</f>
        <v>https://pbs.twimg.com/media/Fn9vSpQWYAA9a6c.jpg</v>
      </c>
      <c r="W1067" s="76">
        <v>44959.558321759258</v>
      </c>
      <c r="X1067" s="80">
        <v>44959</v>
      </c>
      <c r="Y1067" s="78" t="s">
        <v>3390</v>
      </c>
      <c r="Z1067" s="77" t="str">
        <f>HYPERLINK("https://twitter.com/saturday_am/status/1621137354672209923")</f>
        <v>https://twitter.com/saturday_am/status/1621137354672209923</v>
      </c>
      <c r="AC1067" s="78" t="s">
        <v>4455</v>
      </c>
      <c r="AE1067" t="b">
        <v>0</v>
      </c>
      <c r="AF1067">
        <v>0</v>
      </c>
      <c r="AG1067" s="78" t="s">
        <v>4640</v>
      </c>
      <c r="AH1067" t="b">
        <v>0</v>
      </c>
      <c r="AI1067" t="s">
        <v>4829</v>
      </c>
      <c r="AK1067" s="78" t="s">
        <v>4640</v>
      </c>
      <c r="AL1067" t="b">
        <v>0</v>
      </c>
      <c r="AM1067">
        <v>1</v>
      </c>
      <c r="AN1067" s="78" t="s">
        <v>4454</v>
      </c>
      <c r="AO1067" s="78" t="s">
        <v>4851</v>
      </c>
      <c r="AP1067" t="b">
        <v>0</v>
      </c>
      <c r="AQ1067" s="78" t="s">
        <v>4454</v>
      </c>
      <c r="AR1067" t="s">
        <v>179</v>
      </c>
      <c r="AS1067">
        <v>0</v>
      </c>
      <c r="AT1067">
        <v>0</v>
      </c>
    </row>
    <row r="1068" spans="1:46" x14ac:dyDescent="0.45">
      <c r="A1068" s="62" t="s">
        <v>915</v>
      </c>
      <c r="B1068" s="62" t="s">
        <v>242</v>
      </c>
      <c r="C1068" s="63"/>
      <c r="D1068" s="64"/>
      <c r="E1068" s="65"/>
      <c r="F1068" s="66"/>
      <c r="G1068" s="63"/>
      <c r="H1068" s="67"/>
      <c r="I1068" s="68"/>
      <c r="J1068" s="68"/>
      <c r="K1068" s="32"/>
      <c r="L1068" s="75"/>
      <c r="M1068" s="75"/>
      <c r="N1068" s="70"/>
      <c r="O1068" t="s">
        <v>1567</v>
      </c>
      <c r="P1068" s="76">
        <v>44959.105821759258</v>
      </c>
      <c r="Q1068" t="s">
        <v>2075</v>
      </c>
      <c r="T1068" s="78" t="s">
        <v>2395</v>
      </c>
      <c r="V1068" s="77" t="str">
        <f>HYPERLINK("https://abs.twimg.com/sticky/default_profile_images/default_profile_normal.png")</f>
        <v>https://abs.twimg.com/sticky/default_profile_images/default_profile_normal.png</v>
      </c>
      <c r="W1068" s="76">
        <v>44959.105821759258</v>
      </c>
      <c r="X1068" s="80">
        <v>44959</v>
      </c>
      <c r="Y1068" s="78" t="s">
        <v>3180</v>
      </c>
      <c r="Z1068" s="77" t="str">
        <f>HYPERLINK("https://twitter.com/susej916777/status/1620973375979147264")</f>
        <v>https://twitter.com/susej916777/status/1620973375979147264</v>
      </c>
      <c r="AC1068" s="78" t="s">
        <v>4245</v>
      </c>
      <c r="AE1068" t="b">
        <v>0</v>
      </c>
      <c r="AF1068">
        <v>0</v>
      </c>
      <c r="AG1068" s="78" t="s">
        <v>4639</v>
      </c>
      <c r="AH1068" t="b">
        <v>0</v>
      </c>
      <c r="AI1068" t="s">
        <v>4829</v>
      </c>
      <c r="AK1068" s="78" t="s">
        <v>4640</v>
      </c>
      <c r="AL1068" t="b">
        <v>0</v>
      </c>
      <c r="AM1068">
        <v>0</v>
      </c>
      <c r="AN1068" s="78" t="s">
        <v>4640</v>
      </c>
      <c r="AO1068" s="78" t="s">
        <v>4851</v>
      </c>
      <c r="AP1068" t="b">
        <v>0</v>
      </c>
      <c r="AQ1068" s="78" t="s">
        <v>4245</v>
      </c>
      <c r="AR1068" t="s">
        <v>179</v>
      </c>
      <c r="AS1068">
        <v>0</v>
      </c>
      <c r="AT1068">
        <v>0</v>
      </c>
    </row>
    <row r="1069" spans="1:46" x14ac:dyDescent="0.45">
      <c r="A1069" s="62" t="s">
        <v>1020</v>
      </c>
      <c r="B1069" s="62" t="s">
        <v>242</v>
      </c>
      <c r="C1069" s="63"/>
      <c r="D1069" s="64"/>
      <c r="E1069" s="65"/>
      <c r="F1069" s="66"/>
      <c r="G1069" s="63"/>
      <c r="H1069" s="67"/>
      <c r="I1069" s="68"/>
      <c r="J1069" s="68"/>
      <c r="K1069" s="32"/>
      <c r="L1069" s="75"/>
      <c r="M1069" s="75"/>
      <c r="N1069" s="70"/>
      <c r="O1069" t="s">
        <v>1568</v>
      </c>
      <c r="P1069" s="76">
        <v>44959.258599537039</v>
      </c>
      <c r="Q1069" t="s">
        <v>2174</v>
      </c>
      <c r="T1069" s="78" t="s">
        <v>2410</v>
      </c>
      <c r="U1069" s="77" t="str">
        <f>HYPERLINK("https://pbs.twimg.com/media/Fn8M1c8akAAxDEU.jpg")</f>
        <v>https://pbs.twimg.com/media/Fn8M1c8akAAxDEU.jpg</v>
      </c>
      <c r="V1069" s="77" t="str">
        <f>HYPERLINK("https://pbs.twimg.com/media/Fn8M1c8akAAxDEU.jpg")</f>
        <v>https://pbs.twimg.com/media/Fn8M1c8akAAxDEU.jpg</v>
      </c>
      <c r="W1069" s="76">
        <v>44959.258599537039</v>
      </c>
      <c r="X1069" s="80">
        <v>44959</v>
      </c>
      <c r="Y1069" s="78" t="s">
        <v>3315</v>
      </c>
      <c r="Z1069" s="77" t="str">
        <f>HYPERLINK("https://twitter.com/queenie4ever/status/1621028738774466560")</f>
        <v>https://twitter.com/queenie4ever/status/1621028738774466560</v>
      </c>
      <c r="AC1069" s="78" t="s">
        <v>4380</v>
      </c>
      <c r="AE1069" t="b">
        <v>0</v>
      </c>
      <c r="AF1069">
        <v>12</v>
      </c>
      <c r="AG1069" s="78" t="s">
        <v>4640</v>
      </c>
      <c r="AH1069" t="b">
        <v>0</v>
      </c>
      <c r="AI1069" t="s">
        <v>4829</v>
      </c>
      <c r="AK1069" s="78" t="s">
        <v>4640</v>
      </c>
      <c r="AL1069" t="b">
        <v>0</v>
      </c>
      <c r="AM1069">
        <v>1</v>
      </c>
      <c r="AN1069" s="78" t="s">
        <v>4640</v>
      </c>
      <c r="AO1069" s="78" t="s">
        <v>4849</v>
      </c>
      <c r="AP1069" t="b">
        <v>0</v>
      </c>
      <c r="AQ1069" s="78" t="s">
        <v>4380</v>
      </c>
      <c r="AR1069" t="s">
        <v>179</v>
      </c>
      <c r="AS1069">
        <v>0</v>
      </c>
      <c r="AT1069">
        <v>0</v>
      </c>
    </row>
    <row r="1070" spans="1:46" x14ac:dyDescent="0.45">
      <c r="A1070" s="62" t="s">
        <v>1019</v>
      </c>
      <c r="B1070" s="62" t="s">
        <v>1020</v>
      </c>
      <c r="C1070" s="63"/>
      <c r="D1070" s="64"/>
      <c r="E1070" s="65"/>
      <c r="F1070" s="66"/>
      <c r="G1070" s="63"/>
      <c r="H1070" s="67"/>
      <c r="I1070" s="68"/>
      <c r="J1070" s="68"/>
      <c r="K1070" s="32"/>
      <c r="L1070" s="75"/>
      <c r="M1070" s="75"/>
      <c r="N1070" s="70"/>
      <c r="O1070" t="s">
        <v>1569</v>
      </c>
      <c r="P1070" s="76">
        <v>44959.372986111113</v>
      </c>
      <c r="Q1070" t="s">
        <v>2174</v>
      </c>
      <c r="T1070" s="78" t="s">
        <v>2410</v>
      </c>
      <c r="U1070" s="77" t="str">
        <f>HYPERLINK("https://pbs.twimg.com/media/Fn8M1c8akAAxDEU.jpg")</f>
        <v>https://pbs.twimg.com/media/Fn8M1c8akAAxDEU.jpg</v>
      </c>
      <c r="V1070" s="77" t="str">
        <f>HYPERLINK("https://pbs.twimg.com/media/Fn8M1c8akAAxDEU.jpg")</f>
        <v>https://pbs.twimg.com/media/Fn8M1c8akAAxDEU.jpg</v>
      </c>
      <c r="W1070" s="76">
        <v>44959.372986111113</v>
      </c>
      <c r="X1070" s="80">
        <v>44959</v>
      </c>
      <c r="Y1070" s="78" t="s">
        <v>3317</v>
      </c>
      <c r="Z1070" s="77" t="str">
        <f>HYPERLINK("https://twitter.com/veniceawong/status/1621070194188898304")</f>
        <v>https://twitter.com/veniceawong/status/1621070194188898304</v>
      </c>
      <c r="AC1070" s="78" t="s">
        <v>4382</v>
      </c>
      <c r="AE1070" t="b">
        <v>0</v>
      </c>
      <c r="AF1070">
        <v>0</v>
      </c>
      <c r="AG1070" s="78" t="s">
        <v>4640</v>
      </c>
      <c r="AH1070" t="b">
        <v>0</v>
      </c>
      <c r="AI1070" t="s">
        <v>4829</v>
      </c>
      <c r="AK1070" s="78" t="s">
        <v>4640</v>
      </c>
      <c r="AL1070" t="b">
        <v>0</v>
      </c>
      <c r="AM1070">
        <v>1</v>
      </c>
      <c r="AN1070" s="78" t="s">
        <v>4380</v>
      </c>
      <c r="AO1070" s="78" t="s">
        <v>4849</v>
      </c>
      <c r="AP1070" t="b">
        <v>0</v>
      </c>
      <c r="AQ1070" s="78" t="s">
        <v>4380</v>
      </c>
      <c r="AR1070" t="s">
        <v>179</v>
      </c>
      <c r="AS1070">
        <v>0</v>
      </c>
      <c r="AT1070">
        <v>0</v>
      </c>
    </row>
    <row r="1071" spans="1:46" x14ac:dyDescent="0.45">
      <c r="A1071" s="62" t="s">
        <v>1019</v>
      </c>
      <c r="B1071" s="62" t="s">
        <v>242</v>
      </c>
      <c r="C1071" s="63"/>
      <c r="D1071" s="64"/>
      <c r="E1071" s="65"/>
      <c r="F1071" s="66"/>
      <c r="G1071" s="63"/>
      <c r="H1071" s="67"/>
      <c r="I1071" s="68"/>
      <c r="J1071" s="68"/>
      <c r="K1071" s="32"/>
      <c r="L1071" s="75"/>
      <c r="M1071" s="75"/>
      <c r="N1071" s="70"/>
      <c r="O1071" t="s">
        <v>1570</v>
      </c>
      <c r="P1071" s="76">
        <v>44959.372986111113</v>
      </c>
      <c r="Q1071" t="s">
        <v>2174</v>
      </c>
      <c r="T1071" s="78" t="s">
        <v>2410</v>
      </c>
      <c r="U1071" s="77" t="str">
        <f>HYPERLINK("https://pbs.twimg.com/media/Fn8M1c8akAAxDEU.jpg")</f>
        <v>https://pbs.twimg.com/media/Fn8M1c8akAAxDEU.jpg</v>
      </c>
      <c r="V1071" s="77" t="str">
        <f>HYPERLINK("https://pbs.twimg.com/media/Fn8M1c8akAAxDEU.jpg")</f>
        <v>https://pbs.twimg.com/media/Fn8M1c8akAAxDEU.jpg</v>
      </c>
      <c r="W1071" s="76">
        <v>44959.372986111113</v>
      </c>
      <c r="X1071" s="80">
        <v>44959</v>
      </c>
      <c r="Y1071" s="78" t="s">
        <v>3317</v>
      </c>
      <c r="Z1071" s="77" t="str">
        <f>HYPERLINK("https://twitter.com/veniceawong/status/1621070194188898304")</f>
        <v>https://twitter.com/veniceawong/status/1621070194188898304</v>
      </c>
      <c r="AC1071" s="78" t="s">
        <v>4382</v>
      </c>
      <c r="AE1071" t="b">
        <v>0</v>
      </c>
      <c r="AF1071">
        <v>0</v>
      </c>
      <c r="AG1071" s="78" t="s">
        <v>4640</v>
      </c>
      <c r="AH1071" t="b">
        <v>0</v>
      </c>
      <c r="AI1071" t="s">
        <v>4829</v>
      </c>
      <c r="AK1071" s="78" t="s">
        <v>4640</v>
      </c>
      <c r="AL1071" t="b">
        <v>0</v>
      </c>
      <c r="AM1071">
        <v>1</v>
      </c>
      <c r="AN1071" s="78" t="s">
        <v>4380</v>
      </c>
      <c r="AO1071" s="78" t="s">
        <v>4849</v>
      </c>
      <c r="AP1071" t="b">
        <v>0</v>
      </c>
      <c r="AQ1071" s="78" t="s">
        <v>4380</v>
      </c>
      <c r="AR1071" t="s">
        <v>179</v>
      </c>
      <c r="AS1071">
        <v>0</v>
      </c>
      <c r="AT1071">
        <v>0</v>
      </c>
    </row>
    <row r="1072" spans="1:46" x14ac:dyDescent="0.45">
      <c r="A1072" s="62" t="s">
        <v>317</v>
      </c>
      <c r="B1072" s="62" t="s">
        <v>242</v>
      </c>
      <c r="C1072" s="63"/>
      <c r="D1072" s="64"/>
      <c r="E1072" s="65"/>
      <c r="F1072" s="66"/>
      <c r="G1072" s="63"/>
      <c r="H1072" s="67"/>
      <c r="I1072" s="68"/>
      <c r="J1072" s="68"/>
      <c r="K1072" s="32"/>
      <c r="L1072" s="75"/>
      <c r="M1072" s="75"/>
      <c r="N1072" s="70"/>
      <c r="O1072" t="s">
        <v>1568</v>
      </c>
      <c r="P1072" s="76">
        <v>44958.617268518516</v>
      </c>
      <c r="Q1072" t="s">
        <v>1660</v>
      </c>
      <c r="T1072" s="78" t="s">
        <v>2325</v>
      </c>
      <c r="U1072" s="77" t="str">
        <f>HYPERLINK("https://pbs.twimg.com/media/Fn45qybX0AMuNC_.jpg")</f>
        <v>https://pbs.twimg.com/media/Fn45qybX0AMuNC_.jpg</v>
      </c>
      <c r="V1072" s="77" t="str">
        <f>HYPERLINK("https://pbs.twimg.com/media/Fn45qybX0AMuNC_.jpg")</f>
        <v>https://pbs.twimg.com/media/Fn45qybX0AMuNC_.jpg</v>
      </c>
      <c r="W1072" s="76">
        <v>44958.617268518516</v>
      </c>
      <c r="X1072" s="80">
        <v>44958</v>
      </c>
      <c r="Y1072" s="78" t="s">
        <v>2530</v>
      </c>
      <c r="Z1072" s="77" t="str">
        <f>HYPERLINK("https://twitter.com/rhondajflanagan/status/1620796330926051328")</f>
        <v>https://twitter.com/rhondajflanagan/status/1620796330926051328</v>
      </c>
      <c r="AC1072" s="78" t="s">
        <v>3546</v>
      </c>
      <c r="AE1072" t="b">
        <v>0</v>
      </c>
      <c r="AF1072">
        <v>0</v>
      </c>
      <c r="AG1072" s="78" t="s">
        <v>4640</v>
      </c>
      <c r="AH1072" t="b">
        <v>0</v>
      </c>
      <c r="AI1072" t="s">
        <v>4829</v>
      </c>
      <c r="AK1072" s="78" t="s">
        <v>4640</v>
      </c>
      <c r="AL1072" t="b">
        <v>0</v>
      </c>
      <c r="AM1072">
        <v>0</v>
      </c>
      <c r="AN1072" s="78" t="s">
        <v>4640</v>
      </c>
      <c r="AO1072" s="78" t="s">
        <v>4849</v>
      </c>
      <c r="AP1072" t="b">
        <v>0</v>
      </c>
      <c r="AQ1072" s="78" t="s">
        <v>3546</v>
      </c>
      <c r="AR1072" t="s">
        <v>179</v>
      </c>
      <c r="AS1072">
        <v>0</v>
      </c>
      <c r="AT1072">
        <v>0</v>
      </c>
    </row>
    <row r="1073" spans="1:46" x14ac:dyDescent="0.45">
      <c r="A1073" s="62" t="s">
        <v>946</v>
      </c>
      <c r="B1073" s="62" t="s">
        <v>1297</v>
      </c>
      <c r="C1073" s="63"/>
      <c r="D1073" s="64"/>
      <c r="E1073" s="65"/>
      <c r="F1073" s="66"/>
      <c r="G1073" s="63"/>
      <c r="H1073" s="67"/>
      <c r="I1073" s="68"/>
      <c r="J1073" s="68"/>
      <c r="K1073" s="32"/>
      <c r="L1073" s="75"/>
      <c r="M1073" s="75"/>
      <c r="N1073" s="70"/>
      <c r="O1073" t="s">
        <v>1568</v>
      </c>
      <c r="P1073" s="76">
        <v>44959.178865740738</v>
      </c>
      <c r="Q1073" t="s">
        <v>2102</v>
      </c>
      <c r="T1073" s="78" t="s">
        <v>2400</v>
      </c>
      <c r="U1073" s="77" t="str">
        <f>HYPERLINK("https://pbs.twimg.com/media/Fn7yxBgWQAApIo9.jpg")</f>
        <v>https://pbs.twimg.com/media/Fn7yxBgWQAApIo9.jpg</v>
      </c>
      <c r="V1073" s="77" t="str">
        <f>HYPERLINK("https://pbs.twimg.com/media/Fn7yxBgWQAApIo9.jpg")</f>
        <v>https://pbs.twimg.com/media/Fn7yxBgWQAApIo9.jpg</v>
      </c>
      <c r="W1073" s="76">
        <v>44959.178865740738</v>
      </c>
      <c r="X1073" s="80">
        <v>44959</v>
      </c>
      <c r="Y1073" s="78" t="s">
        <v>3218</v>
      </c>
      <c r="Z1073" s="77" t="str">
        <f>HYPERLINK("https://twitter.com/ny_youth_sports/status/1620999846139408384")</f>
        <v>https://twitter.com/ny_youth_sports/status/1620999846139408384</v>
      </c>
      <c r="AC1073" s="78" t="s">
        <v>4283</v>
      </c>
      <c r="AE1073" t="b">
        <v>0</v>
      </c>
      <c r="AF1073">
        <v>0</v>
      </c>
      <c r="AG1073" s="78" t="s">
        <v>4640</v>
      </c>
      <c r="AH1073" t="b">
        <v>0</v>
      </c>
      <c r="AI1073" t="s">
        <v>4829</v>
      </c>
      <c r="AK1073" s="78" t="s">
        <v>4640</v>
      </c>
      <c r="AL1073" t="b">
        <v>0</v>
      </c>
      <c r="AM1073">
        <v>0</v>
      </c>
      <c r="AN1073" s="78" t="s">
        <v>4640</v>
      </c>
      <c r="AO1073" s="78" t="s">
        <v>4850</v>
      </c>
      <c r="AP1073" t="b">
        <v>0</v>
      </c>
      <c r="AQ1073" s="78" t="s">
        <v>4283</v>
      </c>
      <c r="AR1073" t="s">
        <v>179</v>
      </c>
      <c r="AS1073">
        <v>0</v>
      </c>
      <c r="AT1073">
        <v>0</v>
      </c>
    </row>
    <row r="1074" spans="1:46" x14ac:dyDescent="0.45">
      <c r="A1074" s="62" t="s">
        <v>946</v>
      </c>
      <c r="B1074" s="62" t="s">
        <v>1450</v>
      </c>
      <c r="C1074" s="63"/>
      <c r="D1074" s="64"/>
      <c r="E1074" s="65"/>
      <c r="F1074" s="66"/>
      <c r="G1074" s="63"/>
      <c r="H1074" s="67"/>
      <c r="I1074" s="68"/>
      <c r="J1074" s="68"/>
      <c r="K1074" s="32"/>
      <c r="L1074" s="75"/>
      <c r="M1074" s="75"/>
      <c r="N1074" s="70"/>
      <c r="O1074" t="s">
        <v>1568</v>
      </c>
      <c r="P1074" s="76">
        <v>44959.178865740738</v>
      </c>
      <c r="Q1074" t="s">
        <v>2102</v>
      </c>
      <c r="T1074" s="78" t="s">
        <v>2400</v>
      </c>
      <c r="U1074" s="77" t="str">
        <f>HYPERLINK("https://pbs.twimg.com/media/Fn7yxBgWQAApIo9.jpg")</f>
        <v>https://pbs.twimg.com/media/Fn7yxBgWQAApIo9.jpg</v>
      </c>
      <c r="V1074" s="77" t="str">
        <f>HYPERLINK("https://pbs.twimg.com/media/Fn7yxBgWQAApIo9.jpg")</f>
        <v>https://pbs.twimg.com/media/Fn7yxBgWQAApIo9.jpg</v>
      </c>
      <c r="W1074" s="76">
        <v>44959.178865740738</v>
      </c>
      <c r="X1074" s="80">
        <v>44959</v>
      </c>
      <c r="Y1074" s="78" t="s">
        <v>3218</v>
      </c>
      <c r="Z1074" s="77" t="str">
        <f>HYPERLINK("https://twitter.com/ny_youth_sports/status/1620999846139408384")</f>
        <v>https://twitter.com/ny_youth_sports/status/1620999846139408384</v>
      </c>
      <c r="AC1074" s="78" t="s">
        <v>4283</v>
      </c>
      <c r="AE1074" t="b">
        <v>0</v>
      </c>
      <c r="AF1074">
        <v>0</v>
      </c>
      <c r="AG1074" s="78" t="s">
        <v>4640</v>
      </c>
      <c r="AH1074" t="b">
        <v>0</v>
      </c>
      <c r="AI1074" t="s">
        <v>4829</v>
      </c>
      <c r="AK1074" s="78" t="s">
        <v>4640</v>
      </c>
      <c r="AL1074" t="b">
        <v>0</v>
      </c>
      <c r="AM1074">
        <v>0</v>
      </c>
      <c r="AN1074" s="78" t="s">
        <v>4640</v>
      </c>
      <c r="AO1074" s="78" t="s">
        <v>4850</v>
      </c>
      <c r="AP1074" t="b">
        <v>0</v>
      </c>
      <c r="AQ1074" s="78" t="s">
        <v>4283</v>
      </c>
      <c r="AR1074" t="s">
        <v>179</v>
      </c>
      <c r="AS1074">
        <v>0</v>
      </c>
      <c r="AT1074">
        <v>0</v>
      </c>
    </row>
    <row r="1075" spans="1:46" x14ac:dyDescent="0.45">
      <c r="A1075" s="62" t="s">
        <v>946</v>
      </c>
      <c r="B1075" s="62" t="s">
        <v>1451</v>
      </c>
      <c r="C1075" s="63"/>
      <c r="D1075" s="64"/>
      <c r="E1075" s="65"/>
      <c r="F1075" s="66"/>
      <c r="G1075" s="63"/>
      <c r="H1075" s="67"/>
      <c r="I1075" s="68"/>
      <c r="J1075" s="68"/>
      <c r="K1075" s="32"/>
      <c r="L1075" s="75"/>
      <c r="M1075" s="75"/>
      <c r="N1075" s="70"/>
      <c r="O1075" t="s">
        <v>1568</v>
      </c>
      <c r="P1075" s="76">
        <v>44959.178865740738</v>
      </c>
      <c r="Q1075" t="s">
        <v>2102</v>
      </c>
      <c r="T1075" s="78" t="s">
        <v>2400</v>
      </c>
      <c r="U1075" s="77" t="str">
        <f>HYPERLINK("https://pbs.twimg.com/media/Fn7yxBgWQAApIo9.jpg")</f>
        <v>https://pbs.twimg.com/media/Fn7yxBgWQAApIo9.jpg</v>
      </c>
      <c r="V1075" s="77" t="str">
        <f>HYPERLINK("https://pbs.twimg.com/media/Fn7yxBgWQAApIo9.jpg")</f>
        <v>https://pbs.twimg.com/media/Fn7yxBgWQAApIo9.jpg</v>
      </c>
      <c r="W1075" s="76">
        <v>44959.178865740738</v>
      </c>
      <c r="X1075" s="80">
        <v>44959</v>
      </c>
      <c r="Y1075" s="78" t="s">
        <v>3218</v>
      </c>
      <c r="Z1075" s="77" t="str">
        <f>HYPERLINK("https://twitter.com/ny_youth_sports/status/1620999846139408384")</f>
        <v>https://twitter.com/ny_youth_sports/status/1620999846139408384</v>
      </c>
      <c r="AC1075" s="78" t="s">
        <v>4283</v>
      </c>
      <c r="AE1075" t="b">
        <v>0</v>
      </c>
      <c r="AF1075">
        <v>0</v>
      </c>
      <c r="AG1075" s="78" t="s">
        <v>4640</v>
      </c>
      <c r="AH1075" t="b">
        <v>0</v>
      </c>
      <c r="AI1075" t="s">
        <v>4829</v>
      </c>
      <c r="AK1075" s="78" t="s">
        <v>4640</v>
      </c>
      <c r="AL1075" t="b">
        <v>0</v>
      </c>
      <c r="AM1075">
        <v>0</v>
      </c>
      <c r="AN1075" s="78" t="s">
        <v>4640</v>
      </c>
      <c r="AO1075" s="78" t="s">
        <v>4850</v>
      </c>
      <c r="AP1075" t="b">
        <v>0</v>
      </c>
      <c r="AQ1075" s="78" t="s">
        <v>4283</v>
      </c>
      <c r="AR1075" t="s">
        <v>179</v>
      </c>
      <c r="AS1075">
        <v>0</v>
      </c>
      <c r="AT1075">
        <v>0</v>
      </c>
    </row>
    <row r="1076" spans="1:46" x14ac:dyDescent="0.45">
      <c r="A1076" s="62" t="s">
        <v>946</v>
      </c>
      <c r="B1076" s="62" t="s">
        <v>1452</v>
      </c>
      <c r="C1076" s="63"/>
      <c r="D1076" s="64"/>
      <c r="E1076" s="65"/>
      <c r="F1076" s="66"/>
      <c r="G1076" s="63"/>
      <c r="H1076" s="67"/>
      <c r="I1076" s="68"/>
      <c r="J1076" s="68"/>
      <c r="K1076" s="32"/>
      <c r="L1076" s="75"/>
      <c r="M1076" s="75"/>
      <c r="N1076" s="70"/>
      <c r="O1076" t="s">
        <v>1568</v>
      </c>
      <c r="P1076" s="76">
        <v>44959.178865740738</v>
      </c>
      <c r="Q1076" t="s">
        <v>2102</v>
      </c>
      <c r="T1076" s="78" t="s">
        <v>2400</v>
      </c>
      <c r="U1076" s="77" t="str">
        <f>HYPERLINK("https://pbs.twimg.com/media/Fn7yxBgWQAApIo9.jpg")</f>
        <v>https://pbs.twimg.com/media/Fn7yxBgWQAApIo9.jpg</v>
      </c>
      <c r="V1076" s="77" t="str">
        <f>HYPERLINK("https://pbs.twimg.com/media/Fn7yxBgWQAApIo9.jpg")</f>
        <v>https://pbs.twimg.com/media/Fn7yxBgWQAApIo9.jpg</v>
      </c>
      <c r="W1076" s="76">
        <v>44959.178865740738</v>
      </c>
      <c r="X1076" s="80">
        <v>44959</v>
      </c>
      <c r="Y1076" s="78" t="s">
        <v>3218</v>
      </c>
      <c r="Z1076" s="77" t="str">
        <f>HYPERLINK("https://twitter.com/ny_youth_sports/status/1620999846139408384")</f>
        <v>https://twitter.com/ny_youth_sports/status/1620999846139408384</v>
      </c>
      <c r="AC1076" s="78" t="s">
        <v>4283</v>
      </c>
      <c r="AE1076" t="b">
        <v>0</v>
      </c>
      <c r="AF1076">
        <v>0</v>
      </c>
      <c r="AG1076" s="78" t="s">
        <v>4640</v>
      </c>
      <c r="AH1076" t="b">
        <v>0</v>
      </c>
      <c r="AI1076" t="s">
        <v>4829</v>
      </c>
      <c r="AK1076" s="78" t="s">
        <v>4640</v>
      </c>
      <c r="AL1076" t="b">
        <v>0</v>
      </c>
      <c r="AM1076">
        <v>0</v>
      </c>
      <c r="AN1076" s="78" t="s">
        <v>4640</v>
      </c>
      <c r="AO1076" s="78" t="s">
        <v>4850</v>
      </c>
      <c r="AP1076" t="b">
        <v>0</v>
      </c>
      <c r="AQ1076" s="78" t="s">
        <v>4283</v>
      </c>
      <c r="AR1076" t="s">
        <v>179</v>
      </c>
      <c r="AS1076">
        <v>0</v>
      </c>
      <c r="AT1076">
        <v>0</v>
      </c>
    </row>
    <row r="1077" spans="1:46" x14ac:dyDescent="0.45">
      <c r="A1077" s="62" t="s">
        <v>946</v>
      </c>
      <c r="B1077" s="62" t="s">
        <v>1453</v>
      </c>
      <c r="C1077" s="63"/>
      <c r="D1077" s="64"/>
      <c r="E1077" s="65"/>
      <c r="F1077" s="66"/>
      <c r="G1077" s="63"/>
      <c r="H1077" s="67"/>
      <c r="I1077" s="68"/>
      <c r="J1077" s="68"/>
      <c r="K1077" s="32"/>
      <c r="L1077" s="75"/>
      <c r="M1077" s="75"/>
      <c r="N1077" s="70"/>
      <c r="O1077" t="s">
        <v>1568</v>
      </c>
      <c r="P1077" s="76">
        <v>44959.178865740738</v>
      </c>
      <c r="Q1077" t="s">
        <v>2102</v>
      </c>
      <c r="T1077" s="78" t="s">
        <v>2400</v>
      </c>
      <c r="U1077" s="77" t="str">
        <f>HYPERLINK("https://pbs.twimg.com/media/Fn7yxBgWQAApIo9.jpg")</f>
        <v>https://pbs.twimg.com/media/Fn7yxBgWQAApIo9.jpg</v>
      </c>
      <c r="V1077" s="77" t="str">
        <f>HYPERLINK("https://pbs.twimg.com/media/Fn7yxBgWQAApIo9.jpg")</f>
        <v>https://pbs.twimg.com/media/Fn7yxBgWQAApIo9.jpg</v>
      </c>
      <c r="W1077" s="76">
        <v>44959.178865740738</v>
      </c>
      <c r="X1077" s="80">
        <v>44959</v>
      </c>
      <c r="Y1077" s="78" t="s">
        <v>3218</v>
      </c>
      <c r="Z1077" s="77" t="str">
        <f>HYPERLINK("https://twitter.com/ny_youth_sports/status/1620999846139408384")</f>
        <v>https://twitter.com/ny_youth_sports/status/1620999846139408384</v>
      </c>
      <c r="AC1077" s="78" t="s">
        <v>4283</v>
      </c>
      <c r="AE1077" t="b">
        <v>0</v>
      </c>
      <c r="AF1077">
        <v>0</v>
      </c>
      <c r="AG1077" s="78" t="s">
        <v>4640</v>
      </c>
      <c r="AH1077" t="b">
        <v>0</v>
      </c>
      <c r="AI1077" t="s">
        <v>4829</v>
      </c>
      <c r="AK1077" s="78" t="s">
        <v>4640</v>
      </c>
      <c r="AL1077" t="b">
        <v>0</v>
      </c>
      <c r="AM1077">
        <v>0</v>
      </c>
      <c r="AN1077" s="78" t="s">
        <v>4640</v>
      </c>
      <c r="AO1077" s="78" t="s">
        <v>4850</v>
      </c>
      <c r="AP1077" t="b">
        <v>0</v>
      </c>
      <c r="AQ1077" s="78" t="s">
        <v>4283</v>
      </c>
      <c r="AR1077" t="s">
        <v>179</v>
      </c>
      <c r="AS1077">
        <v>0</v>
      </c>
      <c r="AT1077">
        <v>0</v>
      </c>
    </row>
    <row r="1078" spans="1:46" x14ac:dyDescent="0.45">
      <c r="A1078" s="62" t="s">
        <v>946</v>
      </c>
      <c r="B1078" s="62" t="s">
        <v>1454</v>
      </c>
      <c r="C1078" s="63"/>
      <c r="D1078" s="64"/>
      <c r="E1078" s="65"/>
      <c r="F1078" s="66"/>
      <c r="G1078" s="63"/>
      <c r="H1078" s="67"/>
      <c r="I1078" s="68"/>
      <c r="J1078" s="68"/>
      <c r="K1078" s="32"/>
      <c r="L1078" s="75"/>
      <c r="M1078" s="75"/>
      <c r="N1078" s="70"/>
      <c r="O1078" t="s">
        <v>1568</v>
      </c>
      <c r="P1078" s="76">
        <v>44959.178865740738</v>
      </c>
      <c r="Q1078" t="s">
        <v>2102</v>
      </c>
      <c r="T1078" s="78" t="s">
        <v>2400</v>
      </c>
      <c r="U1078" s="77" t="str">
        <f>HYPERLINK("https://pbs.twimg.com/media/Fn7yxBgWQAApIo9.jpg")</f>
        <v>https://pbs.twimg.com/media/Fn7yxBgWQAApIo9.jpg</v>
      </c>
      <c r="V1078" s="77" t="str">
        <f>HYPERLINK("https://pbs.twimg.com/media/Fn7yxBgWQAApIo9.jpg")</f>
        <v>https://pbs.twimg.com/media/Fn7yxBgWQAApIo9.jpg</v>
      </c>
      <c r="W1078" s="76">
        <v>44959.178865740738</v>
      </c>
      <c r="X1078" s="80">
        <v>44959</v>
      </c>
      <c r="Y1078" s="78" t="s">
        <v>3218</v>
      </c>
      <c r="Z1078" s="77" t="str">
        <f>HYPERLINK("https://twitter.com/ny_youth_sports/status/1620999846139408384")</f>
        <v>https://twitter.com/ny_youth_sports/status/1620999846139408384</v>
      </c>
      <c r="AC1078" s="78" t="s">
        <v>4283</v>
      </c>
      <c r="AE1078" t="b">
        <v>0</v>
      </c>
      <c r="AF1078">
        <v>0</v>
      </c>
      <c r="AG1078" s="78" t="s">
        <v>4640</v>
      </c>
      <c r="AH1078" t="b">
        <v>0</v>
      </c>
      <c r="AI1078" t="s">
        <v>4829</v>
      </c>
      <c r="AK1078" s="78" t="s">
        <v>4640</v>
      </c>
      <c r="AL1078" t="b">
        <v>0</v>
      </c>
      <c r="AM1078">
        <v>0</v>
      </c>
      <c r="AN1078" s="78" t="s">
        <v>4640</v>
      </c>
      <c r="AO1078" s="78" t="s">
        <v>4850</v>
      </c>
      <c r="AP1078" t="b">
        <v>0</v>
      </c>
      <c r="AQ1078" s="78" t="s">
        <v>4283</v>
      </c>
      <c r="AR1078" t="s">
        <v>179</v>
      </c>
      <c r="AS1078">
        <v>0</v>
      </c>
      <c r="AT1078">
        <v>0</v>
      </c>
    </row>
    <row r="1079" spans="1:46" x14ac:dyDescent="0.45">
      <c r="A1079" s="62" t="s">
        <v>946</v>
      </c>
      <c r="B1079" s="62" t="s">
        <v>1455</v>
      </c>
      <c r="C1079" s="63"/>
      <c r="D1079" s="64"/>
      <c r="E1079" s="65"/>
      <c r="F1079" s="66"/>
      <c r="G1079" s="63"/>
      <c r="H1079" s="67"/>
      <c r="I1079" s="68"/>
      <c r="J1079" s="68"/>
      <c r="K1079" s="32"/>
      <c r="L1079" s="75"/>
      <c r="M1079" s="75"/>
      <c r="N1079" s="70"/>
      <c r="O1079" t="s">
        <v>1568</v>
      </c>
      <c r="P1079" s="76">
        <v>44959.178865740738</v>
      </c>
      <c r="Q1079" t="s">
        <v>2102</v>
      </c>
      <c r="T1079" s="78" t="s">
        <v>2400</v>
      </c>
      <c r="U1079" s="77" t="str">
        <f>HYPERLINK("https://pbs.twimg.com/media/Fn7yxBgWQAApIo9.jpg")</f>
        <v>https://pbs.twimg.com/media/Fn7yxBgWQAApIo9.jpg</v>
      </c>
      <c r="V1079" s="77" t="str">
        <f>HYPERLINK("https://pbs.twimg.com/media/Fn7yxBgWQAApIo9.jpg")</f>
        <v>https://pbs.twimg.com/media/Fn7yxBgWQAApIo9.jpg</v>
      </c>
      <c r="W1079" s="76">
        <v>44959.178865740738</v>
      </c>
      <c r="X1079" s="80">
        <v>44959</v>
      </c>
      <c r="Y1079" s="78" t="s">
        <v>3218</v>
      </c>
      <c r="Z1079" s="77" t="str">
        <f>HYPERLINK("https://twitter.com/ny_youth_sports/status/1620999846139408384")</f>
        <v>https://twitter.com/ny_youth_sports/status/1620999846139408384</v>
      </c>
      <c r="AC1079" s="78" t="s">
        <v>4283</v>
      </c>
      <c r="AE1079" t="b">
        <v>0</v>
      </c>
      <c r="AF1079">
        <v>0</v>
      </c>
      <c r="AG1079" s="78" t="s">
        <v>4640</v>
      </c>
      <c r="AH1079" t="b">
        <v>0</v>
      </c>
      <c r="AI1079" t="s">
        <v>4829</v>
      </c>
      <c r="AK1079" s="78" t="s">
        <v>4640</v>
      </c>
      <c r="AL1079" t="b">
        <v>0</v>
      </c>
      <c r="AM1079">
        <v>0</v>
      </c>
      <c r="AN1079" s="78" t="s">
        <v>4640</v>
      </c>
      <c r="AO1079" s="78" t="s">
        <v>4850</v>
      </c>
      <c r="AP1079" t="b">
        <v>0</v>
      </c>
      <c r="AQ1079" s="78" t="s">
        <v>4283</v>
      </c>
      <c r="AR1079" t="s">
        <v>179</v>
      </c>
      <c r="AS1079">
        <v>0</v>
      </c>
      <c r="AT1079">
        <v>0</v>
      </c>
    </row>
    <row r="1080" spans="1:46" x14ac:dyDescent="0.45">
      <c r="A1080" s="62" t="s">
        <v>946</v>
      </c>
      <c r="B1080" s="62" t="s">
        <v>242</v>
      </c>
      <c r="C1080" s="63"/>
      <c r="D1080" s="64"/>
      <c r="E1080" s="65"/>
      <c r="F1080" s="66"/>
      <c r="G1080" s="63"/>
      <c r="H1080" s="67"/>
      <c r="I1080" s="68"/>
      <c r="J1080" s="68"/>
      <c r="K1080" s="32"/>
      <c r="L1080" s="75"/>
      <c r="M1080" s="75"/>
      <c r="N1080" s="70"/>
      <c r="O1080" t="s">
        <v>1568</v>
      </c>
      <c r="P1080" s="76">
        <v>44959.178865740738</v>
      </c>
      <c r="Q1080" t="s">
        <v>2102</v>
      </c>
      <c r="T1080" s="78" t="s">
        <v>2400</v>
      </c>
      <c r="U1080" s="77" t="str">
        <f>HYPERLINK("https://pbs.twimg.com/media/Fn7yxBgWQAApIo9.jpg")</f>
        <v>https://pbs.twimg.com/media/Fn7yxBgWQAApIo9.jpg</v>
      </c>
      <c r="V1080" s="77" t="str">
        <f>HYPERLINK("https://pbs.twimg.com/media/Fn7yxBgWQAApIo9.jpg")</f>
        <v>https://pbs.twimg.com/media/Fn7yxBgWQAApIo9.jpg</v>
      </c>
      <c r="W1080" s="76">
        <v>44959.178865740738</v>
      </c>
      <c r="X1080" s="80">
        <v>44959</v>
      </c>
      <c r="Y1080" s="78" t="s">
        <v>3218</v>
      </c>
      <c r="Z1080" s="77" t="str">
        <f>HYPERLINK("https://twitter.com/ny_youth_sports/status/1620999846139408384")</f>
        <v>https://twitter.com/ny_youth_sports/status/1620999846139408384</v>
      </c>
      <c r="AC1080" s="78" t="s">
        <v>4283</v>
      </c>
      <c r="AE1080" t="b">
        <v>0</v>
      </c>
      <c r="AF1080">
        <v>0</v>
      </c>
      <c r="AG1080" s="78" t="s">
        <v>4640</v>
      </c>
      <c r="AH1080" t="b">
        <v>0</v>
      </c>
      <c r="AI1080" t="s">
        <v>4829</v>
      </c>
      <c r="AK1080" s="78" t="s">
        <v>4640</v>
      </c>
      <c r="AL1080" t="b">
        <v>0</v>
      </c>
      <c r="AM1080">
        <v>0</v>
      </c>
      <c r="AN1080" s="78" t="s">
        <v>4640</v>
      </c>
      <c r="AO1080" s="78" t="s">
        <v>4850</v>
      </c>
      <c r="AP1080" t="b">
        <v>0</v>
      </c>
      <c r="AQ1080" s="78" t="s">
        <v>4283</v>
      </c>
      <c r="AR1080" t="s">
        <v>179</v>
      </c>
      <c r="AS1080">
        <v>0</v>
      </c>
      <c r="AT1080">
        <v>0</v>
      </c>
    </row>
    <row r="1081" spans="1:46" x14ac:dyDescent="0.45">
      <c r="A1081" s="62" t="s">
        <v>856</v>
      </c>
      <c r="B1081" s="62" t="s">
        <v>1365</v>
      </c>
      <c r="C1081" s="63"/>
      <c r="D1081" s="64"/>
      <c r="E1081" s="65"/>
      <c r="F1081" s="66"/>
      <c r="G1081" s="63"/>
      <c r="H1081" s="67"/>
      <c r="I1081" s="68"/>
      <c r="J1081" s="68"/>
      <c r="K1081" s="32"/>
      <c r="L1081" s="75"/>
      <c r="M1081" s="75"/>
      <c r="N1081" s="70"/>
      <c r="O1081" t="s">
        <v>1568</v>
      </c>
      <c r="P1081" s="76">
        <v>44959.028020833335</v>
      </c>
      <c r="Q1081" t="s">
        <v>2033</v>
      </c>
      <c r="T1081" s="78" t="s">
        <v>1211</v>
      </c>
      <c r="U1081" s="77" t="str">
        <f>HYPERLINK("https://pbs.twimg.com/media/Fn7BDYmWYAAP8Nr.jpg")</f>
        <v>https://pbs.twimg.com/media/Fn7BDYmWYAAP8Nr.jpg</v>
      </c>
      <c r="V1081" s="77" t="str">
        <f>HYPERLINK("https://pbs.twimg.com/media/Fn7BDYmWYAAP8Nr.jpg")</f>
        <v>https://pbs.twimg.com/media/Fn7BDYmWYAAP8Nr.jpg</v>
      </c>
      <c r="W1081" s="76">
        <v>44959.028020833335</v>
      </c>
      <c r="X1081" s="80">
        <v>44959</v>
      </c>
      <c r="Y1081" s="78" t="s">
        <v>3116</v>
      </c>
      <c r="Z1081" s="77" t="str">
        <f>HYPERLINK("https://twitter.com/mrghoulishguy/status/1620945182245126144")</f>
        <v>https://twitter.com/mrghoulishguy/status/1620945182245126144</v>
      </c>
      <c r="AC1081" s="78" t="s">
        <v>4181</v>
      </c>
      <c r="AE1081" t="b">
        <v>0</v>
      </c>
      <c r="AF1081">
        <v>1</v>
      </c>
      <c r="AG1081" s="78" t="s">
        <v>4640</v>
      </c>
      <c r="AH1081" t="b">
        <v>0</v>
      </c>
      <c r="AI1081" t="s">
        <v>4829</v>
      </c>
      <c r="AK1081" s="78" t="s">
        <v>4640</v>
      </c>
      <c r="AL1081" t="b">
        <v>0</v>
      </c>
      <c r="AM1081">
        <v>0</v>
      </c>
      <c r="AN1081" s="78" t="s">
        <v>4640</v>
      </c>
      <c r="AO1081" s="78" t="s">
        <v>4850</v>
      </c>
      <c r="AP1081" t="b">
        <v>0</v>
      </c>
      <c r="AQ1081" s="78" t="s">
        <v>4181</v>
      </c>
      <c r="AR1081" t="s">
        <v>179</v>
      </c>
      <c r="AS1081">
        <v>0</v>
      </c>
      <c r="AT1081">
        <v>0</v>
      </c>
    </row>
    <row r="1082" spans="1:46" x14ac:dyDescent="0.45">
      <c r="A1082" s="62" t="s">
        <v>856</v>
      </c>
      <c r="B1082" s="62" t="s">
        <v>242</v>
      </c>
      <c r="C1082" s="63"/>
      <c r="D1082" s="64"/>
      <c r="E1082" s="65"/>
      <c r="F1082" s="66"/>
      <c r="G1082" s="63"/>
      <c r="H1082" s="67"/>
      <c r="I1082" s="68"/>
      <c r="J1082" s="68"/>
      <c r="K1082" s="32"/>
      <c r="L1082" s="75"/>
      <c r="M1082" s="75"/>
      <c r="N1082" s="70"/>
      <c r="O1082" t="s">
        <v>1568</v>
      </c>
      <c r="P1082" s="76">
        <v>44959.028020833335</v>
      </c>
      <c r="Q1082" t="s">
        <v>2033</v>
      </c>
      <c r="T1082" s="78" t="s">
        <v>1211</v>
      </c>
      <c r="U1082" s="77" t="str">
        <f>HYPERLINK("https://pbs.twimg.com/media/Fn7BDYmWYAAP8Nr.jpg")</f>
        <v>https://pbs.twimg.com/media/Fn7BDYmWYAAP8Nr.jpg</v>
      </c>
      <c r="V1082" s="77" t="str">
        <f>HYPERLINK("https://pbs.twimg.com/media/Fn7BDYmWYAAP8Nr.jpg")</f>
        <v>https://pbs.twimg.com/media/Fn7BDYmWYAAP8Nr.jpg</v>
      </c>
      <c r="W1082" s="76">
        <v>44959.028020833335</v>
      </c>
      <c r="X1082" s="80">
        <v>44959</v>
      </c>
      <c r="Y1082" s="78" t="s">
        <v>3116</v>
      </c>
      <c r="Z1082" s="77" t="str">
        <f>HYPERLINK("https://twitter.com/mrghoulishguy/status/1620945182245126144")</f>
        <v>https://twitter.com/mrghoulishguy/status/1620945182245126144</v>
      </c>
      <c r="AC1082" s="78" t="s">
        <v>4181</v>
      </c>
      <c r="AE1082" t="b">
        <v>0</v>
      </c>
      <c r="AF1082">
        <v>1</v>
      </c>
      <c r="AG1082" s="78" t="s">
        <v>4640</v>
      </c>
      <c r="AH1082" t="b">
        <v>0</v>
      </c>
      <c r="AI1082" t="s">
        <v>4829</v>
      </c>
      <c r="AK1082" s="78" t="s">
        <v>4640</v>
      </c>
      <c r="AL1082" t="b">
        <v>0</v>
      </c>
      <c r="AM1082">
        <v>0</v>
      </c>
      <c r="AN1082" s="78" t="s">
        <v>4640</v>
      </c>
      <c r="AO1082" s="78" t="s">
        <v>4850</v>
      </c>
      <c r="AP1082" t="b">
        <v>0</v>
      </c>
      <c r="AQ1082" s="78" t="s">
        <v>4181</v>
      </c>
      <c r="AR1082" t="s">
        <v>179</v>
      </c>
      <c r="AS1082">
        <v>0</v>
      </c>
      <c r="AT1082">
        <v>0</v>
      </c>
    </row>
    <row r="1083" spans="1:46" x14ac:dyDescent="0.45">
      <c r="A1083" s="62" t="s">
        <v>850</v>
      </c>
      <c r="B1083" s="62" t="s">
        <v>1403</v>
      </c>
      <c r="C1083" s="63"/>
      <c r="D1083" s="64"/>
      <c r="E1083" s="65"/>
      <c r="F1083" s="66"/>
      <c r="G1083" s="63"/>
      <c r="H1083" s="67"/>
      <c r="I1083" s="68"/>
      <c r="J1083" s="68"/>
      <c r="K1083" s="32"/>
      <c r="L1083" s="75"/>
      <c r="M1083" s="75"/>
      <c r="N1083" s="70"/>
      <c r="O1083" t="s">
        <v>1568</v>
      </c>
      <c r="P1083" s="76">
        <v>44959.020219907405</v>
      </c>
      <c r="Q1083" t="s">
        <v>2028</v>
      </c>
      <c r="T1083" s="78" t="s">
        <v>2384</v>
      </c>
      <c r="U1083" s="77" t="str">
        <f>HYPERLINK("https://pbs.twimg.com/media/Fn6-e0oXEAAPWpC.jpg")</f>
        <v>https://pbs.twimg.com/media/Fn6-e0oXEAAPWpC.jpg</v>
      </c>
      <c r="V1083" s="77" t="str">
        <f>HYPERLINK("https://pbs.twimg.com/media/Fn6-e0oXEAAPWpC.jpg")</f>
        <v>https://pbs.twimg.com/media/Fn6-e0oXEAAPWpC.jpg</v>
      </c>
      <c r="W1083" s="76">
        <v>44959.020219907405</v>
      </c>
      <c r="X1083" s="80">
        <v>44959</v>
      </c>
      <c r="Y1083" s="78" t="s">
        <v>3110</v>
      </c>
      <c r="Z1083" s="77" t="str">
        <f>HYPERLINK("https://twitter.com/ohsnap17860397/status/1620942355271499777")</f>
        <v>https://twitter.com/ohsnap17860397/status/1620942355271499777</v>
      </c>
      <c r="AC1083" s="78" t="s">
        <v>4175</v>
      </c>
      <c r="AE1083" t="b">
        <v>0</v>
      </c>
      <c r="AF1083">
        <v>0</v>
      </c>
      <c r="AG1083" s="78" t="s">
        <v>4640</v>
      </c>
      <c r="AH1083" t="b">
        <v>0</v>
      </c>
      <c r="AI1083" t="s">
        <v>4829</v>
      </c>
      <c r="AK1083" s="78" t="s">
        <v>4640</v>
      </c>
      <c r="AL1083" t="b">
        <v>0</v>
      </c>
      <c r="AM1083">
        <v>0</v>
      </c>
      <c r="AN1083" s="78" t="s">
        <v>4640</v>
      </c>
      <c r="AO1083" s="78" t="s">
        <v>4849</v>
      </c>
      <c r="AP1083" t="b">
        <v>0</v>
      </c>
      <c r="AQ1083" s="78" t="s">
        <v>4175</v>
      </c>
      <c r="AR1083" t="s">
        <v>179</v>
      </c>
      <c r="AS1083">
        <v>0</v>
      </c>
      <c r="AT1083">
        <v>0</v>
      </c>
    </row>
    <row r="1084" spans="1:46" x14ac:dyDescent="0.45">
      <c r="A1084" s="62" t="s">
        <v>850</v>
      </c>
      <c r="B1084" s="62" t="s">
        <v>242</v>
      </c>
      <c r="C1084" s="63"/>
      <c r="D1084" s="64"/>
      <c r="E1084" s="65"/>
      <c r="F1084" s="66"/>
      <c r="G1084" s="63"/>
      <c r="H1084" s="67"/>
      <c r="I1084" s="68"/>
      <c r="J1084" s="68"/>
      <c r="K1084" s="32"/>
      <c r="L1084" s="75"/>
      <c r="M1084" s="75"/>
      <c r="N1084" s="70"/>
      <c r="O1084" t="s">
        <v>1568</v>
      </c>
      <c r="P1084" s="76">
        <v>44959.020219907405</v>
      </c>
      <c r="Q1084" t="s">
        <v>2028</v>
      </c>
      <c r="T1084" s="78" t="s">
        <v>2384</v>
      </c>
      <c r="U1084" s="77" t="str">
        <f>HYPERLINK("https://pbs.twimg.com/media/Fn6-e0oXEAAPWpC.jpg")</f>
        <v>https://pbs.twimg.com/media/Fn6-e0oXEAAPWpC.jpg</v>
      </c>
      <c r="V1084" s="77" t="str">
        <f>HYPERLINK("https://pbs.twimg.com/media/Fn6-e0oXEAAPWpC.jpg")</f>
        <v>https://pbs.twimg.com/media/Fn6-e0oXEAAPWpC.jpg</v>
      </c>
      <c r="W1084" s="76">
        <v>44959.020219907405</v>
      </c>
      <c r="X1084" s="80">
        <v>44959</v>
      </c>
      <c r="Y1084" s="78" t="s">
        <v>3110</v>
      </c>
      <c r="Z1084" s="77" t="str">
        <f>HYPERLINK("https://twitter.com/ohsnap17860397/status/1620942355271499777")</f>
        <v>https://twitter.com/ohsnap17860397/status/1620942355271499777</v>
      </c>
      <c r="AC1084" s="78" t="s">
        <v>4175</v>
      </c>
      <c r="AE1084" t="b">
        <v>0</v>
      </c>
      <c r="AF1084">
        <v>0</v>
      </c>
      <c r="AG1084" s="78" t="s">
        <v>4640</v>
      </c>
      <c r="AH1084" t="b">
        <v>0</v>
      </c>
      <c r="AI1084" t="s">
        <v>4829</v>
      </c>
      <c r="AK1084" s="78" t="s">
        <v>4640</v>
      </c>
      <c r="AL1084" t="b">
        <v>0</v>
      </c>
      <c r="AM1084">
        <v>0</v>
      </c>
      <c r="AN1084" s="78" t="s">
        <v>4640</v>
      </c>
      <c r="AO1084" s="78" t="s">
        <v>4849</v>
      </c>
      <c r="AP1084" t="b">
        <v>0</v>
      </c>
      <c r="AQ1084" s="78" t="s">
        <v>4175</v>
      </c>
      <c r="AR1084" t="s">
        <v>179</v>
      </c>
      <c r="AS1084">
        <v>0</v>
      </c>
      <c r="AT1084">
        <v>0</v>
      </c>
    </row>
    <row r="1085" spans="1:46" x14ac:dyDescent="0.45">
      <c r="A1085" s="62" t="s">
        <v>679</v>
      </c>
      <c r="B1085" s="62" t="s">
        <v>242</v>
      </c>
      <c r="C1085" s="63"/>
      <c r="D1085" s="64"/>
      <c r="E1085" s="65"/>
      <c r="F1085" s="66"/>
      <c r="G1085" s="63"/>
      <c r="H1085" s="67"/>
      <c r="I1085" s="68"/>
      <c r="J1085" s="68"/>
      <c r="K1085" s="32"/>
      <c r="L1085" s="75"/>
      <c r="M1085" s="75"/>
      <c r="N1085" s="70"/>
      <c r="O1085" t="s">
        <v>1568</v>
      </c>
      <c r="P1085" s="76">
        <v>44958.708749999998</v>
      </c>
      <c r="Q1085" t="s">
        <v>1864</v>
      </c>
      <c r="T1085" s="78" t="s">
        <v>2359</v>
      </c>
      <c r="U1085" s="77" t="str">
        <f>HYPERLINK("https://pbs.twimg.com/media/Fn5Xzr1XkAQJLtn.jpg")</f>
        <v>https://pbs.twimg.com/media/Fn5Xzr1XkAQJLtn.jpg</v>
      </c>
      <c r="V1085" s="77" t="str">
        <f>HYPERLINK("https://pbs.twimg.com/media/Fn5Xzr1XkAQJLtn.jpg")</f>
        <v>https://pbs.twimg.com/media/Fn5Xzr1XkAQJLtn.jpg</v>
      </c>
      <c r="W1085" s="76">
        <v>44958.708749999998</v>
      </c>
      <c r="X1085" s="80">
        <v>44958</v>
      </c>
      <c r="Y1085" s="78" t="s">
        <v>2880</v>
      </c>
      <c r="Z1085" s="77" t="str">
        <f>HYPERLINK("https://twitter.com/motocitypizzaco/status/1620829482318794772")</f>
        <v>https://twitter.com/motocitypizzaco/status/1620829482318794772</v>
      </c>
      <c r="AC1085" s="78" t="s">
        <v>3945</v>
      </c>
      <c r="AE1085" t="b">
        <v>0</v>
      </c>
      <c r="AF1085">
        <v>4</v>
      </c>
      <c r="AG1085" s="78" t="s">
        <v>4640</v>
      </c>
      <c r="AH1085" t="b">
        <v>0</v>
      </c>
      <c r="AI1085" t="s">
        <v>4829</v>
      </c>
      <c r="AK1085" s="78" t="s">
        <v>4640</v>
      </c>
      <c r="AL1085" t="b">
        <v>0</v>
      </c>
      <c r="AM1085">
        <v>0</v>
      </c>
      <c r="AN1085" s="78" t="s">
        <v>4640</v>
      </c>
      <c r="AO1085" s="78" t="s">
        <v>4865</v>
      </c>
      <c r="AP1085" t="b">
        <v>0</v>
      </c>
      <c r="AQ1085" s="78" t="s">
        <v>3945</v>
      </c>
      <c r="AR1085" t="s">
        <v>179</v>
      </c>
      <c r="AS1085">
        <v>0</v>
      </c>
      <c r="AT1085">
        <v>0</v>
      </c>
    </row>
    <row r="1086" spans="1:46" x14ac:dyDescent="0.45">
      <c r="A1086" s="62" t="s">
        <v>366</v>
      </c>
      <c r="B1086" s="62" t="s">
        <v>242</v>
      </c>
      <c r="C1086" s="63"/>
      <c r="D1086" s="64"/>
      <c r="E1086" s="65"/>
      <c r="F1086" s="66"/>
      <c r="G1086" s="63"/>
      <c r="H1086" s="67"/>
      <c r="I1086" s="68"/>
      <c r="J1086" s="68"/>
      <c r="K1086" s="32"/>
      <c r="L1086" s="75"/>
      <c r="M1086" s="75"/>
      <c r="N1086" s="70"/>
      <c r="O1086" t="s">
        <v>1568</v>
      </c>
      <c r="P1086" s="76">
        <v>44958.683993055558</v>
      </c>
      <c r="Q1086" t="s">
        <v>1705</v>
      </c>
      <c r="T1086" s="78" t="s">
        <v>2335</v>
      </c>
      <c r="U1086" s="77" t="str">
        <f>HYPERLINK("https://pbs.twimg.com/ext_tw_video_thumb/1620820485243019264/pu/img/7ehCFZLgkkrzeqXZ.jpg")</f>
        <v>https://pbs.twimg.com/ext_tw_video_thumb/1620820485243019264/pu/img/7ehCFZLgkkrzeqXZ.jpg</v>
      </c>
      <c r="V1086" s="77" t="str">
        <f>HYPERLINK("https://pbs.twimg.com/ext_tw_video_thumb/1620820485243019264/pu/img/7ehCFZLgkkrzeqXZ.jpg")</f>
        <v>https://pbs.twimg.com/ext_tw_video_thumb/1620820485243019264/pu/img/7ehCFZLgkkrzeqXZ.jpg</v>
      </c>
      <c r="W1086" s="76">
        <v>44958.683993055558</v>
      </c>
      <c r="X1086" s="80">
        <v>44958</v>
      </c>
      <c r="Y1086" s="78" t="s">
        <v>2588</v>
      </c>
      <c r="Z1086" s="77" t="str">
        <f>HYPERLINK("https://twitter.com/msbutta214/status/1620820510350376961")</f>
        <v>https://twitter.com/msbutta214/status/1620820510350376961</v>
      </c>
      <c r="AC1086" s="78" t="s">
        <v>3605</v>
      </c>
      <c r="AE1086" t="b">
        <v>0</v>
      </c>
      <c r="AF1086">
        <v>0</v>
      </c>
      <c r="AG1086" s="78" t="s">
        <v>4640</v>
      </c>
      <c r="AH1086" t="b">
        <v>0</v>
      </c>
      <c r="AI1086" t="s">
        <v>4829</v>
      </c>
      <c r="AK1086" s="78" t="s">
        <v>4640</v>
      </c>
      <c r="AL1086" t="b">
        <v>0</v>
      </c>
      <c r="AM1086">
        <v>0</v>
      </c>
      <c r="AN1086" s="78" t="s">
        <v>4640</v>
      </c>
      <c r="AO1086" s="78" t="s">
        <v>4849</v>
      </c>
      <c r="AP1086" t="b">
        <v>0</v>
      </c>
      <c r="AQ1086" s="78" t="s">
        <v>3605</v>
      </c>
      <c r="AR1086" t="s">
        <v>179</v>
      </c>
      <c r="AS1086">
        <v>0</v>
      </c>
      <c r="AT1086">
        <v>0</v>
      </c>
    </row>
    <row r="1087" spans="1:46" x14ac:dyDescent="0.45">
      <c r="A1087" s="62" t="s">
        <v>778</v>
      </c>
      <c r="B1087" s="62" t="s">
        <v>1366</v>
      </c>
      <c r="C1087" s="63"/>
      <c r="D1087" s="64"/>
      <c r="E1087" s="65"/>
      <c r="F1087" s="66"/>
      <c r="G1087" s="63"/>
      <c r="H1087" s="67"/>
      <c r="I1087" s="68"/>
      <c r="J1087" s="68"/>
      <c r="K1087" s="32"/>
      <c r="L1087" s="75"/>
      <c r="M1087" s="75"/>
      <c r="N1087" s="70"/>
      <c r="O1087" t="s">
        <v>1567</v>
      </c>
      <c r="P1087" s="76">
        <v>44958.960474537038</v>
      </c>
      <c r="Q1087" t="s">
        <v>1953</v>
      </c>
      <c r="T1087" s="78" t="s">
        <v>2371</v>
      </c>
      <c r="V1087" s="77" t="str">
        <f>HYPERLINK("https://pbs.twimg.com/profile_images/1473399732903071748/c8g3lXmH_normal.jpg")</f>
        <v>https://pbs.twimg.com/profile_images/1473399732903071748/c8g3lXmH_normal.jpg</v>
      </c>
      <c r="W1087" s="76">
        <v>44958.960474537038</v>
      </c>
      <c r="X1087" s="80">
        <v>44958</v>
      </c>
      <c r="Y1087" s="78" t="s">
        <v>3000</v>
      </c>
      <c r="Z1087" s="77" t="str">
        <f>HYPERLINK("https://twitter.com/dethdeelindale/status/1620920703502393345")</f>
        <v>https://twitter.com/dethdeelindale/status/1620920703502393345</v>
      </c>
      <c r="AC1087" s="78" t="s">
        <v>4065</v>
      </c>
      <c r="AD1087" s="78" t="s">
        <v>4575</v>
      </c>
      <c r="AE1087" t="b">
        <v>0</v>
      </c>
      <c r="AF1087">
        <v>1</v>
      </c>
      <c r="AG1087" s="78" t="s">
        <v>4744</v>
      </c>
      <c r="AH1087" t="b">
        <v>0</v>
      </c>
      <c r="AI1087" t="s">
        <v>4829</v>
      </c>
      <c r="AK1087" s="78" t="s">
        <v>4640</v>
      </c>
      <c r="AL1087" t="b">
        <v>0</v>
      </c>
      <c r="AM1087">
        <v>0</v>
      </c>
      <c r="AN1087" s="78" t="s">
        <v>4640</v>
      </c>
      <c r="AO1087" s="78" t="s">
        <v>4849</v>
      </c>
      <c r="AP1087" t="b">
        <v>0</v>
      </c>
      <c r="AQ1087" s="78" t="s">
        <v>4575</v>
      </c>
      <c r="AR1087" t="s">
        <v>179</v>
      </c>
      <c r="AS1087">
        <v>0</v>
      </c>
      <c r="AT1087">
        <v>0</v>
      </c>
    </row>
    <row r="1088" spans="1:46" x14ac:dyDescent="0.45">
      <c r="A1088" s="62" t="s">
        <v>778</v>
      </c>
      <c r="B1088" s="62" t="s">
        <v>242</v>
      </c>
      <c r="C1088" s="63"/>
      <c r="D1088" s="64"/>
      <c r="E1088" s="65"/>
      <c r="F1088" s="66"/>
      <c r="G1088" s="63"/>
      <c r="H1088" s="67"/>
      <c r="I1088" s="68"/>
      <c r="J1088" s="68"/>
      <c r="K1088" s="32"/>
      <c r="L1088" s="75"/>
      <c r="M1088" s="75"/>
      <c r="N1088" s="70"/>
      <c r="O1088" t="s">
        <v>1568</v>
      </c>
      <c r="P1088" s="76">
        <v>44958.960474537038</v>
      </c>
      <c r="Q1088" t="s">
        <v>1953</v>
      </c>
      <c r="T1088" s="78" t="s">
        <v>2371</v>
      </c>
      <c r="V1088" s="77" t="str">
        <f>HYPERLINK("https://pbs.twimg.com/profile_images/1473399732903071748/c8g3lXmH_normal.jpg")</f>
        <v>https://pbs.twimg.com/profile_images/1473399732903071748/c8g3lXmH_normal.jpg</v>
      </c>
      <c r="W1088" s="76">
        <v>44958.960474537038</v>
      </c>
      <c r="X1088" s="80">
        <v>44958</v>
      </c>
      <c r="Y1088" s="78" t="s">
        <v>3000</v>
      </c>
      <c r="Z1088" s="77" t="str">
        <f>HYPERLINK("https://twitter.com/dethdeelindale/status/1620920703502393345")</f>
        <v>https://twitter.com/dethdeelindale/status/1620920703502393345</v>
      </c>
      <c r="AC1088" s="78" t="s">
        <v>4065</v>
      </c>
      <c r="AD1088" s="78" t="s">
        <v>4575</v>
      </c>
      <c r="AE1088" t="b">
        <v>0</v>
      </c>
      <c r="AF1088">
        <v>1</v>
      </c>
      <c r="AG1088" s="78" t="s">
        <v>4744</v>
      </c>
      <c r="AH1088" t="b">
        <v>0</v>
      </c>
      <c r="AI1088" t="s">
        <v>4829</v>
      </c>
      <c r="AK1088" s="78" t="s">
        <v>4640</v>
      </c>
      <c r="AL1088" t="b">
        <v>0</v>
      </c>
      <c r="AM1088">
        <v>0</v>
      </c>
      <c r="AN1088" s="78" t="s">
        <v>4640</v>
      </c>
      <c r="AO1088" s="78" t="s">
        <v>4849</v>
      </c>
      <c r="AP1088" t="b">
        <v>0</v>
      </c>
      <c r="AQ1088" s="78" t="s">
        <v>4575</v>
      </c>
      <c r="AR1088" t="s">
        <v>179</v>
      </c>
      <c r="AS1088">
        <v>0</v>
      </c>
      <c r="AT1088">
        <v>0</v>
      </c>
    </row>
    <row r="1089" spans="1:54" x14ac:dyDescent="0.45">
      <c r="A1089" s="62" t="s">
        <v>661</v>
      </c>
      <c r="B1089" s="62" t="s">
        <v>242</v>
      </c>
      <c r="C1089" s="63"/>
      <c r="D1089" s="64"/>
      <c r="E1089" s="65"/>
      <c r="F1089" s="66"/>
      <c r="G1089" s="63"/>
      <c r="H1089" s="67"/>
      <c r="I1089" s="68"/>
      <c r="J1089" s="68"/>
      <c r="K1089" s="32"/>
      <c r="L1089" s="75"/>
      <c r="M1089" s="75"/>
      <c r="N1089" s="70"/>
      <c r="O1089" t="s">
        <v>1568</v>
      </c>
      <c r="P1089" s="76">
        <v>44958.862141203703</v>
      </c>
      <c r="Q1089" t="s">
        <v>1852</v>
      </c>
      <c r="T1089" s="78" t="s">
        <v>2355</v>
      </c>
      <c r="U1089" s="77" t="str">
        <f>HYPERLINK("https://pbs.twimg.com/media/Fn6KYMlXoBwuasJ.jpg")</f>
        <v>https://pbs.twimg.com/media/Fn6KYMlXoBwuasJ.jpg</v>
      </c>
      <c r="V1089" s="77" t="str">
        <f>HYPERLINK("https://pbs.twimg.com/media/Fn6KYMlXoBwuasJ.jpg")</f>
        <v>https://pbs.twimg.com/media/Fn6KYMlXoBwuasJ.jpg</v>
      </c>
      <c r="W1089" s="76">
        <v>44958.862141203703</v>
      </c>
      <c r="X1089" s="80">
        <v>44958</v>
      </c>
      <c r="Y1089" s="78" t="s">
        <v>2862</v>
      </c>
      <c r="Z1089" s="77" t="str">
        <f>HYPERLINK("https://twitter.com/birdseyefood/status/1620885068872044545")</f>
        <v>https://twitter.com/birdseyefood/status/1620885068872044545</v>
      </c>
      <c r="AC1089" s="78" t="s">
        <v>3927</v>
      </c>
      <c r="AE1089" t="b">
        <v>0</v>
      </c>
      <c r="AF1089">
        <v>0</v>
      </c>
      <c r="AG1089" s="78" t="s">
        <v>4640</v>
      </c>
      <c r="AH1089" t="b">
        <v>0</v>
      </c>
      <c r="AI1089" t="s">
        <v>4829</v>
      </c>
      <c r="AK1089" s="78" t="s">
        <v>4640</v>
      </c>
      <c r="AL1089" t="b">
        <v>0</v>
      </c>
      <c r="AM1089">
        <v>0</v>
      </c>
      <c r="AN1089" s="78" t="s">
        <v>4640</v>
      </c>
      <c r="AO1089" s="78" t="s">
        <v>4849</v>
      </c>
      <c r="AP1089" t="b">
        <v>0</v>
      </c>
      <c r="AQ1089" s="78" t="s">
        <v>3927</v>
      </c>
      <c r="AR1089" t="s">
        <v>179</v>
      </c>
      <c r="AS1089">
        <v>0</v>
      </c>
      <c r="AT1089">
        <v>0</v>
      </c>
    </row>
    <row r="1090" spans="1:54" x14ac:dyDescent="0.45">
      <c r="A1090" s="62" t="s">
        <v>786</v>
      </c>
      <c r="B1090" s="62" t="s">
        <v>1368</v>
      </c>
      <c r="C1090" s="63"/>
      <c r="D1090" s="64"/>
      <c r="E1090" s="65"/>
      <c r="F1090" s="66"/>
      <c r="G1090" s="63"/>
      <c r="H1090" s="67"/>
      <c r="I1090" s="68"/>
      <c r="J1090" s="68"/>
      <c r="K1090" s="32"/>
      <c r="L1090" s="75"/>
      <c r="M1090" s="75"/>
      <c r="N1090" s="70"/>
      <c r="O1090" t="s">
        <v>1568</v>
      </c>
      <c r="P1090" s="76">
        <v>44958.972002314818</v>
      </c>
      <c r="Q1090" t="s">
        <v>1959</v>
      </c>
      <c r="T1090" s="78" t="s">
        <v>2375</v>
      </c>
      <c r="V1090" s="77" t="str">
        <f>HYPERLINK("https://pbs.twimg.com/profile_images/1565474434437324801/eW_R5NJW_normal.jpg")</f>
        <v>https://pbs.twimg.com/profile_images/1565474434437324801/eW_R5NJW_normal.jpg</v>
      </c>
      <c r="W1090" s="76">
        <v>44958.972002314818</v>
      </c>
      <c r="X1090" s="80">
        <v>44958</v>
      </c>
      <c r="Y1090" s="78" t="s">
        <v>3008</v>
      </c>
      <c r="Z1090" s="77" t="str">
        <f>HYPERLINK("https://twitter.com/pdsmith1969/status/1620924878864908289")</f>
        <v>https://twitter.com/pdsmith1969/status/1620924878864908289</v>
      </c>
      <c r="AC1090" s="78" t="s">
        <v>4073</v>
      </c>
      <c r="AE1090" t="b">
        <v>0</v>
      </c>
      <c r="AF1090">
        <v>0</v>
      </c>
      <c r="AG1090" s="78" t="s">
        <v>4640</v>
      </c>
      <c r="AH1090" t="b">
        <v>0</v>
      </c>
      <c r="AI1090" t="s">
        <v>4829</v>
      </c>
      <c r="AK1090" s="78" t="s">
        <v>4640</v>
      </c>
      <c r="AL1090" t="b">
        <v>0</v>
      </c>
      <c r="AM1090">
        <v>0</v>
      </c>
      <c r="AN1090" s="78" t="s">
        <v>4640</v>
      </c>
      <c r="AO1090" s="78" t="s">
        <v>4850</v>
      </c>
      <c r="AP1090" t="b">
        <v>0</v>
      </c>
      <c r="AQ1090" s="78" t="s">
        <v>4073</v>
      </c>
      <c r="AR1090" t="s">
        <v>179</v>
      </c>
      <c r="AS1090">
        <v>0</v>
      </c>
      <c r="AT1090">
        <v>0</v>
      </c>
    </row>
    <row r="1091" spans="1:54" x14ac:dyDescent="0.45">
      <c r="A1091" s="62" t="s">
        <v>786</v>
      </c>
      <c r="B1091" s="62" t="s">
        <v>242</v>
      </c>
      <c r="C1091" s="63"/>
      <c r="D1091" s="64"/>
      <c r="E1091" s="65"/>
      <c r="F1091" s="66"/>
      <c r="G1091" s="63"/>
      <c r="H1091" s="67"/>
      <c r="I1091" s="68"/>
      <c r="J1091" s="68"/>
      <c r="K1091" s="32"/>
      <c r="L1091" s="75"/>
      <c r="M1091" s="75"/>
      <c r="N1091" s="70"/>
      <c r="O1091" t="s">
        <v>1568</v>
      </c>
      <c r="P1091" s="76">
        <v>44958.972002314818</v>
      </c>
      <c r="Q1091" t="s">
        <v>1959</v>
      </c>
      <c r="T1091" s="78" t="s">
        <v>2375</v>
      </c>
      <c r="V1091" s="77" t="str">
        <f>HYPERLINK("https://pbs.twimg.com/profile_images/1565474434437324801/eW_R5NJW_normal.jpg")</f>
        <v>https://pbs.twimg.com/profile_images/1565474434437324801/eW_R5NJW_normal.jpg</v>
      </c>
      <c r="W1091" s="76">
        <v>44958.972002314818</v>
      </c>
      <c r="X1091" s="80">
        <v>44958</v>
      </c>
      <c r="Y1091" s="78" t="s">
        <v>3008</v>
      </c>
      <c r="Z1091" s="77" t="str">
        <f>HYPERLINK("https://twitter.com/pdsmith1969/status/1620924878864908289")</f>
        <v>https://twitter.com/pdsmith1969/status/1620924878864908289</v>
      </c>
      <c r="AC1091" s="78" t="s">
        <v>4073</v>
      </c>
      <c r="AE1091" t="b">
        <v>0</v>
      </c>
      <c r="AF1091">
        <v>0</v>
      </c>
      <c r="AG1091" s="78" t="s">
        <v>4640</v>
      </c>
      <c r="AH1091" t="b">
        <v>0</v>
      </c>
      <c r="AI1091" t="s">
        <v>4829</v>
      </c>
      <c r="AK1091" s="78" t="s">
        <v>4640</v>
      </c>
      <c r="AL1091" t="b">
        <v>0</v>
      </c>
      <c r="AM1091">
        <v>0</v>
      </c>
      <c r="AN1091" s="78" t="s">
        <v>4640</v>
      </c>
      <c r="AO1091" s="78" t="s">
        <v>4850</v>
      </c>
      <c r="AP1091" t="b">
        <v>0</v>
      </c>
      <c r="AQ1091" s="78" t="s">
        <v>4073</v>
      </c>
      <c r="AR1091" t="s">
        <v>179</v>
      </c>
      <c r="AS1091">
        <v>0</v>
      </c>
      <c r="AT1091">
        <v>0</v>
      </c>
    </row>
    <row r="1092" spans="1:54" x14ac:dyDescent="0.45">
      <c r="A1092" s="62" t="s">
        <v>786</v>
      </c>
      <c r="B1092" s="62" t="s">
        <v>1209</v>
      </c>
      <c r="C1092" s="63"/>
      <c r="D1092" s="64"/>
      <c r="E1092" s="65"/>
      <c r="F1092" s="66"/>
      <c r="G1092" s="63"/>
      <c r="H1092" s="67"/>
      <c r="I1092" s="68"/>
      <c r="J1092" s="68"/>
      <c r="K1092" s="32"/>
      <c r="L1092" s="75"/>
      <c r="M1092" s="75"/>
      <c r="N1092" s="70"/>
      <c r="O1092" t="s">
        <v>1568</v>
      </c>
      <c r="P1092" s="76">
        <v>44958.972002314818</v>
      </c>
      <c r="Q1092" t="s">
        <v>1959</v>
      </c>
      <c r="T1092" s="78" t="s">
        <v>2375</v>
      </c>
      <c r="V1092" s="77" t="str">
        <f>HYPERLINK("https://pbs.twimg.com/profile_images/1565474434437324801/eW_R5NJW_normal.jpg")</f>
        <v>https://pbs.twimg.com/profile_images/1565474434437324801/eW_R5NJW_normal.jpg</v>
      </c>
      <c r="W1092" s="76">
        <v>44958.972002314818</v>
      </c>
      <c r="X1092" s="80">
        <v>44958</v>
      </c>
      <c r="Y1092" s="78" t="s">
        <v>3008</v>
      </c>
      <c r="Z1092" s="77" t="str">
        <f>HYPERLINK("https://twitter.com/pdsmith1969/status/1620924878864908289")</f>
        <v>https://twitter.com/pdsmith1969/status/1620924878864908289</v>
      </c>
      <c r="AC1092" s="78" t="s">
        <v>4073</v>
      </c>
      <c r="AE1092" t="b">
        <v>0</v>
      </c>
      <c r="AF1092">
        <v>0</v>
      </c>
      <c r="AG1092" s="78" t="s">
        <v>4640</v>
      </c>
      <c r="AH1092" t="b">
        <v>0</v>
      </c>
      <c r="AI1092" t="s">
        <v>4829</v>
      </c>
      <c r="AK1092" s="78" t="s">
        <v>4640</v>
      </c>
      <c r="AL1092" t="b">
        <v>0</v>
      </c>
      <c r="AM1092">
        <v>0</v>
      </c>
      <c r="AN1092" s="78" t="s">
        <v>4640</v>
      </c>
      <c r="AO1092" s="78" t="s">
        <v>4850</v>
      </c>
      <c r="AP1092" t="b">
        <v>0</v>
      </c>
      <c r="AQ1092" s="78" t="s">
        <v>4073</v>
      </c>
      <c r="AR1092" t="s">
        <v>179</v>
      </c>
      <c r="AS1092">
        <v>0</v>
      </c>
      <c r="AT1092">
        <v>0</v>
      </c>
    </row>
    <row r="1093" spans="1:54" x14ac:dyDescent="0.45">
      <c r="A1093" s="62" t="s">
        <v>704</v>
      </c>
      <c r="B1093" s="62" t="s">
        <v>242</v>
      </c>
      <c r="C1093" s="63"/>
      <c r="D1093" s="64"/>
      <c r="E1093" s="65"/>
      <c r="F1093" s="66"/>
      <c r="G1093" s="63"/>
      <c r="H1093" s="67"/>
      <c r="I1093" s="68"/>
      <c r="J1093" s="68"/>
      <c r="K1093" s="32"/>
      <c r="L1093" s="75"/>
      <c r="M1093" s="75"/>
      <c r="N1093" s="70"/>
      <c r="O1093" t="s">
        <v>1568</v>
      </c>
      <c r="P1093" s="76">
        <v>44958.900520833333</v>
      </c>
      <c r="Q1093" t="s">
        <v>1882</v>
      </c>
      <c r="T1093" s="78" t="s">
        <v>2362</v>
      </c>
      <c r="U1093" s="77" t="str">
        <f>HYPERLINK("https://pbs.twimg.com/ext_tw_video_thumb/1620898918136520720/pu/img/5LyPyAaE0ZU-ath-.jpg")</f>
        <v>https://pbs.twimg.com/ext_tw_video_thumb/1620898918136520720/pu/img/5LyPyAaE0ZU-ath-.jpg</v>
      </c>
      <c r="V1093" s="77" t="str">
        <f>HYPERLINK("https://pbs.twimg.com/ext_tw_video_thumb/1620898918136520720/pu/img/5LyPyAaE0ZU-ath-.jpg")</f>
        <v>https://pbs.twimg.com/ext_tw_video_thumb/1620898918136520720/pu/img/5LyPyAaE0ZU-ath-.jpg</v>
      </c>
      <c r="W1093" s="76">
        <v>44958.900520833333</v>
      </c>
      <c r="X1093" s="80">
        <v>44958</v>
      </c>
      <c r="Y1093" s="78" t="s">
        <v>2908</v>
      </c>
      <c r="Z1093" s="77" t="str">
        <f>HYPERLINK("https://twitter.com/lemongrass_farm/status/1620898975636398080")</f>
        <v>https://twitter.com/lemongrass_farm/status/1620898975636398080</v>
      </c>
      <c r="AC1093" s="78" t="s">
        <v>3973</v>
      </c>
      <c r="AE1093" t="b">
        <v>0</v>
      </c>
      <c r="AF1093">
        <v>0</v>
      </c>
      <c r="AG1093" s="78" t="s">
        <v>4640</v>
      </c>
      <c r="AH1093" t="b">
        <v>0</v>
      </c>
      <c r="AI1093" t="s">
        <v>4829</v>
      </c>
      <c r="AK1093" s="78" t="s">
        <v>4640</v>
      </c>
      <c r="AL1093" t="b">
        <v>0</v>
      </c>
      <c r="AM1093">
        <v>0</v>
      </c>
      <c r="AN1093" s="78" t="s">
        <v>4640</v>
      </c>
      <c r="AO1093" s="78" t="s">
        <v>4852</v>
      </c>
      <c r="AP1093" t="b">
        <v>0</v>
      </c>
      <c r="AQ1093" s="78" t="s">
        <v>3973</v>
      </c>
      <c r="AR1093" t="s">
        <v>179</v>
      </c>
      <c r="AS1093">
        <v>0</v>
      </c>
      <c r="AT1093">
        <v>0</v>
      </c>
    </row>
    <row r="1094" spans="1:54" x14ac:dyDescent="0.45">
      <c r="A1094" s="62" t="s">
        <v>953</v>
      </c>
      <c r="B1094" s="62" t="s">
        <v>1463</v>
      </c>
      <c r="C1094" s="63"/>
      <c r="D1094" s="64"/>
      <c r="E1094" s="65"/>
      <c r="F1094" s="66"/>
      <c r="G1094" s="63"/>
      <c r="H1094" s="67"/>
      <c r="I1094" s="68"/>
      <c r="J1094" s="68"/>
      <c r="K1094" s="32"/>
      <c r="L1094" s="75"/>
      <c r="M1094" s="75"/>
      <c r="N1094" s="70"/>
      <c r="O1094" t="s">
        <v>1568</v>
      </c>
      <c r="P1094" s="76">
        <v>44959.157013888886</v>
      </c>
      <c r="Q1094" t="s">
        <v>2113</v>
      </c>
      <c r="T1094" s="78" t="s">
        <v>2402</v>
      </c>
      <c r="U1094" s="77" t="str">
        <f>HYPERLINK("https://pbs.twimg.com/media/Fn7rjpYXkAEZqpH.jpg")</f>
        <v>https://pbs.twimg.com/media/Fn7rjpYXkAEZqpH.jpg</v>
      </c>
      <c r="V1094" s="77" t="str">
        <f>HYPERLINK("https://pbs.twimg.com/media/Fn7rjpYXkAEZqpH.jpg")</f>
        <v>https://pbs.twimg.com/media/Fn7rjpYXkAEZqpH.jpg</v>
      </c>
      <c r="W1094" s="76">
        <v>44959.157013888886</v>
      </c>
      <c r="X1094" s="80">
        <v>44959</v>
      </c>
      <c r="Y1094" s="78" t="s">
        <v>3229</v>
      </c>
      <c r="Z1094" s="77" t="str">
        <f>HYPERLINK("https://twitter.com/thomasdbradley/status/1620991925951283200")</f>
        <v>https://twitter.com/thomasdbradley/status/1620991925951283200</v>
      </c>
      <c r="AC1094" s="78" t="s">
        <v>4294</v>
      </c>
      <c r="AE1094" t="b">
        <v>0</v>
      </c>
      <c r="AF1094">
        <v>5</v>
      </c>
      <c r="AG1094" s="78" t="s">
        <v>4640</v>
      </c>
      <c r="AH1094" t="b">
        <v>0</v>
      </c>
      <c r="AI1094" t="s">
        <v>4829</v>
      </c>
      <c r="AK1094" s="78" t="s">
        <v>4640</v>
      </c>
      <c r="AL1094" t="b">
        <v>0</v>
      </c>
      <c r="AM1094">
        <v>0</v>
      </c>
      <c r="AN1094" s="78" t="s">
        <v>4640</v>
      </c>
      <c r="AO1094" s="78" t="s">
        <v>4850</v>
      </c>
      <c r="AP1094" t="b">
        <v>0</v>
      </c>
      <c r="AQ1094" s="78" t="s">
        <v>4294</v>
      </c>
      <c r="AR1094" t="s">
        <v>179</v>
      </c>
      <c r="AS1094">
        <v>0</v>
      </c>
      <c r="AT1094">
        <v>0</v>
      </c>
    </row>
    <row r="1095" spans="1:54" x14ac:dyDescent="0.45">
      <c r="A1095" s="62" t="s">
        <v>953</v>
      </c>
      <c r="B1095" s="62" t="s">
        <v>1464</v>
      </c>
      <c r="C1095" s="63"/>
      <c r="D1095" s="64"/>
      <c r="E1095" s="65"/>
      <c r="F1095" s="66"/>
      <c r="G1095" s="63"/>
      <c r="H1095" s="67"/>
      <c r="I1095" s="68"/>
      <c r="J1095" s="68"/>
      <c r="K1095" s="32"/>
      <c r="L1095" s="75"/>
      <c r="M1095" s="75"/>
      <c r="N1095" s="70"/>
      <c r="O1095" t="s">
        <v>1568</v>
      </c>
      <c r="P1095" s="76">
        <v>44959.157013888886</v>
      </c>
      <c r="Q1095" t="s">
        <v>2113</v>
      </c>
      <c r="T1095" s="78" t="s">
        <v>2402</v>
      </c>
      <c r="U1095" s="77" t="str">
        <f>HYPERLINK("https://pbs.twimg.com/media/Fn7rjpYXkAEZqpH.jpg")</f>
        <v>https://pbs.twimg.com/media/Fn7rjpYXkAEZqpH.jpg</v>
      </c>
      <c r="V1095" s="77" t="str">
        <f>HYPERLINK("https://pbs.twimg.com/media/Fn7rjpYXkAEZqpH.jpg")</f>
        <v>https://pbs.twimg.com/media/Fn7rjpYXkAEZqpH.jpg</v>
      </c>
      <c r="W1095" s="76">
        <v>44959.157013888886</v>
      </c>
      <c r="X1095" s="80">
        <v>44959</v>
      </c>
      <c r="Y1095" s="78" t="s">
        <v>3229</v>
      </c>
      <c r="Z1095" s="77" t="str">
        <f>HYPERLINK("https://twitter.com/thomasdbradley/status/1620991925951283200")</f>
        <v>https://twitter.com/thomasdbradley/status/1620991925951283200</v>
      </c>
      <c r="AC1095" s="78" t="s">
        <v>4294</v>
      </c>
      <c r="AE1095" t="b">
        <v>0</v>
      </c>
      <c r="AF1095">
        <v>5</v>
      </c>
      <c r="AG1095" s="78" t="s">
        <v>4640</v>
      </c>
      <c r="AH1095" t="b">
        <v>0</v>
      </c>
      <c r="AI1095" t="s">
        <v>4829</v>
      </c>
      <c r="AK1095" s="78" t="s">
        <v>4640</v>
      </c>
      <c r="AL1095" t="b">
        <v>0</v>
      </c>
      <c r="AM1095">
        <v>0</v>
      </c>
      <c r="AN1095" s="78" t="s">
        <v>4640</v>
      </c>
      <c r="AO1095" s="78" t="s">
        <v>4850</v>
      </c>
      <c r="AP1095" t="b">
        <v>0</v>
      </c>
      <c r="AQ1095" s="78" t="s">
        <v>4294</v>
      </c>
      <c r="AR1095" t="s">
        <v>179</v>
      </c>
      <c r="AS1095">
        <v>0</v>
      </c>
      <c r="AT1095">
        <v>0</v>
      </c>
    </row>
    <row r="1096" spans="1:54" x14ac:dyDescent="0.45">
      <c r="A1096" s="62" t="s">
        <v>953</v>
      </c>
      <c r="B1096" s="62" t="s">
        <v>242</v>
      </c>
      <c r="C1096" s="63"/>
      <c r="D1096" s="64"/>
      <c r="E1096" s="65"/>
      <c r="F1096" s="66"/>
      <c r="G1096" s="63"/>
      <c r="H1096" s="67"/>
      <c r="I1096" s="68"/>
      <c r="J1096" s="68"/>
      <c r="K1096" s="32"/>
      <c r="L1096" s="75"/>
      <c r="M1096" s="75"/>
      <c r="N1096" s="70"/>
      <c r="O1096" t="s">
        <v>1568</v>
      </c>
      <c r="P1096" s="76">
        <v>44959.157013888886</v>
      </c>
      <c r="Q1096" t="s">
        <v>2113</v>
      </c>
      <c r="T1096" s="78" t="s">
        <v>2402</v>
      </c>
      <c r="U1096" s="77" t="str">
        <f>HYPERLINK("https://pbs.twimg.com/media/Fn7rjpYXkAEZqpH.jpg")</f>
        <v>https://pbs.twimg.com/media/Fn7rjpYXkAEZqpH.jpg</v>
      </c>
      <c r="V1096" s="77" t="str">
        <f>HYPERLINK("https://pbs.twimg.com/media/Fn7rjpYXkAEZqpH.jpg")</f>
        <v>https://pbs.twimg.com/media/Fn7rjpYXkAEZqpH.jpg</v>
      </c>
      <c r="W1096" s="76">
        <v>44959.157013888886</v>
      </c>
      <c r="X1096" s="80">
        <v>44959</v>
      </c>
      <c r="Y1096" s="78" t="s">
        <v>3229</v>
      </c>
      <c r="Z1096" s="77" t="str">
        <f>HYPERLINK("https://twitter.com/thomasdbradley/status/1620991925951283200")</f>
        <v>https://twitter.com/thomasdbradley/status/1620991925951283200</v>
      </c>
      <c r="AC1096" s="78" t="s">
        <v>4294</v>
      </c>
      <c r="AE1096" t="b">
        <v>0</v>
      </c>
      <c r="AF1096">
        <v>5</v>
      </c>
      <c r="AG1096" s="78" t="s">
        <v>4640</v>
      </c>
      <c r="AH1096" t="b">
        <v>0</v>
      </c>
      <c r="AI1096" t="s">
        <v>4829</v>
      </c>
      <c r="AK1096" s="78" t="s">
        <v>4640</v>
      </c>
      <c r="AL1096" t="b">
        <v>0</v>
      </c>
      <c r="AM1096">
        <v>0</v>
      </c>
      <c r="AN1096" s="78" t="s">
        <v>4640</v>
      </c>
      <c r="AO1096" s="78" t="s">
        <v>4850</v>
      </c>
      <c r="AP1096" t="b">
        <v>0</v>
      </c>
      <c r="AQ1096" s="78" t="s">
        <v>4294</v>
      </c>
      <c r="AR1096" t="s">
        <v>179</v>
      </c>
      <c r="AS1096">
        <v>0</v>
      </c>
      <c r="AT1096">
        <v>0</v>
      </c>
    </row>
    <row r="1097" spans="1:54" x14ac:dyDescent="0.45">
      <c r="A1097" s="62" t="s">
        <v>722</v>
      </c>
      <c r="B1097" s="62" t="s">
        <v>1352</v>
      </c>
      <c r="C1097" s="63"/>
      <c r="D1097" s="64"/>
      <c r="E1097" s="65"/>
      <c r="F1097" s="66"/>
      <c r="G1097" s="63"/>
      <c r="H1097" s="67"/>
      <c r="I1097" s="68"/>
      <c r="J1097" s="68"/>
      <c r="K1097" s="32"/>
      <c r="L1097" s="75"/>
      <c r="M1097" s="75"/>
      <c r="N1097" s="70"/>
      <c r="O1097" t="s">
        <v>1568</v>
      </c>
      <c r="P1097" s="76">
        <v>44958.917037037034</v>
      </c>
      <c r="Q1097" t="s">
        <v>1910</v>
      </c>
      <c r="T1097" s="78" t="s">
        <v>2366</v>
      </c>
      <c r="U1097" s="77" t="str">
        <f>HYPERLINK("https://pbs.twimg.com/media/Fn6ceHbXoAA-rHG.jpg")</f>
        <v>https://pbs.twimg.com/media/Fn6ceHbXoAA-rHG.jpg</v>
      </c>
      <c r="V1097" s="77" t="str">
        <f>HYPERLINK("https://pbs.twimg.com/media/Fn6ceHbXoAA-rHG.jpg")</f>
        <v>https://pbs.twimg.com/media/Fn6ceHbXoAA-rHG.jpg</v>
      </c>
      <c r="W1097" s="76">
        <v>44958.917037037034</v>
      </c>
      <c r="X1097" s="80">
        <v>44958</v>
      </c>
      <c r="Y1097" s="78" t="s">
        <v>2938</v>
      </c>
      <c r="Z1097" s="77" t="str">
        <f>HYPERLINK("https://twitter.com/priscillalpayne/status/1620904961491058688")</f>
        <v>https://twitter.com/priscillalpayne/status/1620904961491058688</v>
      </c>
      <c r="AC1097" s="78" t="s">
        <v>4003</v>
      </c>
      <c r="AE1097" t="b">
        <v>0</v>
      </c>
      <c r="AF1097">
        <v>1</v>
      </c>
      <c r="AG1097" s="78" t="s">
        <v>4640</v>
      </c>
      <c r="AH1097" t="b">
        <v>0</v>
      </c>
      <c r="AI1097" t="s">
        <v>4829</v>
      </c>
      <c r="AK1097" s="78" t="s">
        <v>4640</v>
      </c>
      <c r="AL1097" t="b">
        <v>0</v>
      </c>
      <c r="AM1097">
        <v>0</v>
      </c>
      <c r="AN1097" s="78" t="s">
        <v>4640</v>
      </c>
      <c r="AO1097" s="78" t="s">
        <v>4849</v>
      </c>
      <c r="AP1097" t="b">
        <v>0</v>
      </c>
      <c r="AQ1097" s="78" t="s">
        <v>4003</v>
      </c>
      <c r="AR1097" t="s">
        <v>179</v>
      </c>
      <c r="AS1097">
        <v>0</v>
      </c>
      <c r="AT1097">
        <v>0</v>
      </c>
    </row>
    <row r="1098" spans="1:54" x14ac:dyDescent="0.45">
      <c r="A1098" s="62" t="s">
        <v>722</v>
      </c>
      <c r="B1098" s="62" t="s">
        <v>242</v>
      </c>
      <c r="C1098" s="63"/>
      <c r="D1098" s="64"/>
      <c r="E1098" s="65"/>
      <c r="F1098" s="66"/>
      <c r="G1098" s="63"/>
      <c r="H1098" s="67"/>
      <c r="I1098" s="68"/>
      <c r="J1098" s="68"/>
      <c r="K1098" s="32"/>
      <c r="L1098" s="75"/>
      <c r="M1098" s="75"/>
      <c r="N1098" s="70"/>
      <c r="O1098" t="s">
        <v>1568</v>
      </c>
      <c r="P1098" s="76">
        <v>44958.917037037034</v>
      </c>
      <c r="Q1098" t="s">
        <v>1910</v>
      </c>
      <c r="T1098" s="78" t="s">
        <v>2366</v>
      </c>
      <c r="U1098" s="77" t="str">
        <f>HYPERLINK("https://pbs.twimg.com/media/Fn6ceHbXoAA-rHG.jpg")</f>
        <v>https://pbs.twimg.com/media/Fn6ceHbXoAA-rHG.jpg</v>
      </c>
      <c r="V1098" s="77" t="str">
        <f>HYPERLINK("https://pbs.twimg.com/media/Fn6ceHbXoAA-rHG.jpg")</f>
        <v>https://pbs.twimg.com/media/Fn6ceHbXoAA-rHG.jpg</v>
      </c>
      <c r="W1098" s="76">
        <v>44958.917037037034</v>
      </c>
      <c r="X1098" s="80">
        <v>44958</v>
      </c>
      <c r="Y1098" s="78" t="s">
        <v>2938</v>
      </c>
      <c r="Z1098" s="77" t="str">
        <f>HYPERLINK("https://twitter.com/priscillalpayne/status/1620904961491058688")</f>
        <v>https://twitter.com/priscillalpayne/status/1620904961491058688</v>
      </c>
      <c r="AC1098" s="78" t="s">
        <v>4003</v>
      </c>
      <c r="AE1098" t="b">
        <v>0</v>
      </c>
      <c r="AF1098">
        <v>1</v>
      </c>
      <c r="AG1098" s="78" t="s">
        <v>4640</v>
      </c>
      <c r="AH1098" t="b">
        <v>0</v>
      </c>
      <c r="AI1098" t="s">
        <v>4829</v>
      </c>
      <c r="AK1098" s="78" t="s">
        <v>4640</v>
      </c>
      <c r="AL1098" t="b">
        <v>0</v>
      </c>
      <c r="AM1098">
        <v>0</v>
      </c>
      <c r="AN1098" s="78" t="s">
        <v>4640</v>
      </c>
      <c r="AO1098" s="78" t="s">
        <v>4849</v>
      </c>
      <c r="AP1098" t="b">
        <v>0</v>
      </c>
      <c r="AQ1098" s="78" t="s">
        <v>4003</v>
      </c>
      <c r="AR1098" t="s">
        <v>179</v>
      </c>
      <c r="AS1098">
        <v>0</v>
      </c>
      <c r="AT1098">
        <v>0</v>
      </c>
    </row>
    <row r="1099" spans="1:54" x14ac:dyDescent="0.45">
      <c r="A1099" s="62" t="s">
        <v>811</v>
      </c>
      <c r="B1099" s="62" t="s">
        <v>242</v>
      </c>
      <c r="C1099" s="63"/>
      <c r="D1099" s="64"/>
      <c r="E1099" s="65"/>
      <c r="F1099" s="66"/>
      <c r="G1099" s="63"/>
      <c r="H1099" s="67"/>
      <c r="I1099" s="68"/>
      <c r="J1099" s="68"/>
      <c r="K1099" s="32"/>
      <c r="L1099" s="75"/>
      <c r="M1099" s="75"/>
      <c r="N1099" s="70"/>
      <c r="O1099" t="s">
        <v>1567</v>
      </c>
      <c r="P1099" s="76">
        <v>44958.783379629633</v>
      </c>
      <c r="Q1099" t="s">
        <v>1981</v>
      </c>
      <c r="T1099" s="78" t="s">
        <v>2378</v>
      </c>
      <c r="U1099" s="77" t="str">
        <f>HYPERLINK("https://pbs.twimg.com/media/Fn5walTWAAYJFmf.jpg")</f>
        <v>https://pbs.twimg.com/media/Fn5walTWAAYJFmf.jpg</v>
      </c>
      <c r="V1099" s="77" t="str">
        <f>HYPERLINK("https://pbs.twimg.com/media/Fn5walTWAAYJFmf.jpg")</f>
        <v>https://pbs.twimg.com/media/Fn5walTWAAYJFmf.jpg</v>
      </c>
      <c r="W1099" s="76">
        <v>44958.783379629633</v>
      </c>
      <c r="X1099" s="80">
        <v>44958</v>
      </c>
      <c r="Y1099" s="78" t="s">
        <v>3038</v>
      </c>
      <c r="Z1099" s="77" t="str">
        <f>HYPERLINK("https://twitter.com/donrull/status/1620856524741672960")</f>
        <v>https://twitter.com/donrull/status/1620856524741672960</v>
      </c>
      <c r="AC1099" s="78" t="s">
        <v>4103</v>
      </c>
      <c r="AE1099" t="b">
        <v>0</v>
      </c>
      <c r="AF1099">
        <v>0</v>
      </c>
      <c r="AG1099" s="78" t="s">
        <v>4639</v>
      </c>
      <c r="AH1099" t="b">
        <v>0</v>
      </c>
      <c r="AI1099" t="s">
        <v>4829</v>
      </c>
      <c r="AK1099" s="78" t="s">
        <v>4640</v>
      </c>
      <c r="AL1099" t="b">
        <v>0</v>
      </c>
      <c r="AM1099">
        <v>0</v>
      </c>
      <c r="AN1099" s="78" t="s">
        <v>4640</v>
      </c>
      <c r="AO1099" s="78" t="s">
        <v>4850</v>
      </c>
      <c r="AP1099" t="b">
        <v>0</v>
      </c>
      <c r="AQ1099" s="78" t="s">
        <v>4103</v>
      </c>
      <c r="AR1099" t="s">
        <v>179</v>
      </c>
      <c r="AS1099">
        <v>0</v>
      </c>
      <c r="AT1099">
        <v>0</v>
      </c>
      <c r="AU1099" t="s">
        <v>4888</v>
      </c>
      <c r="AV1099" t="s">
        <v>4899</v>
      </c>
      <c r="AW1099" t="s">
        <v>4901</v>
      </c>
      <c r="AX1099" t="s">
        <v>4917</v>
      </c>
      <c r="AY1099" t="s">
        <v>4942</v>
      </c>
      <c r="AZ1099" t="s">
        <v>4967</v>
      </c>
      <c r="BA1099" t="s">
        <v>4976</v>
      </c>
      <c r="BB1099" s="77" t="str">
        <f>HYPERLINK("https://api.twitter.com/1.1/geo/id/4ec01c9dbc693497.json")</f>
        <v>https://api.twitter.com/1.1/geo/id/4ec01c9dbc693497.json</v>
      </c>
    </row>
    <row r="1100" spans="1:54" x14ac:dyDescent="0.45">
      <c r="A1100" s="62" t="s">
        <v>781</v>
      </c>
      <c r="B1100" s="62" t="s">
        <v>242</v>
      </c>
      <c r="C1100" s="63"/>
      <c r="D1100" s="64"/>
      <c r="E1100" s="65"/>
      <c r="F1100" s="66"/>
      <c r="G1100" s="63"/>
      <c r="H1100" s="67"/>
      <c r="I1100" s="68"/>
      <c r="J1100" s="68"/>
      <c r="K1100" s="32"/>
      <c r="L1100" s="75"/>
      <c r="M1100" s="75"/>
      <c r="N1100" s="70"/>
      <c r="O1100" t="s">
        <v>1568</v>
      </c>
      <c r="P1100" s="76">
        <v>44958.965694444443</v>
      </c>
      <c r="Q1100" t="s">
        <v>1955</v>
      </c>
      <c r="T1100" s="78" t="s">
        <v>2372</v>
      </c>
      <c r="U1100" s="77" t="str">
        <f>HYPERLINK("https://pbs.twimg.com/media/Fn6sggEWYAEMqsY.jpg")</f>
        <v>https://pbs.twimg.com/media/Fn6sggEWYAEMqsY.jpg</v>
      </c>
      <c r="V1100" s="77" t="str">
        <f>HYPERLINK("https://pbs.twimg.com/media/Fn6sggEWYAEMqsY.jpg")</f>
        <v>https://pbs.twimg.com/media/Fn6sggEWYAEMqsY.jpg</v>
      </c>
      <c r="W1100" s="76">
        <v>44958.965694444443</v>
      </c>
      <c r="X1100" s="80">
        <v>44958</v>
      </c>
      <c r="Y1100" s="78" t="s">
        <v>3003</v>
      </c>
      <c r="Z1100" s="77" t="str">
        <f>HYPERLINK("https://twitter.com/wakingup80film/status/1620922595754516481")</f>
        <v>https://twitter.com/wakingup80film/status/1620922595754516481</v>
      </c>
      <c r="AC1100" s="78" t="s">
        <v>4068</v>
      </c>
      <c r="AD1100" s="78" t="s">
        <v>4576</v>
      </c>
      <c r="AE1100" t="b">
        <v>0</v>
      </c>
      <c r="AF1100">
        <v>0</v>
      </c>
      <c r="AG1100" s="78" t="s">
        <v>4745</v>
      </c>
      <c r="AH1100" t="b">
        <v>0</v>
      </c>
      <c r="AI1100" t="s">
        <v>4829</v>
      </c>
      <c r="AK1100" s="78" t="s">
        <v>4640</v>
      </c>
      <c r="AL1100" t="b">
        <v>0</v>
      </c>
      <c r="AM1100">
        <v>0</v>
      </c>
      <c r="AN1100" s="78" t="s">
        <v>4640</v>
      </c>
      <c r="AO1100" s="78" t="s">
        <v>4849</v>
      </c>
      <c r="AP1100" t="b">
        <v>0</v>
      </c>
      <c r="AQ1100" s="78" t="s">
        <v>4576</v>
      </c>
      <c r="AR1100" t="s">
        <v>179</v>
      </c>
      <c r="AS1100">
        <v>0</v>
      </c>
      <c r="AT1100">
        <v>0</v>
      </c>
    </row>
    <row r="1101" spans="1:54" x14ac:dyDescent="0.45">
      <c r="A1101" s="62" t="s">
        <v>781</v>
      </c>
      <c r="B1101" s="62" t="s">
        <v>1367</v>
      </c>
      <c r="C1101" s="63"/>
      <c r="D1101" s="64"/>
      <c r="E1101" s="65"/>
      <c r="F1101" s="66"/>
      <c r="G1101" s="63"/>
      <c r="H1101" s="67"/>
      <c r="I1101" s="68"/>
      <c r="J1101" s="68"/>
      <c r="K1101" s="32"/>
      <c r="L1101" s="75"/>
      <c r="M1101" s="75"/>
      <c r="N1101" s="70"/>
      <c r="O1101" t="s">
        <v>1568</v>
      </c>
      <c r="P1101" s="76">
        <v>44958.965694444443</v>
      </c>
      <c r="Q1101" t="s">
        <v>1955</v>
      </c>
      <c r="T1101" s="78" t="s">
        <v>2372</v>
      </c>
      <c r="U1101" s="77" t="str">
        <f>HYPERLINK("https://pbs.twimg.com/media/Fn6sggEWYAEMqsY.jpg")</f>
        <v>https://pbs.twimg.com/media/Fn6sggEWYAEMqsY.jpg</v>
      </c>
      <c r="V1101" s="77" t="str">
        <f>HYPERLINK("https://pbs.twimg.com/media/Fn6sggEWYAEMqsY.jpg")</f>
        <v>https://pbs.twimg.com/media/Fn6sggEWYAEMqsY.jpg</v>
      </c>
      <c r="W1101" s="76">
        <v>44958.965694444443</v>
      </c>
      <c r="X1101" s="80">
        <v>44958</v>
      </c>
      <c r="Y1101" s="78" t="s">
        <v>3003</v>
      </c>
      <c r="Z1101" s="77" t="str">
        <f>HYPERLINK("https://twitter.com/wakingup80film/status/1620922595754516481")</f>
        <v>https://twitter.com/wakingup80film/status/1620922595754516481</v>
      </c>
      <c r="AC1101" s="78" t="s">
        <v>4068</v>
      </c>
      <c r="AD1101" s="78" t="s">
        <v>4576</v>
      </c>
      <c r="AE1101" t="b">
        <v>0</v>
      </c>
      <c r="AF1101">
        <v>0</v>
      </c>
      <c r="AG1101" s="78" t="s">
        <v>4745</v>
      </c>
      <c r="AH1101" t="b">
        <v>0</v>
      </c>
      <c r="AI1101" t="s">
        <v>4829</v>
      </c>
      <c r="AK1101" s="78" t="s">
        <v>4640</v>
      </c>
      <c r="AL1101" t="b">
        <v>0</v>
      </c>
      <c r="AM1101">
        <v>0</v>
      </c>
      <c r="AN1101" s="78" t="s">
        <v>4640</v>
      </c>
      <c r="AO1101" s="78" t="s">
        <v>4849</v>
      </c>
      <c r="AP1101" t="b">
        <v>0</v>
      </c>
      <c r="AQ1101" s="78" t="s">
        <v>4576</v>
      </c>
      <c r="AR1101" t="s">
        <v>179</v>
      </c>
      <c r="AS1101">
        <v>0</v>
      </c>
      <c r="AT1101">
        <v>0</v>
      </c>
    </row>
    <row r="1102" spans="1:54" x14ac:dyDescent="0.45">
      <c r="A1102" s="62" t="s">
        <v>781</v>
      </c>
      <c r="B1102" s="62" t="s">
        <v>1325</v>
      </c>
      <c r="C1102" s="63"/>
      <c r="D1102" s="64"/>
      <c r="E1102" s="65"/>
      <c r="F1102" s="66"/>
      <c r="G1102" s="63"/>
      <c r="H1102" s="67"/>
      <c r="I1102" s="68"/>
      <c r="J1102" s="68"/>
      <c r="K1102" s="32"/>
      <c r="L1102" s="75"/>
      <c r="M1102" s="75"/>
      <c r="N1102" s="70"/>
      <c r="O1102" t="s">
        <v>1568</v>
      </c>
      <c r="P1102" s="76">
        <v>44958.965694444443</v>
      </c>
      <c r="Q1102" t="s">
        <v>1955</v>
      </c>
      <c r="T1102" s="78" t="s">
        <v>2372</v>
      </c>
      <c r="U1102" s="77" t="str">
        <f>HYPERLINK("https://pbs.twimg.com/media/Fn6sggEWYAEMqsY.jpg")</f>
        <v>https://pbs.twimg.com/media/Fn6sggEWYAEMqsY.jpg</v>
      </c>
      <c r="V1102" s="77" t="str">
        <f>HYPERLINK("https://pbs.twimg.com/media/Fn6sggEWYAEMqsY.jpg")</f>
        <v>https://pbs.twimg.com/media/Fn6sggEWYAEMqsY.jpg</v>
      </c>
      <c r="W1102" s="76">
        <v>44958.965694444443</v>
      </c>
      <c r="X1102" s="80">
        <v>44958</v>
      </c>
      <c r="Y1102" s="78" t="s">
        <v>3003</v>
      </c>
      <c r="Z1102" s="77" t="str">
        <f>HYPERLINK("https://twitter.com/wakingup80film/status/1620922595754516481")</f>
        <v>https://twitter.com/wakingup80film/status/1620922595754516481</v>
      </c>
      <c r="AC1102" s="78" t="s">
        <v>4068</v>
      </c>
      <c r="AD1102" s="78" t="s">
        <v>4576</v>
      </c>
      <c r="AE1102" t="b">
        <v>0</v>
      </c>
      <c r="AF1102">
        <v>0</v>
      </c>
      <c r="AG1102" s="78" t="s">
        <v>4745</v>
      </c>
      <c r="AH1102" t="b">
        <v>0</v>
      </c>
      <c r="AI1102" t="s">
        <v>4829</v>
      </c>
      <c r="AK1102" s="78" t="s">
        <v>4640</v>
      </c>
      <c r="AL1102" t="b">
        <v>0</v>
      </c>
      <c r="AM1102">
        <v>0</v>
      </c>
      <c r="AN1102" s="78" t="s">
        <v>4640</v>
      </c>
      <c r="AO1102" s="78" t="s">
        <v>4849</v>
      </c>
      <c r="AP1102" t="b">
        <v>0</v>
      </c>
      <c r="AQ1102" s="78" t="s">
        <v>4576</v>
      </c>
      <c r="AR1102" t="s">
        <v>179</v>
      </c>
      <c r="AS1102">
        <v>0</v>
      </c>
      <c r="AT1102">
        <v>0</v>
      </c>
    </row>
    <row r="1103" spans="1:54" x14ac:dyDescent="0.45">
      <c r="A1103" s="62" t="s">
        <v>782</v>
      </c>
      <c r="B1103" s="62" t="s">
        <v>1367</v>
      </c>
      <c r="C1103" s="63"/>
      <c r="D1103" s="64"/>
      <c r="E1103" s="65"/>
      <c r="F1103" s="66"/>
      <c r="G1103" s="63"/>
      <c r="H1103" s="67"/>
      <c r="I1103" s="68"/>
      <c r="J1103" s="68"/>
      <c r="K1103" s="32"/>
      <c r="L1103" s="75"/>
      <c r="M1103" s="75"/>
      <c r="N1103" s="70"/>
      <c r="O1103" t="s">
        <v>1568</v>
      </c>
      <c r="P1103" s="76">
        <v>44958.967048611114</v>
      </c>
      <c r="Q1103" t="s">
        <v>1956</v>
      </c>
      <c r="T1103" s="78" t="s">
        <v>2372</v>
      </c>
      <c r="U1103" s="77" t="str">
        <f>HYPERLINK("https://pbs.twimg.com/media/Fn6s9DvXkAAJVd9.jpg")</f>
        <v>https://pbs.twimg.com/media/Fn6s9DvXkAAJVd9.jpg</v>
      </c>
      <c r="V1103" s="77" t="str">
        <f>HYPERLINK("https://pbs.twimg.com/media/Fn6s9DvXkAAJVd9.jpg")</f>
        <v>https://pbs.twimg.com/media/Fn6s9DvXkAAJVd9.jpg</v>
      </c>
      <c r="W1103" s="76">
        <v>44958.967048611114</v>
      </c>
      <c r="X1103" s="80">
        <v>44958</v>
      </c>
      <c r="Y1103" s="78" t="s">
        <v>3004</v>
      </c>
      <c r="Z1103" s="77" t="str">
        <f>HYPERLINK("https://twitter.com/wakingup80/status/1620923085217202177")</f>
        <v>https://twitter.com/wakingup80/status/1620923085217202177</v>
      </c>
      <c r="AC1103" s="78" t="s">
        <v>4069</v>
      </c>
      <c r="AD1103" s="78" t="s">
        <v>4577</v>
      </c>
      <c r="AE1103" t="b">
        <v>0</v>
      </c>
      <c r="AF1103">
        <v>0</v>
      </c>
      <c r="AG1103" s="78" t="s">
        <v>4746</v>
      </c>
      <c r="AH1103" t="b">
        <v>0</v>
      </c>
      <c r="AI1103" t="s">
        <v>4829</v>
      </c>
      <c r="AK1103" s="78" t="s">
        <v>4640</v>
      </c>
      <c r="AL1103" t="b">
        <v>0</v>
      </c>
      <c r="AM1103">
        <v>0</v>
      </c>
      <c r="AN1103" s="78" t="s">
        <v>4640</v>
      </c>
      <c r="AO1103" s="78" t="s">
        <v>4849</v>
      </c>
      <c r="AP1103" t="b">
        <v>0</v>
      </c>
      <c r="AQ1103" s="78" t="s">
        <v>4577</v>
      </c>
      <c r="AR1103" t="s">
        <v>179</v>
      </c>
      <c r="AS1103">
        <v>0</v>
      </c>
      <c r="AT1103">
        <v>0</v>
      </c>
    </row>
    <row r="1104" spans="1:54" x14ac:dyDescent="0.45">
      <c r="A1104" s="62" t="s">
        <v>782</v>
      </c>
      <c r="B1104" s="62" t="s">
        <v>1325</v>
      </c>
      <c r="C1104" s="63"/>
      <c r="D1104" s="64"/>
      <c r="E1104" s="65"/>
      <c r="F1104" s="66"/>
      <c r="G1104" s="63"/>
      <c r="H1104" s="67"/>
      <c r="I1104" s="68"/>
      <c r="J1104" s="68"/>
      <c r="K1104" s="32"/>
      <c r="L1104" s="75"/>
      <c r="M1104" s="75"/>
      <c r="N1104" s="70"/>
      <c r="O1104" t="s">
        <v>1568</v>
      </c>
      <c r="P1104" s="76">
        <v>44958.967048611114</v>
      </c>
      <c r="Q1104" t="s">
        <v>1956</v>
      </c>
      <c r="T1104" s="78" t="s">
        <v>2372</v>
      </c>
      <c r="U1104" s="77" t="str">
        <f>HYPERLINK("https://pbs.twimg.com/media/Fn6s9DvXkAAJVd9.jpg")</f>
        <v>https://pbs.twimg.com/media/Fn6s9DvXkAAJVd9.jpg</v>
      </c>
      <c r="V1104" s="77" t="str">
        <f>HYPERLINK("https://pbs.twimg.com/media/Fn6s9DvXkAAJVd9.jpg")</f>
        <v>https://pbs.twimg.com/media/Fn6s9DvXkAAJVd9.jpg</v>
      </c>
      <c r="W1104" s="76">
        <v>44958.967048611114</v>
      </c>
      <c r="X1104" s="80">
        <v>44958</v>
      </c>
      <c r="Y1104" s="78" t="s">
        <v>3004</v>
      </c>
      <c r="Z1104" s="77" t="str">
        <f>HYPERLINK("https://twitter.com/wakingup80/status/1620923085217202177")</f>
        <v>https://twitter.com/wakingup80/status/1620923085217202177</v>
      </c>
      <c r="AC1104" s="78" t="s">
        <v>4069</v>
      </c>
      <c r="AD1104" s="78" t="s">
        <v>4577</v>
      </c>
      <c r="AE1104" t="b">
        <v>0</v>
      </c>
      <c r="AF1104">
        <v>0</v>
      </c>
      <c r="AG1104" s="78" t="s">
        <v>4746</v>
      </c>
      <c r="AH1104" t="b">
        <v>0</v>
      </c>
      <c r="AI1104" t="s">
        <v>4829</v>
      </c>
      <c r="AK1104" s="78" t="s">
        <v>4640</v>
      </c>
      <c r="AL1104" t="b">
        <v>0</v>
      </c>
      <c r="AM1104">
        <v>0</v>
      </c>
      <c r="AN1104" s="78" t="s">
        <v>4640</v>
      </c>
      <c r="AO1104" s="78" t="s">
        <v>4849</v>
      </c>
      <c r="AP1104" t="b">
        <v>0</v>
      </c>
      <c r="AQ1104" s="78" t="s">
        <v>4577</v>
      </c>
      <c r="AR1104" t="s">
        <v>179</v>
      </c>
      <c r="AS1104">
        <v>0</v>
      </c>
      <c r="AT1104">
        <v>0</v>
      </c>
    </row>
    <row r="1105" spans="1:46" x14ac:dyDescent="0.45">
      <c r="A1105" s="62" t="s">
        <v>782</v>
      </c>
      <c r="B1105" s="62" t="s">
        <v>242</v>
      </c>
      <c r="C1105" s="63"/>
      <c r="D1105" s="64"/>
      <c r="E1105" s="65"/>
      <c r="F1105" s="66"/>
      <c r="G1105" s="63"/>
      <c r="H1105" s="67"/>
      <c r="I1105" s="68"/>
      <c r="J1105" s="68"/>
      <c r="K1105" s="32"/>
      <c r="L1105" s="75"/>
      <c r="M1105" s="75"/>
      <c r="N1105" s="70"/>
      <c r="O1105" t="s">
        <v>1568</v>
      </c>
      <c r="P1105" s="76">
        <v>44958.967048611114</v>
      </c>
      <c r="Q1105" t="s">
        <v>1956</v>
      </c>
      <c r="T1105" s="78" t="s">
        <v>2372</v>
      </c>
      <c r="U1105" s="77" t="str">
        <f>HYPERLINK("https://pbs.twimg.com/media/Fn6s9DvXkAAJVd9.jpg")</f>
        <v>https://pbs.twimg.com/media/Fn6s9DvXkAAJVd9.jpg</v>
      </c>
      <c r="V1105" s="77" t="str">
        <f>HYPERLINK("https://pbs.twimg.com/media/Fn6s9DvXkAAJVd9.jpg")</f>
        <v>https://pbs.twimg.com/media/Fn6s9DvXkAAJVd9.jpg</v>
      </c>
      <c r="W1105" s="76">
        <v>44958.967048611114</v>
      </c>
      <c r="X1105" s="80">
        <v>44958</v>
      </c>
      <c r="Y1105" s="78" t="s">
        <v>3004</v>
      </c>
      <c r="Z1105" s="77" t="str">
        <f>HYPERLINK("https://twitter.com/wakingup80/status/1620923085217202177")</f>
        <v>https://twitter.com/wakingup80/status/1620923085217202177</v>
      </c>
      <c r="AC1105" s="78" t="s">
        <v>4069</v>
      </c>
      <c r="AD1105" s="78" t="s">
        <v>4577</v>
      </c>
      <c r="AE1105" t="b">
        <v>0</v>
      </c>
      <c r="AF1105">
        <v>0</v>
      </c>
      <c r="AG1105" s="78" t="s">
        <v>4746</v>
      </c>
      <c r="AH1105" t="b">
        <v>0</v>
      </c>
      <c r="AI1105" t="s">
        <v>4829</v>
      </c>
      <c r="AK1105" s="78" t="s">
        <v>4640</v>
      </c>
      <c r="AL1105" t="b">
        <v>0</v>
      </c>
      <c r="AM1105">
        <v>0</v>
      </c>
      <c r="AN1105" s="78" t="s">
        <v>4640</v>
      </c>
      <c r="AO1105" s="78" t="s">
        <v>4849</v>
      </c>
      <c r="AP1105" t="b">
        <v>0</v>
      </c>
      <c r="AQ1105" s="78" t="s">
        <v>4577</v>
      </c>
      <c r="AR1105" t="s">
        <v>179</v>
      </c>
      <c r="AS1105">
        <v>0</v>
      </c>
      <c r="AT1105">
        <v>0</v>
      </c>
    </row>
    <row r="1106" spans="1:46" x14ac:dyDescent="0.45">
      <c r="A1106" s="62" t="s">
        <v>483</v>
      </c>
      <c r="B1106" s="62" t="s">
        <v>1276</v>
      </c>
      <c r="C1106" s="63"/>
      <c r="D1106" s="64"/>
      <c r="E1106" s="65"/>
      <c r="F1106" s="66"/>
      <c r="G1106" s="63"/>
      <c r="H1106" s="67"/>
      <c r="I1106" s="68"/>
      <c r="J1106" s="68"/>
      <c r="K1106" s="32"/>
      <c r="L1106" s="75"/>
      <c r="M1106" s="75"/>
      <c r="N1106" s="70"/>
      <c r="O1106" t="s">
        <v>1567</v>
      </c>
      <c r="P1106" s="76">
        <v>44958.746678240743</v>
      </c>
      <c r="Q1106" t="s">
        <v>1772</v>
      </c>
      <c r="T1106" s="78" t="s">
        <v>2342</v>
      </c>
      <c r="V1106" s="77" t="str">
        <f>HYPERLINK("https://pbs.twimg.com/profile_images/1269115412878290944/pvibukhc_normal.jpg")</f>
        <v>https://pbs.twimg.com/profile_images/1269115412878290944/pvibukhc_normal.jpg</v>
      </c>
      <c r="W1106" s="76">
        <v>44958.746678240743</v>
      </c>
      <c r="X1106" s="80">
        <v>44958</v>
      </c>
      <c r="Y1106" s="78" t="s">
        <v>2721</v>
      </c>
      <c r="Z1106" s="77" t="str">
        <f>HYPERLINK("https://twitter.com/ebrundo1/status/1620843224016486400")</f>
        <v>https://twitter.com/ebrundo1/status/1620843224016486400</v>
      </c>
      <c r="AC1106" s="78" t="s">
        <v>3739</v>
      </c>
      <c r="AE1106" t="b">
        <v>0</v>
      </c>
      <c r="AF1106">
        <v>0</v>
      </c>
      <c r="AG1106" s="78" t="s">
        <v>4700</v>
      </c>
      <c r="AH1106" t="b">
        <v>0</v>
      </c>
      <c r="AI1106" t="s">
        <v>4829</v>
      </c>
      <c r="AK1106" s="78" t="s">
        <v>4640</v>
      </c>
      <c r="AL1106" t="b">
        <v>0</v>
      </c>
      <c r="AM1106">
        <v>0</v>
      </c>
      <c r="AN1106" s="78" t="s">
        <v>4640</v>
      </c>
      <c r="AO1106" s="78" t="s">
        <v>4849</v>
      </c>
      <c r="AP1106" t="b">
        <v>0</v>
      </c>
      <c r="AQ1106" s="78" t="s">
        <v>3739</v>
      </c>
      <c r="AR1106" t="s">
        <v>179</v>
      </c>
      <c r="AS1106">
        <v>0</v>
      </c>
      <c r="AT1106">
        <v>0</v>
      </c>
    </row>
    <row r="1107" spans="1:46" x14ac:dyDescent="0.45">
      <c r="A1107" s="62" t="s">
        <v>483</v>
      </c>
      <c r="B1107" s="62" t="s">
        <v>242</v>
      </c>
      <c r="C1107" s="63"/>
      <c r="D1107" s="64"/>
      <c r="E1107" s="65"/>
      <c r="F1107" s="66"/>
      <c r="G1107" s="63"/>
      <c r="H1107" s="67"/>
      <c r="I1107" s="68"/>
      <c r="J1107" s="68"/>
      <c r="K1107" s="32"/>
      <c r="L1107" s="75"/>
      <c r="M1107" s="75"/>
      <c r="N1107" s="70"/>
      <c r="O1107" t="s">
        <v>1568</v>
      </c>
      <c r="P1107" s="76">
        <v>44958.746678240743</v>
      </c>
      <c r="Q1107" t="s">
        <v>1772</v>
      </c>
      <c r="T1107" s="78" t="s">
        <v>2342</v>
      </c>
      <c r="V1107" s="77" t="str">
        <f>HYPERLINK("https://pbs.twimg.com/profile_images/1269115412878290944/pvibukhc_normal.jpg")</f>
        <v>https://pbs.twimg.com/profile_images/1269115412878290944/pvibukhc_normal.jpg</v>
      </c>
      <c r="W1107" s="76">
        <v>44958.746678240743</v>
      </c>
      <c r="X1107" s="80">
        <v>44958</v>
      </c>
      <c r="Y1107" s="78" t="s">
        <v>2721</v>
      </c>
      <c r="Z1107" s="77" t="str">
        <f>HYPERLINK("https://twitter.com/ebrundo1/status/1620843224016486400")</f>
        <v>https://twitter.com/ebrundo1/status/1620843224016486400</v>
      </c>
      <c r="AC1107" s="78" t="s">
        <v>3739</v>
      </c>
      <c r="AE1107" t="b">
        <v>0</v>
      </c>
      <c r="AF1107">
        <v>0</v>
      </c>
      <c r="AG1107" s="78" t="s">
        <v>4700</v>
      </c>
      <c r="AH1107" t="b">
        <v>0</v>
      </c>
      <c r="AI1107" t="s">
        <v>4829</v>
      </c>
      <c r="AK1107" s="78" t="s">
        <v>4640</v>
      </c>
      <c r="AL1107" t="b">
        <v>0</v>
      </c>
      <c r="AM1107">
        <v>0</v>
      </c>
      <c r="AN1107" s="78" t="s">
        <v>4640</v>
      </c>
      <c r="AO1107" s="78" t="s">
        <v>4849</v>
      </c>
      <c r="AP1107" t="b">
        <v>0</v>
      </c>
      <c r="AQ1107" s="78" t="s">
        <v>3739</v>
      </c>
      <c r="AR1107" t="s">
        <v>179</v>
      </c>
      <c r="AS1107">
        <v>0</v>
      </c>
      <c r="AT1107">
        <v>0</v>
      </c>
    </row>
    <row r="1108" spans="1:46" x14ac:dyDescent="0.45">
      <c r="A1108" s="62" t="s">
        <v>740</v>
      </c>
      <c r="B1108" s="62" t="s">
        <v>242</v>
      </c>
      <c r="C1108" s="63"/>
      <c r="D1108" s="64"/>
      <c r="E1108" s="65"/>
      <c r="F1108" s="66"/>
      <c r="G1108" s="63"/>
      <c r="H1108" s="67"/>
      <c r="I1108" s="68"/>
      <c r="J1108" s="68"/>
      <c r="K1108" s="32"/>
      <c r="L1108" s="75"/>
      <c r="M1108" s="75"/>
      <c r="N1108" s="70"/>
      <c r="O1108" t="s">
        <v>1568</v>
      </c>
      <c r="P1108" s="76">
        <v>44958.937592592592</v>
      </c>
      <c r="Q1108" t="s">
        <v>1926</v>
      </c>
      <c r="T1108" s="78" t="s">
        <v>2369</v>
      </c>
      <c r="U1108" s="77" t="str">
        <f>HYPERLINK("https://pbs.twimg.com/media/Fn6jPowX0AQ_iAg.jpg")</f>
        <v>https://pbs.twimg.com/media/Fn6jPowX0AQ_iAg.jpg</v>
      </c>
      <c r="V1108" s="77" t="str">
        <f>HYPERLINK("https://pbs.twimg.com/media/Fn6jPowX0AQ_iAg.jpg")</f>
        <v>https://pbs.twimg.com/media/Fn6jPowX0AQ_iAg.jpg</v>
      </c>
      <c r="W1108" s="76">
        <v>44958.937592592592</v>
      </c>
      <c r="X1108" s="80">
        <v>44958</v>
      </c>
      <c r="Y1108" s="78" t="s">
        <v>2959</v>
      </c>
      <c r="Z1108" s="77" t="str">
        <f>HYPERLINK("https://twitter.com/matt_rojas24/status/1620912409211977737")</f>
        <v>https://twitter.com/matt_rojas24/status/1620912409211977737</v>
      </c>
      <c r="AC1108" s="78" t="s">
        <v>4024</v>
      </c>
      <c r="AE1108" t="b">
        <v>0</v>
      </c>
      <c r="AF1108">
        <v>0</v>
      </c>
      <c r="AG1108" s="78" t="s">
        <v>4640</v>
      </c>
      <c r="AH1108" t="b">
        <v>0</v>
      </c>
      <c r="AI1108" t="s">
        <v>4829</v>
      </c>
      <c r="AK1108" s="78" t="s">
        <v>4640</v>
      </c>
      <c r="AL1108" t="b">
        <v>0</v>
      </c>
      <c r="AM1108">
        <v>0</v>
      </c>
      <c r="AN1108" s="78" t="s">
        <v>4640</v>
      </c>
      <c r="AO1108" s="78" t="s">
        <v>4849</v>
      </c>
      <c r="AP1108" t="b">
        <v>0</v>
      </c>
      <c r="AQ1108" s="78" t="s">
        <v>4024</v>
      </c>
      <c r="AR1108" t="s">
        <v>179</v>
      </c>
      <c r="AS1108">
        <v>0</v>
      </c>
      <c r="AT1108">
        <v>0</v>
      </c>
    </row>
    <row r="1109" spans="1:46" x14ac:dyDescent="0.45">
      <c r="A1109" s="62" t="s">
        <v>311</v>
      </c>
      <c r="B1109" s="62" t="s">
        <v>242</v>
      </c>
      <c r="C1109" s="63"/>
      <c r="D1109" s="64"/>
      <c r="E1109" s="65"/>
      <c r="F1109" s="66"/>
      <c r="G1109" s="63"/>
      <c r="H1109" s="67"/>
      <c r="I1109" s="68"/>
      <c r="J1109" s="68"/>
      <c r="K1109" s="32"/>
      <c r="L1109" s="75"/>
      <c r="M1109" s="75"/>
      <c r="N1109" s="70"/>
      <c r="O1109" t="s">
        <v>1568</v>
      </c>
      <c r="P1109" s="76">
        <v>44958.606898148151</v>
      </c>
      <c r="Q1109" t="s">
        <v>1655</v>
      </c>
      <c r="T1109" s="78" t="s">
        <v>2324</v>
      </c>
      <c r="U1109" s="77" t="str">
        <f>HYPERLINK("https://pbs.twimg.com/media/Fn42P-pXoAIVTl0.jpg")</f>
        <v>https://pbs.twimg.com/media/Fn42P-pXoAIVTl0.jpg</v>
      </c>
      <c r="V1109" s="77" t="str">
        <f>HYPERLINK("https://pbs.twimg.com/media/Fn42P-pXoAIVTl0.jpg")</f>
        <v>https://pbs.twimg.com/media/Fn42P-pXoAIVTl0.jpg</v>
      </c>
      <c r="W1109" s="76">
        <v>44958.606898148151</v>
      </c>
      <c r="X1109" s="80">
        <v>44958</v>
      </c>
      <c r="Y1109" s="78" t="s">
        <v>2524</v>
      </c>
      <c r="Z1109" s="77" t="str">
        <f>HYPERLINK("https://twitter.com/sidneygrepke/status/1620792572087259136")</f>
        <v>https://twitter.com/sidneygrepke/status/1620792572087259136</v>
      </c>
      <c r="AC1109" s="78" t="s">
        <v>3539</v>
      </c>
      <c r="AE1109" t="b">
        <v>0</v>
      </c>
      <c r="AF1109">
        <v>0</v>
      </c>
      <c r="AG1109" s="78" t="s">
        <v>4640</v>
      </c>
      <c r="AH1109" t="b">
        <v>0</v>
      </c>
      <c r="AI1109" t="s">
        <v>4829</v>
      </c>
      <c r="AK1109" s="78" t="s">
        <v>4640</v>
      </c>
      <c r="AL1109" t="b">
        <v>0</v>
      </c>
      <c r="AM1109">
        <v>0</v>
      </c>
      <c r="AN1109" s="78" t="s">
        <v>4640</v>
      </c>
      <c r="AO1109" s="78" t="s">
        <v>4849</v>
      </c>
      <c r="AP1109" t="b">
        <v>0</v>
      </c>
      <c r="AQ1109" s="78" t="s">
        <v>3539</v>
      </c>
      <c r="AR1109" t="s">
        <v>179</v>
      </c>
      <c r="AS1109">
        <v>0</v>
      </c>
      <c r="AT1109">
        <v>0</v>
      </c>
    </row>
    <row r="1110" spans="1:46" x14ac:dyDescent="0.45">
      <c r="A1110" s="62" t="s">
        <v>295</v>
      </c>
      <c r="B1110" s="62" t="s">
        <v>242</v>
      </c>
      <c r="C1110" s="63"/>
      <c r="D1110" s="64"/>
      <c r="E1110" s="65"/>
      <c r="F1110" s="66"/>
      <c r="G1110" s="63"/>
      <c r="H1110" s="67"/>
      <c r="I1110" s="68"/>
      <c r="J1110" s="68"/>
      <c r="K1110" s="32"/>
      <c r="L1110" s="75"/>
      <c r="M1110" s="75"/>
      <c r="N1110" s="70"/>
      <c r="O1110" t="s">
        <v>1568</v>
      </c>
      <c r="P1110" s="76">
        <v>44958.581192129626</v>
      </c>
      <c r="Q1110" t="s">
        <v>1638</v>
      </c>
      <c r="T1110" s="78" t="s">
        <v>2319</v>
      </c>
      <c r="V1110" s="77" t="str">
        <f>HYPERLINK("https://pbs.twimg.com/profile_images/1133171869480357888/-Aii2IWs_normal.png")</f>
        <v>https://pbs.twimg.com/profile_images/1133171869480357888/-Aii2IWs_normal.png</v>
      </c>
      <c r="W1110" s="76">
        <v>44958.581192129626</v>
      </c>
      <c r="X1110" s="80">
        <v>44958</v>
      </c>
      <c r="Y1110" s="78" t="s">
        <v>2504</v>
      </c>
      <c r="Z1110" s="77" t="str">
        <f>HYPERLINK("https://twitter.com/rdrewyor/status/1620783256282218496")</f>
        <v>https://twitter.com/rdrewyor/status/1620783256282218496</v>
      </c>
      <c r="AC1110" s="78" t="s">
        <v>3519</v>
      </c>
      <c r="AE1110" t="b">
        <v>0</v>
      </c>
      <c r="AF1110">
        <v>0</v>
      </c>
      <c r="AG1110" s="78" t="s">
        <v>4640</v>
      </c>
      <c r="AH1110" t="b">
        <v>0</v>
      </c>
      <c r="AI1110" t="s">
        <v>4829</v>
      </c>
      <c r="AK1110" s="78" t="s">
        <v>4640</v>
      </c>
      <c r="AL1110" t="b">
        <v>0</v>
      </c>
      <c r="AM1110">
        <v>0</v>
      </c>
      <c r="AN1110" s="78" t="s">
        <v>4640</v>
      </c>
      <c r="AO1110" s="78" t="s">
        <v>4851</v>
      </c>
      <c r="AP1110" t="b">
        <v>0</v>
      </c>
      <c r="AQ1110" s="78" t="s">
        <v>3519</v>
      </c>
      <c r="AR1110" t="s">
        <v>179</v>
      </c>
      <c r="AS1110">
        <v>0</v>
      </c>
      <c r="AT1110">
        <v>0</v>
      </c>
    </row>
    <row r="1111" spans="1:46" x14ac:dyDescent="0.45">
      <c r="A1111" s="62" t="s">
        <v>1020</v>
      </c>
      <c r="B1111" s="62" t="s">
        <v>242</v>
      </c>
      <c r="C1111" s="63"/>
      <c r="D1111" s="64"/>
      <c r="E1111" s="65"/>
      <c r="F1111" s="66"/>
      <c r="G1111" s="63"/>
      <c r="H1111" s="67"/>
      <c r="I1111" s="68"/>
      <c r="J1111" s="68"/>
      <c r="K1111" s="32"/>
      <c r="L1111" s="75"/>
      <c r="M1111" s="75"/>
      <c r="N1111" s="70"/>
      <c r="O1111" t="s">
        <v>1568</v>
      </c>
      <c r="P1111" s="76">
        <v>44958.615185185183</v>
      </c>
      <c r="Q1111" t="s">
        <v>2173</v>
      </c>
      <c r="T1111" s="78" t="s">
        <v>2409</v>
      </c>
      <c r="U1111" s="77" t="str">
        <f>HYPERLINK("https://pbs.twimg.com/media/Fn449tzXwAIMM6L.jpg")</f>
        <v>https://pbs.twimg.com/media/Fn449tzXwAIMM6L.jpg</v>
      </c>
      <c r="V1111" s="77" t="str">
        <f>HYPERLINK("https://pbs.twimg.com/media/Fn449tzXwAIMM6L.jpg")</f>
        <v>https://pbs.twimg.com/media/Fn449tzXwAIMM6L.jpg</v>
      </c>
      <c r="W1111" s="76">
        <v>44958.615185185183</v>
      </c>
      <c r="X1111" s="80">
        <v>44958</v>
      </c>
      <c r="Y1111" s="78" t="s">
        <v>3314</v>
      </c>
      <c r="Z1111" s="77" t="str">
        <f>HYPERLINK("https://twitter.com/queenie4ever/status/1620795575846440960")</f>
        <v>https://twitter.com/queenie4ever/status/1620795575846440960</v>
      </c>
      <c r="AC1111" s="78" t="s">
        <v>4379</v>
      </c>
      <c r="AE1111" t="b">
        <v>0</v>
      </c>
      <c r="AF1111">
        <v>7</v>
      </c>
      <c r="AG1111" s="78" t="s">
        <v>4640</v>
      </c>
      <c r="AH1111" t="b">
        <v>0</v>
      </c>
      <c r="AI1111" t="s">
        <v>4829</v>
      </c>
      <c r="AK1111" s="78" t="s">
        <v>4640</v>
      </c>
      <c r="AL1111" t="b">
        <v>0</v>
      </c>
      <c r="AM1111">
        <v>1</v>
      </c>
      <c r="AN1111" s="78" t="s">
        <v>4640</v>
      </c>
      <c r="AO1111" s="78" t="s">
        <v>4849</v>
      </c>
      <c r="AP1111" t="b">
        <v>0</v>
      </c>
      <c r="AQ1111" s="78" t="s">
        <v>4379</v>
      </c>
      <c r="AR1111" t="s">
        <v>179</v>
      </c>
      <c r="AS1111">
        <v>0</v>
      </c>
      <c r="AT1111">
        <v>0</v>
      </c>
    </row>
    <row r="1112" spans="1:46" x14ac:dyDescent="0.45">
      <c r="A1112" s="62" t="s">
        <v>1019</v>
      </c>
      <c r="B1112" s="62" t="s">
        <v>1020</v>
      </c>
      <c r="C1112" s="63"/>
      <c r="D1112" s="64"/>
      <c r="E1112" s="65"/>
      <c r="F1112" s="66"/>
      <c r="G1112" s="63"/>
      <c r="H1112" s="67"/>
      <c r="I1112" s="68"/>
      <c r="J1112" s="68"/>
      <c r="K1112" s="32"/>
      <c r="L1112" s="75"/>
      <c r="M1112" s="75"/>
      <c r="N1112" s="70"/>
      <c r="O1112" t="s">
        <v>1569</v>
      </c>
      <c r="P1112" s="76">
        <v>44958.666296296295</v>
      </c>
      <c r="Q1112" t="s">
        <v>2173</v>
      </c>
      <c r="T1112" s="78" t="s">
        <v>2409</v>
      </c>
      <c r="U1112" s="77" t="str">
        <f>HYPERLINK("https://pbs.twimg.com/media/Fn449tzXwAIMM6L.jpg")</f>
        <v>https://pbs.twimg.com/media/Fn449tzXwAIMM6L.jpg</v>
      </c>
      <c r="V1112" s="77" t="str">
        <f>HYPERLINK("https://pbs.twimg.com/media/Fn449tzXwAIMM6L.jpg")</f>
        <v>https://pbs.twimg.com/media/Fn449tzXwAIMM6L.jpg</v>
      </c>
      <c r="W1112" s="76">
        <v>44958.666296296295</v>
      </c>
      <c r="X1112" s="80">
        <v>44958</v>
      </c>
      <c r="Y1112" s="78" t="s">
        <v>3316</v>
      </c>
      <c r="Z1112" s="77" t="str">
        <f>HYPERLINK("https://twitter.com/veniceawong/status/1620814097653837825")</f>
        <v>https://twitter.com/veniceawong/status/1620814097653837825</v>
      </c>
      <c r="AC1112" s="78" t="s">
        <v>4381</v>
      </c>
      <c r="AE1112" t="b">
        <v>0</v>
      </c>
      <c r="AF1112">
        <v>0</v>
      </c>
      <c r="AG1112" s="78" t="s">
        <v>4640</v>
      </c>
      <c r="AH1112" t="b">
        <v>0</v>
      </c>
      <c r="AI1112" t="s">
        <v>4829</v>
      </c>
      <c r="AK1112" s="78" t="s">
        <v>4640</v>
      </c>
      <c r="AL1112" t="b">
        <v>0</v>
      </c>
      <c r="AM1112">
        <v>1</v>
      </c>
      <c r="AN1112" s="78" t="s">
        <v>4379</v>
      </c>
      <c r="AO1112" s="78" t="s">
        <v>4849</v>
      </c>
      <c r="AP1112" t="b">
        <v>0</v>
      </c>
      <c r="AQ1112" s="78" t="s">
        <v>4379</v>
      </c>
      <c r="AR1112" t="s">
        <v>179</v>
      </c>
      <c r="AS1112">
        <v>0</v>
      </c>
      <c r="AT1112">
        <v>0</v>
      </c>
    </row>
    <row r="1113" spans="1:46" x14ac:dyDescent="0.45">
      <c r="A1113" s="62" t="s">
        <v>1019</v>
      </c>
      <c r="B1113" s="62" t="s">
        <v>242</v>
      </c>
      <c r="C1113" s="63"/>
      <c r="D1113" s="64"/>
      <c r="E1113" s="65"/>
      <c r="F1113" s="66"/>
      <c r="G1113" s="63"/>
      <c r="H1113" s="67"/>
      <c r="I1113" s="68"/>
      <c r="J1113" s="68"/>
      <c r="K1113" s="32"/>
      <c r="L1113" s="75"/>
      <c r="M1113" s="75"/>
      <c r="N1113" s="70"/>
      <c r="O1113" t="s">
        <v>1570</v>
      </c>
      <c r="P1113" s="76">
        <v>44958.666296296295</v>
      </c>
      <c r="Q1113" t="s">
        <v>2173</v>
      </c>
      <c r="T1113" s="78" t="s">
        <v>2409</v>
      </c>
      <c r="U1113" s="77" t="str">
        <f>HYPERLINK("https://pbs.twimg.com/media/Fn449tzXwAIMM6L.jpg")</f>
        <v>https://pbs.twimg.com/media/Fn449tzXwAIMM6L.jpg</v>
      </c>
      <c r="V1113" s="77" t="str">
        <f>HYPERLINK("https://pbs.twimg.com/media/Fn449tzXwAIMM6L.jpg")</f>
        <v>https://pbs.twimg.com/media/Fn449tzXwAIMM6L.jpg</v>
      </c>
      <c r="W1113" s="76">
        <v>44958.666296296295</v>
      </c>
      <c r="X1113" s="80">
        <v>44958</v>
      </c>
      <c r="Y1113" s="78" t="s">
        <v>3316</v>
      </c>
      <c r="Z1113" s="77" t="str">
        <f>HYPERLINK("https://twitter.com/veniceawong/status/1620814097653837825")</f>
        <v>https://twitter.com/veniceawong/status/1620814097653837825</v>
      </c>
      <c r="AC1113" s="78" t="s">
        <v>4381</v>
      </c>
      <c r="AE1113" t="b">
        <v>0</v>
      </c>
      <c r="AF1113">
        <v>0</v>
      </c>
      <c r="AG1113" s="78" t="s">
        <v>4640</v>
      </c>
      <c r="AH1113" t="b">
        <v>0</v>
      </c>
      <c r="AI1113" t="s">
        <v>4829</v>
      </c>
      <c r="AK1113" s="78" t="s">
        <v>4640</v>
      </c>
      <c r="AL1113" t="b">
        <v>0</v>
      </c>
      <c r="AM1113">
        <v>1</v>
      </c>
      <c r="AN1113" s="78" t="s">
        <v>4379</v>
      </c>
      <c r="AO1113" s="78" t="s">
        <v>4849</v>
      </c>
      <c r="AP1113" t="b">
        <v>0</v>
      </c>
      <c r="AQ1113" s="78" t="s">
        <v>4379</v>
      </c>
      <c r="AR1113" t="s">
        <v>179</v>
      </c>
      <c r="AS1113">
        <v>0</v>
      </c>
      <c r="AT1113">
        <v>0</v>
      </c>
    </row>
    <row r="1114" spans="1:46" x14ac:dyDescent="0.45">
      <c r="A1114" s="62" t="s">
        <v>346</v>
      </c>
      <c r="B1114" s="62" t="s">
        <v>242</v>
      </c>
      <c r="C1114" s="63"/>
      <c r="D1114" s="64"/>
      <c r="E1114" s="65"/>
      <c r="F1114" s="66"/>
      <c r="G1114" s="63"/>
      <c r="H1114" s="67"/>
      <c r="I1114" s="68"/>
      <c r="J1114" s="68"/>
      <c r="K1114" s="32"/>
      <c r="L1114" s="75"/>
      <c r="M1114" s="75"/>
      <c r="N1114" s="70"/>
      <c r="O1114" t="s">
        <v>1568</v>
      </c>
      <c r="P1114" s="76">
        <v>44958.667395833334</v>
      </c>
      <c r="Q1114" t="s">
        <v>1691</v>
      </c>
      <c r="T1114" s="78" t="s">
        <v>2331</v>
      </c>
      <c r="U1114" s="77" t="str">
        <f>HYPERLINK("https://pbs.twimg.com/ext_tw_video_thumb/1620813481074204672/pu/img/UZ4qmrFRvYwGtBiA.jpg")</f>
        <v>https://pbs.twimg.com/ext_tw_video_thumb/1620813481074204672/pu/img/UZ4qmrFRvYwGtBiA.jpg</v>
      </c>
      <c r="V1114" s="77" t="str">
        <f>HYPERLINK("https://pbs.twimg.com/ext_tw_video_thumb/1620813481074204672/pu/img/UZ4qmrFRvYwGtBiA.jpg")</f>
        <v>https://pbs.twimg.com/ext_tw_video_thumb/1620813481074204672/pu/img/UZ4qmrFRvYwGtBiA.jpg</v>
      </c>
      <c r="W1114" s="76">
        <v>44958.667395833334</v>
      </c>
      <c r="X1114" s="80">
        <v>44958</v>
      </c>
      <c r="Y1114" s="78" t="s">
        <v>2567</v>
      </c>
      <c r="Z1114" s="77" t="str">
        <f>HYPERLINK("https://twitter.com/lovebymichaeln/status/1620814495839932416")</f>
        <v>https://twitter.com/lovebymichaeln/status/1620814495839932416</v>
      </c>
      <c r="AC1114" s="78" t="s">
        <v>3584</v>
      </c>
      <c r="AE1114" t="b">
        <v>0</v>
      </c>
      <c r="AF1114">
        <v>1</v>
      </c>
      <c r="AG1114" s="78" t="s">
        <v>4640</v>
      </c>
      <c r="AH1114" t="b">
        <v>0</v>
      </c>
      <c r="AI1114" t="s">
        <v>4829</v>
      </c>
      <c r="AK1114" s="78" t="s">
        <v>4640</v>
      </c>
      <c r="AL1114" t="b">
        <v>0</v>
      </c>
      <c r="AM1114">
        <v>0</v>
      </c>
      <c r="AN1114" s="78" t="s">
        <v>4640</v>
      </c>
      <c r="AO1114" s="78" t="s">
        <v>4857</v>
      </c>
      <c r="AP1114" t="b">
        <v>0</v>
      </c>
      <c r="AQ1114" s="78" t="s">
        <v>3584</v>
      </c>
      <c r="AR1114" t="s">
        <v>179</v>
      </c>
      <c r="AS1114">
        <v>0</v>
      </c>
      <c r="AT1114">
        <v>0</v>
      </c>
    </row>
    <row r="1115" spans="1:46" x14ac:dyDescent="0.45">
      <c r="A1115" s="62" t="s">
        <v>709</v>
      </c>
      <c r="B1115" s="62" t="s">
        <v>1230</v>
      </c>
      <c r="C1115" s="63"/>
      <c r="D1115" s="64"/>
      <c r="E1115" s="65"/>
      <c r="F1115" s="66"/>
      <c r="G1115" s="63"/>
      <c r="H1115" s="67"/>
      <c r="I1115" s="68"/>
      <c r="J1115" s="68"/>
      <c r="K1115" s="32"/>
      <c r="L1115" s="75"/>
      <c r="M1115" s="75"/>
      <c r="N1115" s="70"/>
      <c r="O1115" t="s">
        <v>1568</v>
      </c>
      <c r="P1115" s="76">
        <v>44958.687025462961</v>
      </c>
      <c r="Q1115" t="s">
        <v>1892</v>
      </c>
      <c r="T1115" s="78" t="s">
        <v>2363</v>
      </c>
      <c r="V1115" s="77" t="str">
        <f>HYPERLINK("https://abs.twimg.com/sticky/default_profile_images/default_profile_normal.png")</f>
        <v>https://abs.twimg.com/sticky/default_profile_images/default_profile_normal.png</v>
      </c>
      <c r="W1115" s="76">
        <v>44958.687025462961</v>
      </c>
      <c r="X1115" s="80">
        <v>44958</v>
      </c>
      <c r="Y1115" s="78" t="s">
        <v>2918</v>
      </c>
      <c r="Z1115" s="77" t="str">
        <f>HYPERLINK("https://twitter.com/chris27678863/status/1620821608691802112")</f>
        <v>https://twitter.com/chris27678863/status/1620821608691802112</v>
      </c>
      <c r="AC1115" s="78" t="s">
        <v>3983</v>
      </c>
      <c r="AD1115" s="78" t="s">
        <v>4473</v>
      </c>
      <c r="AE1115" t="b">
        <v>0</v>
      </c>
      <c r="AF1115">
        <v>3</v>
      </c>
      <c r="AG1115" s="78" t="s">
        <v>4639</v>
      </c>
      <c r="AH1115" t="b">
        <v>0</v>
      </c>
      <c r="AI1115" t="s">
        <v>4829</v>
      </c>
      <c r="AK1115" s="78" t="s">
        <v>4640</v>
      </c>
      <c r="AL1115" t="b">
        <v>0</v>
      </c>
      <c r="AM1115">
        <v>0</v>
      </c>
      <c r="AN1115" s="78" t="s">
        <v>4640</v>
      </c>
      <c r="AO1115" s="78" t="s">
        <v>4850</v>
      </c>
      <c r="AP1115" t="b">
        <v>0</v>
      </c>
      <c r="AQ1115" s="78" t="s">
        <v>4473</v>
      </c>
      <c r="AR1115" t="s">
        <v>179</v>
      </c>
      <c r="AS1115">
        <v>0</v>
      </c>
      <c r="AT1115">
        <v>0</v>
      </c>
    </row>
    <row r="1116" spans="1:46" x14ac:dyDescent="0.45">
      <c r="A1116" s="62" t="s">
        <v>709</v>
      </c>
      <c r="B1116" s="62" t="s">
        <v>242</v>
      </c>
      <c r="C1116" s="63"/>
      <c r="D1116" s="64"/>
      <c r="E1116" s="65"/>
      <c r="F1116" s="66"/>
      <c r="G1116" s="63"/>
      <c r="H1116" s="67"/>
      <c r="I1116" s="68"/>
      <c r="J1116" s="68"/>
      <c r="K1116" s="32"/>
      <c r="L1116" s="75"/>
      <c r="M1116" s="75"/>
      <c r="N1116" s="70"/>
      <c r="O1116" t="s">
        <v>1567</v>
      </c>
      <c r="P1116" s="76">
        <v>44958.687025462961</v>
      </c>
      <c r="Q1116" t="s">
        <v>1892</v>
      </c>
      <c r="T1116" s="78" t="s">
        <v>2363</v>
      </c>
      <c r="V1116" s="77" t="str">
        <f>HYPERLINK("https://abs.twimg.com/sticky/default_profile_images/default_profile_normal.png")</f>
        <v>https://abs.twimg.com/sticky/default_profile_images/default_profile_normal.png</v>
      </c>
      <c r="W1116" s="76">
        <v>44958.687025462961</v>
      </c>
      <c r="X1116" s="80">
        <v>44958</v>
      </c>
      <c r="Y1116" s="78" t="s">
        <v>2918</v>
      </c>
      <c r="Z1116" s="77" t="str">
        <f>HYPERLINK("https://twitter.com/chris27678863/status/1620821608691802112")</f>
        <v>https://twitter.com/chris27678863/status/1620821608691802112</v>
      </c>
      <c r="AC1116" s="78" t="s">
        <v>3983</v>
      </c>
      <c r="AD1116" s="78" t="s">
        <v>4473</v>
      </c>
      <c r="AE1116" t="b">
        <v>0</v>
      </c>
      <c r="AF1116">
        <v>3</v>
      </c>
      <c r="AG1116" s="78" t="s">
        <v>4639</v>
      </c>
      <c r="AH1116" t="b">
        <v>0</v>
      </c>
      <c r="AI1116" t="s">
        <v>4829</v>
      </c>
      <c r="AK1116" s="78" t="s">
        <v>4640</v>
      </c>
      <c r="AL1116" t="b">
        <v>0</v>
      </c>
      <c r="AM1116">
        <v>0</v>
      </c>
      <c r="AN1116" s="78" t="s">
        <v>4640</v>
      </c>
      <c r="AO1116" s="78" t="s">
        <v>4850</v>
      </c>
      <c r="AP1116" t="b">
        <v>0</v>
      </c>
      <c r="AQ1116" s="78" t="s">
        <v>4473</v>
      </c>
      <c r="AR1116" t="s">
        <v>179</v>
      </c>
      <c r="AS1116">
        <v>0</v>
      </c>
      <c r="AT1116">
        <v>0</v>
      </c>
    </row>
    <row r="1117" spans="1:46" x14ac:dyDescent="0.45">
      <c r="A1117" s="62" t="s">
        <v>709</v>
      </c>
      <c r="B1117" s="62" t="s">
        <v>242</v>
      </c>
      <c r="C1117" s="63"/>
      <c r="D1117" s="64"/>
      <c r="E1117" s="65"/>
      <c r="F1117" s="66"/>
      <c r="G1117" s="63"/>
      <c r="H1117" s="67"/>
      <c r="I1117" s="68"/>
      <c r="J1117" s="68"/>
      <c r="K1117" s="32"/>
      <c r="L1117" s="75"/>
      <c r="M1117" s="75"/>
      <c r="N1117" s="70"/>
      <c r="O1117" t="s">
        <v>1567</v>
      </c>
      <c r="P1117" s="76">
        <v>44958.646365740744</v>
      </c>
      <c r="Q1117" t="s">
        <v>1890</v>
      </c>
      <c r="T1117" s="78" t="s">
        <v>2363</v>
      </c>
      <c r="V1117" s="77" t="str">
        <f>HYPERLINK("https://abs.twimg.com/sticky/default_profile_images/default_profile_normal.png")</f>
        <v>https://abs.twimg.com/sticky/default_profile_images/default_profile_normal.png</v>
      </c>
      <c r="W1117" s="76">
        <v>44958.646365740744</v>
      </c>
      <c r="X1117" s="80">
        <v>44958</v>
      </c>
      <c r="Y1117" s="78" t="s">
        <v>2916</v>
      </c>
      <c r="Z1117" s="77" t="str">
        <f>HYPERLINK("https://twitter.com/chris27678863/status/1620806874047348741")</f>
        <v>https://twitter.com/chris27678863/status/1620806874047348741</v>
      </c>
      <c r="AC1117" s="78" t="s">
        <v>3981</v>
      </c>
      <c r="AD1117" s="78" t="s">
        <v>4498</v>
      </c>
      <c r="AE1117" t="b">
        <v>0</v>
      </c>
      <c r="AF1117">
        <v>0</v>
      </c>
      <c r="AG1117" s="78" t="s">
        <v>4639</v>
      </c>
      <c r="AH1117" t="b">
        <v>0</v>
      </c>
      <c r="AI1117" t="s">
        <v>4829</v>
      </c>
      <c r="AK1117" s="78" t="s">
        <v>4640</v>
      </c>
      <c r="AL1117" t="b">
        <v>0</v>
      </c>
      <c r="AM1117">
        <v>0</v>
      </c>
      <c r="AN1117" s="78" t="s">
        <v>4640</v>
      </c>
      <c r="AO1117" s="78" t="s">
        <v>4850</v>
      </c>
      <c r="AP1117" t="b">
        <v>0</v>
      </c>
      <c r="AQ1117" s="78" t="s">
        <v>4498</v>
      </c>
      <c r="AR1117" t="s">
        <v>179</v>
      </c>
      <c r="AS1117">
        <v>0</v>
      </c>
      <c r="AT1117">
        <v>0</v>
      </c>
    </row>
    <row r="1118" spans="1:46" x14ac:dyDescent="0.45">
      <c r="A1118" s="62" t="s">
        <v>709</v>
      </c>
      <c r="B1118" s="62" t="s">
        <v>1230</v>
      </c>
      <c r="C1118" s="63"/>
      <c r="D1118" s="64"/>
      <c r="E1118" s="65"/>
      <c r="F1118" s="66"/>
      <c r="G1118" s="63"/>
      <c r="H1118" s="67"/>
      <c r="I1118" s="68"/>
      <c r="J1118" s="68"/>
      <c r="K1118" s="32"/>
      <c r="L1118" s="75"/>
      <c r="M1118" s="75"/>
      <c r="N1118" s="70"/>
      <c r="O1118" t="s">
        <v>1568</v>
      </c>
      <c r="P1118" s="76">
        <v>44958.68650462963</v>
      </c>
      <c r="Q1118" t="s">
        <v>1891</v>
      </c>
      <c r="T1118" s="78" t="s">
        <v>2363</v>
      </c>
      <c r="V1118" s="77" t="str">
        <f>HYPERLINK("https://abs.twimg.com/sticky/default_profile_images/default_profile_normal.png")</f>
        <v>https://abs.twimg.com/sticky/default_profile_images/default_profile_normal.png</v>
      </c>
      <c r="W1118" s="76">
        <v>44958.68650462963</v>
      </c>
      <c r="X1118" s="80">
        <v>44958</v>
      </c>
      <c r="Y1118" s="78" t="s">
        <v>2917</v>
      </c>
      <c r="Z1118" s="77" t="str">
        <f>HYPERLINK("https://twitter.com/chris27678863/status/1620821420820566017")</f>
        <v>https://twitter.com/chris27678863/status/1620821420820566017</v>
      </c>
      <c r="AC1118" s="78" t="s">
        <v>3982</v>
      </c>
      <c r="AD1118" s="78" t="s">
        <v>4473</v>
      </c>
      <c r="AE1118" t="b">
        <v>0</v>
      </c>
      <c r="AF1118">
        <v>0</v>
      </c>
      <c r="AG1118" s="78" t="s">
        <v>4639</v>
      </c>
      <c r="AH1118" t="b">
        <v>0</v>
      </c>
      <c r="AI1118" t="s">
        <v>4829</v>
      </c>
      <c r="AK1118" s="78" t="s">
        <v>4640</v>
      </c>
      <c r="AL1118" t="b">
        <v>0</v>
      </c>
      <c r="AM1118">
        <v>0</v>
      </c>
      <c r="AN1118" s="78" t="s">
        <v>4640</v>
      </c>
      <c r="AO1118" s="78" t="s">
        <v>4850</v>
      </c>
      <c r="AP1118" t="b">
        <v>0</v>
      </c>
      <c r="AQ1118" s="78" t="s">
        <v>4473</v>
      </c>
      <c r="AR1118" t="s">
        <v>179</v>
      </c>
      <c r="AS1118">
        <v>0</v>
      </c>
      <c r="AT1118">
        <v>0</v>
      </c>
    </row>
    <row r="1119" spans="1:46" x14ac:dyDescent="0.45">
      <c r="A1119" s="62" t="s">
        <v>709</v>
      </c>
      <c r="B1119" s="62" t="s">
        <v>242</v>
      </c>
      <c r="C1119" s="63"/>
      <c r="D1119" s="64"/>
      <c r="E1119" s="65"/>
      <c r="F1119" s="66"/>
      <c r="G1119" s="63"/>
      <c r="H1119" s="67"/>
      <c r="I1119" s="68"/>
      <c r="J1119" s="68"/>
      <c r="K1119" s="32"/>
      <c r="L1119" s="75"/>
      <c r="M1119" s="75"/>
      <c r="N1119" s="70"/>
      <c r="O1119" t="s">
        <v>1567</v>
      </c>
      <c r="P1119" s="76">
        <v>44958.68650462963</v>
      </c>
      <c r="Q1119" t="s">
        <v>1891</v>
      </c>
      <c r="T1119" s="78" t="s">
        <v>2363</v>
      </c>
      <c r="V1119" s="77" t="str">
        <f>HYPERLINK("https://abs.twimg.com/sticky/default_profile_images/default_profile_normal.png")</f>
        <v>https://abs.twimg.com/sticky/default_profile_images/default_profile_normal.png</v>
      </c>
      <c r="W1119" s="76">
        <v>44958.68650462963</v>
      </c>
      <c r="X1119" s="80">
        <v>44958</v>
      </c>
      <c r="Y1119" s="78" t="s">
        <v>2917</v>
      </c>
      <c r="Z1119" s="77" t="str">
        <f>HYPERLINK("https://twitter.com/chris27678863/status/1620821420820566017")</f>
        <v>https://twitter.com/chris27678863/status/1620821420820566017</v>
      </c>
      <c r="AC1119" s="78" t="s">
        <v>3982</v>
      </c>
      <c r="AD1119" s="78" t="s">
        <v>4473</v>
      </c>
      <c r="AE1119" t="b">
        <v>0</v>
      </c>
      <c r="AF1119">
        <v>0</v>
      </c>
      <c r="AG1119" s="78" t="s">
        <v>4639</v>
      </c>
      <c r="AH1119" t="b">
        <v>0</v>
      </c>
      <c r="AI1119" t="s">
        <v>4829</v>
      </c>
      <c r="AK1119" s="78" t="s">
        <v>4640</v>
      </c>
      <c r="AL1119" t="b">
        <v>0</v>
      </c>
      <c r="AM1119">
        <v>0</v>
      </c>
      <c r="AN1119" s="78" t="s">
        <v>4640</v>
      </c>
      <c r="AO1119" s="78" t="s">
        <v>4850</v>
      </c>
      <c r="AP1119" t="b">
        <v>0</v>
      </c>
      <c r="AQ1119" s="78" t="s">
        <v>4473</v>
      </c>
      <c r="AR1119" t="s">
        <v>179</v>
      </c>
      <c r="AS1119">
        <v>0</v>
      </c>
      <c r="AT1119">
        <v>0</v>
      </c>
    </row>
    <row r="1120" spans="1:46" x14ac:dyDescent="0.45">
      <c r="A1120" s="62" t="s">
        <v>709</v>
      </c>
      <c r="B1120" s="62" t="s">
        <v>1230</v>
      </c>
      <c r="C1120" s="63"/>
      <c r="D1120" s="64"/>
      <c r="E1120" s="65"/>
      <c r="F1120" s="66"/>
      <c r="G1120" s="63"/>
      <c r="H1120" s="67"/>
      <c r="I1120" s="68"/>
      <c r="J1120" s="68"/>
      <c r="K1120" s="32"/>
      <c r="L1120" s="75"/>
      <c r="M1120" s="75"/>
      <c r="N1120" s="70"/>
      <c r="O1120" t="s">
        <v>1568</v>
      </c>
      <c r="P1120" s="76">
        <v>44958.687604166669</v>
      </c>
      <c r="Q1120" t="s">
        <v>1893</v>
      </c>
      <c r="T1120" s="78" t="s">
        <v>2363</v>
      </c>
      <c r="V1120" s="77" t="str">
        <f>HYPERLINK("https://abs.twimg.com/sticky/default_profile_images/default_profile_normal.png")</f>
        <v>https://abs.twimg.com/sticky/default_profile_images/default_profile_normal.png</v>
      </c>
      <c r="W1120" s="76">
        <v>44958.687604166669</v>
      </c>
      <c r="X1120" s="80">
        <v>44958</v>
      </c>
      <c r="Y1120" s="78" t="s">
        <v>2919</v>
      </c>
      <c r="Z1120" s="77" t="str">
        <f>HYPERLINK("https://twitter.com/chris27678863/status/1620821819497537536")</f>
        <v>https://twitter.com/chris27678863/status/1620821819497537536</v>
      </c>
      <c r="AC1120" s="78" t="s">
        <v>3984</v>
      </c>
      <c r="AD1120" s="78" t="s">
        <v>4473</v>
      </c>
      <c r="AE1120" t="b">
        <v>0</v>
      </c>
      <c r="AF1120">
        <v>0</v>
      </c>
      <c r="AG1120" s="78" t="s">
        <v>4639</v>
      </c>
      <c r="AH1120" t="b">
        <v>0</v>
      </c>
      <c r="AI1120" t="s">
        <v>4829</v>
      </c>
      <c r="AK1120" s="78" t="s">
        <v>4640</v>
      </c>
      <c r="AL1120" t="b">
        <v>0</v>
      </c>
      <c r="AM1120">
        <v>0</v>
      </c>
      <c r="AN1120" s="78" t="s">
        <v>4640</v>
      </c>
      <c r="AO1120" s="78" t="s">
        <v>4850</v>
      </c>
      <c r="AP1120" t="b">
        <v>0</v>
      </c>
      <c r="AQ1120" s="78" t="s">
        <v>4473</v>
      </c>
      <c r="AR1120" t="s">
        <v>179</v>
      </c>
      <c r="AS1120">
        <v>0</v>
      </c>
      <c r="AT1120">
        <v>0</v>
      </c>
    </row>
    <row r="1121" spans="1:46" x14ac:dyDescent="0.45">
      <c r="A1121" s="62" t="s">
        <v>709</v>
      </c>
      <c r="B1121" s="62" t="s">
        <v>242</v>
      </c>
      <c r="C1121" s="63"/>
      <c r="D1121" s="64"/>
      <c r="E1121" s="65"/>
      <c r="F1121" s="66"/>
      <c r="G1121" s="63"/>
      <c r="H1121" s="67"/>
      <c r="I1121" s="68"/>
      <c r="J1121" s="68"/>
      <c r="K1121" s="32"/>
      <c r="L1121" s="75"/>
      <c r="M1121" s="75"/>
      <c r="N1121" s="70"/>
      <c r="O1121" t="s">
        <v>1567</v>
      </c>
      <c r="P1121" s="76">
        <v>44958.687604166669</v>
      </c>
      <c r="Q1121" t="s">
        <v>1893</v>
      </c>
      <c r="T1121" s="78" t="s">
        <v>2363</v>
      </c>
      <c r="V1121" s="77" t="str">
        <f>HYPERLINK("https://abs.twimg.com/sticky/default_profile_images/default_profile_normal.png")</f>
        <v>https://abs.twimg.com/sticky/default_profile_images/default_profile_normal.png</v>
      </c>
      <c r="W1121" s="76">
        <v>44958.687604166669</v>
      </c>
      <c r="X1121" s="80">
        <v>44958</v>
      </c>
      <c r="Y1121" s="78" t="s">
        <v>2919</v>
      </c>
      <c r="Z1121" s="77" t="str">
        <f>HYPERLINK("https://twitter.com/chris27678863/status/1620821819497537536")</f>
        <v>https://twitter.com/chris27678863/status/1620821819497537536</v>
      </c>
      <c r="AC1121" s="78" t="s">
        <v>3984</v>
      </c>
      <c r="AD1121" s="78" t="s">
        <v>4473</v>
      </c>
      <c r="AE1121" t="b">
        <v>0</v>
      </c>
      <c r="AF1121">
        <v>0</v>
      </c>
      <c r="AG1121" s="78" t="s">
        <v>4639</v>
      </c>
      <c r="AH1121" t="b">
        <v>0</v>
      </c>
      <c r="AI1121" t="s">
        <v>4829</v>
      </c>
      <c r="AK1121" s="78" t="s">
        <v>4640</v>
      </c>
      <c r="AL1121" t="b">
        <v>0</v>
      </c>
      <c r="AM1121">
        <v>0</v>
      </c>
      <c r="AN1121" s="78" t="s">
        <v>4640</v>
      </c>
      <c r="AO1121" s="78" t="s">
        <v>4850</v>
      </c>
      <c r="AP1121" t="b">
        <v>0</v>
      </c>
      <c r="AQ1121" s="78" t="s">
        <v>4473</v>
      </c>
      <c r="AR1121" t="s">
        <v>179</v>
      </c>
      <c r="AS1121">
        <v>0</v>
      </c>
      <c r="AT1121">
        <v>0</v>
      </c>
    </row>
    <row r="1122" spans="1:46" x14ac:dyDescent="0.45">
      <c r="A1122" s="62" t="s">
        <v>709</v>
      </c>
      <c r="B1122" s="62" t="s">
        <v>1230</v>
      </c>
      <c r="C1122" s="63"/>
      <c r="D1122" s="64"/>
      <c r="E1122" s="65"/>
      <c r="F1122" s="66"/>
      <c r="G1122" s="63"/>
      <c r="H1122" s="67"/>
      <c r="I1122" s="68"/>
      <c r="J1122" s="68"/>
      <c r="K1122" s="32"/>
      <c r="L1122" s="75"/>
      <c r="M1122" s="75"/>
      <c r="N1122" s="70"/>
      <c r="O1122" t="s">
        <v>1568</v>
      </c>
      <c r="P1122" s="76">
        <v>44958.731817129628</v>
      </c>
      <c r="Q1122" t="s">
        <v>1894</v>
      </c>
      <c r="T1122" s="78" t="s">
        <v>2363</v>
      </c>
      <c r="V1122" s="77" t="str">
        <f>HYPERLINK("https://abs.twimg.com/sticky/default_profile_images/default_profile_normal.png")</f>
        <v>https://abs.twimg.com/sticky/default_profile_images/default_profile_normal.png</v>
      </c>
      <c r="W1122" s="76">
        <v>44958.731817129628</v>
      </c>
      <c r="X1122" s="80">
        <v>44958</v>
      </c>
      <c r="Y1122" s="78" t="s">
        <v>2920</v>
      </c>
      <c r="Z1122" s="77" t="str">
        <f>HYPERLINK("https://twitter.com/chris27678863/status/1620837838937026561")</f>
        <v>https://twitter.com/chris27678863/status/1620837838937026561</v>
      </c>
      <c r="AC1122" s="78" t="s">
        <v>3985</v>
      </c>
      <c r="AD1122" s="78" t="s">
        <v>4473</v>
      </c>
      <c r="AE1122" t="b">
        <v>0</v>
      </c>
      <c r="AF1122">
        <v>0</v>
      </c>
      <c r="AG1122" s="78" t="s">
        <v>4639</v>
      </c>
      <c r="AH1122" t="b">
        <v>0</v>
      </c>
      <c r="AI1122" t="s">
        <v>4829</v>
      </c>
      <c r="AK1122" s="78" t="s">
        <v>4640</v>
      </c>
      <c r="AL1122" t="b">
        <v>0</v>
      </c>
      <c r="AM1122">
        <v>0</v>
      </c>
      <c r="AN1122" s="78" t="s">
        <v>4640</v>
      </c>
      <c r="AO1122" s="78" t="s">
        <v>4850</v>
      </c>
      <c r="AP1122" t="b">
        <v>0</v>
      </c>
      <c r="AQ1122" s="78" t="s">
        <v>4473</v>
      </c>
      <c r="AR1122" t="s">
        <v>179</v>
      </c>
      <c r="AS1122">
        <v>0</v>
      </c>
      <c r="AT1122">
        <v>0</v>
      </c>
    </row>
    <row r="1123" spans="1:46" x14ac:dyDescent="0.45">
      <c r="A1123" s="62" t="s">
        <v>709</v>
      </c>
      <c r="B1123" s="62" t="s">
        <v>242</v>
      </c>
      <c r="C1123" s="63"/>
      <c r="D1123" s="64"/>
      <c r="E1123" s="65"/>
      <c r="F1123" s="66"/>
      <c r="G1123" s="63"/>
      <c r="H1123" s="67"/>
      <c r="I1123" s="68"/>
      <c r="J1123" s="68"/>
      <c r="K1123" s="32"/>
      <c r="L1123" s="75"/>
      <c r="M1123" s="75"/>
      <c r="N1123" s="70"/>
      <c r="O1123" t="s">
        <v>1567</v>
      </c>
      <c r="P1123" s="76">
        <v>44958.731817129628</v>
      </c>
      <c r="Q1123" t="s">
        <v>1894</v>
      </c>
      <c r="T1123" s="78" t="s">
        <v>2363</v>
      </c>
      <c r="V1123" s="77" t="str">
        <f>HYPERLINK("https://abs.twimg.com/sticky/default_profile_images/default_profile_normal.png")</f>
        <v>https://abs.twimg.com/sticky/default_profile_images/default_profile_normal.png</v>
      </c>
      <c r="W1123" s="76">
        <v>44958.731817129628</v>
      </c>
      <c r="X1123" s="80">
        <v>44958</v>
      </c>
      <c r="Y1123" s="78" t="s">
        <v>2920</v>
      </c>
      <c r="Z1123" s="77" t="str">
        <f>HYPERLINK("https://twitter.com/chris27678863/status/1620837838937026561")</f>
        <v>https://twitter.com/chris27678863/status/1620837838937026561</v>
      </c>
      <c r="AC1123" s="78" t="s">
        <v>3985</v>
      </c>
      <c r="AD1123" s="78" t="s">
        <v>4473</v>
      </c>
      <c r="AE1123" t="b">
        <v>0</v>
      </c>
      <c r="AF1123">
        <v>0</v>
      </c>
      <c r="AG1123" s="78" t="s">
        <v>4639</v>
      </c>
      <c r="AH1123" t="b">
        <v>0</v>
      </c>
      <c r="AI1123" t="s">
        <v>4829</v>
      </c>
      <c r="AK1123" s="78" t="s">
        <v>4640</v>
      </c>
      <c r="AL1123" t="b">
        <v>0</v>
      </c>
      <c r="AM1123">
        <v>0</v>
      </c>
      <c r="AN1123" s="78" t="s">
        <v>4640</v>
      </c>
      <c r="AO1123" s="78" t="s">
        <v>4850</v>
      </c>
      <c r="AP1123" t="b">
        <v>0</v>
      </c>
      <c r="AQ1123" s="78" t="s">
        <v>4473</v>
      </c>
      <c r="AR1123" t="s">
        <v>179</v>
      </c>
      <c r="AS1123">
        <v>0</v>
      </c>
      <c r="AT1123">
        <v>0</v>
      </c>
    </row>
    <row r="1124" spans="1:46" x14ac:dyDescent="0.45">
      <c r="A1124" s="62" t="s">
        <v>709</v>
      </c>
      <c r="B1124" s="62" t="s">
        <v>1230</v>
      </c>
      <c r="C1124" s="63"/>
      <c r="D1124" s="64"/>
      <c r="E1124" s="65"/>
      <c r="F1124" s="66"/>
      <c r="G1124" s="63"/>
      <c r="H1124" s="67"/>
      <c r="I1124" s="68"/>
      <c r="J1124" s="68"/>
      <c r="K1124" s="32"/>
      <c r="L1124" s="75"/>
      <c r="M1124" s="75"/>
      <c r="N1124" s="70"/>
      <c r="O1124" t="s">
        <v>1568</v>
      </c>
      <c r="P1124" s="76">
        <v>44958.828020833331</v>
      </c>
      <c r="Q1124" t="s">
        <v>1896</v>
      </c>
      <c r="T1124" s="78" t="s">
        <v>2363</v>
      </c>
      <c r="V1124" s="77" t="str">
        <f>HYPERLINK("https://abs.twimg.com/sticky/default_profile_images/default_profile_normal.png")</f>
        <v>https://abs.twimg.com/sticky/default_profile_images/default_profile_normal.png</v>
      </c>
      <c r="W1124" s="76">
        <v>44958.828020833331</v>
      </c>
      <c r="X1124" s="80">
        <v>44958</v>
      </c>
      <c r="Y1124" s="78" t="s">
        <v>2922</v>
      </c>
      <c r="Z1124" s="77" t="str">
        <f>HYPERLINK("https://twitter.com/chris27678863/status/1620872701740212225")</f>
        <v>https://twitter.com/chris27678863/status/1620872701740212225</v>
      </c>
      <c r="AC1124" s="78" t="s">
        <v>3987</v>
      </c>
      <c r="AD1124" s="78" t="s">
        <v>4473</v>
      </c>
      <c r="AE1124" t="b">
        <v>0</v>
      </c>
      <c r="AF1124">
        <v>0</v>
      </c>
      <c r="AG1124" s="78" t="s">
        <v>4639</v>
      </c>
      <c r="AH1124" t="b">
        <v>0</v>
      </c>
      <c r="AI1124" t="s">
        <v>4829</v>
      </c>
      <c r="AK1124" s="78" t="s">
        <v>4640</v>
      </c>
      <c r="AL1124" t="b">
        <v>0</v>
      </c>
      <c r="AM1124">
        <v>0</v>
      </c>
      <c r="AN1124" s="78" t="s">
        <v>4640</v>
      </c>
      <c r="AO1124" s="78" t="s">
        <v>4850</v>
      </c>
      <c r="AP1124" t="b">
        <v>0</v>
      </c>
      <c r="AQ1124" s="78" t="s">
        <v>4473</v>
      </c>
      <c r="AR1124" t="s">
        <v>179</v>
      </c>
      <c r="AS1124">
        <v>0</v>
      </c>
      <c r="AT1124">
        <v>0</v>
      </c>
    </row>
    <row r="1125" spans="1:46" x14ac:dyDescent="0.45">
      <c r="A1125" s="62" t="s">
        <v>709</v>
      </c>
      <c r="B1125" s="62" t="s">
        <v>242</v>
      </c>
      <c r="C1125" s="63"/>
      <c r="D1125" s="64"/>
      <c r="E1125" s="65"/>
      <c r="F1125" s="66"/>
      <c r="G1125" s="63"/>
      <c r="H1125" s="67"/>
      <c r="I1125" s="68"/>
      <c r="J1125" s="68"/>
      <c r="K1125" s="32"/>
      <c r="L1125" s="75"/>
      <c r="M1125" s="75"/>
      <c r="N1125" s="70"/>
      <c r="O1125" t="s">
        <v>1567</v>
      </c>
      <c r="P1125" s="76">
        <v>44958.828020833331</v>
      </c>
      <c r="Q1125" t="s">
        <v>1896</v>
      </c>
      <c r="T1125" s="78" t="s">
        <v>2363</v>
      </c>
      <c r="V1125" s="77" t="str">
        <f>HYPERLINK("https://abs.twimg.com/sticky/default_profile_images/default_profile_normal.png")</f>
        <v>https://abs.twimg.com/sticky/default_profile_images/default_profile_normal.png</v>
      </c>
      <c r="W1125" s="76">
        <v>44958.828020833331</v>
      </c>
      <c r="X1125" s="80">
        <v>44958</v>
      </c>
      <c r="Y1125" s="78" t="s">
        <v>2922</v>
      </c>
      <c r="Z1125" s="77" t="str">
        <f>HYPERLINK("https://twitter.com/chris27678863/status/1620872701740212225")</f>
        <v>https://twitter.com/chris27678863/status/1620872701740212225</v>
      </c>
      <c r="AC1125" s="78" t="s">
        <v>3987</v>
      </c>
      <c r="AD1125" s="78" t="s">
        <v>4473</v>
      </c>
      <c r="AE1125" t="b">
        <v>0</v>
      </c>
      <c r="AF1125">
        <v>0</v>
      </c>
      <c r="AG1125" s="78" t="s">
        <v>4639</v>
      </c>
      <c r="AH1125" t="b">
        <v>0</v>
      </c>
      <c r="AI1125" t="s">
        <v>4829</v>
      </c>
      <c r="AK1125" s="78" t="s">
        <v>4640</v>
      </c>
      <c r="AL1125" t="b">
        <v>0</v>
      </c>
      <c r="AM1125">
        <v>0</v>
      </c>
      <c r="AN1125" s="78" t="s">
        <v>4640</v>
      </c>
      <c r="AO1125" s="78" t="s">
        <v>4850</v>
      </c>
      <c r="AP1125" t="b">
        <v>0</v>
      </c>
      <c r="AQ1125" s="78" t="s">
        <v>4473</v>
      </c>
      <c r="AR1125" t="s">
        <v>179</v>
      </c>
      <c r="AS1125">
        <v>0</v>
      </c>
      <c r="AT1125">
        <v>0</v>
      </c>
    </row>
    <row r="1126" spans="1:46" x14ac:dyDescent="0.45">
      <c r="A1126" s="62" t="s">
        <v>709</v>
      </c>
      <c r="B1126" s="62" t="s">
        <v>242</v>
      </c>
      <c r="C1126" s="63"/>
      <c r="D1126" s="64"/>
      <c r="E1126" s="65"/>
      <c r="F1126" s="66"/>
      <c r="G1126" s="63"/>
      <c r="H1126" s="67"/>
      <c r="I1126" s="68"/>
      <c r="J1126" s="68"/>
      <c r="K1126" s="32"/>
      <c r="L1126" s="75"/>
      <c r="M1126" s="75"/>
      <c r="N1126" s="70"/>
      <c r="O1126" t="s">
        <v>1567</v>
      </c>
      <c r="P1126" s="76">
        <v>44958.839594907404</v>
      </c>
      <c r="Q1126" t="s">
        <v>1897</v>
      </c>
      <c r="T1126" s="78" t="s">
        <v>2363</v>
      </c>
      <c r="V1126" s="77" t="str">
        <f>HYPERLINK("https://abs.twimg.com/sticky/default_profile_images/default_profile_normal.png")</f>
        <v>https://abs.twimg.com/sticky/default_profile_images/default_profile_normal.png</v>
      </c>
      <c r="W1126" s="76">
        <v>44958.839594907404</v>
      </c>
      <c r="X1126" s="80">
        <v>44958</v>
      </c>
      <c r="Y1126" s="78" t="s">
        <v>2923</v>
      </c>
      <c r="Z1126" s="77" t="str">
        <f>HYPERLINK("https://twitter.com/chris27678863/status/1620876895721242624")</f>
        <v>https://twitter.com/chris27678863/status/1620876895721242624</v>
      </c>
      <c r="AC1126" s="78" t="s">
        <v>3988</v>
      </c>
      <c r="AD1126" s="78" t="s">
        <v>4495</v>
      </c>
      <c r="AE1126" t="b">
        <v>0</v>
      </c>
      <c r="AF1126">
        <v>0</v>
      </c>
      <c r="AG1126" s="78" t="s">
        <v>4639</v>
      </c>
      <c r="AH1126" t="b">
        <v>0</v>
      </c>
      <c r="AI1126" t="s">
        <v>4829</v>
      </c>
      <c r="AK1126" s="78" t="s">
        <v>4640</v>
      </c>
      <c r="AL1126" t="b">
        <v>0</v>
      </c>
      <c r="AM1126">
        <v>0</v>
      </c>
      <c r="AN1126" s="78" t="s">
        <v>4640</v>
      </c>
      <c r="AO1126" s="78" t="s">
        <v>4850</v>
      </c>
      <c r="AP1126" t="b">
        <v>0</v>
      </c>
      <c r="AQ1126" s="78" t="s">
        <v>4495</v>
      </c>
      <c r="AR1126" t="s">
        <v>179</v>
      </c>
      <c r="AS1126">
        <v>0</v>
      </c>
      <c r="AT1126">
        <v>0</v>
      </c>
    </row>
    <row r="1127" spans="1:46" x14ac:dyDescent="0.45">
      <c r="A1127" s="62" t="s">
        <v>709</v>
      </c>
      <c r="B1127" s="62" t="s">
        <v>242</v>
      </c>
      <c r="C1127" s="63"/>
      <c r="D1127" s="64"/>
      <c r="E1127" s="65"/>
      <c r="F1127" s="66"/>
      <c r="G1127" s="63"/>
      <c r="H1127" s="67"/>
      <c r="I1127" s="68"/>
      <c r="J1127" s="68"/>
      <c r="K1127" s="32"/>
      <c r="L1127" s="75"/>
      <c r="M1127" s="75"/>
      <c r="N1127" s="70"/>
      <c r="O1127" t="s">
        <v>1567</v>
      </c>
      <c r="P1127" s="76">
        <v>44958.903136574074</v>
      </c>
      <c r="Q1127" t="s">
        <v>1898</v>
      </c>
      <c r="T1127" s="78" t="s">
        <v>2363</v>
      </c>
      <c r="V1127" s="77" t="str">
        <f>HYPERLINK("https://abs.twimg.com/sticky/default_profile_images/default_profile_normal.png")</f>
        <v>https://abs.twimg.com/sticky/default_profile_images/default_profile_normal.png</v>
      </c>
      <c r="W1127" s="76">
        <v>44958.903136574074</v>
      </c>
      <c r="X1127" s="80">
        <v>44958</v>
      </c>
      <c r="Y1127" s="78" t="s">
        <v>2924</v>
      </c>
      <c r="Z1127" s="77" t="str">
        <f>HYPERLINK("https://twitter.com/chris27678863/status/1620899926447198208")</f>
        <v>https://twitter.com/chris27678863/status/1620899926447198208</v>
      </c>
      <c r="AC1127" s="78" t="s">
        <v>3989</v>
      </c>
      <c r="AD1127" s="78" t="s">
        <v>4495</v>
      </c>
      <c r="AE1127" t="b">
        <v>0</v>
      </c>
      <c r="AF1127">
        <v>0</v>
      </c>
      <c r="AG1127" s="78" t="s">
        <v>4639</v>
      </c>
      <c r="AH1127" t="b">
        <v>0</v>
      </c>
      <c r="AI1127" t="s">
        <v>4829</v>
      </c>
      <c r="AK1127" s="78" t="s">
        <v>4640</v>
      </c>
      <c r="AL1127" t="b">
        <v>0</v>
      </c>
      <c r="AM1127">
        <v>0</v>
      </c>
      <c r="AN1127" s="78" t="s">
        <v>4640</v>
      </c>
      <c r="AO1127" s="78" t="s">
        <v>4850</v>
      </c>
      <c r="AP1127" t="b">
        <v>0</v>
      </c>
      <c r="AQ1127" s="78" t="s">
        <v>4495</v>
      </c>
      <c r="AR1127" t="s">
        <v>179</v>
      </c>
      <c r="AS1127">
        <v>0</v>
      </c>
      <c r="AT1127">
        <v>0</v>
      </c>
    </row>
    <row r="1128" spans="1:46" x14ac:dyDescent="0.45">
      <c r="A1128" s="62" t="s">
        <v>709</v>
      </c>
      <c r="B1128" s="62" t="s">
        <v>1230</v>
      </c>
      <c r="C1128" s="63"/>
      <c r="D1128" s="64"/>
      <c r="E1128" s="65"/>
      <c r="F1128" s="66"/>
      <c r="G1128" s="63"/>
      <c r="H1128" s="67"/>
      <c r="I1128" s="68"/>
      <c r="J1128" s="68"/>
      <c r="K1128" s="32"/>
      <c r="L1128" s="75"/>
      <c r="M1128" s="75"/>
      <c r="N1128" s="70"/>
      <c r="O1128" t="s">
        <v>1568</v>
      </c>
      <c r="P1128" s="76">
        <v>44958.772037037037</v>
      </c>
      <c r="Q1128" t="s">
        <v>1895</v>
      </c>
      <c r="T1128" s="78" t="s">
        <v>2364</v>
      </c>
      <c r="V1128" s="77" t="str">
        <f>HYPERLINK("https://abs.twimg.com/sticky/default_profile_images/default_profile_normal.png")</f>
        <v>https://abs.twimg.com/sticky/default_profile_images/default_profile_normal.png</v>
      </c>
      <c r="W1128" s="76">
        <v>44958.772037037037</v>
      </c>
      <c r="X1128" s="80">
        <v>44958</v>
      </c>
      <c r="Y1128" s="78" t="s">
        <v>2921</v>
      </c>
      <c r="Z1128" s="77" t="str">
        <f>HYPERLINK("https://twitter.com/chris27678863/status/1620852416584486913")</f>
        <v>https://twitter.com/chris27678863/status/1620852416584486913</v>
      </c>
      <c r="AC1128" s="78" t="s">
        <v>3986</v>
      </c>
      <c r="AD1128" s="78" t="s">
        <v>4473</v>
      </c>
      <c r="AE1128" t="b">
        <v>0</v>
      </c>
      <c r="AF1128">
        <v>0</v>
      </c>
      <c r="AG1128" s="78" t="s">
        <v>4639</v>
      </c>
      <c r="AH1128" t="b">
        <v>0</v>
      </c>
      <c r="AI1128" t="s">
        <v>4829</v>
      </c>
      <c r="AK1128" s="78" t="s">
        <v>4640</v>
      </c>
      <c r="AL1128" t="b">
        <v>0</v>
      </c>
      <c r="AM1128">
        <v>0</v>
      </c>
      <c r="AN1128" s="78" t="s">
        <v>4640</v>
      </c>
      <c r="AO1128" s="78" t="s">
        <v>4850</v>
      </c>
      <c r="AP1128" t="b">
        <v>0</v>
      </c>
      <c r="AQ1128" s="78" t="s">
        <v>4473</v>
      </c>
      <c r="AR1128" t="s">
        <v>179</v>
      </c>
      <c r="AS1128">
        <v>0</v>
      </c>
      <c r="AT1128">
        <v>0</v>
      </c>
    </row>
    <row r="1129" spans="1:46" x14ac:dyDescent="0.45">
      <c r="A1129" s="62" t="s">
        <v>709</v>
      </c>
      <c r="B1129" s="62" t="s">
        <v>242</v>
      </c>
      <c r="C1129" s="63"/>
      <c r="D1129" s="64"/>
      <c r="E1129" s="65"/>
      <c r="F1129" s="66"/>
      <c r="G1129" s="63"/>
      <c r="H1129" s="67"/>
      <c r="I1129" s="68"/>
      <c r="J1129" s="68"/>
      <c r="K1129" s="32"/>
      <c r="L1129" s="75"/>
      <c r="M1129" s="75"/>
      <c r="N1129" s="70"/>
      <c r="O1129" t="s">
        <v>1567</v>
      </c>
      <c r="P1129" s="76">
        <v>44958.772037037037</v>
      </c>
      <c r="Q1129" t="s">
        <v>1895</v>
      </c>
      <c r="T1129" s="78" t="s">
        <v>2364</v>
      </c>
      <c r="V1129" s="77" t="str">
        <f>HYPERLINK("https://abs.twimg.com/sticky/default_profile_images/default_profile_normal.png")</f>
        <v>https://abs.twimg.com/sticky/default_profile_images/default_profile_normal.png</v>
      </c>
      <c r="W1129" s="76">
        <v>44958.772037037037</v>
      </c>
      <c r="X1129" s="80">
        <v>44958</v>
      </c>
      <c r="Y1129" s="78" t="s">
        <v>2921</v>
      </c>
      <c r="Z1129" s="77" t="str">
        <f>HYPERLINK("https://twitter.com/chris27678863/status/1620852416584486913")</f>
        <v>https://twitter.com/chris27678863/status/1620852416584486913</v>
      </c>
      <c r="AC1129" s="78" t="s">
        <v>3986</v>
      </c>
      <c r="AD1129" s="78" t="s">
        <v>4473</v>
      </c>
      <c r="AE1129" t="b">
        <v>0</v>
      </c>
      <c r="AF1129">
        <v>0</v>
      </c>
      <c r="AG1129" s="78" t="s">
        <v>4639</v>
      </c>
      <c r="AH1129" t="b">
        <v>0</v>
      </c>
      <c r="AI1129" t="s">
        <v>4829</v>
      </c>
      <c r="AK1129" s="78" t="s">
        <v>4640</v>
      </c>
      <c r="AL1129" t="b">
        <v>0</v>
      </c>
      <c r="AM1129">
        <v>0</v>
      </c>
      <c r="AN1129" s="78" t="s">
        <v>4640</v>
      </c>
      <c r="AO1129" s="78" t="s">
        <v>4850</v>
      </c>
      <c r="AP1129" t="b">
        <v>0</v>
      </c>
      <c r="AQ1129" s="78" t="s">
        <v>4473</v>
      </c>
      <c r="AR1129" t="s">
        <v>179</v>
      </c>
      <c r="AS1129">
        <v>0</v>
      </c>
      <c r="AT1129">
        <v>0</v>
      </c>
    </row>
    <row r="1130" spans="1:46" x14ac:dyDescent="0.45">
      <c r="A1130" s="62" t="s">
        <v>934</v>
      </c>
      <c r="B1130" s="62" t="s">
        <v>1443</v>
      </c>
      <c r="C1130" s="63"/>
      <c r="D1130" s="64"/>
      <c r="E1130" s="65"/>
      <c r="F1130" s="66"/>
      <c r="G1130" s="63"/>
      <c r="H1130" s="67"/>
      <c r="I1130" s="68"/>
      <c r="J1130" s="68"/>
      <c r="K1130" s="32"/>
      <c r="L1130" s="75"/>
      <c r="M1130" s="75"/>
      <c r="N1130" s="70"/>
      <c r="O1130" t="s">
        <v>1568</v>
      </c>
      <c r="P1130" s="76">
        <v>44959.154328703706</v>
      </c>
      <c r="Q1130" t="s">
        <v>2092</v>
      </c>
      <c r="T1130" s="78" t="s">
        <v>2399</v>
      </c>
      <c r="V1130" s="77" t="str">
        <f>HYPERLINK("https://pbs.twimg.com/profile_images/1598787072675807233/rxYucdn0_normal.jpg")</f>
        <v>https://pbs.twimg.com/profile_images/1598787072675807233/rxYucdn0_normal.jpg</v>
      </c>
      <c r="W1130" s="76">
        <v>44959.154328703706</v>
      </c>
      <c r="X1130" s="80">
        <v>44959</v>
      </c>
      <c r="Y1130" s="78" t="s">
        <v>3202</v>
      </c>
      <c r="Z1130" s="77" t="str">
        <f>HYPERLINK("https://twitter.com/xzr56/status/1620990954139451393")</f>
        <v>https://twitter.com/xzr56/status/1620990954139451393</v>
      </c>
      <c r="AC1130" s="78" t="s">
        <v>4267</v>
      </c>
      <c r="AD1130" s="78" t="s">
        <v>4596</v>
      </c>
      <c r="AE1130" t="b">
        <v>0</v>
      </c>
      <c r="AF1130">
        <v>0</v>
      </c>
      <c r="AG1130" s="78" t="s">
        <v>4771</v>
      </c>
      <c r="AH1130" t="b">
        <v>0</v>
      </c>
      <c r="AI1130" t="s">
        <v>4829</v>
      </c>
      <c r="AK1130" s="78" t="s">
        <v>4640</v>
      </c>
      <c r="AL1130" t="b">
        <v>0</v>
      </c>
      <c r="AM1130">
        <v>0</v>
      </c>
      <c r="AN1130" s="78" t="s">
        <v>4640</v>
      </c>
      <c r="AO1130" s="78" t="s">
        <v>4851</v>
      </c>
      <c r="AP1130" t="b">
        <v>0</v>
      </c>
      <c r="AQ1130" s="78" t="s">
        <v>4596</v>
      </c>
      <c r="AR1130" t="s">
        <v>179</v>
      </c>
      <c r="AS1130">
        <v>0</v>
      </c>
      <c r="AT1130">
        <v>0</v>
      </c>
    </row>
    <row r="1131" spans="1:46" x14ac:dyDescent="0.45">
      <c r="A1131" s="62" t="s">
        <v>934</v>
      </c>
      <c r="B1131" s="62" t="s">
        <v>1444</v>
      </c>
      <c r="C1131" s="63"/>
      <c r="D1131" s="64"/>
      <c r="E1131" s="65"/>
      <c r="F1131" s="66"/>
      <c r="G1131" s="63"/>
      <c r="H1131" s="67"/>
      <c r="I1131" s="68"/>
      <c r="J1131" s="68"/>
      <c r="K1131" s="32"/>
      <c r="L1131" s="75"/>
      <c r="M1131" s="75"/>
      <c r="N1131" s="70"/>
      <c r="O1131" t="s">
        <v>1568</v>
      </c>
      <c r="P1131" s="76">
        <v>44959.154328703706</v>
      </c>
      <c r="Q1131" t="s">
        <v>2092</v>
      </c>
      <c r="T1131" s="78" t="s">
        <v>2399</v>
      </c>
      <c r="V1131" s="77" t="str">
        <f>HYPERLINK("https://pbs.twimg.com/profile_images/1598787072675807233/rxYucdn0_normal.jpg")</f>
        <v>https://pbs.twimg.com/profile_images/1598787072675807233/rxYucdn0_normal.jpg</v>
      </c>
      <c r="W1131" s="76">
        <v>44959.154328703706</v>
      </c>
      <c r="X1131" s="80">
        <v>44959</v>
      </c>
      <c r="Y1131" s="78" t="s">
        <v>3202</v>
      </c>
      <c r="Z1131" s="77" t="str">
        <f>HYPERLINK("https://twitter.com/xzr56/status/1620990954139451393")</f>
        <v>https://twitter.com/xzr56/status/1620990954139451393</v>
      </c>
      <c r="AC1131" s="78" t="s">
        <v>4267</v>
      </c>
      <c r="AD1131" s="78" t="s">
        <v>4596</v>
      </c>
      <c r="AE1131" t="b">
        <v>0</v>
      </c>
      <c r="AF1131">
        <v>0</v>
      </c>
      <c r="AG1131" s="78" t="s">
        <v>4771</v>
      </c>
      <c r="AH1131" t="b">
        <v>0</v>
      </c>
      <c r="AI1131" t="s">
        <v>4829</v>
      </c>
      <c r="AK1131" s="78" t="s">
        <v>4640</v>
      </c>
      <c r="AL1131" t="b">
        <v>0</v>
      </c>
      <c r="AM1131">
        <v>0</v>
      </c>
      <c r="AN1131" s="78" t="s">
        <v>4640</v>
      </c>
      <c r="AO1131" s="78" t="s">
        <v>4851</v>
      </c>
      <c r="AP1131" t="b">
        <v>0</v>
      </c>
      <c r="AQ1131" s="78" t="s">
        <v>4596</v>
      </c>
      <c r="AR1131" t="s">
        <v>179</v>
      </c>
      <c r="AS1131">
        <v>0</v>
      </c>
      <c r="AT1131">
        <v>0</v>
      </c>
    </row>
    <row r="1132" spans="1:46" x14ac:dyDescent="0.45">
      <c r="A1132" s="62" t="s">
        <v>934</v>
      </c>
      <c r="B1132" s="62" t="s">
        <v>1445</v>
      </c>
      <c r="C1132" s="63"/>
      <c r="D1132" s="64"/>
      <c r="E1132" s="65"/>
      <c r="F1132" s="66"/>
      <c r="G1132" s="63"/>
      <c r="H1132" s="67"/>
      <c r="I1132" s="68"/>
      <c r="J1132" s="68"/>
      <c r="K1132" s="32"/>
      <c r="L1132" s="75"/>
      <c r="M1132" s="75"/>
      <c r="N1132" s="70"/>
      <c r="O1132" t="s">
        <v>1568</v>
      </c>
      <c r="P1132" s="76">
        <v>44959.154328703706</v>
      </c>
      <c r="Q1132" t="s">
        <v>2092</v>
      </c>
      <c r="T1132" s="78" t="s">
        <v>2399</v>
      </c>
      <c r="V1132" s="77" t="str">
        <f>HYPERLINK("https://pbs.twimg.com/profile_images/1598787072675807233/rxYucdn0_normal.jpg")</f>
        <v>https://pbs.twimg.com/profile_images/1598787072675807233/rxYucdn0_normal.jpg</v>
      </c>
      <c r="W1132" s="76">
        <v>44959.154328703706</v>
      </c>
      <c r="X1132" s="80">
        <v>44959</v>
      </c>
      <c r="Y1132" s="78" t="s">
        <v>3202</v>
      </c>
      <c r="Z1132" s="77" t="str">
        <f>HYPERLINK("https://twitter.com/xzr56/status/1620990954139451393")</f>
        <v>https://twitter.com/xzr56/status/1620990954139451393</v>
      </c>
      <c r="AC1132" s="78" t="s">
        <v>4267</v>
      </c>
      <c r="AD1132" s="78" t="s">
        <v>4596</v>
      </c>
      <c r="AE1132" t="b">
        <v>0</v>
      </c>
      <c r="AF1132">
        <v>0</v>
      </c>
      <c r="AG1132" s="78" t="s">
        <v>4771</v>
      </c>
      <c r="AH1132" t="b">
        <v>0</v>
      </c>
      <c r="AI1132" t="s">
        <v>4829</v>
      </c>
      <c r="AK1132" s="78" t="s">
        <v>4640</v>
      </c>
      <c r="AL1132" t="b">
        <v>0</v>
      </c>
      <c r="AM1132">
        <v>0</v>
      </c>
      <c r="AN1132" s="78" t="s">
        <v>4640</v>
      </c>
      <c r="AO1132" s="78" t="s">
        <v>4851</v>
      </c>
      <c r="AP1132" t="b">
        <v>0</v>
      </c>
      <c r="AQ1132" s="78" t="s">
        <v>4596</v>
      </c>
      <c r="AR1132" t="s">
        <v>179</v>
      </c>
      <c r="AS1132">
        <v>0</v>
      </c>
      <c r="AT1132">
        <v>0</v>
      </c>
    </row>
    <row r="1133" spans="1:46" x14ac:dyDescent="0.45">
      <c r="A1133" s="62" t="s">
        <v>934</v>
      </c>
      <c r="B1133" s="62" t="s">
        <v>1446</v>
      </c>
      <c r="C1133" s="63"/>
      <c r="D1133" s="64"/>
      <c r="E1133" s="65"/>
      <c r="F1133" s="66"/>
      <c r="G1133" s="63"/>
      <c r="H1133" s="67"/>
      <c r="I1133" s="68"/>
      <c r="J1133" s="68"/>
      <c r="K1133" s="32"/>
      <c r="L1133" s="75"/>
      <c r="M1133" s="75"/>
      <c r="N1133" s="70"/>
      <c r="O1133" t="s">
        <v>1567</v>
      </c>
      <c r="P1133" s="76">
        <v>44959.154328703706</v>
      </c>
      <c r="Q1133" t="s">
        <v>2092</v>
      </c>
      <c r="T1133" s="78" t="s">
        <v>2399</v>
      </c>
      <c r="V1133" s="77" t="str">
        <f>HYPERLINK("https://pbs.twimg.com/profile_images/1598787072675807233/rxYucdn0_normal.jpg")</f>
        <v>https://pbs.twimg.com/profile_images/1598787072675807233/rxYucdn0_normal.jpg</v>
      </c>
      <c r="W1133" s="76">
        <v>44959.154328703706</v>
      </c>
      <c r="X1133" s="80">
        <v>44959</v>
      </c>
      <c r="Y1133" s="78" t="s">
        <v>3202</v>
      </c>
      <c r="Z1133" s="77" t="str">
        <f>HYPERLINK("https://twitter.com/xzr56/status/1620990954139451393")</f>
        <v>https://twitter.com/xzr56/status/1620990954139451393</v>
      </c>
      <c r="AC1133" s="78" t="s">
        <v>4267</v>
      </c>
      <c r="AD1133" s="78" t="s">
        <v>4596</v>
      </c>
      <c r="AE1133" t="b">
        <v>0</v>
      </c>
      <c r="AF1133">
        <v>0</v>
      </c>
      <c r="AG1133" s="78" t="s">
        <v>4771</v>
      </c>
      <c r="AH1133" t="b">
        <v>0</v>
      </c>
      <c r="AI1133" t="s">
        <v>4829</v>
      </c>
      <c r="AK1133" s="78" t="s">
        <v>4640</v>
      </c>
      <c r="AL1133" t="b">
        <v>0</v>
      </c>
      <c r="AM1133">
        <v>0</v>
      </c>
      <c r="AN1133" s="78" t="s">
        <v>4640</v>
      </c>
      <c r="AO1133" s="78" t="s">
        <v>4851</v>
      </c>
      <c r="AP1133" t="b">
        <v>0</v>
      </c>
      <c r="AQ1133" s="78" t="s">
        <v>4596</v>
      </c>
      <c r="AR1133" t="s">
        <v>179</v>
      </c>
      <c r="AS1133">
        <v>0</v>
      </c>
      <c r="AT1133">
        <v>0</v>
      </c>
    </row>
    <row r="1134" spans="1:46" x14ac:dyDescent="0.45">
      <c r="A1134" s="62" t="s">
        <v>934</v>
      </c>
      <c r="B1134" s="62" t="s">
        <v>242</v>
      </c>
      <c r="C1134" s="63"/>
      <c r="D1134" s="64"/>
      <c r="E1134" s="65"/>
      <c r="F1134" s="66"/>
      <c r="G1134" s="63"/>
      <c r="H1134" s="67"/>
      <c r="I1134" s="68"/>
      <c r="J1134" s="68"/>
      <c r="K1134" s="32"/>
      <c r="L1134" s="75"/>
      <c r="M1134" s="75"/>
      <c r="N1134" s="70"/>
      <c r="O1134" t="s">
        <v>1568</v>
      </c>
      <c r="P1134" s="76">
        <v>44959.154328703706</v>
      </c>
      <c r="Q1134" t="s">
        <v>2092</v>
      </c>
      <c r="T1134" s="78" t="s">
        <v>2399</v>
      </c>
      <c r="V1134" s="77" t="str">
        <f>HYPERLINK("https://pbs.twimg.com/profile_images/1598787072675807233/rxYucdn0_normal.jpg")</f>
        <v>https://pbs.twimg.com/profile_images/1598787072675807233/rxYucdn0_normal.jpg</v>
      </c>
      <c r="W1134" s="76">
        <v>44959.154328703706</v>
      </c>
      <c r="X1134" s="80">
        <v>44959</v>
      </c>
      <c r="Y1134" s="78" t="s">
        <v>3202</v>
      </c>
      <c r="Z1134" s="77" t="str">
        <f>HYPERLINK("https://twitter.com/xzr56/status/1620990954139451393")</f>
        <v>https://twitter.com/xzr56/status/1620990954139451393</v>
      </c>
      <c r="AC1134" s="78" t="s">
        <v>4267</v>
      </c>
      <c r="AD1134" s="78" t="s">
        <v>4596</v>
      </c>
      <c r="AE1134" t="b">
        <v>0</v>
      </c>
      <c r="AF1134">
        <v>0</v>
      </c>
      <c r="AG1134" s="78" t="s">
        <v>4771</v>
      </c>
      <c r="AH1134" t="b">
        <v>0</v>
      </c>
      <c r="AI1134" t="s">
        <v>4829</v>
      </c>
      <c r="AK1134" s="78" t="s">
        <v>4640</v>
      </c>
      <c r="AL1134" t="b">
        <v>0</v>
      </c>
      <c r="AM1134">
        <v>0</v>
      </c>
      <c r="AN1134" s="78" t="s">
        <v>4640</v>
      </c>
      <c r="AO1134" s="78" t="s">
        <v>4851</v>
      </c>
      <c r="AP1134" t="b">
        <v>0</v>
      </c>
      <c r="AQ1134" s="78" t="s">
        <v>4596</v>
      </c>
      <c r="AR1134" t="s">
        <v>179</v>
      </c>
      <c r="AS1134">
        <v>0</v>
      </c>
      <c r="AT1134">
        <v>0</v>
      </c>
    </row>
    <row r="1135" spans="1:46" x14ac:dyDescent="0.45">
      <c r="A1135" s="62" t="s">
        <v>934</v>
      </c>
      <c r="B1135" s="62" t="s">
        <v>1267</v>
      </c>
      <c r="C1135" s="63"/>
      <c r="D1135" s="64"/>
      <c r="E1135" s="65"/>
      <c r="F1135" s="66"/>
      <c r="G1135" s="63"/>
      <c r="H1135" s="67"/>
      <c r="I1135" s="68"/>
      <c r="J1135" s="68"/>
      <c r="K1135" s="32"/>
      <c r="L1135" s="75"/>
      <c r="M1135" s="75"/>
      <c r="N1135" s="70"/>
      <c r="O1135" t="s">
        <v>1568</v>
      </c>
      <c r="P1135" s="76">
        <v>44959.154328703706</v>
      </c>
      <c r="Q1135" t="s">
        <v>2092</v>
      </c>
      <c r="T1135" s="78" t="s">
        <v>2399</v>
      </c>
      <c r="V1135" s="77" t="str">
        <f>HYPERLINK("https://pbs.twimg.com/profile_images/1598787072675807233/rxYucdn0_normal.jpg")</f>
        <v>https://pbs.twimg.com/profile_images/1598787072675807233/rxYucdn0_normal.jpg</v>
      </c>
      <c r="W1135" s="76">
        <v>44959.154328703706</v>
      </c>
      <c r="X1135" s="80">
        <v>44959</v>
      </c>
      <c r="Y1135" s="78" t="s">
        <v>3202</v>
      </c>
      <c r="Z1135" s="77" t="str">
        <f>HYPERLINK("https://twitter.com/xzr56/status/1620990954139451393")</f>
        <v>https://twitter.com/xzr56/status/1620990954139451393</v>
      </c>
      <c r="AC1135" s="78" t="s">
        <v>4267</v>
      </c>
      <c r="AD1135" s="78" t="s">
        <v>4596</v>
      </c>
      <c r="AE1135" t="b">
        <v>0</v>
      </c>
      <c r="AF1135">
        <v>0</v>
      </c>
      <c r="AG1135" s="78" t="s">
        <v>4771</v>
      </c>
      <c r="AH1135" t="b">
        <v>0</v>
      </c>
      <c r="AI1135" t="s">
        <v>4829</v>
      </c>
      <c r="AK1135" s="78" t="s">
        <v>4640</v>
      </c>
      <c r="AL1135" t="b">
        <v>0</v>
      </c>
      <c r="AM1135">
        <v>0</v>
      </c>
      <c r="AN1135" s="78" t="s">
        <v>4640</v>
      </c>
      <c r="AO1135" s="78" t="s">
        <v>4851</v>
      </c>
      <c r="AP1135" t="b">
        <v>0</v>
      </c>
      <c r="AQ1135" s="78" t="s">
        <v>4596</v>
      </c>
      <c r="AR1135" t="s">
        <v>179</v>
      </c>
      <c r="AS1135">
        <v>0</v>
      </c>
      <c r="AT1135">
        <v>0</v>
      </c>
    </row>
    <row r="1136" spans="1:46" x14ac:dyDescent="0.45">
      <c r="A1136" s="62" t="s">
        <v>404</v>
      </c>
      <c r="B1136" s="62" t="s">
        <v>242</v>
      </c>
      <c r="C1136" s="63"/>
      <c r="D1136" s="64"/>
      <c r="E1136" s="65"/>
      <c r="F1136" s="66"/>
      <c r="G1136" s="63"/>
      <c r="H1136" s="67"/>
      <c r="I1136" s="68"/>
      <c r="J1136" s="68"/>
      <c r="K1136" s="32"/>
      <c r="L1136" s="75"/>
      <c r="M1136" s="75"/>
      <c r="N1136" s="70"/>
      <c r="O1136" t="s">
        <v>1568</v>
      </c>
      <c r="P1136" s="76">
        <v>44958.706342592595</v>
      </c>
      <c r="Q1136" t="s">
        <v>1734</v>
      </c>
      <c r="T1136" s="78" t="s">
        <v>2339</v>
      </c>
      <c r="V1136" s="77" t="str">
        <f>HYPERLINK("https://pbs.twimg.com/profile_images/1591501390873997312/RxgHmOqa_normal.jpg")</f>
        <v>https://pbs.twimg.com/profile_images/1591501390873997312/RxgHmOqa_normal.jpg</v>
      </c>
      <c r="W1136" s="76">
        <v>44958.706342592595</v>
      </c>
      <c r="X1136" s="80">
        <v>44958</v>
      </c>
      <c r="Y1136" s="78" t="s">
        <v>2633</v>
      </c>
      <c r="Z1136" s="77" t="str">
        <f>HYPERLINK("https://twitter.com/michaelgoligh20/status/1620828607001284609")</f>
        <v>https://twitter.com/michaelgoligh20/status/1620828607001284609</v>
      </c>
      <c r="AC1136" s="78" t="s">
        <v>3650</v>
      </c>
      <c r="AD1136" s="78" t="s">
        <v>4279</v>
      </c>
      <c r="AE1136" t="b">
        <v>0</v>
      </c>
      <c r="AF1136">
        <v>2</v>
      </c>
      <c r="AG1136" s="78" t="s">
        <v>4689</v>
      </c>
      <c r="AH1136" t="b">
        <v>0</v>
      </c>
      <c r="AI1136" t="s">
        <v>4829</v>
      </c>
      <c r="AK1136" s="78" t="s">
        <v>4640</v>
      </c>
      <c r="AL1136" t="b">
        <v>0</v>
      </c>
      <c r="AM1136">
        <v>0</v>
      </c>
      <c r="AN1136" s="78" t="s">
        <v>4640</v>
      </c>
      <c r="AO1136" s="78" t="s">
        <v>4849</v>
      </c>
      <c r="AP1136" t="b">
        <v>0</v>
      </c>
      <c r="AQ1136" s="78" t="s">
        <v>4279</v>
      </c>
      <c r="AR1136" t="s">
        <v>179</v>
      </c>
      <c r="AS1136">
        <v>0</v>
      </c>
      <c r="AT1136">
        <v>0</v>
      </c>
    </row>
    <row r="1137" spans="1:46" x14ac:dyDescent="0.45">
      <c r="A1137" s="62" t="s">
        <v>404</v>
      </c>
      <c r="B1137" s="62" t="s">
        <v>942</v>
      </c>
      <c r="C1137" s="63"/>
      <c r="D1137" s="64"/>
      <c r="E1137" s="65"/>
      <c r="F1137" s="66"/>
      <c r="G1137" s="63"/>
      <c r="H1137" s="67"/>
      <c r="I1137" s="68"/>
      <c r="J1137" s="68"/>
      <c r="K1137" s="32"/>
      <c r="L1137" s="75"/>
      <c r="M1137" s="75"/>
      <c r="N1137" s="70"/>
      <c r="O1137" t="s">
        <v>1567</v>
      </c>
      <c r="P1137" s="76">
        <v>44958.706342592595</v>
      </c>
      <c r="Q1137" t="s">
        <v>1734</v>
      </c>
      <c r="T1137" s="78" t="s">
        <v>2339</v>
      </c>
      <c r="V1137" s="77" t="str">
        <f>HYPERLINK("https://pbs.twimg.com/profile_images/1591501390873997312/RxgHmOqa_normal.jpg")</f>
        <v>https://pbs.twimg.com/profile_images/1591501390873997312/RxgHmOqa_normal.jpg</v>
      </c>
      <c r="W1137" s="76">
        <v>44958.706342592595</v>
      </c>
      <c r="X1137" s="80">
        <v>44958</v>
      </c>
      <c r="Y1137" s="78" t="s">
        <v>2633</v>
      </c>
      <c r="Z1137" s="77" t="str">
        <f>HYPERLINK("https://twitter.com/michaelgoligh20/status/1620828607001284609")</f>
        <v>https://twitter.com/michaelgoligh20/status/1620828607001284609</v>
      </c>
      <c r="AC1137" s="78" t="s">
        <v>3650</v>
      </c>
      <c r="AD1137" s="78" t="s">
        <v>4279</v>
      </c>
      <c r="AE1137" t="b">
        <v>0</v>
      </c>
      <c r="AF1137">
        <v>2</v>
      </c>
      <c r="AG1137" s="78" t="s">
        <v>4689</v>
      </c>
      <c r="AH1137" t="b">
        <v>0</v>
      </c>
      <c r="AI1137" t="s">
        <v>4829</v>
      </c>
      <c r="AK1137" s="78" t="s">
        <v>4640</v>
      </c>
      <c r="AL1137" t="b">
        <v>0</v>
      </c>
      <c r="AM1137">
        <v>0</v>
      </c>
      <c r="AN1137" s="78" t="s">
        <v>4640</v>
      </c>
      <c r="AO1137" s="78" t="s">
        <v>4849</v>
      </c>
      <c r="AP1137" t="b">
        <v>0</v>
      </c>
      <c r="AQ1137" s="78" t="s">
        <v>4279</v>
      </c>
      <c r="AR1137" t="s">
        <v>179</v>
      </c>
      <c r="AS1137">
        <v>0</v>
      </c>
      <c r="AT1137">
        <v>0</v>
      </c>
    </row>
    <row r="1138" spans="1:46" x14ac:dyDescent="0.45">
      <c r="A1138" s="62" t="s">
        <v>242</v>
      </c>
      <c r="B1138" s="62" t="s">
        <v>242</v>
      </c>
      <c r="C1138" s="63"/>
      <c r="D1138" s="64"/>
      <c r="E1138" s="65"/>
      <c r="F1138" s="66"/>
      <c r="G1138" s="63"/>
      <c r="H1138" s="67"/>
      <c r="I1138" s="68"/>
      <c r="J1138" s="68"/>
      <c r="K1138" s="32"/>
      <c r="L1138" s="75"/>
      <c r="M1138" s="75"/>
      <c r="N1138" s="70"/>
      <c r="O1138" t="s">
        <v>179</v>
      </c>
      <c r="P1138" s="76">
        <v>44895.583414351851</v>
      </c>
      <c r="Q1138" t="s">
        <v>1850</v>
      </c>
      <c r="U1138" s="77" t="str">
        <f>HYPERLINK("https://pbs.twimg.com/amplify_video_thumb/1596245993267281921/img/04pXU6cXKD4D8lYr.jpg")</f>
        <v>https://pbs.twimg.com/amplify_video_thumb/1596245993267281921/img/04pXU6cXKD4D8lYr.jpg</v>
      </c>
      <c r="V1138" s="77" t="str">
        <f>HYPERLINK("https://pbs.twimg.com/amplify_video_thumb/1596245993267281921/img/04pXU6cXKD4D8lYr.jpg")</f>
        <v>https://pbs.twimg.com/amplify_video_thumb/1596245993267281921/img/04pXU6cXKD4D8lYr.jpg</v>
      </c>
      <c r="W1138" s="76">
        <v>44895.583414351851</v>
      </c>
      <c r="X1138" s="80">
        <v>44895</v>
      </c>
      <c r="Y1138" s="78" t="s">
        <v>3427</v>
      </c>
      <c r="Z1138" s="77" t="str">
        <f>HYPERLINK("https://twitter.com/walmart/status/1597953626424721408")</f>
        <v>https://twitter.com/walmart/status/1597953626424721408</v>
      </c>
      <c r="AC1138" s="78" t="s">
        <v>4492</v>
      </c>
      <c r="AE1138" t="b">
        <v>0</v>
      </c>
      <c r="AF1138">
        <v>6854</v>
      </c>
      <c r="AG1138" s="78" t="s">
        <v>4640</v>
      </c>
      <c r="AH1138" t="b">
        <v>0</v>
      </c>
      <c r="AI1138" t="s">
        <v>4829</v>
      </c>
      <c r="AK1138" s="78" t="s">
        <v>4640</v>
      </c>
      <c r="AL1138" t="b">
        <v>0</v>
      </c>
      <c r="AM1138">
        <v>685</v>
      </c>
      <c r="AN1138" s="78" t="s">
        <v>4640</v>
      </c>
      <c r="AO1138" s="78" t="s">
        <v>4872</v>
      </c>
      <c r="AP1138" t="b">
        <v>0</v>
      </c>
      <c r="AQ1138" s="78" t="s">
        <v>4492</v>
      </c>
      <c r="AR1138" t="s">
        <v>1569</v>
      </c>
      <c r="AS1138">
        <v>0</v>
      </c>
      <c r="AT1138">
        <v>0</v>
      </c>
    </row>
    <row r="1139" spans="1:46" x14ac:dyDescent="0.45">
      <c r="A1139" s="62" t="s">
        <v>981</v>
      </c>
      <c r="B1139" s="62" t="s">
        <v>242</v>
      </c>
      <c r="C1139" s="63"/>
      <c r="D1139" s="64"/>
      <c r="E1139" s="65"/>
      <c r="F1139" s="66"/>
      <c r="G1139" s="63"/>
      <c r="H1139" s="67"/>
      <c r="I1139" s="68"/>
      <c r="J1139" s="68"/>
      <c r="K1139" s="32"/>
      <c r="L1139" s="75"/>
      <c r="M1139" s="75"/>
      <c r="N1139" s="70"/>
      <c r="O1139" t="s">
        <v>1568</v>
      </c>
      <c r="P1139" s="76">
        <v>44952.780543981484</v>
      </c>
      <c r="Q1139" t="s">
        <v>2144</v>
      </c>
      <c r="V1139" s="77" t="str">
        <f>HYPERLINK("https://pbs.twimg.com/profile_images/1617327843221934080/a0DaYGaI_normal.jpg")</f>
        <v>https://pbs.twimg.com/profile_images/1617327843221934080/a0DaYGaI_normal.jpg</v>
      </c>
      <c r="W1139" s="76">
        <v>44952.780543981484</v>
      </c>
      <c r="X1139" s="80">
        <v>44952</v>
      </c>
      <c r="Y1139" s="78" t="s">
        <v>3265</v>
      </c>
      <c r="Z1139" s="77" t="str">
        <f>HYPERLINK("https://twitter.com/seleena6166/status/1618681173106110464")</f>
        <v>https://twitter.com/seleena6166/status/1618681173106110464</v>
      </c>
      <c r="AC1139" s="78" t="s">
        <v>4330</v>
      </c>
      <c r="AD1139" s="78" t="s">
        <v>4608</v>
      </c>
      <c r="AE1139" t="b">
        <v>0</v>
      </c>
      <c r="AF1139">
        <v>2309</v>
      </c>
      <c r="AG1139" s="78" t="s">
        <v>4787</v>
      </c>
      <c r="AH1139" t="b">
        <v>0</v>
      </c>
      <c r="AI1139" t="s">
        <v>4829</v>
      </c>
      <c r="AK1139" s="78" t="s">
        <v>4640</v>
      </c>
      <c r="AL1139" t="b">
        <v>0</v>
      </c>
      <c r="AM1139">
        <v>153</v>
      </c>
      <c r="AN1139" s="78" t="s">
        <v>4640</v>
      </c>
      <c r="AO1139" s="78" t="s">
        <v>4849</v>
      </c>
      <c r="AP1139" t="b">
        <v>0</v>
      </c>
      <c r="AQ1139" s="78" t="s">
        <v>4608</v>
      </c>
      <c r="AR1139" t="s">
        <v>1569</v>
      </c>
      <c r="AS1139">
        <v>0</v>
      </c>
      <c r="AT1139">
        <v>0</v>
      </c>
    </row>
    <row r="1140" spans="1:46" x14ac:dyDescent="0.45">
      <c r="A1140" s="62" t="s">
        <v>981</v>
      </c>
      <c r="B1140" s="62" t="s">
        <v>1181</v>
      </c>
      <c r="C1140" s="63"/>
      <c r="D1140" s="64"/>
      <c r="E1140" s="65"/>
      <c r="F1140" s="66"/>
      <c r="G1140" s="63"/>
      <c r="H1140" s="67"/>
      <c r="I1140" s="68"/>
      <c r="J1140" s="68"/>
      <c r="K1140" s="32"/>
      <c r="L1140" s="75"/>
      <c r="M1140" s="75"/>
      <c r="N1140" s="70"/>
      <c r="O1140" t="s">
        <v>1568</v>
      </c>
      <c r="P1140" s="76">
        <v>44952.780543981484</v>
      </c>
      <c r="Q1140" t="s">
        <v>2144</v>
      </c>
      <c r="V1140" s="77" t="str">
        <f>HYPERLINK("https://pbs.twimg.com/profile_images/1617327843221934080/a0DaYGaI_normal.jpg")</f>
        <v>https://pbs.twimg.com/profile_images/1617327843221934080/a0DaYGaI_normal.jpg</v>
      </c>
      <c r="W1140" s="76">
        <v>44952.780543981484</v>
      </c>
      <c r="X1140" s="80">
        <v>44952</v>
      </c>
      <c r="Y1140" s="78" t="s">
        <v>3265</v>
      </c>
      <c r="Z1140" s="77" t="str">
        <f>HYPERLINK("https://twitter.com/seleena6166/status/1618681173106110464")</f>
        <v>https://twitter.com/seleena6166/status/1618681173106110464</v>
      </c>
      <c r="AC1140" s="78" t="s">
        <v>4330</v>
      </c>
      <c r="AD1140" s="78" t="s">
        <v>4608</v>
      </c>
      <c r="AE1140" t="b">
        <v>0</v>
      </c>
      <c r="AF1140">
        <v>2309</v>
      </c>
      <c r="AG1140" s="78" t="s">
        <v>4787</v>
      </c>
      <c r="AH1140" t="b">
        <v>0</v>
      </c>
      <c r="AI1140" t="s">
        <v>4829</v>
      </c>
      <c r="AK1140" s="78" t="s">
        <v>4640</v>
      </c>
      <c r="AL1140" t="b">
        <v>0</v>
      </c>
      <c r="AM1140">
        <v>153</v>
      </c>
      <c r="AN1140" s="78" t="s">
        <v>4640</v>
      </c>
      <c r="AO1140" s="78" t="s">
        <v>4849</v>
      </c>
      <c r="AP1140" t="b">
        <v>0</v>
      </c>
      <c r="AQ1140" s="78" t="s">
        <v>4608</v>
      </c>
      <c r="AR1140" t="s">
        <v>1569</v>
      </c>
      <c r="AS1140">
        <v>0</v>
      </c>
      <c r="AT1140">
        <v>0</v>
      </c>
    </row>
    <row r="1141" spans="1:46" x14ac:dyDescent="0.45">
      <c r="A1141" s="62" t="s">
        <v>242</v>
      </c>
      <c r="B1141" s="62" t="s">
        <v>242</v>
      </c>
      <c r="C1141" s="63"/>
      <c r="D1141" s="64"/>
      <c r="E1141" s="65"/>
      <c r="F1141" s="66"/>
      <c r="G1141" s="63"/>
      <c r="H1141" s="67"/>
      <c r="I1141" s="68"/>
      <c r="J1141" s="68"/>
      <c r="K1141" s="32"/>
      <c r="L1141" s="75"/>
      <c r="M1141" s="75"/>
      <c r="N1141" s="70"/>
      <c r="O1141" t="s">
        <v>179</v>
      </c>
      <c r="P1141" s="76">
        <v>44913.71471064815</v>
      </c>
      <c r="Q1141" t="s">
        <v>1575</v>
      </c>
      <c r="V1141" s="77" t="str">
        <f>HYPERLINK("https://pbs.twimg.com/profile_images/1614031605676253184/n4E7yeWV_normal.jpg")</f>
        <v>https://pbs.twimg.com/profile_images/1614031605676253184/n4E7yeWV_normal.jpg</v>
      </c>
      <c r="W1141" s="76">
        <v>44913.71471064815</v>
      </c>
      <c r="X1141" s="80">
        <v>44913</v>
      </c>
      <c r="Y1141" s="78" t="s">
        <v>3423</v>
      </c>
      <c r="Z1141" s="77" t="str">
        <f>HYPERLINK("https://twitter.com/walmart/status/1604524188877746178")</f>
        <v>https://twitter.com/walmart/status/1604524188877746178</v>
      </c>
      <c r="AC1141" s="78" t="s">
        <v>4488</v>
      </c>
      <c r="AE1141" t="b">
        <v>0</v>
      </c>
      <c r="AF1141">
        <v>742</v>
      </c>
      <c r="AG1141" s="78" t="s">
        <v>4640</v>
      </c>
      <c r="AH1141" t="b">
        <v>0</v>
      </c>
      <c r="AI1141" t="s">
        <v>4829</v>
      </c>
      <c r="AK1141" s="78" t="s">
        <v>4640</v>
      </c>
      <c r="AL1141" t="b">
        <v>0</v>
      </c>
      <c r="AM1141">
        <v>60</v>
      </c>
      <c r="AN1141" s="78" t="s">
        <v>4640</v>
      </c>
      <c r="AO1141" s="78" t="s">
        <v>4851</v>
      </c>
      <c r="AP1141" t="b">
        <v>0</v>
      </c>
      <c r="AQ1141" s="78" t="s">
        <v>4488</v>
      </c>
      <c r="AR1141" t="s">
        <v>1569</v>
      </c>
      <c r="AS1141">
        <v>0</v>
      </c>
      <c r="AT1141">
        <v>0</v>
      </c>
    </row>
    <row r="1142" spans="1:46" x14ac:dyDescent="0.45">
      <c r="A1142" s="62" t="s">
        <v>242</v>
      </c>
      <c r="B1142" s="62" t="s">
        <v>1230</v>
      </c>
      <c r="C1142" s="63"/>
      <c r="D1142" s="64"/>
      <c r="E1142" s="65"/>
      <c r="F1142" s="66"/>
      <c r="G1142" s="63"/>
      <c r="H1142" s="67"/>
      <c r="I1142" s="68"/>
      <c r="J1142" s="68"/>
      <c r="K1142" s="32"/>
      <c r="L1142" s="75"/>
      <c r="M1142" s="75"/>
      <c r="N1142" s="70"/>
      <c r="O1142" t="s">
        <v>1568</v>
      </c>
      <c r="P1142" s="76">
        <v>44958.670300925929</v>
      </c>
      <c r="Q1142" t="s">
        <v>1693</v>
      </c>
      <c r="V1142" s="77" t="str">
        <f>HYPERLINK("https://pbs.twimg.com/profile_images/1614031605676253184/n4E7yeWV_normal.jpg")</f>
        <v>https://pbs.twimg.com/profile_images/1614031605676253184/n4E7yeWV_normal.jpg</v>
      </c>
      <c r="W1142" s="76">
        <v>44958.670300925929</v>
      </c>
      <c r="X1142" s="80">
        <v>44958</v>
      </c>
      <c r="Y1142" s="78" t="s">
        <v>3408</v>
      </c>
      <c r="Z1142" s="77" t="str">
        <f>HYPERLINK("https://twitter.com/walmart/status/1620815549319069697")</f>
        <v>https://twitter.com/walmart/status/1620815549319069697</v>
      </c>
      <c r="AC1142" s="78" t="s">
        <v>4473</v>
      </c>
      <c r="AE1142" t="b">
        <v>0</v>
      </c>
      <c r="AF1142">
        <v>705</v>
      </c>
      <c r="AG1142" s="78" t="s">
        <v>4640</v>
      </c>
      <c r="AH1142" t="b">
        <v>0</v>
      </c>
      <c r="AI1142" t="s">
        <v>4829</v>
      </c>
      <c r="AK1142" s="78" t="s">
        <v>4640</v>
      </c>
      <c r="AL1142" t="b">
        <v>0</v>
      </c>
      <c r="AM1142">
        <v>162</v>
      </c>
      <c r="AN1142" s="78" t="s">
        <v>4640</v>
      </c>
      <c r="AO1142" s="78" t="s">
        <v>4855</v>
      </c>
      <c r="AP1142" t="b">
        <v>0</v>
      </c>
      <c r="AQ1142" s="78" t="s">
        <v>4473</v>
      </c>
      <c r="AR1142" t="s">
        <v>1569</v>
      </c>
      <c r="AS1142">
        <v>0</v>
      </c>
      <c r="AT1142">
        <v>0</v>
      </c>
    </row>
    <row r="1143" spans="1:46" x14ac:dyDescent="0.45">
      <c r="A1143" s="62" t="s">
        <v>242</v>
      </c>
      <c r="B1143" s="62" t="s">
        <v>242</v>
      </c>
      <c r="C1143" s="63"/>
      <c r="D1143" s="64"/>
      <c r="E1143" s="65"/>
      <c r="F1143" s="66"/>
      <c r="G1143" s="63"/>
      <c r="H1143" s="67"/>
      <c r="I1143" s="68"/>
      <c r="J1143" s="68"/>
      <c r="K1143" s="32"/>
      <c r="L1143" s="75"/>
      <c r="M1143" s="75"/>
      <c r="N1143" s="70"/>
      <c r="O1143" t="s">
        <v>179</v>
      </c>
      <c r="P1143" s="76">
        <v>44191.709930555553</v>
      </c>
      <c r="Q1143" t="s">
        <v>1625</v>
      </c>
      <c r="V1143" s="77" t="str">
        <f>HYPERLINK("https://pbs.twimg.com/profile_images/1614031605676253184/n4E7yeWV_normal.jpg")</f>
        <v>https://pbs.twimg.com/profile_images/1614031605676253184/n4E7yeWV_normal.jpg</v>
      </c>
      <c r="W1143" s="76">
        <v>44191.709930555553</v>
      </c>
      <c r="X1143" s="80">
        <v>44191</v>
      </c>
      <c r="Y1143" s="78" t="s">
        <v>3424</v>
      </c>
      <c r="Z1143" s="77" t="str">
        <f>HYPERLINK("https://twitter.com/walmart/status/1342878417646219264")</f>
        <v>https://twitter.com/walmart/status/1342878417646219264</v>
      </c>
      <c r="AC1143" s="78" t="s">
        <v>4489</v>
      </c>
      <c r="AE1143" t="b">
        <v>0</v>
      </c>
      <c r="AF1143">
        <v>322</v>
      </c>
      <c r="AG1143" s="78" t="s">
        <v>4640</v>
      </c>
      <c r="AH1143" t="b">
        <v>0</v>
      </c>
      <c r="AI1143" t="s">
        <v>4829</v>
      </c>
      <c r="AK1143" s="78" t="s">
        <v>4640</v>
      </c>
      <c r="AL1143" t="b">
        <v>0</v>
      </c>
      <c r="AM1143">
        <v>30</v>
      </c>
      <c r="AN1143" s="78" t="s">
        <v>4640</v>
      </c>
      <c r="AO1143" s="78" t="s">
        <v>4851</v>
      </c>
      <c r="AP1143" t="b">
        <v>0</v>
      </c>
      <c r="AQ1143" s="78" t="s">
        <v>4489</v>
      </c>
      <c r="AR1143" t="s">
        <v>1569</v>
      </c>
      <c r="AS1143">
        <v>0</v>
      </c>
      <c r="AT1143">
        <v>0</v>
      </c>
    </row>
    <row r="1144" spans="1:46" x14ac:dyDescent="0.45">
      <c r="A1144" s="62" t="s">
        <v>992</v>
      </c>
      <c r="B1144" s="62" t="s">
        <v>242</v>
      </c>
      <c r="C1144" s="63"/>
      <c r="D1144" s="64"/>
      <c r="E1144" s="65"/>
      <c r="F1144" s="66"/>
      <c r="G1144" s="63"/>
      <c r="H1144" s="67"/>
      <c r="I1144" s="68"/>
      <c r="J1144" s="68"/>
      <c r="K1144" s="32"/>
      <c r="L1144" s="75"/>
      <c r="M1144" s="75"/>
      <c r="N1144" s="70"/>
      <c r="O1144" t="s">
        <v>1568</v>
      </c>
      <c r="P1144" s="76">
        <v>44958.21607638889</v>
      </c>
      <c r="Q1144" t="s">
        <v>1597</v>
      </c>
      <c r="U1144" s="77" t="str">
        <f>HYPERLINK("https://pbs.twimg.com/media/Fn21cCpaEAIoT8g.jpg")</f>
        <v>https://pbs.twimg.com/media/Fn21cCpaEAIoT8g.jpg</v>
      </c>
      <c r="V1144" s="77" t="str">
        <f>HYPERLINK("https://pbs.twimg.com/media/Fn21cCpaEAIoT8g.jpg")</f>
        <v>https://pbs.twimg.com/media/Fn21cCpaEAIoT8g.jpg</v>
      </c>
      <c r="W1144" s="76">
        <v>44958.21607638889</v>
      </c>
      <c r="X1144" s="80">
        <v>44958</v>
      </c>
      <c r="Y1144" s="78" t="s">
        <v>3277</v>
      </c>
      <c r="Z1144" s="77" t="str">
        <f>HYPERLINK("https://twitter.com/valhallabckgirl/status/1620650941212139520")</f>
        <v>https://twitter.com/valhallabckgirl/status/1620650941212139520</v>
      </c>
      <c r="AC1144" s="78" t="s">
        <v>4342</v>
      </c>
      <c r="AE1144" t="b">
        <v>0</v>
      </c>
      <c r="AF1144">
        <v>220</v>
      </c>
      <c r="AG1144" s="78" t="s">
        <v>4640</v>
      </c>
      <c r="AH1144" t="b">
        <v>0</v>
      </c>
      <c r="AI1144" t="s">
        <v>4829</v>
      </c>
      <c r="AK1144" s="78" t="s">
        <v>4640</v>
      </c>
      <c r="AL1144" t="b">
        <v>0</v>
      </c>
      <c r="AM1144">
        <v>13</v>
      </c>
      <c r="AN1144" s="78" t="s">
        <v>4640</v>
      </c>
      <c r="AO1144" s="78" t="s">
        <v>4849</v>
      </c>
      <c r="AP1144" t="b">
        <v>0</v>
      </c>
      <c r="AQ1144" s="78" t="s">
        <v>4342</v>
      </c>
      <c r="AR1144" t="s">
        <v>1569</v>
      </c>
      <c r="AS1144">
        <v>0</v>
      </c>
      <c r="AT1144">
        <v>0</v>
      </c>
    </row>
    <row r="1145" spans="1:46" x14ac:dyDescent="0.45">
      <c r="A1145" s="62" t="s">
        <v>1001</v>
      </c>
      <c r="B1145" s="62" t="s">
        <v>1230</v>
      </c>
      <c r="C1145" s="63"/>
      <c r="D1145" s="64"/>
      <c r="E1145" s="65"/>
      <c r="F1145" s="66"/>
      <c r="G1145" s="63"/>
      <c r="H1145" s="67"/>
      <c r="I1145" s="68"/>
      <c r="J1145" s="68"/>
      <c r="K1145" s="32"/>
      <c r="L1145" s="75"/>
      <c r="M1145" s="75"/>
      <c r="N1145" s="70"/>
      <c r="O1145" t="s">
        <v>1568</v>
      </c>
      <c r="P1145" s="76">
        <v>44958.746342592596</v>
      </c>
      <c r="Q1145" t="s">
        <v>2021</v>
      </c>
      <c r="V1145" s="77" t="str">
        <f>HYPERLINK("https://pbs.twimg.com/profile_images/1145053271989587968/HNc78V2Z_normal.jpg")</f>
        <v>https://pbs.twimg.com/profile_images/1145053271989587968/HNc78V2Z_normal.jpg</v>
      </c>
      <c r="W1145" s="76">
        <v>44958.746342592596</v>
      </c>
      <c r="X1145" s="80">
        <v>44958</v>
      </c>
      <c r="Y1145" s="78" t="s">
        <v>3288</v>
      </c>
      <c r="Z1145" s="77" t="str">
        <f>HYPERLINK("https://twitter.com/eugivola/status/1620843103522377728")</f>
        <v>https://twitter.com/eugivola/status/1620843103522377728</v>
      </c>
      <c r="AC1145" s="78" t="s">
        <v>4353</v>
      </c>
      <c r="AD1145" s="78" t="s">
        <v>4473</v>
      </c>
      <c r="AE1145" t="b">
        <v>0</v>
      </c>
      <c r="AF1145">
        <v>176</v>
      </c>
      <c r="AG1145" s="78" t="s">
        <v>4639</v>
      </c>
      <c r="AH1145" t="b">
        <v>0</v>
      </c>
      <c r="AI1145" t="s">
        <v>4829</v>
      </c>
      <c r="AK1145" s="78" t="s">
        <v>4640</v>
      </c>
      <c r="AL1145" t="b">
        <v>0</v>
      </c>
      <c r="AM1145">
        <v>4</v>
      </c>
      <c r="AN1145" s="78" t="s">
        <v>4640</v>
      </c>
      <c r="AO1145" s="78" t="s">
        <v>4849</v>
      </c>
      <c r="AP1145" t="b">
        <v>0</v>
      </c>
      <c r="AQ1145" s="78" t="s">
        <v>4473</v>
      </c>
      <c r="AR1145" t="s">
        <v>179</v>
      </c>
      <c r="AS1145">
        <v>0</v>
      </c>
      <c r="AT1145">
        <v>0</v>
      </c>
    </row>
    <row r="1146" spans="1:46" x14ac:dyDescent="0.45">
      <c r="A1146" s="62" t="s">
        <v>1001</v>
      </c>
      <c r="B1146" s="62" t="s">
        <v>242</v>
      </c>
      <c r="C1146" s="63"/>
      <c r="D1146" s="64"/>
      <c r="E1146" s="65"/>
      <c r="F1146" s="66"/>
      <c r="G1146" s="63"/>
      <c r="H1146" s="67"/>
      <c r="I1146" s="68"/>
      <c r="J1146" s="68"/>
      <c r="K1146" s="32"/>
      <c r="L1146" s="75"/>
      <c r="M1146" s="75"/>
      <c r="N1146" s="70"/>
      <c r="O1146" t="s">
        <v>1567</v>
      </c>
      <c r="P1146" s="76">
        <v>44958.746342592596</v>
      </c>
      <c r="Q1146" t="s">
        <v>2021</v>
      </c>
      <c r="V1146" s="77" t="str">
        <f>HYPERLINK("https://pbs.twimg.com/profile_images/1145053271989587968/HNc78V2Z_normal.jpg")</f>
        <v>https://pbs.twimg.com/profile_images/1145053271989587968/HNc78V2Z_normal.jpg</v>
      </c>
      <c r="W1146" s="76">
        <v>44958.746342592596</v>
      </c>
      <c r="X1146" s="80">
        <v>44958</v>
      </c>
      <c r="Y1146" s="78" t="s">
        <v>3288</v>
      </c>
      <c r="Z1146" s="77" t="str">
        <f>HYPERLINK("https://twitter.com/eugivola/status/1620843103522377728")</f>
        <v>https://twitter.com/eugivola/status/1620843103522377728</v>
      </c>
      <c r="AC1146" s="78" t="s">
        <v>4353</v>
      </c>
      <c r="AD1146" s="78" t="s">
        <v>4473</v>
      </c>
      <c r="AE1146" t="b">
        <v>0</v>
      </c>
      <c r="AF1146">
        <v>176</v>
      </c>
      <c r="AG1146" s="78" t="s">
        <v>4639</v>
      </c>
      <c r="AH1146" t="b">
        <v>0</v>
      </c>
      <c r="AI1146" t="s">
        <v>4829</v>
      </c>
      <c r="AK1146" s="78" t="s">
        <v>4640</v>
      </c>
      <c r="AL1146" t="b">
        <v>0</v>
      </c>
      <c r="AM1146">
        <v>4</v>
      </c>
      <c r="AN1146" s="78" t="s">
        <v>4640</v>
      </c>
      <c r="AO1146" s="78" t="s">
        <v>4849</v>
      </c>
      <c r="AP1146" t="b">
        <v>0</v>
      </c>
      <c r="AQ1146" s="78" t="s">
        <v>4473</v>
      </c>
      <c r="AR1146" t="s">
        <v>179</v>
      </c>
      <c r="AS1146">
        <v>0</v>
      </c>
      <c r="AT1146">
        <v>0</v>
      </c>
    </row>
    <row r="1147" spans="1:46" x14ac:dyDescent="0.45">
      <c r="A1147" s="62" t="s">
        <v>252</v>
      </c>
      <c r="B1147" s="62" t="s">
        <v>1152</v>
      </c>
      <c r="C1147" s="63"/>
      <c r="D1147" s="64"/>
      <c r="E1147" s="65"/>
      <c r="F1147" s="66"/>
      <c r="G1147" s="63"/>
      <c r="H1147" s="67"/>
      <c r="I1147" s="68"/>
      <c r="J1147" s="68"/>
      <c r="K1147" s="32"/>
      <c r="L1147" s="75"/>
      <c r="M1147" s="75"/>
      <c r="N1147" s="70"/>
      <c r="O1147" t="s">
        <v>1568</v>
      </c>
      <c r="P1147" s="76">
        <v>44954.201458333337</v>
      </c>
      <c r="Q1147" t="s">
        <v>1601</v>
      </c>
      <c r="U1147" s="77" t="str">
        <f>HYPERLINK("https://pbs.twimg.com/amplify_video_thumb/1619196022684631041/img/oEkcH94coRGjyMvK.jpg")</f>
        <v>https://pbs.twimg.com/amplify_video_thumb/1619196022684631041/img/oEkcH94coRGjyMvK.jpg</v>
      </c>
      <c r="V1147" s="77" t="str">
        <f>HYPERLINK("https://pbs.twimg.com/amplify_video_thumb/1619196022684631041/img/oEkcH94coRGjyMvK.jpg")</f>
        <v>https://pbs.twimg.com/amplify_video_thumb/1619196022684631041/img/oEkcH94coRGjyMvK.jpg</v>
      </c>
      <c r="W1147" s="76">
        <v>44954.201458333337</v>
      </c>
      <c r="X1147" s="80">
        <v>44954</v>
      </c>
      <c r="Y1147" s="78" t="s">
        <v>2457</v>
      </c>
      <c r="Z1147" s="77" t="str">
        <f>HYPERLINK("https://twitter.com/tonioillusion/status/1619196091865645057")</f>
        <v>https://twitter.com/tonioillusion/status/1619196091865645057</v>
      </c>
      <c r="AC1147" s="78" t="s">
        <v>3472</v>
      </c>
      <c r="AE1147" t="b">
        <v>0</v>
      </c>
      <c r="AF1147">
        <v>168</v>
      </c>
      <c r="AG1147" s="78" t="s">
        <v>4640</v>
      </c>
      <c r="AH1147" t="b">
        <v>0</v>
      </c>
      <c r="AI1147" t="s">
        <v>4829</v>
      </c>
      <c r="AK1147" s="78" t="s">
        <v>4640</v>
      </c>
      <c r="AL1147" t="b">
        <v>0</v>
      </c>
      <c r="AM1147">
        <v>24</v>
      </c>
      <c r="AN1147" s="78" t="s">
        <v>4640</v>
      </c>
      <c r="AO1147" s="78" t="s">
        <v>4849</v>
      </c>
      <c r="AP1147" t="b">
        <v>0</v>
      </c>
      <c r="AQ1147" s="78" t="s">
        <v>3472</v>
      </c>
      <c r="AR1147" t="s">
        <v>1569</v>
      </c>
      <c r="AS1147">
        <v>0</v>
      </c>
      <c r="AT1147">
        <v>0</v>
      </c>
    </row>
    <row r="1148" spans="1:46" x14ac:dyDescent="0.45">
      <c r="A1148" s="62" t="s">
        <v>252</v>
      </c>
      <c r="B1148" s="62" t="s">
        <v>242</v>
      </c>
      <c r="C1148" s="63"/>
      <c r="D1148" s="64"/>
      <c r="E1148" s="65"/>
      <c r="F1148" s="66"/>
      <c r="G1148" s="63"/>
      <c r="H1148" s="67"/>
      <c r="I1148" s="68"/>
      <c r="J1148" s="68"/>
      <c r="K1148" s="32"/>
      <c r="L1148" s="75"/>
      <c r="M1148" s="75"/>
      <c r="N1148" s="70"/>
      <c r="O1148" t="s">
        <v>1568</v>
      </c>
      <c r="P1148" s="76">
        <v>44954.201458333337</v>
      </c>
      <c r="Q1148" t="s">
        <v>1601</v>
      </c>
      <c r="U1148" s="77" t="str">
        <f>HYPERLINK("https://pbs.twimg.com/amplify_video_thumb/1619196022684631041/img/oEkcH94coRGjyMvK.jpg")</f>
        <v>https://pbs.twimg.com/amplify_video_thumb/1619196022684631041/img/oEkcH94coRGjyMvK.jpg</v>
      </c>
      <c r="V1148" s="77" t="str">
        <f>HYPERLINK("https://pbs.twimg.com/amplify_video_thumb/1619196022684631041/img/oEkcH94coRGjyMvK.jpg")</f>
        <v>https://pbs.twimg.com/amplify_video_thumb/1619196022684631041/img/oEkcH94coRGjyMvK.jpg</v>
      </c>
      <c r="W1148" s="76">
        <v>44954.201458333337</v>
      </c>
      <c r="X1148" s="80">
        <v>44954</v>
      </c>
      <c r="Y1148" s="78" t="s">
        <v>2457</v>
      </c>
      <c r="Z1148" s="77" t="str">
        <f>HYPERLINK("https://twitter.com/tonioillusion/status/1619196091865645057")</f>
        <v>https://twitter.com/tonioillusion/status/1619196091865645057</v>
      </c>
      <c r="AC1148" s="78" t="s">
        <v>3472</v>
      </c>
      <c r="AE1148" t="b">
        <v>0</v>
      </c>
      <c r="AF1148">
        <v>168</v>
      </c>
      <c r="AG1148" s="78" t="s">
        <v>4640</v>
      </c>
      <c r="AH1148" t="b">
        <v>0</v>
      </c>
      <c r="AI1148" t="s">
        <v>4829</v>
      </c>
      <c r="AK1148" s="78" t="s">
        <v>4640</v>
      </c>
      <c r="AL1148" t="b">
        <v>0</v>
      </c>
      <c r="AM1148">
        <v>24</v>
      </c>
      <c r="AN1148" s="78" t="s">
        <v>4640</v>
      </c>
      <c r="AO1148" s="78" t="s">
        <v>4849</v>
      </c>
      <c r="AP1148" t="b">
        <v>0</v>
      </c>
      <c r="AQ1148" s="78" t="s">
        <v>3472</v>
      </c>
      <c r="AR1148" t="s">
        <v>1569</v>
      </c>
      <c r="AS1148">
        <v>0</v>
      </c>
      <c r="AT1148">
        <v>0</v>
      </c>
    </row>
    <row r="1149" spans="1:46" x14ac:dyDescent="0.45">
      <c r="A1149" s="62" t="s">
        <v>1046</v>
      </c>
      <c r="B1149" s="62" t="s">
        <v>242</v>
      </c>
      <c r="C1149" s="63"/>
      <c r="D1149" s="64"/>
      <c r="E1149" s="65"/>
      <c r="F1149" s="66"/>
      <c r="G1149" s="63"/>
      <c r="H1149" s="67"/>
      <c r="I1149" s="68"/>
      <c r="J1149" s="68"/>
      <c r="K1149" s="32"/>
      <c r="L1149" s="75"/>
      <c r="M1149" s="75"/>
      <c r="N1149" s="70"/>
      <c r="O1149" t="s">
        <v>1568</v>
      </c>
      <c r="P1149" s="76">
        <v>44958.938946759263</v>
      </c>
      <c r="Q1149" t="s">
        <v>1928</v>
      </c>
      <c r="U1149" s="77" t="str">
        <f>HYPERLINK("https://pbs.twimg.com/media/Fn6jrXTWAAEsrco.jpg")</f>
        <v>https://pbs.twimg.com/media/Fn6jrXTWAAEsrco.jpg</v>
      </c>
      <c r="V1149" s="77" t="str">
        <f>HYPERLINK("https://pbs.twimg.com/media/Fn6jrXTWAAEsrco.jpg")</f>
        <v>https://pbs.twimg.com/media/Fn6jrXTWAAEsrco.jpg</v>
      </c>
      <c r="W1149" s="76">
        <v>44958.938946759263</v>
      </c>
      <c r="X1149" s="80">
        <v>44958</v>
      </c>
      <c r="Y1149" s="78" t="s">
        <v>3355</v>
      </c>
      <c r="Z1149" s="77" t="str">
        <f>HYPERLINK("https://twitter.com/gfuelenergy/status/1620912902247948288")</f>
        <v>https://twitter.com/gfuelenergy/status/1620912902247948288</v>
      </c>
      <c r="AC1149" s="78" t="s">
        <v>4420</v>
      </c>
      <c r="AE1149" t="b">
        <v>0</v>
      </c>
      <c r="AF1149">
        <v>155</v>
      </c>
      <c r="AG1149" s="78" t="s">
        <v>4640</v>
      </c>
      <c r="AH1149" t="b">
        <v>0</v>
      </c>
      <c r="AI1149" t="s">
        <v>4829</v>
      </c>
      <c r="AK1149" s="78" t="s">
        <v>4640</v>
      </c>
      <c r="AL1149" t="b">
        <v>0</v>
      </c>
      <c r="AM1149">
        <v>8</v>
      </c>
      <c r="AN1149" s="78" t="s">
        <v>4640</v>
      </c>
      <c r="AO1149" s="78" t="s">
        <v>4865</v>
      </c>
      <c r="AP1149" t="b">
        <v>0</v>
      </c>
      <c r="AQ1149" s="78" t="s">
        <v>4420</v>
      </c>
      <c r="AR1149" t="s">
        <v>179</v>
      </c>
      <c r="AS1149">
        <v>0</v>
      </c>
      <c r="AT1149">
        <v>0</v>
      </c>
    </row>
    <row r="1150" spans="1:46" x14ac:dyDescent="0.45">
      <c r="A1150" s="62" t="s">
        <v>242</v>
      </c>
      <c r="B1150" s="62" t="s">
        <v>242</v>
      </c>
      <c r="C1150" s="63"/>
      <c r="D1150" s="64"/>
      <c r="E1150" s="65"/>
      <c r="F1150" s="66"/>
      <c r="G1150" s="63"/>
      <c r="H1150" s="67"/>
      <c r="I1150" s="68"/>
      <c r="J1150" s="68"/>
      <c r="K1150" s="32"/>
      <c r="L1150" s="75"/>
      <c r="M1150" s="75"/>
      <c r="N1150" s="70"/>
      <c r="O1150" t="s">
        <v>179</v>
      </c>
      <c r="P1150" s="76">
        <v>44957.893067129633</v>
      </c>
      <c r="Q1150" t="s">
        <v>2236</v>
      </c>
      <c r="U1150" s="77" t="str">
        <f>HYPERLINK("https://pbs.twimg.com/media/Fn1K-7xWQAkfLgW.jpg")</f>
        <v>https://pbs.twimg.com/media/Fn1K-7xWQAkfLgW.jpg</v>
      </c>
      <c r="V1150" s="77" t="str">
        <f>HYPERLINK("https://pbs.twimg.com/media/Fn1K-7xWQAkfLgW.jpg")</f>
        <v>https://pbs.twimg.com/media/Fn1K-7xWQAkfLgW.jpg</v>
      </c>
      <c r="W1150" s="76">
        <v>44957.893067129633</v>
      </c>
      <c r="X1150" s="80">
        <v>44957</v>
      </c>
      <c r="Y1150" s="78" t="s">
        <v>3433</v>
      </c>
      <c r="Z1150" s="77" t="str">
        <f>HYPERLINK("https://twitter.com/walmart/status/1620533889574780928")</f>
        <v>https://twitter.com/walmart/status/1620533889574780928</v>
      </c>
      <c r="AC1150" s="78" t="s">
        <v>4498</v>
      </c>
      <c r="AE1150" t="b">
        <v>0</v>
      </c>
      <c r="AF1150">
        <v>145</v>
      </c>
      <c r="AG1150" s="78" t="s">
        <v>4640</v>
      </c>
      <c r="AH1150" t="b">
        <v>0</v>
      </c>
      <c r="AI1150" t="s">
        <v>4829</v>
      </c>
      <c r="AK1150" s="78" t="s">
        <v>4640</v>
      </c>
      <c r="AL1150" t="b">
        <v>0</v>
      </c>
      <c r="AM1150">
        <v>27</v>
      </c>
      <c r="AN1150" s="78" t="s">
        <v>4640</v>
      </c>
      <c r="AO1150" s="78" t="s">
        <v>4855</v>
      </c>
      <c r="AP1150" t="b">
        <v>0</v>
      </c>
      <c r="AQ1150" s="78" t="s">
        <v>4498</v>
      </c>
      <c r="AR1150" t="s">
        <v>1569</v>
      </c>
      <c r="AS1150">
        <v>0</v>
      </c>
      <c r="AT1150">
        <v>0</v>
      </c>
    </row>
    <row r="1151" spans="1:46" x14ac:dyDescent="0.45">
      <c r="A1151" s="62" t="s">
        <v>242</v>
      </c>
      <c r="B1151" s="62" t="s">
        <v>242</v>
      </c>
      <c r="C1151" s="63"/>
      <c r="D1151" s="64"/>
      <c r="E1151" s="65"/>
      <c r="F1151" s="66"/>
      <c r="G1151" s="63"/>
      <c r="H1151" s="67"/>
      <c r="I1151" s="68"/>
      <c r="J1151" s="68"/>
      <c r="K1151" s="32"/>
      <c r="L1151" s="75"/>
      <c r="M1151" s="75"/>
      <c r="N1151" s="70"/>
      <c r="O1151" t="s">
        <v>179</v>
      </c>
      <c r="P1151" s="76">
        <v>44943.670335648145</v>
      </c>
      <c r="Q1151" t="s">
        <v>1912</v>
      </c>
      <c r="V1151" s="77" t="str">
        <f>HYPERLINK("https://pbs.twimg.com/profile_images/1614031605676253184/n4E7yeWV_normal.jpg")</f>
        <v>https://pbs.twimg.com/profile_images/1614031605676253184/n4E7yeWV_normal.jpg</v>
      </c>
      <c r="W1151" s="76">
        <v>44943.670335648145</v>
      </c>
      <c r="X1151" s="80">
        <v>44943</v>
      </c>
      <c r="Y1151" s="78" t="s">
        <v>3428</v>
      </c>
      <c r="Z1151" s="77" t="str">
        <f>HYPERLINK("https://twitter.com/walmart/status/1615379740935831554")</f>
        <v>https://twitter.com/walmart/status/1615379740935831554</v>
      </c>
      <c r="AC1151" s="78" t="s">
        <v>4493</v>
      </c>
      <c r="AE1151" t="b">
        <v>0</v>
      </c>
      <c r="AF1151">
        <v>117</v>
      </c>
      <c r="AG1151" s="78" t="s">
        <v>4640</v>
      </c>
      <c r="AH1151" t="b">
        <v>0</v>
      </c>
      <c r="AI1151" t="s">
        <v>4829</v>
      </c>
      <c r="AK1151" s="78" t="s">
        <v>4640</v>
      </c>
      <c r="AL1151" t="b">
        <v>0</v>
      </c>
      <c r="AM1151">
        <v>19</v>
      </c>
      <c r="AN1151" s="78" t="s">
        <v>4640</v>
      </c>
      <c r="AO1151" s="78" t="s">
        <v>4855</v>
      </c>
      <c r="AP1151" t="b">
        <v>0</v>
      </c>
      <c r="AQ1151" s="78" t="s">
        <v>4493</v>
      </c>
      <c r="AR1151" t="s">
        <v>1569</v>
      </c>
      <c r="AS1151">
        <v>0</v>
      </c>
      <c r="AT1151">
        <v>0</v>
      </c>
    </row>
    <row r="1152" spans="1:46" x14ac:dyDescent="0.45">
      <c r="A1152" s="62" t="s">
        <v>242</v>
      </c>
      <c r="B1152" s="62" t="s">
        <v>242</v>
      </c>
      <c r="C1152" s="63"/>
      <c r="D1152" s="64"/>
      <c r="E1152" s="65"/>
      <c r="F1152" s="66"/>
      <c r="G1152" s="63"/>
      <c r="H1152" s="67"/>
      <c r="I1152" s="68"/>
      <c r="J1152" s="68"/>
      <c r="K1152" s="32"/>
      <c r="L1152" s="75"/>
      <c r="M1152" s="75"/>
      <c r="N1152" s="70"/>
      <c r="O1152" t="s">
        <v>179</v>
      </c>
      <c r="P1152" s="76">
        <v>44762.75377314815</v>
      </c>
      <c r="Q1152" t="s">
        <v>2067</v>
      </c>
      <c r="V1152" s="77" t="str">
        <f>HYPERLINK("https://pbs.twimg.com/profile_images/1614031605676253184/n4E7yeWV_normal.jpg")</f>
        <v>https://pbs.twimg.com/profile_images/1614031605676253184/n4E7yeWV_normal.jpg</v>
      </c>
      <c r="W1152" s="76">
        <v>44762.75377314815</v>
      </c>
      <c r="X1152" s="80">
        <v>44762</v>
      </c>
      <c r="Y1152" s="78" t="s">
        <v>3431</v>
      </c>
      <c r="Z1152" s="77" t="str">
        <f>HYPERLINK("https://twitter.com/walmart/status/1549817773433421828")</f>
        <v>https://twitter.com/walmart/status/1549817773433421828</v>
      </c>
      <c r="AC1152" s="78" t="s">
        <v>4496</v>
      </c>
      <c r="AE1152" t="b">
        <v>0</v>
      </c>
      <c r="AF1152">
        <v>113</v>
      </c>
      <c r="AG1152" s="78" t="s">
        <v>4640</v>
      </c>
      <c r="AH1152" t="b">
        <v>0</v>
      </c>
      <c r="AI1152" t="s">
        <v>4829</v>
      </c>
      <c r="AK1152" s="78" t="s">
        <v>4640</v>
      </c>
      <c r="AL1152" t="b">
        <v>0</v>
      </c>
      <c r="AM1152">
        <v>14</v>
      </c>
      <c r="AN1152" s="78" t="s">
        <v>4640</v>
      </c>
      <c r="AO1152" s="78" t="s">
        <v>4855</v>
      </c>
      <c r="AP1152" t="b">
        <v>0</v>
      </c>
      <c r="AQ1152" s="78" t="s">
        <v>4496</v>
      </c>
      <c r="AR1152" t="s">
        <v>1569</v>
      </c>
      <c r="AS1152">
        <v>0</v>
      </c>
      <c r="AT1152">
        <v>0</v>
      </c>
    </row>
    <row r="1153" spans="1:46" x14ac:dyDescent="0.45">
      <c r="A1153" s="62" t="s">
        <v>835</v>
      </c>
      <c r="B1153" s="62" t="s">
        <v>1230</v>
      </c>
      <c r="C1153" s="63"/>
      <c r="D1153" s="64"/>
      <c r="E1153" s="65"/>
      <c r="F1153" s="66"/>
      <c r="G1153" s="63"/>
      <c r="H1153" s="67"/>
      <c r="I1153" s="68"/>
      <c r="J1153" s="68"/>
      <c r="K1153" s="32"/>
      <c r="L1153" s="75"/>
      <c r="M1153" s="75"/>
      <c r="N1153" s="70"/>
      <c r="O1153" t="s">
        <v>1568</v>
      </c>
      <c r="P1153" s="76">
        <v>44958.75167824074</v>
      </c>
      <c r="Q1153" t="s">
        <v>2015</v>
      </c>
      <c r="V1153" s="77" t="str">
        <f>HYPERLINK("https://pbs.twimg.com/profile_images/1618644759739858944/T6hLVGV1_normal.jpg")</f>
        <v>https://pbs.twimg.com/profile_images/1618644759739858944/T6hLVGV1_normal.jpg</v>
      </c>
      <c r="W1153" s="76">
        <v>44958.75167824074</v>
      </c>
      <c r="X1153" s="80">
        <v>44958</v>
      </c>
      <c r="Y1153" s="78" t="s">
        <v>3084</v>
      </c>
      <c r="Z1153" s="77" t="str">
        <f>HYPERLINK("https://twitter.com/cattitude_girl/status/1620845035989368832")</f>
        <v>https://twitter.com/cattitude_girl/status/1620845035989368832</v>
      </c>
      <c r="AC1153" s="78" t="s">
        <v>4149</v>
      </c>
      <c r="AD1153" s="78" t="s">
        <v>4473</v>
      </c>
      <c r="AE1153" t="b">
        <v>0</v>
      </c>
      <c r="AF1153">
        <v>97</v>
      </c>
      <c r="AG1153" s="78" t="s">
        <v>4639</v>
      </c>
      <c r="AH1153" t="b">
        <v>0</v>
      </c>
      <c r="AI1153" t="s">
        <v>4829</v>
      </c>
      <c r="AK1153" s="78" t="s">
        <v>4640</v>
      </c>
      <c r="AL1153" t="b">
        <v>0</v>
      </c>
      <c r="AM1153">
        <v>1</v>
      </c>
      <c r="AN1153" s="78" t="s">
        <v>4640</v>
      </c>
      <c r="AO1153" s="78" t="s">
        <v>4849</v>
      </c>
      <c r="AP1153" t="b">
        <v>0</v>
      </c>
      <c r="AQ1153" s="78" t="s">
        <v>4473</v>
      </c>
      <c r="AR1153" t="s">
        <v>179</v>
      </c>
      <c r="AS1153">
        <v>0</v>
      </c>
      <c r="AT1153">
        <v>0</v>
      </c>
    </row>
    <row r="1154" spans="1:46" x14ac:dyDescent="0.45">
      <c r="A1154" s="62" t="s">
        <v>835</v>
      </c>
      <c r="B1154" s="62" t="s">
        <v>242</v>
      </c>
      <c r="C1154" s="63"/>
      <c r="D1154" s="64"/>
      <c r="E1154" s="65"/>
      <c r="F1154" s="66"/>
      <c r="G1154" s="63"/>
      <c r="H1154" s="67"/>
      <c r="I1154" s="68"/>
      <c r="J1154" s="68"/>
      <c r="K1154" s="32"/>
      <c r="L1154" s="75"/>
      <c r="M1154" s="75"/>
      <c r="N1154" s="70"/>
      <c r="O1154" t="s">
        <v>1567</v>
      </c>
      <c r="P1154" s="76">
        <v>44958.75167824074</v>
      </c>
      <c r="Q1154" t="s">
        <v>2015</v>
      </c>
      <c r="V1154" s="77" t="str">
        <f>HYPERLINK("https://pbs.twimg.com/profile_images/1618644759739858944/T6hLVGV1_normal.jpg")</f>
        <v>https://pbs.twimg.com/profile_images/1618644759739858944/T6hLVGV1_normal.jpg</v>
      </c>
      <c r="W1154" s="76">
        <v>44958.75167824074</v>
      </c>
      <c r="X1154" s="80">
        <v>44958</v>
      </c>
      <c r="Y1154" s="78" t="s">
        <v>3084</v>
      </c>
      <c r="Z1154" s="77" t="str">
        <f>HYPERLINK("https://twitter.com/cattitude_girl/status/1620845035989368832")</f>
        <v>https://twitter.com/cattitude_girl/status/1620845035989368832</v>
      </c>
      <c r="AC1154" s="78" t="s">
        <v>4149</v>
      </c>
      <c r="AD1154" s="78" t="s">
        <v>4473</v>
      </c>
      <c r="AE1154" t="b">
        <v>0</v>
      </c>
      <c r="AF1154">
        <v>97</v>
      </c>
      <c r="AG1154" s="78" t="s">
        <v>4639</v>
      </c>
      <c r="AH1154" t="b">
        <v>0</v>
      </c>
      <c r="AI1154" t="s">
        <v>4829</v>
      </c>
      <c r="AK1154" s="78" t="s">
        <v>4640</v>
      </c>
      <c r="AL1154" t="b">
        <v>0</v>
      </c>
      <c r="AM1154">
        <v>1</v>
      </c>
      <c r="AN1154" s="78" t="s">
        <v>4640</v>
      </c>
      <c r="AO1154" s="78" t="s">
        <v>4849</v>
      </c>
      <c r="AP1154" t="b">
        <v>0</v>
      </c>
      <c r="AQ1154" s="78" t="s">
        <v>4473</v>
      </c>
      <c r="AR1154" t="s">
        <v>179</v>
      </c>
      <c r="AS1154">
        <v>0</v>
      </c>
      <c r="AT1154">
        <v>0</v>
      </c>
    </row>
    <row r="1155" spans="1:46" x14ac:dyDescent="0.45">
      <c r="A1155" s="62" t="s">
        <v>490</v>
      </c>
      <c r="B1155" s="62" t="s">
        <v>1230</v>
      </c>
      <c r="C1155" s="63"/>
      <c r="D1155" s="64"/>
      <c r="E1155" s="65"/>
      <c r="F1155" s="66"/>
      <c r="G1155" s="63"/>
      <c r="H1155" s="67"/>
      <c r="I1155" s="68"/>
      <c r="J1155" s="68"/>
      <c r="K1155" s="32"/>
      <c r="L1155" s="75"/>
      <c r="M1155" s="75"/>
      <c r="N1155" s="70"/>
      <c r="O1155" t="s">
        <v>1568</v>
      </c>
      <c r="P1155" s="76">
        <v>44958.748865740738</v>
      </c>
      <c r="Q1155" t="s">
        <v>1776</v>
      </c>
      <c r="U1155" s="77" t="str">
        <f>HYPERLINK("https://pbs.twimg.com/media/Fn5lCyYWYAAMv4o.jpg")</f>
        <v>https://pbs.twimg.com/media/Fn5lCyYWYAAMv4o.jpg</v>
      </c>
      <c r="V1155" s="77" t="str">
        <f>HYPERLINK("https://pbs.twimg.com/media/Fn5lCyYWYAAMv4o.jpg")</f>
        <v>https://pbs.twimg.com/media/Fn5lCyYWYAAMv4o.jpg</v>
      </c>
      <c r="W1155" s="76">
        <v>44958.748865740738</v>
      </c>
      <c r="X1155" s="80">
        <v>44958</v>
      </c>
      <c r="Y1155" s="78" t="s">
        <v>2729</v>
      </c>
      <c r="Z1155" s="77" t="str">
        <f>HYPERLINK("https://twitter.com/gossipmileyray/status/1620844020342886401")</f>
        <v>https://twitter.com/gossipmileyray/status/1620844020342886401</v>
      </c>
      <c r="AC1155" s="78" t="s">
        <v>3747</v>
      </c>
      <c r="AD1155" s="78" t="s">
        <v>4473</v>
      </c>
      <c r="AE1155" t="b">
        <v>0</v>
      </c>
      <c r="AF1155">
        <v>94</v>
      </c>
      <c r="AG1155" s="78" t="s">
        <v>4639</v>
      </c>
      <c r="AH1155" t="b">
        <v>0</v>
      </c>
      <c r="AI1155" t="s">
        <v>4829</v>
      </c>
      <c r="AK1155" s="78" t="s">
        <v>4640</v>
      </c>
      <c r="AL1155" t="b">
        <v>0</v>
      </c>
      <c r="AM1155">
        <v>0</v>
      </c>
      <c r="AN1155" s="78" t="s">
        <v>4640</v>
      </c>
      <c r="AO1155" s="78" t="s">
        <v>4849</v>
      </c>
      <c r="AP1155" t="b">
        <v>0</v>
      </c>
      <c r="AQ1155" s="78" t="s">
        <v>4473</v>
      </c>
      <c r="AR1155" t="s">
        <v>179</v>
      </c>
      <c r="AS1155">
        <v>0</v>
      </c>
      <c r="AT1155">
        <v>0</v>
      </c>
    </row>
    <row r="1156" spans="1:46" x14ac:dyDescent="0.45">
      <c r="A1156" s="62" t="s">
        <v>490</v>
      </c>
      <c r="B1156" s="62" t="s">
        <v>242</v>
      </c>
      <c r="C1156" s="63"/>
      <c r="D1156" s="64"/>
      <c r="E1156" s="65"/>
      <c r="F1156" s="66"/>
      <c r="G1156" s="63"/>
      <c r="H1156" s="67"/>
      <c r="I1156" s="68"/>
      <c r="J1156" s="68"/>
      <c r="K1156" s="32"/>
      <c r="L1156" s="75"/>
      <c r="M1156" s="75"/>
      <c r="N1156" s="70"/>
      <c r="O1156" t="s">
        <v>1567</v>
      </c>
      <c r="P1156" s="76">
        <v>44958.748865740738</v>
      </c>
      <c r="Q1156" t="s">
        <v>1776</v>
      </c>
      <c r="U1156" s="77" t="str">
        <f>HYPERLINK("https://pbs.twimg.com/media/Fn5lCyYWYAAMv4o.jpg")</f>
        <v>https://pbs.twimg.com/media/Fn5lCyYWYAAMv4o.jpg</v>
      </c>
      <c r="V1156" s="77" t="str">
        <f>HYPERLINK("https://pbs.twimg.com/media/Fn5lCyYWYAAMv4o.jpg")</f>
        <v>https://pbs.twimg.com/media/Fn5lCyYWYAAMv4o.jpg</v>
      </c>
      <c r="W1156" s="76">
        <v>44958.748865740738</v>
      </c>
      <c r="X1156" s="80">
        <v>44958</v>
      </c>
      <c r="Y1156" s="78" t="s">
        <v>2729</v>
      </c>
      <c r="Z1156" s="77" t="str">
        <f>HYPERLINK("https://twitter.com/gossipmileyray/status/1620844020342886401")</f>
        <v>https://twitter.com/gossipmileyray/status/1620844020342886401</v>
      </c>
      <c r="AC1156" s="78" t="s">
        <v>3747</v>
      </c>
      <c r="AD1156" s="78" t="s">
        <v>4473</v>
      </c>
      <c r="AE1156" t="b">
        <v>0</v>
      </c>
      <c r="AF1156">
        <v>94</v>
      </c>
      <c r="AG1156" s="78" t="s">
        <v>4639</v>
      </c>
      <c r="AH1156" t="b">
        <v>0</v>
      </c>
      <c r="AI1156" t="s">
        <v>4829</v>
      </c>
      <c r="AK1156" s="78" t="s">
        <v>4640</v>
      </c>
      <c r="AL1156" t="b">
        <v>0</v>
      </c>
      <c r="AM1156">
        <v>0</v>
      </c>
      <c r="AN1156" s="78" t="s">
        <v>4640</v>
      </c>
      <c r="AO1156" s="78" t="s">
        <v>4849</v>
      </c>
      <c r="AP1156" t="b">
        <v>0</v>
      </c>
      <c r="AQ1156" s="78" t="s">
        <v>4473</v>
      </c>
      <c r="AR1156" t="s">
        <v>179</v>
      </c>
      <c r="AS1156">
        <v>0</v>
      </c>
      <c r="AT1156">
        <v>0</v>
      </c>
    </row>
    <row r="1157" spans="1:46" x14ac:dyDescent="0.45">
      <c r="A1157" s="62" t="s">
        <v>696</v>
      </c>
      <c r="B1157" s="62" t="s">
        <v>1230</v>
      </c>
      <c r="C1157" s="63"/>
      <c r="D1157" s="64"/>
      <c r="E1157" s="65"/>
      <c r="F1157" s="66"/>
      <c r="G1157" s="63"/>
      <c r="H1157" s="67"/>
      <c r="I1157" s="68"/>
      <c r="J1157" s="68"/>
      <c r="K1157" s="32"/>
      <c r="L1157" s="75"/>
      <c r="M1157" s="75"/>
      <c r="N1157" s="70"/>
      <c r="O1157" t="s">
        <v>1568</v>
      </c>
      <c r="P1157" s="76">
        <v>44958.703379629631</v>
      </c>
      <c r="Q1157" t="s">
        <v>1879</v>
      </c>
      <c r="V1157" s="77" t="str">
        <f>HYPERLINK("https://pbs.twimg.com/profile_images/1579489474769309696/faJaThnM_normal.jpg")</f>
        <v>https://pbs.twimg.com/profile_images/1579489474769309696/faJaThnM_normal.jpg</v>
      </c>
      <c r="W1157" s="76">
        <v>44958.703379629631</v>
      </c>
      <c r="X1157" s="80">
        <v>44958</v>
      </c>
      <c r="Y1157" s="78" t="s">
        <v>2899</v>
      </c>
      <c r="Z1157" s="77" t="str">
        <f>HYPERLINK("https://twitter.com/istanmileycyrus/status/1620827535276900354")</f>
        <v>https://twitter.com/istanmileycyrus/status/1620827535276900354</v>
      </c>
      <c r="AC1157" s="78" t="s">
        <v>3964</v>
      </c>
      <c r="AD1157" s="78" t="s">
        <v>4473</v>
      </c>
      <c r="AE1157" t="b">
        <v>0</v>
      </c>
      <c r="AF1157">
        <v>78</v>
      </c>
      <c r="AG1157" s="78" t="s">
        <v>4639</v>
      </c>
      <c r="AH1157" t="b">
        <v>0</v>
      </c>
      <c r="AI1157" t="s">
        <v>4829</v>
      </c>
      <c r="AK1157" s="78" t="s">
        <v>4640</v>
      </c>
      <c r="AL1157" t="b">
        <v>0</v>
      </c>
      <c r="AM1157">
        <v>1</v>
      </c>
      <c r="AN1157" s="78" t="s">
        <v>4640</v>
      </c>
      <c r="AO1157" s="78" t="s">
        <v>4850</v>
      </c>
      <c r="AP1157" t="b">
        <v>0</v>
      </c>
      <c r="AQ1157" s="78" t="s">
        <v>4473</v>
      </c>
      <c r="AR1157" t="s">
        <v>179</v>
      </c>
      <c r="AS1157">
        <v>0</v>
      </c>
      <c r="AT1157">
        <v>0</v>
      </c>
    </row>
    <row r="1158" spans="1:46" x14ac:dyDescent="0.45">
      <c r="A1158" s="62" t="s">
        <v>696</v>
      </c>
      <c r="B1158" s="62" t="s">
        <v>242</v>
      </c>
      <c r="C1158" s="63"/>
      <c r="D1158" s="64"/>
      <c r="E1158" s="65"/>
      <c r="F1158" s="66"/>
      <c r="G1158" s="63"/>
      <c r="H1158" s="67"/>
      <c r="I1158" s="68"/>
      <c r="J1158" s="68"/>
      <c r="K1158" s="32"/>
      <c r="L1158" s="75"/>
      <c r="M1158" s="75"/>
      <c r="N1158" s="70"/>
      <c r="O1158" t="s">
        <v>1567</v>
      </c>
      <c r="P1158" s="76">
        <v>44958.703379629631</v>
      </c>
      <c r="Q1158" t="s">
        <v>1879</v>
      </c>
      <c r="V1158" s="77" t="str">
        <f>HYPERLINK("https://pbs.twimg.com/profile_images/1579489474769309696/faJaThnM_normal.jpg")</f>
        <v>https://pbs.twimg.com/profile_images/1579489474769309696/faJaThnM_normal.jpg</v>
      </c>
      <c r="W1158" s="76">
        <v>44958.703379629631</v>
      </c>
      <c r="X1158" s="80">
        <v>44958</v>
      </c>
      <c r="Y1158" s="78" t="s">
        <v>2899</v>
      </c>
      <c r="Z1158" s="77" t="str">
        <f>HYPERLINK("https://twitter.com/istanmileycyrus/status/1620827535276900354")</f>
        <v>https://twitter.com/istanmileycyrus/status/1620827535276900354</v>
      </c>
      <c r="AC1158" s="78" t="s">
        <v>3964</v>
      </c>
      <c r="AD1158" s="78" t="s">
        <v>4473</v>
      </c>
      <c r="AE1158" t="b">
        <v>0</v>
      </c>
      <c r="AF1158">
        <v>78</v>
      </c>
      <c r="AG1158" s="78" t="s">
        <v>4639</v>
      </c>
      <c r="AH1158" t="b">
        <v>0</v>
      </c>
      <c r="AI1158" t="s">
        <v>4829</v>
      </c>
      <c r="AK1158" s="78" t="s">
        <v>4640</v>
      </c>
      <c r="AL1158" t="b">
        <v>0</v>
      </c>
      <c r="AM1158">
        <v>1</v>
      </c>
      <c r="AN1158" s="78" t="s">
        <v>4640</v>
      </c>
      <c r="AO1158" s="78" t="s">
        <v>4850</v>
      </c>
      <c r="AP1158" t="b">
        <v>0</v>
      </c>
      <c r="AQ1158" s="78" t="s">
        <v>4473</v>
      </c>
      <c r="AR1158" t="s">
        <v>179</v>
      </c>
      <c r="AS1158">
        <v>0</v>
      </c>
      <c r="AT1158">
        <v>0</v>
      </c>
    </row>
    <row r="1159" spans="1:46" x14ac:dyDescent="0.45">
      <c r="A1159" s="62" t="s">
        <v>258</v>
      </c>
      <c r="B1159" s="62" t="s">
        <v>242</v>
      </c>
      <c r="C1159" s="63"/>
      <c r="D1159" s="64"/>
      <c r="E1159" s="65"/>
      <c r="F1159" s="66"/>
      <c r="G1159" s="63"/>
      <c r="H1159" s="67"/>
      <c r="I1159" s="68"/>
      <c r="J1159" s="68"/>
      <c r="K1159" s="32"/>
      <c r="L1159" s="75"/>
      <c r="M1159" s="75"/>
      <c r="N1159" s="70"/>
      <c r="O1159" t="s">
        <v>1568</v>
      </c>
      <c r="P1159" s="76">
        <v>44755.775694444441</v>
      </c>
      <c r="Q1159" t="s">
        <v>1605</v>
      </c>
      <c r="U1159" s="77" t="str">
        <f>HYPERLINK("https://pbs.twimg.com/ext_tw_video_thumb/1537459513577680899/pu/img/orfoXJ5jcfVeilQC.jpg")</f>
        <v>https://pbs.twimg.com/ext_tw_video_thumb/1537459513577680899/pu/img/orfoXJ5jcfVeilQC.jpg</v>
      </c>
      <c r="V1159" s="77" t="str">
        <f>HYPERLINK("https://pbs.twimg.com/ext_tw_video_thumb/1537459513577680899/pu/img/orfoXJ5jcfVeilQC.jpg")</f>
        <v>https://pbs.twimg.com/ext_tw_video_thumb/1537459513577680899/pu/img/orfoXJ5jcfVeilQC.jpg</v>
      </c>
      <c r="W1159" s="76">
        <v>44755.775694444441</v>
      </c>
      <c r="X1159" s="80">
        <v>44755</v>
      </c>
      <c r="Y1159" s="78" t="s">
        <v>2464</v>
      </c>
      <c r="Z1159" s="77" t="str">
        <f>HYPERLINK("https://twitter.com/realqaiqai/status/1547289003606540290")</f>
        <v>https://twitter.com/realqaiqai/status/1547289003606540290</v>
      </c>
      <c r="AC1159" s="78" t="s">
        <v>3479</v>
      </c>
      <c r="AE1159" t="b">
        <v>0</v>
      </c>
      <c r="AF1159">
        <v>66</v>
      </c>
      <c r="AG1159" s="78" t="s">
        <v>4640</v>
      </c>
      <c r="AH1159" t="b">
        <v>0</v>
      </c>
      <c r="AI1159" t="s">
        <v>4829</v>
      </c>
      <c r="AK1159" s="78" t="s">
        <v>4640</v>
      </c>
      <c r="AL1159" t="b">
        <v>0</v>
      </c>
      <c r="AM1159">
        <v>9</v>
      </c>
      <c r="AN1159" s="78" t="s">
        <v>4640</v>
      </c>
      <c r="AO1159" s="78" t="s">
        <v>4851</v>
      </c>
      <c r="AP1159" t="b">
        <v>0</v>
      </c>
      <c r="AQ1159" s="78" t="s">
        <v>3479</v>
      </c>
      <c r="AR1159" t="s">
        <v>1569</v>
      </c>
      <c r="AS1159">
        <v>0</v>
      </c>
      <c r="AT1159">
        <v>0</v>
      </c>
    </row>
    <row r="1160" spans="1:46" x14ac:dyDescent="0.45">
      <c r="A1160" s="62" t="s">
        <v>489</v>
      </c>
      <c r="B1160" s="62" t="s">
        <v>1230</v>
      </c>
      <c r="C1160" s="63"/>
      <c r="D1160" s="64"/>
      <c r="E1160" s="65"/>
      <c r="F1160" s="66"/>
      <c r="G1160" s="63"/>
      <c r="H1160" s="67"/>
      <c r="I1160" s="68"/>
      <c r="J1160" s="68"/>
      <c r="K1160" s="32"/>
      <c r="L1160" s="75"/>
      <c r="M1160" s="75"/>
      <c r="N1160" s="70"/>
      <c r="O1160" t="s">
        <v>1568</v>
      </c>
      <c r="P1160" s="76">
        <v>44958.748472222222</v>
      </c>
      <c r="Q1160" t="s">
        <v>2016</v>
      </c>
      <c r="V1160" s="77" t="str">
        <f>HYPERLINK("https://pbs.twimg.com/profile_images/1292919583595208704/RWj0hOq8_normal.jpg")</f>
        <v>https://pbs.twimg.com/profile_images/1292919583595208704/RWj0hOq8_normal.jpg</v>
      </c>
      <c r="W1160" s="76">
        <v>44958.748472222222</v>
      </c>
      <c r="X1160" s="80">
        <v>44958</v>
      </c>
      <c r="Y1160" s="78" t="s">
        <v>3086</v>
      </c>
      <c r="Z1160" s="77" t="str">
        <f>HYPERLINK("https://twitter.com/xxradiatelove/status/1620843877493243905")</f>
        <v>https://twitter.com/xxradiatelove/status/1620843877493243905</v>
      </c>
      <c r="AC1160" s="78" t="s">
        <v>4151</v>
      </c>
      <c r="AD1160" s="78" t="s">
        <v>4473</v>
      </c>
      <c r="AE1160" t="b">
        <v>0</v>
      </c>
      <c r="AF1160">
        <v>49</v>
      </c>
      <c r="AG1160" s="78" t="s">
        <v>4639</v>
      </c>
      <c r="AH1160" t="b">
        <v>0</v>
      </c>
      <c r="AI1160" t="s">
        <v>4829</v>
      </c>
      <c r="AK1160" s="78" t="s">
        <v>4640</v>
      </c>
      <c r="AL1160" t="b">
        <v>0</v>
      </c>
      <c r="AM1160">
        <v>1</v>
      </c>
      <c r="AN1160" s="78" t="s">
        <v>4640</v>
      </c>
      <c r="AO1160" s="78" t="s">
        <v>4851</v>
      </c>
      <c r="AP1160" t="b">
        <v>0</v>
      </c>
      <c r="AQ1160" s="78" t="s">
        <v>4473</v>
      </c>
      <c r="AR1160" t="s">
        <v>179</v>
      </c>
      <c r="AS1160">
        <v>0</v>
      </c>
      <c r="AT1160">
        <v>0</v>
      </c>
    </row>
    <row r="1161" spans="1:46" x14ac:dyDescent="0.45">
      <c r="A1161" s="62" t="s">
        <v>489</v>
      </c>
      <c r="B1161" s="62" t="s">
        <v>242</v>
      </c>
      <c r="C1161" s="63"/>
      <c r="D1161" s="64"/>
      <c r="E1161" s="65"/>
      <c r="F1161" s="66"/>
      <c r="G1161" s="63"/>
      <c r="H1161" s="67"/>
      <c r="I1161" s="68"/>
      <c r="J1161" s="68"/>
      <c r="K1161" s="32"/>
      <c r="L1161" s="75"/>
      <c r="M1161" s="75"/>
      <c r="N1161" s="70"/>
      <c r="O1161" t="s">
        <v>1567</v>
      </c>
      <c r="P1161" s="76">
        <v>44958.748472222222</v>
      </c>
      <c r="Q1161" t="s">
        <v>2016</v>
      </c>
      <c r="V1161" s="77" t="str">
        <f>HYPERLINK("https://pbs.twimg.com/profile_images/1292919583595208704/RWj0hOq8_normal.jpg")</f>
        <v>https://pbs.twimg.com/profile_images/1292919583595208704/RWj0hOq8_normal.jpg</v>
      </c>
      <c r="W1161" s="76">
        <v>44958.748472222222</v>
      </c>
      <c r="X1161" s="80">
        <v>44958</v>
      </c>
      <c r="Y1161" s="78" t="s">
        <v>3086</v>
      </c>
      <c r="Z1161" s="77" t="str">
        <f>HYPERLINK("https://twitter.com/xxradiatelove/status/1620843877493243905")</f>
        <v>https://twitter.com/xxradiatelove/status/1620843877493243905</v>
      </c>
      <c r="AC1161" s="78" t="s">
        <v>4151</v>
      </c>
      <c r="AD1161" s="78" t="s">
        <v>4473</v>
      </c>
      <c r="AE1161" t="b">
        <v>0</v>
      </c>
      <c r="AF1161">
        <v>49</v>
      </c>
      <c r="AG1161" s="78" t="s">
        <v>4639</v>
      </c>
      <c r="AH1161" t="b">
        <v>0</v>
      </c>
      <c r="AI1161" t="s">
        <v>4829</v>
      </c>
      <c r="AK1161" s="78" t="s">
        <v>4640</v>
      </c>
      <c r="AL1161" t="b">
        <v>0</v>
      </c>
      <c r="AM1161">
        <v>1</v>
      </c>
      <c r="AN1161" s="78" t="s">
        <v>4640</v>
      </c>
      <c r="AO1161" s="78" t="s">
        <v>4851</v>
      </c>
      <c r="AP1161" t="b">
        <v>0</v>
      </c>
      <c r="AQ1161" s="78" t="s">
        <v>4473</v>
      </c>
      <c r="AR1161" t="s">
        <v>179</v>
      </c>
      <c r="AS1161">
        <v>0</v>
      </c>
      <c r="AT1161">
        <v>0</v>
      </c>
    </row>
    <row r="1162" spans="1:46" x14ac:dyDescent="0.45">
      <c r="A1162" s="62" t="s">
        <v>966</v>
      </c>
      <c r="B1162" s="62" t="s">
        <v>967</v>
      </c>
      <c r="C1162" s="63"/>
      <c r="D1162" s="64"/>
      <c r="E1162" s="65"/>
      <c r="F1162" s="66"/>
      <c r="G1162" s="63"/>
      <c r="H1162" s="67"/>
      <c r="I1162" s="68"/>
      <c r="J1162" s="68"/>
      <c r="K1162" s="32"/>
      <c r="L1162" s="75"/>
      <c r="M1162" s="75"/>
      <c r="N1162" s="70"/>
      <c r="O1162" t="s">
        <v>1568</v>
      </c>
      <c r="P1162" s="76">
        <v>44953.806064814817</v>
      </c>
      <c r="Q1162" t="s">
        <v>2126</v>
      </c>
      <c r="U1162" s="77" t="str">
        <f>HYPERLINK("https://pbs.twimg.com/ext_tw_video_thumb/1619052728944103430/pu/img/q1eGyBb2oyIOfmAo.jpg")</f>
        <v>https://pbs.twimg.com/ext_tw_video_thumb/1619052728944103430/pu/img/q1eGyBb2oyIOfmAo.jpg</v>
      </c>
      <c r="V1162" s="77" t="str">
        <f>HYPERLINK("https://pbs.twimg.com/ext_tw_video_thumb/1619052728944103430/pu/img/q1eGyBb2oyIOfmAo.jpg")</f>
        <v>https://pbs.twimg.com/ext_tw_video_thumb/1619052728944103430/pu/img/q1eGyBb2oyIOfmAo.jpg</v>
      </c>
      <c r="W1162" s="76">
        <v>44953.806064814817</v>
      </c>
      <c r="X1162" s="80">
        <v>44953</v>
      </c>
      <c r="Y1162" s="78" t="s">
        <v>3243</v>
      </c>
      <c r="Z1162" s="77" t="str">
        <f>HYPERLINK("https://twitter.com/musiqcitywalls/status/1619052805792337920")</f>
        <v>https://twitter.com/musiqcitywalls/status/1619052805792337920</v>
      </c>
      <c r="AC1162" s="78" t="s">
        <v>4308</v>
      </c>
      <c r="AE1162" t="b">
        <v>0</v>
      </c>
      <c r="AF1162">
        <v>48</v>
      </c>
      <c r="AG1162" s="78" t="s">
        <v>4640</v>
      </c>
      <c r="AH1162" t="b">
        <v>0</v>
      </c>
      <c r="AI1162" t="s">
        <v>4829</v>
      </c>
      <c r="AK1162" s="78" t="s">
        <v>4640</v>
      </c>
      <c r="AL1162" t="b">
        <v>0</v>
      </c>
      <c r="AM1162">
        <v>12</v>
      </c>
      <c r="AN1162" s="78" t="s">
        <v>4640</v>
      </c>
      <c r="AO1162" s="78" t="s">
        <v>4849</v>
      </c>
      <c r="AP1162" t="b">
        <v>0</v>
      </c>
      <c r="AQ1162" s="78" t="s">
        <v>4308</v>
      </c>
      <c r="AR1162" t="s">
        <v>1569</v>
      </c>
      <c r="AS1162">
        <v>0</v>
      </c>
      <c r="AT1162">
        <v>0</v>
      </c>
    </row>
    <row r="1163" spans="1:46" x14ac:dyDescent="0.45">
      <c r="A1163" s="62" t="s">
        <v>966</v>
      </c>
      <c r="B1163" s="62" t="s">
        <v>242</v>
      </c>
      <c r="C1163" s="63"/>
      <c r="D1163" s="64"/>
      <c r="E1163" s="65"/>
      <c r="F1163" s="66"/>
      <c r="G1163" s="63"/>
      <c r="H1163" s="67"/>
      <c r="I1163" s="68"/>
      <c r="J1163" s="68"/>
      <c r="K1163" s="32"/>
      <c r="L1163" s="75"/>
      <c r="M1163" s="75"/>
      <c r="N1163" s="70"/>
      <c r="O1163" t="s">
        <v>1568</v>
      </c>
      <c r="P1163" s="76">
        <v>44953.806064814817</v>
      </c>
      <c r="Q1163" t="s">
        <v>2126</v>
      </c>
      <c r="U1163" s="77" t="str">
        <f>HYPERLINK("https://pbs.twimg.com/ext_tw_video_thumb/1619052728944103430/pu/img/q1eGyBb2oyIOfmAo.jpg")</f>
        <v>https://pbs.twimg.com/ext_tw_video_thumb/1619052728944103430/pu/img/q1eGyBb2oyIOfmAo.jpg</v>
      </c>
      <c r="V1163" s="77" t="str">
        <f>HYPERLINK("https://pbs.twimg.com/ext_tw_video_thumb/1619052728944103430/pu/img/q1eGyBb2oyIOfmAo.jpg")</f>
        <v>https://pbs.twimg.com/ext_tw_video_thumb/1619052728944103430/pu/img/q1eGyBb2oyIOfmAo.jpg</v>
      </c>
      <c r="W1163" s="76">
        <v>44953.806064814817</v>
      </c>
      <c r="X1163" s="80">
        <v>44953</v>
      </c>
      <c r="Y1163" s="78" t="s">
        <v>3243</v>
      </c>
      <c r="Z1163" s="77" t="str">
        <f>HYPERLINK("https://twitter.com/musiqcitywalls/status/1619052805792337920")</f>
        <v>https://twitter.com/musiqcitywalls/status/1619052805792337920</v>
      </c>
      <c r="AC1163" s="78" t="s">
        <v>4308</v>
      </c>
      <c r="AE1163" t="b">
        <v>0</v>
      </c>
      <c r="AF1163">
        <v>48</v>
      </c>
      <c r="AG1163" s="78" t="s">
        <v>4640</v>
      </c>
      <c r="AH1163" t="b">
        <v>0</v>
      </c>
      <c r="AI1163" t="s">
        <v>4829</v>
      </c>
      <c r="AK1163" s="78" t="s">
        <v>4640</v>
      </c>
      <c r="AL1163" t="b">
        <v>0</v>
      </c>
      <c r="AM1163">
        <v>12</v>
      </c>
      <c r="AN1163" s="78" t="s">
        <v>4640</v>
      </c>
      <c r="AO1163" s="78" t="s">
        <v>4849</v>
      </c>
      <c r="AP1163" t="b">
        <v>0</v>
      </c>
      <c r="AQ1163" s="78" t="s">
        <v>4308</v>
      </c>
      <c r="AR1163" t="s">
        <v>1569</v>
      </c>
      <c r="AS1163">
        <v>0</v>
      </c>
      <c r="AT1163">
        <v>0</v>
      </c>
    </row>
    <row r="1164" spans="1:46" x14ac:dyDescent="0.45">
      <c r="A1164" s="62" t="s">
        <v>966</v>
      </c>
      <c r="B1164" s="62" t="s">
        <v>1181</v>
      </c>
      <c r="C1164" s="63"/>
      <c r="D1164" s="64"/>
      <c r="E1164" s="65"/>
      <c r="F1164" s="66"/>
      <c r="G1164" s="63"/>
      <c r="H1164" s="67"/>
      <c r="I1164" s="68"/>
      <c r="J1164" s="68"/>
      <c r="K1164" s="32"/>
      <c r="L1164" s="75"/>
      <c r="M1164" s="75"/>
      <c r="N1164" s="70"/>
      <c r="O1164" t="s">
        <v>1568</v>
      </c>
      <c r="P1164" s="76">
        <v>44953.806064814817</v>
      </c>
      <c r="Q1164" t="s">
        <v>2126</v>
      </c>
      <c r="U1164" s="77" t="str">
        <f>HYPERLINK("https://pbs.twimg.com/ext_tw_video_thumb/1619052728944103430/pu/img/q1eGyBb2oyIOfmAo.jpg")</f>
        <v>https://pbs.twimg.com/ext_tw_video_thumb/1619052728944103430/pu/img/q1eGyBb2oyIOfmAo.jpg</v>
      </c>
      <c r="V1164" s="77" t="str">
        <f>HYPERLINK("https://pbs.twimg.com/ext_tw_video_thumb/1619052728944103430/pu/img/q1eGyBb2oyIOfmAo.jpg")</f>
        <v>https://pbs.twimg.com/ext_tw_video_thumb/1619052728944103430/pu/img/q1eGyBb2oyIOfmAo.jpg</v>
      </c>
      <c r="W1164" s="76">
        <v>44953.806064814817</v>
      </c>
      <c r="X1164" s="80">
        <v>44953</v>
      </c>
      <c r="Y1164" s="78" t="s">
        <v>3243</v>
      </c>
      <c r="Z1164" s="77" t="str">
        <f>HYPERLINK("https://twitter.com/musiqcitywalls/status/1619052805792337920")</f>
        <v>https://twitter.com/musiqcitywalls/status/1619052805792337920</v>
      </c>
      <c r="AC1164" s="78" t="s">
        <v>4308</v>
      </c>
      <c r="AE1164" t="b">
        <v>0</v>
      </c>
      <c r="AF1164">
        <v>48</v>
      </c>
      <c r="AG1164" s="78" t="s">
        <v>4640</v>
      </c>
      <c r="AH1164" t="b">
        <v>0</v>
      </c>
      <c r="AI1164" t="s">
        <v>4829</v>
      </c>
      <c r="AK1164" s="78" t="s">
        <v>4640</v>
      </c>
      <c r="AL1164" t="b">
        <v>0</v>
      </c>
      <c r="AM1164">
        <v>12</v>
      </c>
      <c r="AN1164" s="78" t="s">
        <v>4640</v>
      </c>
      <c r="AO1164" s="78" t="s">
        <v>4849</v>
      </c>
      <c r="AP1164" t="b">
        <v>0</v>
      </c>
      <c r="AQ1164" s="78" t="s">
        <v>4308</v>
      </c>
      <c r="AR1164" t="s">
        <v>1569</v>
      </c>
      <c r="AS1164">
        <v>0</v>
      </c>
      <c r="AT1164">
        <v>0</v>
      </c>
    </row>
    <row r="1165" spans="1:46" x14ac:dyDescent="0.45">
      <c r="A1165" s="62" t="s">
        <v>837</v>
      </c>
      <c r="B1165" s="62" t="s">
        <v>1230</v>
      </c>
      <c r="C1165" s="63"/>
      <c r="D1165" s="64"/>
      <c r="E1165" s="65"/>
      <c r="F1165" s="66"/>
      <c r="G1165" s="63"/>
      <c r="H1165" s="67"/>
      <c r="I1165" s="68"/>
      <c r="J1165" s="68"/>
      <c r="K1165" s="32"/>
      <c r="L1165" s="75"/>
      <c r="M1165" s="75"/>
      <c r="N1165" s="70"/>
      <c r="O1165" t="s">
        <v>1568</v>
      </c>
      <c r="P1165" s="76">
        <v>44958.765960648147</v>
      </c>
      <c r="Q1165" t="s">
        <v>2017</v>
      </c>
      <c r="U1165" s="77" t="str">
        <f>HYPERLINK("https://pbs.twimg.com/media/Fn5qq3takAAfssn.jpg")</f>
        <v>https://pbs.twimg.com/media/Fn5qq3takAAfssn.jpg</v>
      </c>
      <c r="V1165" s="77" t="str">
        <f>HYPERLINK("https://pbs.twimg.com/media/Fn5qq3takAAfssn.jpg")</f>
        <v>https://pbs.twimg.com/media/Fn5qq3takAAfssn.jpg</v>
      </c>
      <c r="W1165" s="76">
        <v>44958.765960648147</v>
      </c>
      <c r="X1165" s="80">
        <v>44958</v>
      </c>
      <c r="Y1165" s="78" t="s">
        <v>3089</v>
      </c>
      <c r="Z1165" s="77" t="str">
        <f>HYPERLINK("https://twitter.com/killerangelfrog/status/1620850213169795072")</f>
        <v>https://twitter.com/killerangelfrog/status/1620850213169795072</v>
      </c>
      <c r="AC1165" s="78" t="s">
        <v>4154</v>
      </c>
      <c r="AD1165" s="78" t="s">
        <v>4473</v>
      </c>
      <c r="AE1165" t="b">
        <v>0</v>
      </c>
      <c r="AF1165">
        <v>46</v>
      </c>
      <c r="AG1165" s="78" t="s">
        <v>4639</v>
      </c>
      <c r="AH1165" t="b">
        <v>0</v>
      </c>
      <c r="AI1165" t="s">
        <v>4829</v>
      </c>
      <c r="AK1165" s="78" t="s">
        <v>4640</v>
      </c>
      <c r="AL1165" t="b">
        <v>0</v>
      </c>
      <c r="AM1165">
        <v>1</v>
      </c>
      <c r="AN1165" s="78" t="s">
        <v>4640</v>
      </c>
      <c r="AO1165" s="78" t="s">
        <v>4849</v>
      </c>
      <c r="AP1165" t="b">
        <v>0</v>
      </c>
      <c r="AQ1165" s="78" t="s">
        <v>4473</v>
      </c>
      <c r="AR1165" t="s">
        <v>179</v>
      </c>
      <c r="AS1165">
        <v>0</v>
      </c>
      <c r="AT1165">
        <v>0</v>
      </c>
    </row>
    <row r="1166" spans="1:46" x14ac:dyDescent="0.45">
      <c r="A1166" s="62" t="s">
        <v>837</v>
      </c>
      <c r="B1166" s="62" t="s">
        <v>242</v>
      </c>
      <c r="C1166" s="63"/>
      <c r="D1166" s="64"/>
      <c r="E1166" s="65"/>
      <c r="F1166" s="66"/>
      <c r="G1166" s="63"/>
      <c r="H1166" s="67"/>
      <c r="I1166" s="68"/>
      <c r="J1166" s="68"/>
      <c r="K1166" s="32"/>
      <c r="L1166" s="75"/>
      <c r="M1166" s="75"/>
      <c r="N1166" s="70"/>
      <c r="O1166" t="s">
        <v>1567</v>
      </c>
      <c r="P1166" s="76">
        <v>44958.765960648147</v>
      </c>
      <c r="Q1166" t="s">
        <v>2017</v>
      </c>
      <c r="U1166" s="77" t="str">
        <f>HYPERLINK("https://pbs.twimg.com/media/Fn5qq3takAAfssn.jpg")</f>
        <v>https://pbs.twimg.com/media/Fn5qq3takAAfssn.jpg</v>
      </c>
      <c r="V1166" s="77" t="str">
        <f>HYPERLINK("https://pbs.twimg.com/media/Fn5qq3takAAfssn.jpg")</f>
        <v>https://pbs.twimg.com/media/Fn5qq3takAAfssn.jpg</v>
      </c>
      <c r="W1166" s="76">
        <v>44958.765960648147</v>
      </c>
      <c r="X1166" s="80">
        <v>44958</v>
      </c>
      <c r="Y1166" s="78" t="s">
        <v>3089</v>
      </c>
      <c r="Z1166" s="77" t="str">
        <f>HYPERLINK("https://twitter.com/killerangelfrog/status/1620850213169795072")</f>
        <v>https://twitter.com/killerangelfrog/status/1620850213169795072</v>
      </c>
      <c r="AC1166" s="78" t="s">
        <v>4154</v>
      </c>
      <c r="AD1166" s="78" t="s">
        <v>4473</v>
      </c>
      <c r="AE1166" t="b">
        <v>0</v>
      </c>
      <c r="AF1166">
        <v>46</v>
      </c>
      <c r="AG1166" s="78" t="s">
        <v>4639</v>
      </c>
      <c r="AH1166" t="b">
        <v>0</v>
      </c>
      <c r="AI1166" t="s">
        <v>4829</v>
      </c>
      <c r="AK1166" s="78" t="s">
        <v>4640</v>
      </c>
      <c r="AL1166" t="b">
        <v>0</v>
      </c>
      <c r="AM1166">
        <v>1</v>
      </c>
      <c r="AN1166" s="78" t="s">
        <v>4640</v>
      </c>
      <c r="AO1166" s="78" t="s">
        <v>4849</v>
      </c>
      <c r="AP1166" t="b">
        <v>0</v>
      </c>
      <c r="AQ1166" s="78" t="s">
        <v>4473</v>
      </c>
      <c r="AR1166" t="s">
        <v>179</v>
      </c>
      <c r="AS1166">
        <v>0</v>
      </c>
      <c r="AT1166">
        <v>0</v>
      </c>
    </row>
    <row r="1167" spans="1:46" x14ac:dyDescent="0.45">
      <c r="A1167" s="62" t="s">
        <v>838</v>
      </c>
      <c r="B1167" s="62" t="s">
        <v>1230</v>
      </c>
      <c r="C1167" s="63"/>
      <c r="D1167" s="64"/>
      <c r="E1167" s="65"/>
      <c r="F1167" s="66"/>
      <c r="G1167" s="63"/>
      <c r="H1167" s="67"/>
      <c r="I1167" s="68"/>
      <c r="J1167" s="68"/>
      <c r="K1167" s="32"/>
      <c r="L1167" s="75"/>
      <c r="M1167" s="75"/>
      <c r="N1167" s="70"/>
      <c r="O1167" t="s">
        <v>1568</v>
      </c>
      <c r="P1167" s="76">
        <v>44958.719097222223</v>
      </c>
      <c r="Q1167" t="s">
        <v>2018</v>
      </c>
      <c r="V1167" s="77" t="str">
        <f>HYPERLINK("https://pbs.twimg.com/profile_images/1587143882533310465/hJWkO7s4_normal.jpg")</f>
        <v>https://pbs.twimg.com/profile_images/1587143882533310465/hJWkO7s4_normal.jpg</v>
      </c>
      <c r="W1167" s="76">
        <v>44958.719097222223</v>
      </c>
      <c r="X1167" s="80">
        <v>44958</v>
      </c>
      <c r="Y1167" s="78" t="s">
        <v>3092</v>
      </c>
      <c r="Z1167" s="77" t="str">
        <f>HYPERLINK("https://twitter.com/legendcyruss/status/1620833231305338881")</f>
        <v>https://twitter.com/legendcyruss/status/1620833231305338881</v>
      </c>
      <c r="AC1167" s="78" t="s">
        <v>4157</v>
      </c>
      <c r="AD1167" s="78" t="s">
        <v>4473</v>
      </c>
      <c r="AE1167" t="b">
        <v>0</v>
      </c>
      <c r="AF1167">
        <v>45</v>
      </c>
      <c r="AG1167" s="78" t="s">
        <v>4639</v>
      </c>
      <c r="AH1167" t="b">
        <v>0</v>
      </c>
      <c r="AI1167" t="s">
        <v>4829</v>
      </c>
      <c r="AK1167" s="78" t="s">
        <v>4640</v>
      </c>
      <c r="AL1167" t="b">
        <v>0</v>
      </c>
      <c r="AM1167">
        <v>1</v>
      </c>
      <c r="AN1167" s="78" t="s">
        <v>4640</v>
      </c>
      <c r="AO1167" s="78" t="s">
        <v>4849</v>
      </c>
      <c r="AP1167" t="b">
        <v>0</v>
      </c>
      <c r="AQ1167" s="78" t="s">
        <v>4473</v>
      </c>
      <c r="AR1167" t="s">
        <v>179</v>
      </c>
      <c r="AS1167">
        <v>0</v>
      </c>
      <c r="AT1167">
        <v>0</v>
      </c>
    </row>
    <row r="1168" spans="1:46" x14ac:dyDescent="0.45">
      <c r="A1168" s="62" t="s">
        <v>838</v>
      </c>
      <c r="B1168" s="62" t="s">
        <v>242</v>
      </c>
      <c r="C1168" s="63"/>
      <c r="D1168" s="64"/>
      <c r="E1168" s="65"/>
      <c r="F1168" s="66"/>
      <c r="G1168" s="63"/>
      <c r="H1168" s="67"/>
      <c r="I1168" s="68"/>
      <c r="J1168" s="68"/>
      <c r="K1168" s="32"/>
      <c r="L1168" s="75"/>
      <c r="M1168" s="75"/>
      <c r="N1168" s="70"/>
      <c r="O1168" t="s">
        <v>1567</v>
      </c>
      <c r="P1168" s="76">
        <v>44958.719097222223</v>
      </c>
      <c r="Q1168" t="s">
        <v>2018</v>
      </c>
      <c r="V1168" s="77" t="str">
        <f>HYPERLINK("https://pbs.twimg.com/profile_images/1587143882533310465/hJWkO7s4_normal.jpg")</f>
        <v>https://pbs.twimg.com/profile_images/1587143882533310465/hJWkO7s4_normal.jpg</v>
      </c>
      <c r="W1168" s="76">
        <v>44958.719097222223</v>
      </c>
      <c r="X1168" s="80">
        <v>44958</v>
      </c>
      <c r="Y1168" s="78" t="s">
        <v>3092</v>
      </c>
      <c r="Z1168" s="77" t="str">
        <f>HYPERLINK("https://twitter.com/legendcyruss/status/1620833231305338881")</f>
        <v>https://twitter.com/legendcyruss/status/1620833231305338881</v>
      </c>
      <c r="AC1168" s="78" t="s">
        <v>4157</v>
      </c>
      <c r="AD1168" s="78" t="s">
        <v>4473</v>
      </c>
      <c r="AE1168" t="b">
        <v>0</v>
      </c>
      <c r="AF1168">
        <v>45</v>
      </c>
      <c r="AG1168" s="78" t="s">
        <v>4639</v>
      </c>
      <c r="AH1168" t="b">
        <v>0</v>
      </c>
      <c r="AI1168" t="s">
        <v>4829</v>
      </c>
      <c r="AK1168" s="78" t="s">
        <v>4640</v>
      </c>
      <c r="AL1168" t="b">
        <v>0</v>
      </c>
      <c r="AM1168">
        <v>1</v>
      </c>
      <c r="AN1168" s="78" t="s">
        <v>4640</v>
      </c>
      <c r="AO1168" s="78" t="s">
        <v>4849</v>
      </c>
      <c r="AP1168" t="b">
        <v>0</v>
      </c>
      <c r="AQ1168" s="78" t="s">
        <v>4473</v>
      </c>
      <c r="AR1168" t="s">
        <v>179</v>
      </c>
      <c r="AS1168">
        <v>0</v>
      </c>
      <c r="AT1168">
        <v>0</v>
      </c>
    </row>
    <row r="1169" spans="1:46" x14ac:dyDescent="0.45">
      <c r="A1169" s="62" t="s">
        <v>379</v>
      </c>
      <c r="B1169" s="62" t="s">
        <v>1198</v>
      </c>
      <c r="C1169" s="63"/>
      <c r="D1169" s="64"/>
      <c r="E1169" s="65"/>
      <c r="F1169" s="66"/>
      <c r="G1169" s="63"/>
      <c r="H1169" s="67"/>
      <c r="I1169" s="68"/>
      <c r="J1169" s="68"/>
      <c r="K1169" s="32"/>
      <c r="L1169" s="75"/>
      <c r="M1169" s="75"/>
      <c r="N1169" s="70"/>
      <c r="O1169" t="s">
        <v>1568</v>
      </c>
      <c r="P1169" s="76">
        <v>44958.59269675926</v>
      </c>
      <c r="Q1169" t="s">
        <v>1644</v>
      </c>
      <c r="U1169" s="77" t="str">
        <f>HYPERLINK("https://pbs.twimg.com/media/Fn4xkeYWIAItfLu.jpg")</f>
        <v>https://pbs.twimg.com/media/Fn4xkeYWIAItfLu.jpg</v>
      </c>
      <c r="V1169" s="77" t="str">
        <f>HYPERLINK("https://pbs.twimg.com/media/Fn4xkeYWIAItfLu.jpg")</f>
        <v>https://pbs.twimg.com/media/Fn4xkeYWIAItfLu.jpg</v>
      </c>
      <c r="W1169" s="76">
        <v>44958.59269675926</v>
      </c>
      <c r="X1169" s="80">
        <v>44958</v>
      </c>
      <c r="Y1169" s="78" t="s">
        <v>2704</v>
      </c>
      <c r="Z1169" s="77" t="str">
        <f>HYPERLINK("https://twitter.com/iiiitsandrea/status/1620787424539598848")</f>
        <v>https://twitter.com/iiiitsandrea/status/1620787424539598848</v>
      </c>
      <c r="AC1169" s="78" t="s">
        <v>3722</v>
      </c>
      <c r="AE1169" t="b">
        <v>0</v>
      </c>
      <c r="AF1169">
        <v>35</v>
      </c>
      <c r="AG1169" s="78" t="s">
        <v>4640</v>
      </c>
      <c r="AH1169" t="b">
        <v>0</v>
      </c>
      <c r="AI1169" t="s">
        <v>4829</v>
      </c>
      <c r="AK1169" s="78" t="s">
        <v>4640</v>
      </c>
      <c r="AL1169" t="b">
        <v>0</v>
      </c>
      <c r="AM1169">
        <v>1</v>
      </c>
      <c r="AN1169" s="78" t="s">
        <v>4640</v>
      </c>
      <c r="AO1169" s="78" t="s">
        <v>4849</v>
      </c>
      <c r="AP1169" t="b">
        <v>0</v>
      </c>
      <c r="AQ1169" s="78" t="s">
        <v>3722</v>
      </c>
      <c r="AR1169" t="s">
        <v>179</v>
      </c>
      <c r="AS1169">
        <v>0</v>
      </c>
      <c r="AT1169">
        <v>0</v>
      </c>
    </row>
    <row r="1170" spans="1:46" x14ac:dyDescent="0.45">
      <c r="A1170" s="62" t="s">
        <v>379</v>
      </c>
      <c r="B1170" s="62" t="s">
        <v>1181</v>
      </c>
      <c r="C1170" s="63"/>
      <c r="D1170" s="64"/>
      <c r="E1170" s="65"/>
      <c r="F1170" s="66"/>
      <c r="G1170" s="63"/>
      <c r="H1170" s="67"/>
      <c r="I1170" s="68"/>
      <c r="J1170" s="68"/>
      <c r="K1170" s="32"/>
      <c r="L1170" s="75"/>
      <c r="M1170" s="75"/>
      <c r="N1170" s="70"/>
      <c r="O1170" t="s">
        <v>1568</v>
      </c>
      <c r="P1170" s="76">
        <v>44958.59269675926</v>
      </c>
      <c r="Q1170" t="s">
        <v>1644</v>
      </c>
      <c r="U1170" s="77" t="str">
        <f>HYPERLINK("https://pbs.twimg.com/media/Fn4xkeYWIAItfLu.jpg")</f>
        <v>https://pbs.twimg.com/media/Fn4xkeYWIAItfLu.jpg</v>
      </c>
      <c r="V1170" s="77" t="str">
        <f>HYPERLINK("https://pbs.twimg.com/media/Fn4xkeYWIAItfLu.jpg")</f>
        <v>https://pbs.twimg.com/media/Fn4xkeYWIAItfLu.jpg</v>
      </c>
      <c r="W1170" s="76">
        <v>44958.59269675926</v>
      </c>
      <c r="X1170" s="80">
        <v>44958</v>
      </c>
      <c r="Y1170" s="78" t="s">
        <v>2704</v>
      </c>
      <c r="Z1170" s="77" t="str">
        <f>HYPERLINK("https://twitter.com/iiiitsandrea/status/1620787424539598848")</f>
        <v>https://twitter.com/iiiitsandrea/status/1620787424539598848</v>
      </c>
      <c r="AC1170" s="78" t="s">
        <v>3722</v>
      </c>
      <c r="AE1170" t="b">
        <v>0</v>
      </c>
      <c r="AF1170">
        <v>35</v>
      </c>
      <c r="AG1170" s="78" t="s">
        <v>4640</v>
      </c>
      <c r="AH1170" t="b">
        <v>0</v>
      </c>
      <c r="AI1170" t="s">
        <v>4829</v>
      </c>
      <c r="AK1170" s="78" t="s">
        <v>4640</v>
      </c>
      <c r="AL1170" t="b">
        <v>0</v>
      </c>
      <c r="AM1170">
        <v>1</v>
      </c>
      <c r="AN1170" s="78" t="s">
        <v>4640</v>
      </c>
      <c r="AO1170" s="78" t="s">
        <v>4849</v>
      </c>
      <c r="AP1170" t="b">
        <v>0</v>
      </c>
      <c r="AQ1170" s="78" t="s">
        <v>3722</v>
      </c>
      <c r="AR1170" t="s">
        <v>179</v>
      </c>
      <c r="AS1170">
        <v>0</v>
      </c>
      <c r="AT1170">
        <v>0</v>
      </c>
    </row>
    <row r="1171" spans="1:46" x14ac:dyDescent="0.45">
      <c r="A1171" s="62" t="s">
        <v>379</v>
      </c>
      <c r="B1171" s="62" t="s">
        <v>1199</v>
      </c>
      <c r="C1171" s="63"/>
      <c r="D1171" s="64"/>
      <c r="E1171" s="65"/>
      <c r="F1171" s="66"/>
      <c r="G1171" s="63"/>
      <c r="H1171" s="67"/>
      <c r="I1171" s="68"/>
      <c r="J1171" s="68"/>
      <c r="K1171" s="32"/>
      <c r="L1171" s="75"/>
      <c r="M1171" s="75"/>
      <c r="N1171" s="70"/>
      <c r="O1171" t="s">
        <v>1568</v>
      </c>
      <c r="P1171" s="76">
        <v>44958.59269675926</v>
      </c>
      <c r="Q1171" t="s">
        <v>1644</v>
      </c>
      <c r="U1171" s="77" t="str">
        <f>HYPERLINK("https://pbs.twimg.com/media/Fn4xkeYWIAItfLu.jpg")</f>
        <v>https://pbs.twimg.com/media/Fn4xkeYWIAItfLu.jpg</v>
      </c>
      <c r="V1171" s="77" t="str">
        <f>HYPERLINK("https://pbs.twimg.com/media/Fn4xkeYWIAItfLu.jpg")</f>
        <v>https://pbs.twimg.com/media/Fn4xkeYWIAItfLu.jpg</v>
      </c>
      <c r="W1171" s="76">
        <v>44958.59269675926</v>
      </c>
      <c r="X1171" s="80">
        <v>44958</v>
      </c>
      <c r="Y1171" s="78" t="s">
        <v>2704</v>
      </c>
      <c r="Z1171" s="77" t="str">
        <f>HYPERLINK("https://twitter.com/iiiitsandrea/status/1620787424539598848")</f>
        <v>https://twitter.com/iiiitsandrea/status/1620787424539598848</v>
      </c>
      <c r="AC1171" s="78" t="s">
        <v>3722</v>
      </c>
      <c r="AE1171" t="b">
        <v>0</v>
      </c>
      <c r="AF1171">
        <v>35</v>
      </c>
      <c r="AG1171" s="78" t="s">
        <v>4640</v>
      </c>
      <c r="AH1171" t="b">
        <v>0</v>
      </c>
      <c r="AI1171" t="s">
        <v>4829</v>
      </c>
      <c r="AK1171" s="78" t="s">
        <v>4640</v>
      </c>
      <c r="AL1171" t="b">
        <v>0</v>
      </c>
      <c r="AM1171">
        <v>1</v>
      </c>
      <c r="AN1171" s="78" t="s">
        <v>4640</v>
      </c>
      <c r="AO1171" s="78" t="s">
        <v>4849</v>
      </c>
      <c r="AP1171" t="b">
        <v>0</v>
      </c>
      <c r="AQ1171" s="78" t="s">
        <v>3722</v>
      </c>
      <c r="AR1171" t="s">
        <v>179</v>
      </c>
      <c r="AS1171">
        <v>0</v>
      </c>
      <c r="AT1171">
        <v>0</v>
      </c>
    </row>
    <row r="1172" spans="1:46" x14ac:dyDescent="0.45">
      <c r="A1172" s="62" t="s">
        <v>379</v>
      </c>
      <c r="B1172" s="62" t="s">
        <v>1185</v>
      </c>
      <c r="C1172" s="63"/>
      <c r="D1172" s="64"/>
      <c r="E1172" s="65"/>
      <c r="F1172" s="66"/>
      <c r="G1172" s="63"/>
      <c r="H1172" s="67"/>
      <c r="I1172" s="68"/>
      <c r="J1172" s="68"/>
      <c r="K1172" s="32"/>
      <c r="L1172" s="75"/>
      <c r="M1172" s="75"/>
      <c r="N1172" s="70"/>
      <c r="O1172" t="s">
        <v>1568</v>
      </c>
      <c r="P1172" s="76">
        <v>44958.59269675926</v>
      </c>
      <c r="Q1172" t="s">
        <v>1644</v>
      </c>
      <c r="U1172" s="77" t="str">
        <f>HYPERLINK("https://pbs.twimg.com/media/Fn4xkeYWIAItfLu.jpg")</f>
        <v>https://pbs.twimg.com/media/Fn4xkeYWIAItfLu.jpg</v>
      </c>
      <c r="V1172" s="77" t="str">
        <f>HYPERLINK("https://pbs.twimg.com/media/Fn4xkeYWIAItfLu.jpg")</f>
        <v>https://pbs.twimg.com/media/Fn4xkeYWIAItfLu.jpg</v>
      </c>
      <c r="W1172" s="76">
        <v>44958.59269675926</v>
      </c>
      <c r="X1172" s="80">
        <v>44958</v>
      </c>
      <c r="Y1172" s="78" t="s">
        <v>2704</v>
      </c>
      <c r="Z1172" s="77" t="str">
        <f>HYPERLINK("https://twitter.com/iiiitsandrea/status/1620787424539598848")</f>
        <v>https://twitter.com/iiiitsandrea/status/1620787424539598848</v>
      </c>
      <c r="AC1172" s="78" t="s">
        <v>3722</v>
      </c>
      <c r="AE1172" t="b">
        <v>0</v>
      </c>
      <c r="AF1172">
        <v>35</v>
      </c>
      <c r="AG1172" s="78" t="s">
        <v>4640</v>
      </c>
      <c r="AH1172" t="b">
        <v>0</v>
      </c>
      <c r="AI1172" t="s">
        <v>4829</v>
      </c>
      <c r="AK1172" s="78" t="s">
        <v>4640</v>
      </c>
      <c r="AL1172" t="b">
        <v>0</v>
      </c>
      <c r="AM1172">
        <v>1</v>
      </c>
      <c r="AN1172" s="78" t="s">
        <v>4640</v>
      </c>
      <c r="AO1172" s="78" t="s">
        <v>4849</v>
      </c>
      <c r="AP1172" t="b">
        <v>0</v>
      </c>
      <c r="AQ1172" s="78" t="s">
        <v>3722</v>
      </c>
      <c r="AR1172" t="s">
        <v>179</v>
      </c>
      <c r="AS1172">
        <v>0</v>
      </c>
      <c r="AT1172">
        <v>0</v>
      </c>
    </row>
    <row r="1173" spans="1:46" x14ac:dyDescent="0.45">
      <c r="A1173" s="62" t="s">
        <v>379</v>
      </c>
      <c r="B1173" s="62" t="s">
        <v>242</v>
      </c>
      <c r="C1173" s="63"/>
      <c r="D1173" s="64"/>
      <c r="E1173" s="65"/>
      <c r="F1173" s="66"/>
      <c r="G1173" s="63"/>
      <c r="H1173" s="67"/>
      <c r="I1173" s="68"/>
      <c r="J1173" s="68"/>
      <c r="K1173" s="32"/>
      <c r="L1173" s="75"/>
      <c r="M1173" s="75"/>
      <c r="N1173" s="70"/>
      <c r="O1173" t="s">
        <v>1568</v>
      </c>
      <c r="P1173" s="76">
        <v>44958.59269675926</v>
      </c>
      <c r="Q1173" t="s">
        <v>1644</v>
      </c>
      <c r="U1173" s="77" t="str">
        <f>HYPERLINK("https://pbs.twimg.com/media/Fn4xkeYWIAItfLu.jpg")</f>
        <v>https://pbs.twimg.com/media/Fn4xkeYWIAItfLu.jpg</v>
      </c>
      <c r="V1173" s="77" t="str">
        <f>HYPERLINK("https://pbs.twimg.com/media/Fn4xkeYWIAItfLu.jpg")</f>
        <v>https://pbs.twimg.com/media/Fn4xkeYWIAItfLu.jpg</v>
      </c>
      <c r="W1173" s="76">
        <v>44958.59269675926</v>
      </c>
      <c r="X1173" s="80">
        <v>44958</v>
      </c>
      <c r="Y1173" s="78" t="s">
        <v>2704</v>
      </c>
      <c r="Z1173" s="77" t="str">
        <f>HYPERLINK("https://twitter.com/iiiitsandrea/status/1620787424539598848")</f>
        <v>https://twitter.com/iiiitsandrea/status/1620787424539598848</v>
      </c>
      <c r="AC1173" s="78" t="s">
        <v>3722</v>
      </c>
      <c r="AE1173" t="b">
        <v>0</v>
      </c>
      <c r="AF1173">
        <v>35</v>
      </c>
      <c r="AG1173" s="78" t="s">
        <v>4640</v>
      </c>
      <c r="AH1173" t="b">
        <v>0</v>
      </c>
      <c r="AI1173" t="s">
        <v>4829</v>
      </c>
      <c r="AK1173" s="78" t="s">
        <v>4640</v>
      </c>
      <c r="AL1173" t="b">
        <v>0</v>
      </c>
      <c r="AM1173">
        <v>1</v>
      </c>
      <c r="AN1173" s="78" t="s">
        <v>4640</v>
      </c>
      <c r="AO1173" s="78" t="s">
        <v>4849</v>
      </c>
      <c r="AP1173" t="b">
        <v>0</v>
      </c>
      <c r="AQ1173" s="78" t="s">
        <v>3722</v>
      </c>
      <c r="AR1173" t="s">
        <v>179</v>
      </c>
      <c r="AS1173">
        <v>0</v>
      </c>
      <c r="AT1173">
        <v>0</v>
      </c>
    </row>
    <row r="1174" spans="1:46" x14ac:dyDescent="0.45">
      <c r="A1174" s="62" t="s">
        <v>627</v>
      </c>
      <c r="B1174" s="62" t="s">
        <v>1258</v>
      </c>
      <c r="C1174" s="63"/>
      <c r="D1174" s="64"/>
      <c r="E1174" s="65"/>
      <c r="F1174" s="66"/>
      <c r="G1174" s="63"/>
      <c r="H1174" s="67"/>
      <c r="I1174" s="68"/>
      <c r="J1174" s="68"/>
      <c r="K1174" s="32"/>
      <c r="L1174" s="75"/>
      <c r="M1174" s="75"/>
      <c r="N1174" s="70"/>
      <c r="O1174" t="s">
        <v>1568</v>
      </c>
      <c r="P1174" s="76">
        <v>44956.959791666668</v>
      </c>
      <c r="Q1174" t="s">
        <v>1745</v>
      </c>
      <c r="U1174" s="77" t="str">
        <f>HYPERLINK("https://pbs.twimg.com/media/FnwXCZxWYAAmxik.jpg")</f>
        <v>https://pbs.twimg.com/media/FnwXCZxWYAAmxik.jpg</v>
      </c>
      <c r="V1174" s="77" t="str">
        <f>HYPERLINK("https://pbs.twimg.com/media/FnwXCZxWYAAmxik.jpg")</f>
        <v>https://pbs.twimg.com/media/FnwXCZxWYAAmxik.jpg</v>
      </c>
      <c r="W1174" s="76">
        <v>44956.959791666668</v>
      </c>
      <c r="X1174" s="80">
        <v>44956</v>
      </c>
      <c r="Y1174" s="78" t="s">
        <v>3418</v>
      </c>
      <c r="Z1174" s="77" t="str">
        <f>HYPERLINK("https://twitter.com/lacolorsusa/status/1620195678008889345")</f>
        <v>https://twitter.com/lacolorsusa/status/1620195678008889345</v>
      </c>
      <c r="AC1174" s="78" t="s">
        <v>4483</v>
      </c>
      <c r="AE1174" t="b">
        <v>0</v>
      </c>
      <c r="AF1174">
        <v>26</v>
      </c>
      <c r="AG1174" s="78" t="s">
        <v>4640</v>
      </c>
      <c r="AH1174" t="b">
        <v>0</v>
      </c>
      <c r="AI1174" t="s">
        <v>4829</v>
      </c>
      <c r="AK1174" s="78" t="s">
        <v>4640</v>
      </c>
      <c r="AL1174" t="b">
        <v>0</v>
      </c>
      <c r="AM1174">
        <v>6</v>
      </c>
      <c r="AN1174" s="78" t="s">
        <v>4640</v>
      </c>
      <c r="AO1174" s="78" t="s">
        <v>4864</v>
      </c>
      <c r="AP1174" t="b">
        <v>0</v>
      </c>
      <c r="AQ1174" s="78" t="s">
        <v>4483</v>
      </c>
      <c r="AR1174" t="s">
        <v>1569</v>
      </c>
      <c r="AS1174">
        <v>0</v>
      </c>
      <c r="AT1174">
        <v>0</v>
      </c>
    </row>
    <row r="1175" spans="1:46" x14ac:dyDescent="0.45">
      <c r="A1175" s="62" t="s">
        <v>627</v>
      </c>
      <c r="B1175" s="62" t="s">
        <v>242</v>
      </c>
      <c r="C1175" s="63"/>
      <c r="D1175" s="64"/>
      <c r="E1175" s="65"/>
      <c r="F1175" s="66"/>
      <c r="G1175" s="63"/>
      <c r="H1175" s="67"/>
      <c r="I1175" s="68"/>
      <c r="J1175" s="68"/>
      <c r="K1175" s="32"/>
      <c r="L1175" s="75"/>
      <c r="M1175" s="75"/>
      <c r="N1175" s="70"/>
      <c r="O1175" t="s">
        <v>1568</v>
      </c>
      <c r="P1175" s="76">
        <v>44956.959791666668</v>
      </c>
      <c r="Q1175" t="s">
        <v>1745</v>
      </c>
      <c r="U1175" s="77" t="str">
        <f>HYPERLINK("https://pbs.twimg.com/media/FnwXCZxWYAAmxik.jpg")</f>
        <v>https://pbs.twimg.com/media/FnwXCZxWYAAmxik.jpg</v>
      </c>
      <c r="V1175" s="77" t="str">
        <f>HYPERLINK("https://pbs.twimg.com/media/FnwXCZxWYAAmxik.jpg")</f>
        <v>https://pbs.twimg.com/media/FnwXCZxWYAAmxik.jpg</v>
      </c>
      <c r="W1175" s="76">
        <v>44956.959791666668</v>
      </c>
      <c r="X1175" s="80">
        <v>44956</v>
      </c>
      <c r="Y1175" s="78" t="s">
        <v>3418</v>
      </c>
      <c r="Z1175" s="77" t="str">
        <f>HYPERLINK("https://twitter.com/lacolorsusa/status/1620195678008889345")</f>
        <v>https://twitter.com/lacolorsusa/status/1620195678008889345</v>
      </c>
      <c r="AC1175" s="78" t="s">
        <v>4483</v>
      </c>
      <c r="AE1175" t="b">
        <v>0</v>
      </c>
      <c r="AF1175">
        <v>26</v>
      </c>
      <c r="AG1175" s="78" t="s">
        <v>4640</v>
      </c>
      <c r="AH1175" t="b">
        <v>0</v>
      </c>
      <c r="AI1175" t="s">
        <v>4829</v>
      </c>
      <c r="AK1175" s="78" t="s">
        <v>4640</v>
      </c>
      <c r="AL1175" t="b">
        <v>0</v>
      </c>
      <c r="AM1175">
        <v>6</v>
      </c>
      <c r="AN1175" s="78" t="s">
        <v>4640</v>
      </c>
      <c r="AO1175" s="78" t="s">
        <v>4864</v>
      </c>
      <c r="AP1175" t="b">
        <v>0</v>
      </c>
      <c r="AQ1175" s="78" t="s">
        <v>4483</v>
      </c>
      <c r="AR1175" t="s">
        <v>1569</v>
      </c>
      <c r="AS1175">
        <v>0</v>
      </c>
      <c r="AT1175">
        <v>0</v>
      </c>
    </row>
    <row r="1176" spans="1:46" x14ac:dyDescent="0.45">
      <c r="A1176" s="62" t="s">
        <v>551</v>
      </c>
      <c r="B1176" s="62" t="s">
        <v>1230</v>
      </c>
      <c r="C1176" s="63"/>
      <c r="D1176" s="64"/>
      <c r="E1176" s="65"/>
      <c r="F1176" s="66"/>
      <c r="G1176" s="63"/>
      <c r="H1176" s="67"/>
      <c r="I1176" s="68"/>
      <c r="J1176" s="68"/>
      <c r="K1176" s="32"/>
      <c r="L1176" s="75"/>
      <c r="M1176" s="75"/>
      <c r="N1176" s="70"/>
      <c r="O1176" t="s">
        <v>1568</v>
      </c>
      <c r="P1176" s="76">
        <v>44958.802268518521</v>
      </c>
      <c r="Q1176" t="s">
        <v>1815</v>
      </c>
      <c r="V1176" s="77" t="str">
        <f>HYPERLINK("https://pbs.twimg.com/profile_images/1263482455924903937/xbI7DJGA_normal.jpg")</f>
        <v>https://pbs.twimg.com/profile_images/1263482455924903937/xbI7DJGA_normal.jpg</v>
      </c>
      <c r="W1176" s="76">
        <v>44958.802268518521</v>
      </c>
      <c r="X1176" s="80">
        <v>44958</v>
      </c>
      <c r="Y1176" s="78" t="s">
        <v>2793</v>
      </c>
      <c r="Z1176" s="77" t="str">
        <f>HYPERLINK("https://twitter.com/space_dude93/status/1620863372681170944")</f>
        <v>https://twitter.com/space_dude93/status/1620863372681170944</v>
      </c>
      <c r="AC1176" s="78" t="s">
        <v>3812</v>
      </c>
      <c r="AD1176" s="78" t="s">
        <v>4473</v>
      </c>
      <c r="AE1176" t="b">
        <v>0</v>
      </c>
      <c r="AF1176">
        <v>22</v>
      </c>
      <c r="AG1176" s="78" t="s">
        <v>4639</v>
      </c>
      <c r="AH1176" t="b">
        <v>0</v>
      </c>
      <c r="AI1176" t="s">
        <v>4829</v>
      </c>
      <c r="AK1176" s="78" t="s">
        <v>4640</v>
      </c>
      <c r="AL1176" t="b">
        <v>0</v>
      </c>
      <c r="AM1176">
        <v>0</v>
      </c>
      <c r="AN1176" s="78" t="s">
        <v>4640</v>
      </c>
      <c r="AO1176" s="78" t="s">
        <v>4849</v>
      </c>
      <c r="AP1176" t="b">
        <v>0</v>
      </c>
      <c r="AQ1176" s="78" t="s">
        <v>4473</v>
      </c>
      <c r="AR1176" t="s">
        <v>179</v>
      </c>
      <c r="AS1176">
        <v>0</v>
      </c>
      <c r="AT1176">
        <v>0</v>
      </c>
    </row>
    <row r="1177" spans="1:46" x14ac:dyDescent="0.45">
      <c r="A1177" s="62" t="s">
        <v>551</v>
      </c>
      <c r="B1177" s="62" t="s">
        <v>242</v>
      </c>
      <c r="C1177" s="63"/>
      <c r="D1177" s="64"/>
      <c r="E1177" s="65"/>
      <c r="F1177" s="66"/>
      <c r="G1177" s="63"/>
      <c r="H1177" s="67"/>
      <c r="I1177" s="68"/>
      <c r="J1177" s="68"/>
      <c r="K1177" s="32"/>
      <c r="L1177" s="75"/>
      <c r="M1177" s="75"/>
      <c r="N1177" s="70"/>
      <c r="O1177" t="s">
        <v>1567</v>
      </c>
      <c r="P1177" s="76">
        <v>44958.802268518521</v>
      </c>
      <c r="Q1177" t="s">
        <v>1815</v>
      </c>
      <c r="V1177" s="77" t="str">
        <f>HYPERLINK("https://pbs.twimg.com/profile_images/1263482455924903937/xbI7DJGA_normal.jpg")</f>
        <v>https://pbs.twimg.com/profile_images/1263482455924903937/xbI7DJGA_normal.jpg</v>
      </c>
      <c r="W1177" s="76">
        <v>44958.802268518521</v>
      </c>
      <c r="X1177" s="80">
        <v>44958</v>
      </c>
      <c r="Y1177" s="78" t="s">
        <v>2793</v>
      </c>
      <c r="Z1177" s="77" t="str">
        <f>HYPERLINK("https://twitter.com/space_dude93/status/1620863372681170944")</f>
        <v>https://twitter.com/space_dude93/status/1620863372681170944</v>
      </c>
      <c r="AC1177" s="78" t="s">
        <v>3812</v>
      </c>
      <c r="AD1177" s="78" t="s">
        <v>4473</v>
      </c>
      <c r="AE1177" t="b">
        <v>0</v>
      </c>
      <c r="AF1177">
        <v>22</v>
      </c>
      <c r="AG1177" s="78" t="s">
        <v>4639</v>
      </c>
      <c r="AH1177" t="b">
        <v>0</v>
      </c>
      <c r="AI1177" t="s">
        <v>4829</v>
      </c>
      <c r="AK1177" s="78" t="s">
        <v>4640</v>
      </c>
      <c r="AL1177" t="b">
        <v>0</v>
      </c>
      <c r="AM1177">
        <v>0</v>
      </c>
      <c r="AN1177" s="78" t="s">
        <v>4640</v>
      </c>
      <c r="AO1177" s="78" t="s">
        <v>4849</v>
      </c>
      <c r="AP1177" t="b">
        <v>0</v>
      </c>
      <c r="AQ1177" s="78" t="s">
        <v>4473</v>
      </c>
      <c r="AR1177" t="s">
        <v>179</v>
      </c>
      <c r="AS1177">
        <v>0</v>
      </c>
      <c r="AT1177">
        <v>0</v>
      </c>
    </row>
    <row r="1178" spans="1:46" x14ac:dyDescent="0.45">
      <c r="A1178" s="62" t="s">
        <v>383</v>
      </c>
      <c r="B1178" s="62" t="s">
        <v>382</v>
      </c>
      <c r="C1178" s="63"/>
      <c r="D1178" s="64"/>
      <c r="E1178" s="65"/>
      <c r="F1178" s="66"/>
      <c r="G1178" s="63"/>
      <c r="H1178" s="67"/>
      <c r="I1178" s="68"/>
      <c r="J1178" s="68"/>
      <c r="K1178" s="32"/>
      <c r="L1178" s="75"/>
      <c r="M1178" s="75"/>
      <c r="N1178" s="70"/>
      <c r="O1178" t="s">
        <v>1568</v>
      </c>
      <c r="P1178" s="76">
        <v>44958.693761574075</v>
      </c>
      <c r="Q1178" t="s">
        <v>1720</v>
      </c>
      <c r="V1178" s="77" t="str">
        <f>HYPERLINK("https://pbs.twimg.com/profile_images/1617542025259192327/OB3jIV7B_normal.jpg")</f>
        <v>https://pbs.twimg.com/profile_images/1617542025259192327/OB3jIV7B_normal.jpg</v>
      </c>
      <c r="W1178" s="76">
        <v>44958.693761574075</v>
      </c>
      <c r="X1178" s="80">
        <v>44958</v>
      </c>
      <c r="Y1178" s="78" t="s">
        <v>2609</v>
      </c>
      <c r="Z1178" s="77" t="str">
        <f>HYPERLINK("https://twitter.com/mileyssoap/status/1620824051475439617")</f>
        <v>https://twitter.com/mileyssoap/status/1620824051475439617</v>
      </c>
      <c r="AC1178" s="78" t="s">
        <v>3626</v>
      </c>
      <c r="AD1178" s="78" t="s">
        <v>4473</v>
      </c>
      <c r="AE1178" t="b">
        <v>0</v>
      </c>
      <c r="AF1178">
        <v>20</v>
      </c>
      <c r="AG1178" s="78" t="s">
        <v>4639</v>
      </c>
      <c r="AH1178" t="b">
        <v>0</v>
      </c>
      <c r="AI1178" t="s">
        <v>4829</v>
      </c>
      <c r="AK1178" s="78" t="s">
        <v>4640</v>
      </c>
      <c r="AL1178" t="b">
        <v>0</v>
      </c>
      <c r="AM1178">
        <v>0</v>
      </c>
      <c r="AN1178" s="78" t="s">
        <v>4640</v>
      </c>
      <c r="AO1178" s="78" t="s">
        <v>4849</v>
      </c>
      <c r="AP1178" t="b">
        <v>0</v>
      </c>
      <c r="AQ1178" s="78" t="s">
        <v>4473</v>
      </c>
      <c r="AR1178" t="s">
        <v>179</v>
      </c>
      <c r="AS1178">
        <v>0</v>
      </c>
      <c r="AT1178">
        <v>0</v>
      </c>
    </row>
    <row r="1179" spans="1:46" x14ac:dyDescent="0.45">
      <c r="A1179" s="62" t="s">
        <v>383</v>
      </c>
      <c r="B1179" s="62" t="s">
        <v>1230</v>
      </c>
      <c r="C1179" s="63"/>
      <c r="D1179" s="64"/>
      <c r="E1179" s="65"/>
      <c r="F1179" s="66"/>
      <c r="G1179" s="63"/>
      <c r="H1179" s="67"/>
      <c r="I1179" s="68"/>
      <c r="J1179" s="68"/>
      <c r="K1179" s="32"/>
      <c r="L1179" s="75"/>
      <c r="M1179" s="75"/>
      <c r="N1179" s="70"/>
      <c r="O1179" t="s">
        <v>1568</v>
      </c>
      <c r="P1179" s="76">
        <v>44958.693761574075</v>
      </c>
      <c r="Q1179" t="s">
        <v>1720</v>
      </c>
      <c r="V1179" s="77" t="str">
        <f>HYPERLINK("https://pbs.twimg.com/profile_images/1617542025259192327/OB3jIV7B_normal.jpg")</f>
        <v>https://pbs.twimg.com/profile_images/1617542025259192327/OB3jIV7B_normal.jpg</v>
      </c>
      <c r="W1179" s="76">
        <v>44958.693761574075</v>
      </c>
      <c r="X1179" s="80">
        <v>44958</v>
      </c>
      <c r="Y1179" s="78" t="s">
        <v>2609</v>
      </c>
      <c r="Z1179" s="77" t="str">
        <f>HYPERLINK("https://twitter.com/mileyssoap/status/1620824051475439617")</f>
        <v>https://twitter.com/mileyssoap/status/1620824051475439617</v>
      </c>
      <c r="AC1179" s="78" t="s">
        <v>3626</v>
      </c>
      <c r="AD1179" s="78" t="s">
        <v>4473</v>
      </c>
      <c r="AE1179" t="b">
        <v>0</v>
      </c>
      <c r="AF1179">
        <v>20</v>
      </c>
      <c r="AG1179" s="78" t="s">
        <v>4639</v>
      </c>
      <c r="AH1179" t="b">
        <v>0</v>
      </c>
      <c r="AI1179" t="s">
        <v>4829</v>
      </c>
      <c r="AK1179" s="78" t="s">
        <v>4640</v>
      </c>
      <c r="AL1179" t="b">
        <v>0</v>
      </c>
      <c r="AM1179">
        <v>0</v>
      </c>
      <c r="AN1179" s="78" t="s">
        <v>4640</v>
      </c>
      <c r="AO1179" s="78" t="s">
        <v>4849</v>
      </c>
      <c r="AP1179" t="b">
        <v>0</v>
      </c>
      <c r="AQ1179" s="78" t="s">
        <v>4473</v>
      </c>
      <c r="AR1179" t="s">
        <v>179</v>
      </c>
      <c r="AS1179">
        <v>0</v>
      </c>
      <c r="AT1179">
        <v>0</v>
      </c>
    </row>
    <row r="1180" spans="1:46" x14ac:dyDescent="0.45">
      <c r="A1180" s="62" t="s">
        <v>383</v>
      </c>
      <c r="B1180" s="62" t="s">
        <v>242</v>
      </c>
      <c r="C1180" s="63"/>
      <c r="D1180" s="64"/>
      <c r="E1180" s="65"/>
      <c r="F1180" s="66"/>
      <c r="G1180" s="63"/>
      <c r="H1180" s="67"/>
      <c r="I1180" s="68"/>
      <c r="J1180" s="68"/>
      <c r="K1180" s="32"/>
      <c r="L1180" s="75"/>
      <c r="M1180" s="75"/>
      <c r="N1180" s="70"/>
      <c r="O1180" t="s">
        <v>1567</v>
      </c>
      <c r="P1180" s="76">
        <v>44958.693761574075</v>
      </c>
      <c r="Q1180" t="s">
        <v>1720</v>
      </c>
      <c r="V1180" s="77" t="str">
        <f>HYPERLINK("https://pbs.twimg.com/profile_images/1617542025259192327/OB3jIV7B_normal.jpg")</f>
        <v>https://pbs.twimg.com/profile_images/1617542025259192327/OB3jIV7B_normal.jpg</v>
      </c>
      <c r="W1180" s="76">
        <v>44958.693761574075</v>
      </c>
      <c r="X1180" s="80">
        <v>44958</v>
      </c>
      <c r="Y1180" s="78" t="s">
        <v>2609</v>
      </c>
      <c r="Z1180" s="77" t="str">
        <f>HYPERLINK("https://twitter.com/mileyssoap/status/1620824051475439617")</f>
        <v>https://twitter.com/mileyssoap/status/1620824051475439617</v>
      </c>
      <c r="AC1180" s="78" t="s">
        <v>3626</v>
      </c>
      <c r="AD1180" s="78" t="s">
        <v>4473</v>
      </c>
      <c r="AE1180" t="b">
        <v>0</v>
      </c>
      <c r="AF1180">
        <v>20</v>
      </c>
      <c r="AG1180" s="78" t="s">
        <v>4639</v>
      </c>
      <c r="AH1180" t="b">
        <v>0</v>
      </c>
      <c r="AI1180" t="s">
        <v>4829</v>
      </c>
      <c r="AK1180" s="78" t="s">
        <v>4640</v>
      </c>
      <c r="AL1180" t="b">
        <v>0</v>
      </c>
      <c r="AM1180">
        <v>0</v>
      </c>
      <c r="AN1180" s="78" t="s">
        <v>4640</v>
      </c>
      <c r="AO1180" s="78" t="s">
        <v>4849</v>
      </c>
      <c r="AP1180" t="b">
        <v>0</v>
      </c>
      <c r="AQ1180" s="78" t="s">
        <v>4473</v>
      </c>
      <c r="AR1180" t="s">
        <v>179</v>
      </c>
      <c r="AS1180">
        <v>0</v>
      </c>
      <c r="AT1180">
        <v>0</v>
      </c>
    </row>
    <row r="1181" spans="1:46" x14ac:dyDescent="0.45">
      <c r="A1181" s="62" t="s">
        <v>319</v>
      </c>
      <c r="B1181" s="62" t="s">
        <v>242</v>
      </c>
      <c r="C1181" s="63"/>
      <c r="D1181" s="64"/>
      <c r="E1181" s="65"/>
      <c r="F1181" s="66"/>
      <c r="G1181" s="63"/>
      <c r="H1181" s="67"/>
      <c r="I1181" s="68"/>
      <c r="J1181" s="68"/>
      <c r="K1181" s="32"/>
      <c r="L1181" s="75"/>
      <c r="M1181" s="75"/>
      <c r="N1181" s="70"/>
      <c r="O1181" t="s">
        <v>1568</v>
      </c>
      <c r="P1181" s="76">
        <v>44958.615358796298</v>
      </c>
      <c r="Q1181" t="s">
        <v>1663</v>
      </c>
      <c r="V1181" s="77" t="str">
        <f>HYPERLINK("https://pbs.twimg.com/profile_images/1606115837122863105/YzOR8VLj_normal.jpg")</f>
        <v>https://pbs.twimg.com/profile_images/1606115837122863105/YzOR8VLj_normal.jpg</v>
      </c>
      <c r="W1181" s="76">
        <v>44958.615358796298</v>
      </c>
      <c r="X1181" s="80">
        <v>44958</v>
      </c>
      <c r="Y1181" s="78" t="s">
        <v>2533</v>
      </c>
      <c r="Z1181" s="77" t="str">
        <f>HYPERLINK("https://twitter.com/godlovesohio/status/1620795638828138497")</f>
        <v>https://twitter.com/godlovesohio/status/1620795638828138497</v>
      </c>
      <c r="AC1181" s="78" t="s">
        <v>3549</v>
      </c>
      <c r="AE1181" t="b">
        <v>0</v>
      </c>
      <c r="AF1181">
        <v>14</v>
      </c>
      <c r="AG1181" s="78" t="s">
        <v>4640</v>
      </c>
      <c r="AH1181" t="b">
        <v>0</v>
      </c>
      <c r="AI1181" t="s">
        <v>4829</v>
      </c>
      <c r="AK1181" s="78" t="s">
        <v>4640</v>
      </c>
      <c r="AL1181" t="b">
        <v>0</v>
      </c>
      <c r="AM1181">
        <v>0</v>
      </c>
      <c r="AN1181" s="78" t="s">
        <v>4640</v>
      </c>
      <c r="AO1181" s="78" t="s">
        <v>4850</v>
      </c>
      <c r="AP1181" t="b">
        <v>0</v>
      </c>
      <c r="AQ1181" s="78" t="s">
        <v>3549</v>
      </c>
      <c r="AR1181" t="s">
        <v>179</v>
      </c>
      <c r="AS1181">
        <v>0</v>
      </c>
      <c r="AT1181">
        <v>0</v>
      </c>
    </row>
    <row r="1182" spans="1:46" x14ac:dyDescent="0.45">
      <c r="A1182" s="62" t="s">
        <v>911</v>
      </c>
      <c r="B1182" s="62" t="s">
        <v>1230</v>
      </c>
      <c r="C1182" s="63"/>
      <c r="D1182" s="64"/>
      <c r="E1182" s="65"/>
      <c r="F1182" s="66"/>
      <c r="G1182" s="63"/>
      <c r="H1182" s="67"/>
      <c r="I1182" s="68"/>
      <c r="J1182" s="68"/>
      <c r="K1182" s="32"/>
      <c r="L1182" s="75"/>
      <c r="M1182" s="75"/>
      <c r="N1182" s="70"/>
      <c r="O1182" t="s">
        <v>1568</v>
      </c>
      <c r="P1182" s="76">
        <v>44959.099849537037</v>
      </c>
      <c r="Q1182" t="s">
        <v>2070</v>
      </c>
      <c r="U1182" s="77" t="str">
        <f>HYPERLINK("https://pbs.twimg.com/media/Fn7YuYoakAAwn5P.jpg")</f>
        <v>https://pbs.twimg.com/media/Fn7YuYoakAAwn5P.jpg</v>
      </c>
      <c r="V1182" s="77" t="str">
        <f>HYPERLINK("https://pbs.twimg.com/media/Fn7YuYoakAAwn5P.jpg")</f>
        <v>https://pbs.twimg.com/media/Fn7YuYoakAAwn5P.jpg</v>
      </c>
      <c r="W1182" s="76">
        <v>44959.099849537037</v>
      </c>
      <c r="X1182" s="80">
        <v>44959</v>
      </c>
      <c r="Y1182" s="78" t="s">
        <v>3175</v>
      </c>
      <c r="Z1182" s="77" t="str">
        <f>HYPERLINK("https://twitter.com/_mileywood/status/1620971212682977281")</f>
        <v>https://twitter.com/_mileywood/status/1620971212682977281</v>
      </c>
      <c r="AC1182" s="78" t="s">
        <v>4240</v>
      </c>
      <c r="AD1182" s="78" t="s">
        <v>4473</v>
      </c>
      <c r="AE1182" t="b">
        <v>0</v>
      </c>
      <c r="AF1182">
        <v>14</v>
      </c>
      <c r="AG1182" s="78" t="s">
        <v>4639</v>
      </c>
      <c r="AH1182" t="b">
        <v>0</v>
      </c>
      <c r="AI1182" t="s">
        <v>4829</v>
      </c>
      <c r="AK1182" s="78" t="s">
        <v>4640</v>
      </c>
      <c r="AL1182" t="b">
        <v>0</v>
      </c>
      <c r="AM1182">
        <v>0</v>
      </c>
      <c r="AN1182" s="78" t="s">
        <v>4640</v>
      </c>
      <c r="AO1182" s="78" t="s">
        <v>4849</v>
      </c>
      <c r="AP1182" t="b">
        <v>0</v>
      </c>
      <c r="AQ1182" s="78" t="s">
        <v>4473</v>
      </c>
      <c r="AR1182" t="s">
        <v>179</v>
      </c>
      <c r="AS1182">
        <v>0</v>
      </c>
      <c r="AT1182">
        <v>0</v>
      </c>
    </row>
    <row r="1183" spans="1:46" x14ac:dyDescent="0.45">
      <c r="A1183" s="62" t="s">
        <v>911</v>
      </c>
      <c r="B1183" s="62" t="s">
        <v>242</v>
      </c>
      <c r="C1183" s="63"/>
      <c r="D1183" s="64"/>
      <c r="E1183" s="65"/>
      <c r="F1183" s="66"/>
      <c r="G1183" s="63"/>
      <c r="H1183" s="67"/>
      <c r="I1183" s="68"/>
      <c r="J1183" s="68"/>
      <c r="K1183" s="32"/>
      <c r="L1183" s="75"/>
      <c r="M1183" s="75"/>
      <c r="N1183" s="70"/>
      <c r="O1183" t="s">
        <v>1567</v>
      </c>
      <c r="P1183" s="76">
        <v>44959.099849537037</v>
      </c>
      <c r="Q1183" t="s">
        <v>2070</v>
      </c>
      <c r="U1183" s="77" t="str">
        <f>HYPERLINK("https://pbs.twimg.com/media/Fn7YuYoakAAwn5P.jpg")</f>
        <v>https://pbs.twimg.com/media/Fn7YuYoakAAwn5P.jpg</v>
      </c>
      <c r="V1183" s="77" t="str">
        <f>HYPERLINK("https://pbs.twimg.com/media/Fn7YuYoakAAwn5P.jpg")</f>
        <v>https://pbs.twimg.com/media/Fn7YuYoakAAwn5P.jpg</v>
      </c>
      <c r="W1183" s="76">
        <v>44959.099849537037</v>
      </c>
      <c r="X1183" s="80">
        <v>44959</v>
      </c>
      <c r="Y1183" s="78" t="s">
        <v>3175</v>
      </c>
      <c r="Z1183" s="77" t="str">
        <f>HYPERLINK("https://twitter.com/_mileywood/status/1620971212682977281")</f>
        <v>https://twitter.com/_mileywood/status/1620971212682977281</v>
      </c>
      <c r="AC1183" s="78" t="s">
        <v>4240</v>
      </c>
      <c r="AD1183" s="78" t="s">
        <v>4473</v>
      </c>
      <c r="AE1183" t="b">
        <v>0</v>
      </c>
      <c r="AF1183">
        <v>14</v>
      </c>
      <c r="AG1183" s="78" t="s">
        <v>4639</v>
      </c>
      <c r="AH1183" t="b">
        <v>0</v>
      </c>
      <c r="AI1183" t="s">
        <v>4829</v>
      </c>
      <c r="AK1183" s="78" t="s">
        <v>4640</v>
      </c>
      <c r="AL1183" t="b">
        <v>0</v>
      </c>
      <c r="AM1183">
        <v>0</v>
      </c>
      <c r="AN1183" s="78" t="s">
        <v>4640</v>
      </c>
      <c r="AO1183" s="78" t="s">
        <v>4849</v>
      </c>
      <c r="AP1183" t="b">
        <v>0</v>
      </c>
      <c r="AQ1183" s="78" t="s">
        <v>4473</v>
      </c>
      <c r="AR1183" t="s">
        <v>179</v>
      </c>
      <c r="AS1183">
        <v>0</v>
      </c>
      <c r="AT1183">
        <v>0</v>
      </c>
    </row>
    <row r="1184" spans="1:46" x14ac:dyDescent="0.45">
      <c r="A1184" s="62" t="s">
        <v>918</v>
      </c>
      <c r="B1184" s="62" t="s">
        <v>242</v>
      </c>
      <c r="C1184" s="63"/>
      <c r="D1184" s="64"/>
      <c r="E1184" s="65"/>
      <c r="F1184" s="66"/>
      <c r="G1184" s="63"/>
      <c r="H1184" s="67"/>
      <c r="I1184" s="68"/>
      <c r="J1184" s="68"/>
      <c r="K1184" s="32"/>
      <c r="L1184" s="75"/>
      <c r="M1184" s="75"/>
      <c r="N1184" s="70"/>
      <c r="O1184" t="s">
        <v>1568</v>
      </c>
      <c r="P1184" s="76">
        <v>44958.960486111115</v>
      </c>
      <c r="Q1184" t="s">
        <v>2061</v>
      </c>
      <c r="U1184" s="77" t="str">
        <f>HYPERLINK("https://pbs.twimg.com/media/Fn6qvSzaMAA6y2k.jpg")</f>
        <v>https://pbs.twimg.com/media/Fn6qvSzaMAA6y2k.jpg</v>
      </c>
      <c r="V1184" s="77" t="str">
        <f>HYPERLINK("https://pbs.twimg.com/media/Fn6qvSzaMAA6y2k.jpg")</f>
        <v>https://pbs.twimg.com/media/Fn6qvSzaMAA6y2k.jpg</v>
      </c>
      <c r="W1184" s="76">
        <v>44958.960486111115</v>
      </c>
      <c r="X1184" s="80">
        <v>44958</v>
      </c>
      <c r="Y1184" s="78" t="s">
        <v>3183</v>
      </c>
      <c r="Z1184" s="77" t="str">
        <f>HYPERLINK("https://twitter.com/thecremeshop/status/1620920708665835521")</f>
        <v>https://twitter.com/thecremeshop/status/1620920708665835521</v>
      </c>
      <c r="AC1184" s="78" t="s">
        <v>4248</v>
      </c>
      <c r="AE1184" t="b">
        <v>0</v>
      </c>
      <c r="AF1184">
        <v>14</v>
      </c>
      <c r="AG1184" s="78" t="s">
        <v>4640</v>
      </c>
      <c r="AH1184" t="b">
        <v>0</v>
      </c>
      <c r="AI1184" t="s">
        <v>4829</v>
      </c>
      <c r="AK1184" s="78" t="s">
        <v>4640</v>
      </c>
      <c r="AL1184" t="b">
        <v>0</v>
      </c>
      <c r="AM1184">
        <v>2</v>
      </c>
      <c r="AN1184" s="78" t="s">
        <v>4640</v>
      </c>
      <c r="AO1184" s="78" t="s">
        <v>4851</v>
      </c>
      <c r="AP1184" t="b">
        <v>0</v>
      </c>
      <c r="AQ1184" s="78" t="s">
        <v>4248</v>
      </c>
      <c r="AR1184" t="s">
        <v>179</v>
      </c>
      <c r="AS1184">
        <v>0</v>
      </c>
      <c r="AT1184">
        <v>0</v>
      </c>
    </row>
    <row r="1185" spans="1:46" x14ac:dyDescent="0.45">
      <c r="A1185" s="62" t="s">
        <v>226</v>
      </c>
      <c r="B1185" s="62" t="s">
        <v>242</v>
      </c>
      <c r="C1185" s="63"/>
      <c r="D1185" s="64"/>
      <c r="E1185" s="65"/>
      <c r="F1185" s="66"/>
      <c r="G1185" s="63"/>
      <c r="H1185" s="67"/>
      <c r="I1185" s="68"/>
      <c r="J1185" s="68"/>
      <c r="K1185" s="32"/>
      <c r="L1185" s="75"/>
      <c r="M1185" s="75"/>
      <c r="N1185" s="70"/>
      <c r="O1185" t="s">
        <v>1568</v>
      </c>
      <c r="P1185" s="76">
        <v>44958.302476851852</v>
      </c>
      <c r="Q1185" t="s">
        <v>1580</v>
      </c>
      <c r="V1185" s="77" t="str">
        <f>HYPERLINK("https://pbs.twimg.com/profile_images/1600579551347752960/nZYegcvh_normal.jpg")</f>
        <v>https://pbs.twimg.com/profile_images/1600579551347752960/nZYegcvh_normal.jpg</v>
      </c>
      <c r="W1185" s="76">
        <v>44958.302476851852</v>
      </c>
      <c r="X1185" s="80">
        <v>44958</v>
      </c>
      <c r="Y1185" s="78" t="s">
        <v>2429</v>
      </c>
      <c r="Z1185" s="77" t="str">
        <f>HYPERLINK("https://twitter.com/mechamelissa/status/1620682251511136258")</f>
        <v>https://twitter.com/mechamelissa/status/1620682251511136258</v>
      </c>
      <c r="AC1185" s="78" t="s">
        <v>3444</v>
      </c>
      <c r="AD1185" s="78" t="s">
        <v>4342</v>
      </c>
      <c r="AE1185" t="b">
        <v>0</v>
      </c>
      <c r="AF1185">
        <v>12</v>
      </c>
      <c r="AG1185" s="78" t="s">
        <v>4646</v>
      </c>
      <c r="AH1185" t="b">
        <v>0</v>
      </c>
      <c r="AI1185" t="s">
        <v>4829</v>
      </c>
      <c r="AK1185" s="78" t="s">
        <v>4640</v>
      </c>
      <c r="AL1185" t="b">
        <v>0</v>
      </c>
      <c r="AM1185">
        <v>0</v>
      </c>
      <c r="AN1185" s="78" t="s">
        <v>4640</v>
      </c>
      <c r="AO1185" s="78" t="s">
        <v>4849</v>
      </c>
      <c r="AP1185" t="b">
        <v>0</v>
      </c>
      <c r="AQ1185" s="78" t="s">
        <v>4342</v>
      </c>
      <c r="AR1185" t="s">
        <v>179</v>
      </c>
      <c r="AS1185">
        <v>0</v>
      </c>
      <c r="AT1185">
        <v>0</v>
      </c>
    </row>
    <row r="1186" spans="1:46" x14ac:dyDescent="0.45">
      <c r="A1186" s="62" t="s">
        <v>226</v>
      </c>
      <c r="B1186" s="62" t="s">
        <v>992</v>
      </c>
      <c r="C1186" s="63"/>
      <c r="D1186" s="64"/>
      <c r="E1186" s="65"/>
      <c r="F1186" s="66"/>
      <c r="G1186" s="63"/>
      <c r="H1186" s="67"/>
      <c r="I1186" s="68"/>
      <c r="J1186" s="68"/>
      <c r="K1186" s="32"/>
      <c r="L1186" s="75"/>
      <c r="M1186" s="75"/>
      <c r="N1186" s="70"/>
      <c r="O1186" t="s">
        <v>1567</v>
      </c>
      <c r="P1186" s="76">
        <v>44958.302476851852</v>
      </c>
      <c r="Q1186" t="s">
        <v>1580</v>
      </c>
      <c r="V1186" s="77" t="str">
        <f>HYPERLINK("https://pbs.twimg.com/profile_images/1600579551347752960/nZYegcvh_normal.jpg")</f>
        <v>https://pbs.twimg.com/profile_images/1600579551347752960/nZYegcvh_normal.jpg</v>
      </c>
      <c r="W1186" s="76">
        <v>44958.302476851852</v>
      </c>
      <c r="X1186" s="80">
        <v>44958</v>
      </c>
      <c r="Y1186" s="78" t="s">
        <v>2429</v>
      </c>
      <c r="Z1186" s="77" t="str">
        <f>HYPERLINK("https://twitter.com/mechamelissa/status/1620682251511136258")</f>
        <v>https://twitter.com/mechamelissa/status/1620682251511136258</v>
      </c>
      <c r="AC1186" s="78" t="s">
        <v>3444</v>
      </c>
      <c r="AD1186" s="78" t="s">
        <v>4342</v>
      </c>
      <c r="AE1186" t="b">
        <v>0</v>
      </c>
      <c r="AF1186">
        <v>12</v>
      </c>
      <c r="AG1186" s="78" t="s">
        <v>4646</v>
      </c>
      <c r="AH1186" t="b">
        <v>0</v>
      </c>
      <c r="AI1186" t="s">
        <v>4829</v>
      </c>
      <c r="AK1186" s="78" t="s">
        <v>4640</v>
      </c>
      <c r="AL1186" t="b">
        <v>0</v>
      </c>
      <c r="AM1186">
        <v>0</v>
      </c>
      <c r="AN1186" s="78" t="s">
        <v>4640</v>
      </c>
      <c r="AO1186" s="78" t="s">
        <v>4849</v>
      </c>
      <c r="AP1186" t="b">
        <v>0</v>
      </c>
      <c r="AQ1186" s="78" t="s">
        <v>4342</v>
      </c>
      <c r="AR1186" t="s">
        <v>179</v>
      </c>
      <c r="AS1186">
        <v>0</v>
      </c>
      <c r="AT1186">
        <v>0</v>
      </c>
    </row>
    <row r="1187" spans="1:46" x14ac:dyDescent="0.45">
      <c r="A1187" s="62" t="s">
        <v>942</v>
      </c>
      <c r="B1187" s="62" t="s">
        <v>242</v>
      </c>
      <c r="C1187" s="63"/>
      <c r="D1187" s="64"/>
      <c r="E1187" s="65"/>
      <c r="F1187" s="66"/>
      <c r="G1187" s="63"/>
      <c r="H1187" s="67"/>
      <c r="I1187" s="68"/>
      <c r="J1187" s="68"/>
      <c r="K1187" s="32"/>
      <c r="L1187" s="75"/>
      <c r="M1187" s="75"/>
      <c r="N1187" s="70"/>
      <c r="O1187" t="s">
        <v>1568</v>
      </c>
      <c r="P1187" s="76">
        <v>44958.176076388889</v>
      </c>
      <c r="Q1187" t="s">
        <v>1733</v>
      </c>
      <c r="U1187" s="77" t="str">
        <f>HYPERLINK("https://pbs.twimg.com/media/Fn2oQeVXoAIkJQK.jpg")</f>
        <v>https://pbs.twimg.com/media/Fn2oQeVXoAIkJQK.jpg</v>
      </c>
      <c r="V1187" s="77" t="str">
        <f>HYPERLINK("https://pbs.twimg.com/media/Fn2oQeVXoAIkJQK.jpg")</f>
        <v>https://pbs.twimg.com/media/Fn2oQeVXoAIkJQK.jpg</v>
      </c>
      <c r="W1187" s="76">
        <v>44958.176076388889</v>
      </c>
      <c r="X1187" s="80">
        <v>44958</v>
      </c>
      <c r="Y1187" s="78" t="s">
        <v>3214</v>
      </c>
      <c r="Z1187" s="77" t="str">
        <f>HYPERLINK("https://twitter.com/cryptolung/status/1620636447828250624")</f>
        <v>https://twitter.com/cryptolung/status/1620636447828250624</v>
      </c>
      <c r="AC1187" s="78" t="s">
        <v>4279</v>
      </c>
      <c r="AE1187" t="b">
        <v>0</v>
      </c>
      <c r="AF1187">
        <v>12</v>
      </c>
      <c r="AG1187" s="78" t="s">
        <v>4640</v>
      </c>
      <c r="AH1187" t="b">
        <v>0</v>
      </c>
      <c r="AI1187" t="s">
        <v>4829</v>
      </c>
      <c r="AK1187" s="78" t="s">
        <v>4640</v>
      </c>
      <c r="AL1187" t="b">
        <v>0</v>
      </c>
      <c r="AM1187">
        <v>2</v>
      </c>
      <c r="AN1187" s="78" t="s">
        <v>4640</v>
      </c>
      <c r="AO1187" s="78" t="s">
        <v>4850</v>
      </c>
      <c r="AP1187" t="b">
        <v>0</v>
      </c>
      <c r="AQ1187" s="78" t="s">
        <v>4279</v>
      </c>
      <c r="AR1187" t="s">
        <v>1569</v>
      </c>
      <c r="AS1187">
        <v>0</v>
      </c>
      <c r="AT1187">
        <v>0</v>
      </c>
    </row>
    <row r="1188" spans="1:46" x14ac:dyDescent="0.45">
      <c r="A1188" s="62" t="s">
        <v>627</v>
      </c>
      <c r="B1188" s="62" t="s">
        <v>242</v>
      </c>
      <c r="C1188" s="63"/>
      <c r="D1188" s="64"/>
      <c r="E1188" s="65"/>
      <c r="F1188" s="66"/>
      <c r="G1188" s="63"/>
      <c r="H1188" s="67"/>
      <c r="I1188" s="68"/>
      <c r="J1188" s="68"/>
      <c r="K1188" s="32"/>
      <c r="L1188" s="75"/>
      <c r="M1188" s="75"/>
      <c r="N1188" s="70"/>
      <c r="O1188" t="s">
        <v>1568</v>
      </c>
      <c r="P1188" s="76">
        <v>44958.835914351854</v>
      </c>
      <c r="Q1188" t="s">
        <v>2246</v>
      </c>
      <c r="U1188" s="77" t="str">
        <f>HYPERLINK("https://pbs.twimg.com/media/Fn6BGqfWYAA8RjS.jpg")</f>
        <v>https://pbs.twimg.com/media/Fn6BGqfWYAA8RjS.jpg</v>
      </c>
      <c r="V1188" s="77" t="str">
        <f>HYPERLINK("https://pbs.twimg.com/media/Fn6BGqfWYAA8RjS.jpg")</f>
        <v>https://pbs.twimg.com/media/Fn6BGqfWYAA8RjS.jpg</v>
      </c>
      <c r="W1188" s="76">
        <v>44958.835914351854</v>
      </c>
      <c r="X1188" s="80">
        <v>44958</v>
      </c>
      <c r="Y1188" s="78" t="s">
        <v>3420</v>
      </c>
      <c r="Z1188" s="77" t="str">
        <f>HYPERLINK("https://twitter.com/lacolorsusa/status/1620875563421339659")</f>
        <v>https://twitter.com/lacolorsusa/status/1620875563421339659</v>
      </c>
      <c r="AC1188" s="78" t="s">
        <v>4485</v>
      </c>
      <c r="AE1188" t="b">
        <v>0</v>
      </c>
      <c r="AF1188">
        <v>12</v>
      </c>
      <c r="AG1188" s="78" t="s">
        <v>4640</v>
      </c>
      <c r="AH1188" t="b">
        <v>0</v>
      </c>
      <c r="AI1188" t="s">
        <v>4829</v>
      </c>
      <c r="AK1188" s="78" t="s">
        <v>4640</v>
      </c>
      <c r="AL1188" t="b">
        <v>0</v>
      </c>
      <c r="AM1188">
        <v>0</v>
      </c>
      <c r="AN1188" s="78" t="s">
        <v>4640</v>
      </c>
      <c r="AO1188" s="78" t="s">
        <v>4864</v>
      </c>
      <c r="AP1188" t="b">
        <v>0</v>
      </c>
      <c r="AQ1188" s="78" t="s">
        <v>4485</v>
      </c>
      <c r="AR1188" t="s">
        <v>179</v>
      </c>
      <c r="AS1188">
        <v>0</v>
      </c>
      <c r="AT1188">
        <v>0</v>
      </c>
    </row>
    <row r="1189" spans="1:46" x14ac:dyDescent="0.45">
      <c r="A1189" s="62" t="s">
        <v>1067</v>
      </c>
      <c r="B1189" s="62" t="s">
        <v>242</v>
      </c>
      <c r="C1189" s="63"/>
      <c r="D1189" s="64"/>
      <c r="E1189" s="65"/>
      <c r="F1189" s="66"/>
      <c r="G1189" s="63"/>
      <c r="H1189" s="67"/>
      <c r="I1189" s="68"/>
      <c r="J1189" s="68"/>
      <c r="K1189" s="32"/>
      <c r="L1189" s="75"/>
      <c r="M1189" s="75"/>
      <c r="N1189" s="70"/>
      <c r="O1189" t="s">
        <v>1568</v>
      </c>
      <c r="P1189" s="76">
        <v>44959.224930555552</v>
      </c>
      <c r="Q1189" t="s">
        <v>2168</v>
      </c>
      <c r="V1189" s="77" t="str">
        <f>HYPERLINK("https://pbs.twimg.com/profile_images/1550637603711508480/dBXopsgE_normal.jpg")</f>
        <v>https://pbs.twimg.com/profile_images/1550637603711508480/dBXopsgE_normal.jpg</v>
      </c>
      <c r="W1189" s="76">
        <v>44959.224930555552</v>
      </c>
      <c r="X1189" s="80">
        <v>44959</v>
      </c>
      <c r="Y1189" s="78" t="s">
        <v>3380</v>
      </c>
      <c r="Z1189" s="77" t="str">
        <f>HYPERLINK("https://twitter.com/omgpodcast22/status/1621016538261356545")</f>
        <v>https://twitter.com/omgpodcast22/status/1621016538261356545</v>
      </c>
      <c r="AC1189" s="78" t="s">
        <v>4445</v>
      </c>
      <c r="AE1189" t="b">
        <v>0</v>
      </c>
      <c r="AF1189">
        <v>11</v>
      </c>
      <c r="AG1189" s="78" t="s">
        <v>4640</v>
      </c>
      <c r="AH1189" t="b">
        <v>0</v>
      </c>
      <c r="AI1189" t="s">
        <v>4829</v>
      </c>
      <c r="AK1189" s="78" t="s">
        <v>4640</v>
      </c>
      <c r="AL1189" t="b">
        <v>0</v>
      </c>
      <c r="AM1189">
        <v>1</v>
      </c>
      <c r="AN1189" s="78" t="s">
        <v>4640</v>
      </c>
      <c r="AO1189" s="78" t="s">
        <v>4851</v>
      </c>
      <c r="AP1189" t="b">
        <v>0</v>
      </c>
      <c r="AQ1189" s="78" t="s">
        <v>4445</v>
      </c>
      <c r="AR1189" t="s">
        <v>179</v>
      </c>
      <c r="AS1189">
        <v>0</v>
      </c>
      <c r="AT1189">
        <v>0</v>
      </c>
    </row>
    <row r="1190" spans="1:46" x14ac:dyDescent="0.45">
      <c r="A1190" s="62" t="s">
        <v>772</v>
      </c>
      <c r="B1190" s="62" t="s">
        <v>1355</v>
      </c>
      <c r="C1190" s="63"/>
      <c r="D1190" s="64"/>
      <c r="E1190" s="65"/>
      <c r="F1190" s="66"/>
      <c r="G1190" s="63"/>
      <c r="H1190" s="67"/>
      <c r="I1190" s="68"/>
      <c r="J1190" s="68"/>
      <c r="K1190" s="32"/>
      <c r="L1190" s="75"/>
      <c r="M1190" s="75"/>
      <c r="N1190" s="70"/>
      <c r="O1190" t="s">
        <v>1567</v>
      </c>
      <c r="P1190" s="76">
        <v>44958.89775462963</v>
      </c>
      <c r="Q1190" t="s">
        <v>1949</v>
      </c>
      <c r="V1190" s="77" t="str">
        <f>HYPERLINK("https://pbs.twimg.com/profile_images/1471159420365295618/hOV9SlTs_normal.jpg")</f>
        <v>https://pbs.twimg.com/profile_images/1471159420365295618/hOV9SlTs_normal.jpg</v>
      </c>
      <c r="W1190" s="76">
        <v>44958.89775462963</v>
      </c>
      <c r="X1190" s="80">
        <v>44958</v>
      </c>
      <c r="Y1190" s="78" t="s">
        <v>2994</v>
      </c>
      <c r="Z1190" s="77" t="str">
        <f>HYPERLINK("https://twitter.com/simpneelix/status/1620897973386502145")</f>
        <v>https://twitter.com/simpneelix/status/1620897973386502145</v>
      </c>
      <c r="AC1190" s="78" t="s">
        <v>4059</v>
      </c>
      <c r="AD1190" s="78" t="s">
        <v>4568</v>
      </c>
      <c r="AE1190" t="b">
        <v>0</v>
      </c>
      <c r="AF1190">
        <v>10</v>
      </c>
      <c r="AG1190" s="78" t="s">
        <v>4736</v>
      </c>
      <c r="AH1190" t="b">
        <v>0</v>
      </c>
      <c r="AI1190" t="s">
        <v>4829</v>
      </c>
      <c r="AK1190" s="78" t="s">
        <v>4640</v>
      </c>
      <c r="AL1190" t="b">
        <v>0</v>
      </c>
      <c r="AM1190">
        <v>0</v>
      </c>
      <c r="AN1190" s="78" t="s">
        <v>4640</v>
      </c>
      <c r="AO1190" s="78" t="s">
        <v>4850</v>
      </c>
      <c r="AP1190" t="b">
        <v>0</v>
      </c>
      <c r="AQ1190" s="78" t="s">
        <v>4568</v>
      </c>
      <c r="AR1190" t="s">
        <v>179</v>
      </c>
      <c r="AS1190">
        <v>0</v>
      </c>
      <c r="AT1190">
        <v>0</v>
      </c>
    </row>
    <row r="1191" spans="1:46" x14ac:dyDescent="0.45">
      <c r="A1191" s="62" t="s">
        <v>772</v>
      </c>
      <c r="B1191" s="62" t="s">
        <v>242</v>
      </c>
      <c r="C1191" s="63"/>
      <c r="D1191" s="64"/>
      <c r="E1191" s="65"/>
      <c r="F1191" s="66"/>
      <c r="G1191" s="63"/>
      <c r="H1191" s="67"/>
      <c r="I1191" s="68"/>
      <c r="J1191" s="68"/>
      <c r="K1191" s="32"/>
      <c r="L1191" s="75"/>
      <c r="M1191" s="75"/>
      <c r="N1191" s="70"/>
      <c r="O1191" t="s">
        <v>1568</v>
      </c>
      <c r="P1191" s="76">
        <v>44958.89775462963</v>
      </c>
      <c r="Q1191" t="s">
        <v>1949</v>
      </c>
      <c r="V1191" s="77" t="str">
        <f>HYPERLINK("https://pbs.twimg.com/profile_images/1471159420365295618/hOV9SlTs_normal.jpg")</f>
        <v>https://pbs.twimg.com/profile_images/1471159420365295618/hOV9SlTs_normal.jpg</v>
      </c>
      <c r="W1191" s="76">
        <v>44958.89775462963</v>
      </c>
      <c r="X1191" s="80">
        <v>44958</v>
      </c>
      <c r="Y1191" s="78" t="s">
        <v>2994</v>
      </c>
      <c r="Z1191" s="77" t="str">
        <f>HYPERLINK("https://twitter.com/simpneelix/status/1620897973386502145")</f>
        <v>https://twitter.com/simpneelix/status/1620897973386502145</v>
      </c>
      <c r="AC1191" s="78" t="s">
        <v>4059</v>
      </c>
      <c r="AD1191" s="78" t="s">
        <v>4568</v>
      </c>
      <c r="AE1191" t="b">
        <v>0</v>
      </c>
      <c r="AF1191">
        <v>10</v>
      </c>
      <c r="AG1191" s="78" t="s">
        <v>4736</v>
      </c>
      <c r="AH1191" t="b">
        <v>0</v>
      </c>
      <c r="AI1191" t="s">
        <v>4829</v>
      </c>
      <c r="AK1191" s="78" t="s">
        <v>4640</v>
      </c>
      <c r="AL1191" t="b">
        <v>0</v>
      </c>
      <c r="AM1191">
        <v>0</v>
      </c>
      <c r="AN1191" s="78" t="s">
        <v>4640</v>
      </c>
      <c r="AO1191" s="78" t="s">
        <v>4850</v>
      </c>
      <c r="AP1191" t="b">
        <v>0</v>
      </c>
      <c r="AQ1191" s="78" t="s">
        <v>4568</v>
      </c>
      <c r="AR1191" t="s">
        <v>179</v>
      </c>
      <c r="AS1191">
        <v>0</v>
      </c>
      <c r="AT1191">
        <v>0</v>
      </c>
    </row>
    <row r="1192" spans="1:46" x14ac:dyDescent="0.45">
      <c r="A1192" s="62" t="s">
        <v>658</v>
      </c>
      <c r="B1192" s="62" t="s">
        <v>1318</v>
      </c>
      <c r="C1192" s="63"/>
      <c r="D1192" s="64"/>
      <c r="E1192" s="65"/>
      <c r="F1192" s="66"/>
      <c r="G1192" s="63"/>
      <c r="H1192" s="67"/>
      <c r="I1192" s="68"/>
      <c r="J1192" s="68"/>
      <c r="K1192" s="32"/>
      <c r="L1192" s="75"/>
      <c r="M1192" s="75"/>
      <c r="N1192" s="70"/>
      <c r="O1192" t="s">
        <v>1568</v>
      </c>
      <c r="P1192" s="76">
        <v>44710.523182870369</v>
      </c>
      <c r="Q1192" t="s">
        <v>1851</v>
      </c>
      <c r="U1192" s="77" t="str">
        <f>HYPERLINK("https://pbs.twimg.com/media/FT7QXZUXoAQZnqP.png")</f>
        <v>https://pbs.twimg.com/media/FT7QXZUXoAQZnqP.png</v>
      </c>
      <c r="V1192" s="77" t="str">
        <f>HYPERLINK("https://pbs.twimg.com/media/FT7QXZUXoAQZnqP.png")</f>
        <v>https://pbs.twimg.com/media/FT7QXZUXoAQZnqP.png</v>
      </c>
      <c r="W1192" s="76">
        <v>44710.523182870369</v>
      </c>
      <c r="X1192" s="80">
        <v>44710</v>
      </c>
      <c r="Y1192" s="78" t="s">
        <v>2859</v>
      </c>
      <c r="Z1192" s="77" t="str">
        <f>HYPERLINK("https://twitter.com/ingeniouschi/status/1530890045183369217")</f>
        <v>https://twitter.com/ingeniouschi/status/1530890045183369217</v>
      </c>
      <c r="AC1192" s="78" t="s">
        <v>3924</v>
      </c>
      <c r="AE1192" t="b">
        <v>0</v>
      </c>
      <c r="AF1192">
        <v>9</v>
      </c>
      <c r="AG1192" s="78" t="s">
        <v>4640</v>
      </c>
      <c r="AH1192" t="b">
        <v>0</v>
      </c>
      <c r="AI1192" t="s">
        <v>4829</v>
      </c>
      <c r="AK1192" s="78" t="s">
        <v>4640</v>
      </c>
      <c r="AL1192" t="b">
        <v>0</v>
      </c>
      <c r="AM1192">
        <v>5</v>
      </c>
      <c r="AN1192" s="78" t="s">
        <v>4640</v>
      </c>
      <c r="AO1192" s="78" t="s">
        <v>4851</v>
      </c>
      <c r="AP1192" t="b">
        <v>0</v>
      </c>
      <c r="AQ1192" s="78" t="s">
        <v>3924</v>
      </c>
      <c r="AR1192" t="s">
        <v>1569</v>
      </c>
      <c r="AS1192">
        <v>0</v>
      </c>
      <c r="AT1192">
        <v>0</v>
      </c>
    </row>
    <row r="1193" spans="1:46" x14ac:dyDescent="0.45">
      <c r="A1193" s="62" t="s">
        <v>658</v>
      </c>
      <c r="B1193" s="62" t="s">
        <v>1319</v>
      </c>
      <c r="C1193" s="63"/>
      <c r="D1193" s="64"/>
      <c r="E1193" s="65"/>
      <c r="F1193" s="66"/>
      <c r="G1193" s="63"/>
      <c r="H1193" s="67"/>
      <c r="I1193" s="68"/>
      <c r="J1193" s="68"/>
      <c r="K1193" s="32"/>
      <c r="L1193" s="75"/>
      <c r="M1193" s="75"/>
      <c r="N1193" s="70"/>
      <c r="O1193" t="s">
        <v>1568</v>
      </c>
      <c r="P1193" s="76">
        <v>44710.523182870369</v>
      </c>
      <c r="Q1193" t="s">
        <v>1851</v>
      </c>
      <c r="U1193" s="77" t="str">
        <f>HYPERLINK("https://pbs.twimg.com/media/FT7QXZUXoAQZnqP.png")</f>
        <v>https://pbs.twimg.com/media/FT7QXZUXoAQZnqP.png</v>
      </c>
      <c r="V1193" s="77" t="str">
        <f>HYPERLINK("https://pbs.twimg.com/media/FT7QXZUXoAQZnqP.png")</f>
        <v>https://pbs.twimg.com/media/FT7QXZUXoAQZnqP.png</v>
      </c>
      <c r="W1193" s="76">
        <v>44710.523182870369</v>
      </c>
      <c r="X1193" s="80">
        <v>44710</v>
      </c>
      <c r="Y1193" s="78" t="s">
        <v>2859</v>
      </c>
      <c r="Z1193" s="77" t="str">
        <f>HYPERLINK("https://twitter.com/ingeniouschi/status/1530890045183369217")</f>
        <v>https://twitter.com/ingeniouschi/status/1530890045183369217</v>
      </c>
      <c r="AC1193" s="78" t="s">
        <v>3924</v>
      </c>
      <c r="AE1193" t="b">
        <v>0</v>
      </c>
      <c r="AF1193">
        <v>9</v>
      </c>
      <c r="AG1193" s="78" t="s">
        <v>4640</v>
      </c>
      <c r="AH1193" t="b">
        <v>0</v>
      </c>
      <c r="AI1193" t="s">
        <v>4829</v>
      </c>
      <c r="AK1193" s="78" t="s">
        <v>4640</v>
      </c>
      <c r="AL1193" t="b">
        <v>0</v>
      </c>
      <c r="AM1193">
        <v>5</v>
      </c>
      <c r="AN1193" s="78" t="s">
        <v>4640</v>
      </c>
      <c r="AO1193" s="78" t="s">
        <v>4851</v>
      </c>
      <c r="AP1193" t="b">
        <v>0</v>
      </c>
      <c r="AQ1193" s="78" t="s">
        <v>3924</v>
      </c>
      <c r="AR1193" t="s">
        <v>1569</v>
      </c>
      <c r="AS1193">
        <v>0</v>
      </c>
      <c r="AT1193">
        <v>0</v>
      </c>
    </row>
    <row r="1194" spans="1:46" x14ac:dyDescent="0.45">
      <c r="A1194" s="62" t="s">
        <v>658</v>
      </c>
      <c r="B1194" s="62" t="s">
        <v>1320</v>
      </c>
      <c r="C1194" s="63"/>
      <c r="D1194" s="64"/>
      <c r="E1194" s="65"/>
      <c r="F1194" s="66"/>
      <c r="G1194" s="63"/>
      <c r="H1194" s="67"/>
      <c r="I1194" s="68"/>
      <c r="J1194" s="68"/>
      <c r="K1194" s="32"/>
      <c r="L1194" s="75"/>
      <c r="M1194" s="75"/>
      <c r="N1194" s="70"/>
      <c r="O1194" t="s">
        <v>1568</v>
      </c>
      <c r="P1194" s="76">
        <v>44710.523182870369</v>
      </c>
      <c r="Q1194" t="s">
        <v>1851</v>
      </c>
      <c r="U1194" s="77" t="str">
        <f>HYPERLINK("https://pbs.twimg.com/media/FT7QXZUXoAQZnqP.png")</f>
        <v>https://pbs.twimg.com/media/FT7QXZUXoAQZnqP.png</v>
      </c>
      <c r="V1194" s="77" t="str">
        <f>HYPERLINK("https://pbs.twimg.com/media/FT7QXZUXoAQZnqP.png")</f>
        <v>https://pbs.twimg.com/media/FT7QXZUXoAQZnqP.png</v>
      </c>
      <c r="W1194" s="76">
        <v>44710.523182870369</v>
      </c>
      <c r="X1194" s="80">
        <v>44710</v>
      </c>
      <c r="Y1194" s="78" t="s">
        <v>2859</v>
      </c>
      <c r="Z1194" s="77" t="str">
        <f>HYPERLINK("https://twitter.com/ingeniouschi/status/1530890045183369217")</f>
        <v>https://twitter.com/ingeniouschi/status/1530890045183369217</v>
      </c>
      <c r="AC1194" s="78" t="s">
        <v>3924</v>
      </c>
      <c r="AE1194" t="b">
        <v>0</v>
      </c>
      <c r="AF1194">
        <v>9</v>
      </c>
      <c r="AG1194" s="78" t="s">
        <v>4640</v>
      </c>
      <c r="AH1194" t="b">
        <v>0</v>
      </c>
      <c r="AI1194" t="s">
        <v>4829</v>
      </c>
      <c r="AK1194" s="78" t="s">
        <v>4640</v>
      </c>
      <c r="AL1194" t="b">
        <v>0</v>
      </c>
      <c r="AM1194">
        <v>5</v>
      </c>
      <c r="AN1194" s="78" t="s">
        <v>4640</v>
      </c>
      <c r="AO1194" s="78" t="s">
        <v>4851</v>
      </c>
      <c r="AP1194" t="b">
        <v>0</v>
      </c>
      <c r="AQ1194" s="78" t="s">
        <v>3924</v>
      </c>
      <c r="AR1194" t="s">
        <v>1569</v>
      </c>
      <c r="AS1194">
        <v>0</v>
      </c>
      <c r="AT1194">
        <v>0</v>
      </c>
    </row>
    <row r="1195" spans="1:46" x14ac:dyDescent="0.45">
      <c r="A1195" s="62" t="s">
        <v>658</v>
      </c>
      <c r="B1195" s="62" t="s">
        <v>1321</v>
      </c>
      <c r="C1195" s="63"/>
      <c r="D1195" s="64"/>
      <c r="E1195" s="65"/>
      <c r="F1195" s="66"/>
      <c r="G1195" s="63"/>
      <c r="H1195" s="67"/>
      <c r="I1195" s="68"/>
      <c r="J1195" s="68"/>
      <c r="K1195" s="32"/>
      <c r="L1195" s="75"/>
      <c r="M1195" s="75"/>
      <c r="N1195" s="70"/>
      <c r="O1195" t="s">
        <v>1568</v>
      </c>
      <c r="P1195" s="76">
        <v>44710.523182870369</v>
      </c>
      <c r="Q1195" t="s">
        <v>1851</v>
      </c>
      <c r="U1195" s="77" t="str">
        <f>HYPERLINK("https://pbs.twimg.com/media/FT7QXZUXoAQZnqP.png")</f>
        <v>https://pbs.twimg.com/media/FT7QXZUXoAQZnqP.png</v>
      </c>
      <c r="V1195" s="77" t="str">
        <f>HYPERLINK("https://pbs.twimg.com/media/FT7QXZUXoAQZnqP.png")</f>
        <v>https://pbs.twimg.com/media/FT7QXZUXoAQZnqP.png</v>
      </c>
      <c r="W1195" s="76">
        <v>44710.523182870369</v>
      </c>
      <c r="X1195" s="80">
        <v>44710</v>
      </c>
      <c r="Y1195" s="78" t="s">
        <v>2859</v>
      </c>
      <c r="Z1195" s="77" t="str">
        <f>HYPERLINK("https://twitter.com/ingeniouschi/status/1530890045183369217")</f>
        <v>https://twitter.com/ingeniouschi/status/1530890045183369217</v>
      </c>
      <c r="AC1195" s="78" t="s">
        <v>3924</v>
      </c>
      <c r="AE1195" t="b">
        <v>0</v>
      </c>
      <c r="AF1195">
        <v>9</v>
      </c>
      <c r="AG1195" s="78" t="s">
        <v>4640</v>
      </c>
      <c r="AH1195" t="b">
        <v>0</v>
      </c>
      <c r="AI1195" t="s">
        <v>4829</v>
      </c>
      <c r="AK1195" s="78" t="s">
        <v>4640</v>
      </c>
      <c r="AL1195" t="b">
        <v>0</v>
      </c>
      <c r="AM1195">
        <v>5</v>
      </c>
      <c r="AN1195" s="78" t="s">
        <v>4640</v>
      </c>
      <c r="AO1195" s="78" t="s">
        <v>4851</v>
      </c>
      <c r="AP1195" t="b">
        <v>0</v>
      </c>
      <c r="AQ1195" s="78" t="s">
        <v>3924</v>
      </c>
      <c r="AR1195" t="s">
        <v>1569</v>
      </c>
      <c r="AS1195">
        <v>0</v>
      </c>
      <c r="AT1195">
        <v>0</v>
      </c>
    </row>
    <row r="1196" spans="1:46" x14ac:dyDescent="0.45">
      <c r="A1196" s="62" t="s">
        <v>658</v>
      </c>
      <c r="B1196" s="62" t="s">
        <v>1322</v>
      </c>
      <c r="C1196" s="63"/>
      <c r="D1196" s="64"/>
      <c r="E1196" s="65"/>
      <c r="F1196" s="66"/>
      <c r="G1196" s="63"/>
      <c r="H1196" s="67"/>
      <c r="I1196" s="68"/>
      <c r="J1196" s="68"/>
      <c r="K1196" s="32"/>
      <c r="L1196" s="75"/>
      <c r="M1196" s="75"/>
      <c r="N1196" s="70"/>
      <c r="O1196" t="s">
        <v>1568</v>
      </c>
      <c r="P1196" s="76">
        <v>44710.523182870369</v>
      </c>
      <c r="Q1196" t="s">
        <v>1851</v>
      </c>
      <c r="U1196" s="77" t="str">
        <f>HYPERLINK("https://pbs.twimg.com/media/FT7QXZUXoAQZnqP.png")</f>
        <v>https://pbs.twimg.com/media/FT7QXZUXoAQZnqP.png</v>
      </c>
      <c r="V1196" s="77" t="str">
        <f>HYPERLINK("https://pbs.twimg.com/media/FT7QXZUXoAQZnqP.png")</f>
        <v>https://pbs.twimg.com/media/FT7QXZUXoAQZnqP.png</v>
      </c>
      <c r="W1196" s="76">
        <v>44710.523182870369</v>
      </c>
      <c r="X1196" s="80">
        <v>44710</v>
      </c>
      <c r="Y1196" s="78" t="s">
        <v>2859</v>
      </c>
      <c r="Z1196" s="77" t="str">
        <f>HYPERLINK("https://twitter.com/ingeniouschi/status/1530890045183369217")</f>
        <v>https://twitter.com/ingeniouschi/status/1530890045183369217</v>
      </c>
      <c r="AC1196" s="78" t="s">
        <v>3924</v>
      </c>
      <c r="AE1196" t="b">
        <v>0</v>
      </c>
      <c r="AF1196">
        <v>9</v>
      </c>
      <c r="AG1196" s="78" t="s">
        <v>4640</v>
      </c>
      <c r="AH1196" t="b">
        <v>0</v>
      </c>
      <c r="AI1196" t="s">
        <v>4829</v>
      </c>
      <c r="AK1196" s="78" t="s">
        <v>4640</v>
      </c>
      <c r="AL1196" t="b">
        <v>0</v>
      </c>
      <c r="AM1196">
        <v>5</v>
      </c>
      <c r="AN1196" s="78" t="s">
        <v>4640</v>
      </c>
      <c r="AO1196" s="78" t="s">
        <v>4851</v>
      </c>
      <c r="AP1196" t="b">
        <v>0</v>
      </c>
      <c r="AQ1196" s="78" t="s">
        <v>3924</v>
      </c>
      <c r="AR1196" t="s">
        <v>1569</v>
      </c>
      <c r="AS1196">
        <v>0</v>
      </c>
      <c r="AT1196">
        <v>0</v>
      </c>
    </row>
    <row r="1197" spans="1:46" x14ac:dyDescent="0.45">
      <c r="A1197" s="62" t="s">
        <v>658</v>
      </c>
      <c r="B1197" s="62" t="s">
        <v>1323</v>
      </c>
      <c r="C1197" s="63"/>
      <c r="D1197" s="64"/>
      <c r="E1197" s="65"/>
      <c r="F1197" s="66"/>
      <c r="G1197" s="63"/>
      <c r="H1197" s="67"/>
      <c r="I1197" s="68"/>
      <c r="J1197" s="68"/>
      <c r="K1197" s="32"/>
      <c r="L1197" s="75"/>
      <c r="M1197" s="75"/>
      <c r="N1197" s="70"/>
      <c r="O1197" t="s">
        <v>1568</v>
      </c>
      <c r="P1197" s="76">
        <v>44710.523182870369</v>
      </c>
      <c r="Q1197" t="s">
        <v>1851</v>
      </c>
      <c r="U1197" s="77" t="str">
        <f>HYPERLINK("https://pbs.twimg.com/media/FT7QXZUXoAQZnqP.png")</f>
        <v>https://pbs.twimg.com/media/FT7QXZUXoAQZnqP.png</v>
      </c>
      <c r="V1197" s="77" t="str">
        <f>HYPERLINK("https://pbs.twimg.com/media/FT7QXZUXoAQZnqP.png")</f>
        <v>https://pbs.twimg.com/media/FT7QXZUXoAQZnqP.png</v>
      </c>
      <c r="W1197" s="76">
        <v>44710.523182870369</v>
      </c>
      <c r="X1197" s="80">
        <v>44710</v>
      </c>
      <c r="Y1197" s="78" t="s">
        <v>2859</v>
      </c>
      <c r="Z1197" s="77" t="str">
        <f>HYPERLINK("https://twitter.com/ingeniouschi/status/1530890045183369217")</f>
        <v>https://twitter.com/ingeniouschi/status/1530890045183369217</v>
      </c>
      <c r="AC1197" s="78" t="s">
        <v>3924</v>
      </c>
      <c r="AE1197" t="b">
        <v>0</v>
      </c>
      <c r="AF1197">
        <v>9</v>
      </c>
      <c r="AG1197" s="78" t="s">
        <v>4640</v>
      </c>
      <c r="AH1197" t="b">
        <v>0</v>
      </c>
      <c r="AI1197" t="s">
        <v>4829</v>
      </c>
      <c r="AK1197" s="78" t="s">
        <v>4640</v>
      </c>
      <c r="AL1197" t="b">
        <v>0</v>
      </c>
      <c r="AM1197">
        <v>5</v>
      </c>
      <c r="AN1197" s="78" t="s">
        <v>4640</v>
      </c>
      <c r="AO1197" s="78" t="s">
        <v>4851</v>
      </c>
      <c r="AP1197" t="b">
        <v>0</v>
      </c>
      <c r="AQ1197" s="78" t="s">
        <v>3924</v>
      </c>
      <c r="AR1197" t="s">
        <v>1569</v>
      </c>
      <c r="AS1197">
        <v>0</v>
      </c>
      <c r="AT1197">
        <v>0</v>
      </c>
    </row>
    <row r="1198" spans="1:46" x14ac:dyDescent="0.45">
      <c r="A1198" s="62" t="s">
        <v>658</v>
      </c>
      <c r="B1198" s="62" t="s">
        <v>1324</v>
      </c>
      <c r="C1198" s="63"/>
      <c r="D1198" s="64"/>
      <c r="E1198" s="65"/>
      <c r="F1198" s="66"/>
      <c r="G1198" s="63"/>
      <c r="H1198" s="67"/>
      <c r="I1198" s="68"/>
      <c r="J1198" s="68"/>
      <c r="K1198" s="32"/>
      <c r="L1198" s="75"/>
      <c r="M1198" s="75"/>
      <c r="N1198" s="70"/>
      <c r="O1198" t="s">
        <v>1568</v>
      </c>
      <c r="P1198" s="76">
        <v>44710.523182870369</v>
      </c>
      <c r="Q1198" t="s">
        <v>1851</v>
      </c>
      <c r="U1198" s="77" t="str">
        <f>HYPERLINK("https://pbs.twimg.com/media/FT7QXZUXoAQZnqP.png")</f>
        <v>https://pbs.twimg.com/media/FT7QXZUXoAQZnqP.png</v>
      </c>
      <c r="V1198" s="77" t="str">
        <f>HYPERLINK("https://pbs.twimg.com/media/FT7QXZUXoAQZnqP.png")</f>
        <v>https://pbs.twimg.com/media/FT7QXZUXoAQZnqP.png</v>
      </c>
      <c r="W1198" s="76">
        <v>44710.523182870369</v>
      </c>
      <c r="X1198" s="80">
        <v>44710</v>
      </c>
      <c r="Y1198" s="78" t="s">
        <v>2859</v>
      </c>
      <c r="Z1198" s="77" t="str">
        <f>HYPERLINK("https://twitter.com/ingeniouschi/status/1530890045183369217")</f>
        <v>https://twitter.com/ingeniouschi/status/1530890045183369217</v>
      </c>
      <c r="AC1198" s="78" t="s">
        <v>3924</v>
      </c>
      <c r="AE1198" t="b">
        <v>0</v>
      </c>
      <c r="AF1198">
        <v>9</v>
      </c>
      <c r="AG1198" s="78" t="s">
        <v>4640</v>
      </c>
      <c r="AH1198" t="b">
        <v>0</v>
      </c>
      <c r="AI1198" t="s">
        <v>4829</v>
      </c>
      <c r="AK1198" s="78" t="s">
        <v>4640</v>
      </c>
      <c r="AL1198" t="b">
        <v>0</v>
      </c>
      <c r="AM1198">
        <v>5</v>
      </c>
      <c r="AN1198" s="78" t="s">
        <v>4640</v>
      </c>
      <c r="AO1198" s="78" t="s">
        <v>4851</v>
      </c>
      <c r="AP1198" t="b">
        <v>0</v>
      </c>
      <c r="AQ1198" s="78" t="s">
        <v>3924</v>
      </c>
      <c r="AR1198" t="s">
        <v>1569</v>
      </c>
      <c r="AS1198">
        <v>0</v>
      </c>
      <c r="AT1198">
        <v>0</v>
      </c>
    </row>
    <row r="1199" spans="1:46" x14ac:dyDescent="0.45">
      <c r="A1199" s="62" t="s">
        <v>658</v>
      </c>
      <c r="B1199" s="62" t="s">
        <v>242</v>
      </c>
      <c r="C1199" s="63"/>
      <c r="D1199" s="64"/>
      <c r="E1199" s="65"/>
      <c r="F1199" s="66"/>
      <c r="G1199" s="63"/>
      <c r="H1199" s="67"/>
      <c r="I1199" s="68"/>
      <c r="J1199" s="68"/>
      <c r="K1199" s="32"/>
      <c r="L1199" s="75"/>
      <c r="M1199" s="75"/>
      <c r="N1199" s="70"/>
      <c r="O1199" t="s">
        <v>1568</v>
      </c>
      <c r="P1199" s="76">
        <v>44710.523182870369</v>
      </c>
      <c r="Q1199" t="s">
        <v>1851</v>
      </c>
      <c r="U1199" s="77" t="str">
        <f>HYPERLINK("https://pbs.twimg.com/media/FT7QXZUXoAQZnqP.png")</f>
        <v>https://pbs.twimg.com/media/FT7QXZUXoAQZnqP.png</v>
      </c>
      <c r="V1199" s="77" t="str">
        <f>HYPERLINK("https://pbs.twimg.com/media/FT7QXZUXoAQZnqP.png")</f>
        <v>https://pbs.twimg.com/media/FT7QXZUXoAQZnqP.png</v>
      </c>
      <c r="W1199" s="76">
        <v>44710.523182870369</v>
      </c>
      <c r="X1199" s="80">
        <v>44710</v>
      </c>
      <c r="Y1199" s="78" t="s">
        <v>2859</v>
      </c>
      <c r="Z1199" s="77" t="str">
        <f>HYPERLINK("https://twitter.com/ingeniouschi/status/1530890045183369217")</f>
        <v>https://twitter.com/ingeniouschi/status/1530890045183369217</v>
      </c>
      <c r="AC1199" s="78" t="s">
        <v>3924</v>
      </c>
      <c r="AE1199" t="b">
        <v>0</v>
      </c>
      <c r="AF1199">
        <v>9</v>
      </c>
      <c r="AG1199" s="78" t="s">
        <v>4640</v>
      </c>
      <c r="AH1199" t="b">
        <v>0</v>
      </c>
      <c r="AI1199" t="s">
        <v>4829</v>
      </c>
      <c r="AK1199" s="78" t="s">
        <v>4640</v>
      </c>
      <c r="AL1199" t="b">
        <v>0</v>
      </c>
      <c r="AM1199">
        <v>5</v>
      </c>
      <c r="AN1199" s="78" t="s">
        <v>4640</v>
      </c>
      <c r="AO1199" s="78" t="s">
        <v>4851</v>
      </c>
      <c r="AP1199" t="b">
        <v>0</v>
      </c>
      <c r="AQ1199" s="78" t="s">
        <v>3924</v>
      </c>
      <c r="AR1199" t="s">
        <v>1569</v>
      </c>
      <c r="AS1199">
        <v>0</v>
      </c>
      <c r="AT1199">
        <v>0</v>
      </c>
    </row>
    <row r="1200" spans="1:46" x14ac:dyDescent="0.45">
      <c r="A1200" s="62" t="s">
        <v>658</v>
      </c>
      <c r="B1200" s="62" t="s">
        <v>1180</v>
      </c>
      <c r="C1200" s="63"/>
      <c r="D1200" s="64"/>
      <c r="E1200" s="65"/>
      <c r="F1200" s="66"/>
      <c r="G1200" s="63"/>
      <c r="H1200" s="67"/>
      <c r="I1200" s="68"/>
      <c r="J1200" s="68"/>
      <c r="K1200" s="32"/>
      <c r="L1200" s="75"/>
      <c r="M1200" s="75"/>
      <c r="N1200" s="70"/>
      <c r="O1200" t="s">
        <v>1568</v>
      </c>
      <c r="P1200" s="76">
        <v>44710.523182870369</v>
      </c>
      <c r="Q1200" t="s">
        <v>1851</v>
      </c>
      <c r="U1200" s="77" t="str">
        <f>HYPERLINK("https://pbs.twimg.com/media/FT7QXZUXoAQZnqP.png")</f>
        <v>https://pbs.twimg.com/media/FT7QXZUXoAQZnqP.png</v>
      </c>
      <c r="V1200" s="77" t="str">
        <f>HYPERLINK("https://pbs.twimg.com/media/FT7QXZUXoAQZnqP.png")</f>
        <v>https://pbs.twimg.com/media/FT7QXZUXoAQZnqP.png</v>
      </c>
      <c r="W1200" s="76">
        <v>44710.523182870369</v>
      </c>
      <c r="X1200" s="80">
        <v>44710</v>
      </c>
      <c r="Y1200" s="78" t="s">
        <v>2859</v>
      </c>
      <c r="Z1200" s="77" t="str">
        <f>HYPERLINK("https://twitter.com/ingeniouschi/status/1530890045183369217")</f>
        <v>https://twitter.com/ingeniouschi/status/1530890045183369217</v>
      </c>
      <c r="AC1200" s="78" t="s">
        <v>3924</v>
      </c>
      <c r="AE1200" t="b">
        <v>0</v>
      </c>
      <c r="AF1200">
        <v>9</v>
      </c>
      <c r="AG1200" s="78" t="s">
        <v>4640</v>
      </c>
      <c r="AH1200" t="b">
        <v>0</v>
      </c>
      <c r="AI1200" t="s">
        <v>4829</v>
      </c>
      <c r="AK1200" s="78" t="s">
        <v>4640</v>
      </c>
      <c r="AL1200" t="b">
        <v>0</v>
      </c>
      <c r="AM1200">
        <v>5</v>
      </c>
      <c r="AN1200" s="78" t="s">
        <v>4640</v>
      </c>
      <c r="AO1200" s="78" t="s">
        <v>4851</v>
      </c>
      <c r="AP1200" t="b">
        <v>0</v>
      </c>
      <c r="AQ1200" s="78" t="s">
        <v>3924</v>
      </c>
      <c r="AR1200" t="s">
        <v>1569</v>
      </c>
      <c r="AS1200">
        <v>0</v>
      </c>
      <c r="AT1200">
        <v>0</v>
      </c>
    </row>
    <row r="1201" spans="1:46" x14ac:dyDescent="0.45">
      <c r="A1201" s="62" t="s">
        <v>658</v>
      </c>
      <c r="B1201" s="62" t="s">
        <v>1325</v>
      </c>
      <c r="C1201" s="63"/>
      <c r="D1201" s="64"/>
      <c r="E1201" s="65"/>
      <c r="F1201" s="66"/>
      <c r="G1201" s="63"/>
      <c r="H1201" s="67"/>
      <c r="I1201" s="68"/>
      <c r="J1201" s="68"/>
      <c r="K1201" s="32"/>
      <c r="L1201" s="75"/>
      <c r="M1201" s="75"/>
      <c r="N1201" s="70"/>
      <c r="O1201" t="s">
        <v>1568</v>
      </c>
      <c r="P1201" s="76">
        <v>44710.523182870369</v>
      </c>
      <c r="Q1201" t="s">
        <v>1851</v>
      </c>
      <c r="U1201" s="77" t="str">
        <f>HYPERLINK("https://pbs.twimg.com/media/FT7QXZUXoAQZnqP.png")</f>
        <v>https://pbs.twimg.com/media/FT7QXZUXoAQZnqP.png</v>
      </c>
      <c r="V1201" s="77" t="str">
        <f>HYPERLINK("https://pbs.twimg.com/media/FT7QXZUXoAQZnqP.png")</f>
        <v>https://pbs.twimg.com/media/FT7QXZUXoAQZnqP.png</v>
      </c>
      <c r="W1201" s="76">
        <v>44710.523182870369</v>
      </c>
      <c r="X1201" s="80">
        <v>44710</v>
      </c>
      <c r="Y1201" s="78" t="s">
        <v>2859</v>
      </c>
      <c r="Z1201" s="77" t="str">
        <f>HYPERLINK("https://twitter.com/ingeniouschi/status/1530890045183369217")</f>
        <v>https://twitter.com/ingeniouschi/status/1530890045183369217</v>
      </c>
      <c r="AC1201" s="78" t="s">
        <v>3924</v>
      </c>
      <c r="AE1201" t="b">
        <v>0</v>
      </c>
      <c r="AF1201">
        <v>9</v>
      </c>
      <c r="AG1201" s="78" t="s">
        <v>4640</v>
      </c>
      <c r="AH1201" t="b">
        <v>0</v>
      </c>
      <c r="AI1201" t="s">
        <v>4829</v>
      </c>
      <c r="AK1201" s="78" t="s">
        <v>4640</v>
      </c>
      <c r="AL1201" t="b">
        <v>0</v>
      </c>
      <c r="AM1201">
        <v>5</v>
      </c>
      <c r="AN1201" s="78" t="s">
        <v>4640</v>
      </c>
      <c r="AO1201" s="78" t="s">
        <v>4851</v>
      </c>
      <c r="AP1201" t="b">
        <v>0</v>
      </c>
      <c r="AQ1201" s="78" t="s">
        <v>3924</v>
      </c>
      <c r="AR1201" t="s">
        <v>1569</v>
      </c>
      <c r="AS1201">
        <v>0</v>
      </c>
      <c r="AT1201">
        <v>0</v>
      </c>
    </row>
    <row r="1202" spans="1:46" x14ac:dyDescent="0.45">
      <c r="A1202" s="62" t="s">
        <v>658</v>
      </c>
      <c r="B1202" s="62" t="s">
        <v>1182</v>
      </c>
      <c r="C1202" s="63"/>
      <c r="D1202" s="64"/>
      <c r="E1202" s="65"/>
      <c r="F1202" s="66"/>
      <c r="G1202" s="63"/>
      <c r="H1202" s="67"/>
      <c r="I1202" s="68"/>
      <c r="J1202" s="68"/>
      <c r="K1202" s="32"/>
      <c r="L1202" s="75"/>
      <c r="M1202" s="75"/>
      <c r="N1202" s="70"/>
      <c r="O1202" t="s">
        <v>1568</v>
      </c>
      <c r="P1202" s="76">
        <v>44710.523182870369</v>
      </c>
      <c r="Q1202" t="s">
        <v>1851</v>
      </c>
      <c r="U1202" s="77" t="str">
        <f>HYPERLINK("https://pbs.twimg.com/media/FT7QXZUXoAQZnqP.png")</f>
        <v>https://pbs.twimg.com/media/FT7QXZUXoAQZnqP.png</v>
      </c>
      <c r="V1202" s="77" t="str">
        <f>HYPERLINK("https://pbs.twimg.com/media/FT7QXZUXoAQZnqP.png")</f>
        <v>https://pbs.twimg.com/media/FT7QXZUXoAQZnqP.png</v>
      </c>
      <c r="W1202" s="76">
        <v>44710.523182870369</v>
      </c>
      <c r="X1202" s="80">
        <v>44710</v>
      </c>
      <c r="Y1202" s="78" t="s">
        <v>2859</v>
      </c>
      <c r="Z1202" s="77" t="str">
        <f>HYPERLINK("https://twitter.com/ingeniouschi/status/1530890045183369217")</f>
        <v>https://twitter.com/ingeniouschi/status/1530890045183369217</v>
      </c>
      <c r="AC1202" s="78" t="s">
        <v>3924</v>
      </c>
      <c r="AE1202" t="b">
        <v>0</v>
      </c>
      <c r="AF1202">
        <v>9</v>
      </c>
      <c r="AG1202" s="78" t="s">
        <v>4640</v>
      </c>
      <c r="AH1202" t="b">
        <v>0</v>
      </c>
      <c r="AI1202" t="s">
        <v>4829</v>
      </c>
      <c r="AK1202" s="78" t="s">
        <v>4640</v>
      </c>
      <c r="AL1202" t="b">
        <v>0</v>
      </c>
      <c r="AM1202">
        <v>5</v>
      </c>
      <c r="AN1202" s="78" t="s">
        <v>4640</v>
      </c>
      <c r="AO1202" s="78" t="s">
        <v>4851</v>
      </c>
      <c r="AP1202" t="b">
        <v>0</v>
      </c>
      <c r="AQ1202" s="78" t="s">
        <v>3924</v>
      </c>
      <c r="AR1202" t="s">
        <v>1569</v>
      </c>
      <c r="AS1202">
        <v>0</v>
      </c>
      <c r="AT1202">
        <v>0</v>
      </c>
    </row>
    <row r="1203" spans="1:46" x14ac:dyDescent="0.45">
      <c r="A1203" s="62" t="s">
        <v>658</v>
      </c>
      <c r="B1203" s="62" t="s">
        <v>1113</v>
      </c>
      <c r="C1203" s="63"/>
      <c r="D1203" s="64"/>
      <c r="E1203" s="65"/>
      <c r="F1203" s="66"/>
      <c r="G1203" s="63"/>
      <c r="H1203" s="67"/>
      <c r="I1203" s="68"/>
      <c r="J1203" s="68"/>
      <c r="K1203" s="32"/>
      <c r="L1203" s="75"/>
      <c r="M1203" s="75"/>
      <c r="N1203" s="70"/>
      <c r="O1203" t="s">
        <v>1568</v>
      </c>
      <c r="P1203" s="76">
        <v>44710.523182870369</v>
      </c>
      <c r="Q1203" t="s">
        <v>1851</v>
      </c>
      <c r="U1203" s="77" t="str">
        <f>HYPERLINK("https://pbs.twimg.com/media/FT7QXZUXoAQZnqP.png")</f>
        <v>https://pbs.twimg.com/media/FT7QXZUXoAQZnqP.png</v>
      </c>
      <c r="V1203" s="77" t="str">
        <f>HYPERLINK("https://pbs.twimg.com/media/FT7QXZUXoAQZnqP.png")</f>
        <v>https://pbs.twimg.com/media/FT7QXZUXoAQZnqP.png</v>
      </c>
      <c r="W1203" s="76">
        <v>44710.523182870369</v>
      </c>
      <c r="X1203" s="80">
        <v>44710</v>
      </c>
      <c r="Y1203" s="78" t="s">
        <v>2859</v>
      </c>
      <c r="Z1203" s="77" t="str">
        <f>HYPERLINK("https://twitter.com/ingeniouschi/status/1530890045183369217")</f>
        <v>https://twitter.com/ingeniouschi/status/1530890045183369217</v>
      </c>
      <c r="AC1203" s="78" t="s">
        <v>3924</v>
      </c>
      <c r="AE1203" t="b">
        <v>0</v>
      </c>
      <c r="AF1203">
        <v>9</v>
      </c>
      <c r="AG1203" s="78" t="s">
        <v>4640</v>
      </c>
      <c r="AH1203" t="b">
        <v>0</v>
      </c>
      <c r="AI1203" t="s">
        <v>4829</v>
      </c>
      <c r="AK1203" s="78" t="s">
        <v>4640</v>
      </c>
      <c r="AL1203" t="b">
        <v>0</v>
      </c>
      <c r="AM1203">
        <v>5</v>
      </c>
      <c r="AN1203" s="78" t="s">
        <v>4640</v>
      </c>
      <c r="AO1203" s="78" t="s">
        <v>4851</v>
      </c>
      <c r="AP1203" t="b">
        <v>0</v>
      </c>
      <c r="AQ1203" s="78" t="s">
        <v>3924</v>
      </c>
      <c r="AR1203" t="s">
        <v>1569</v>
      </c>
      <c r="AS1203">
        <v>0</v>
      </c>
      <c r="AT1203">
        <v>0</v>
      </c>
    </row>
    <row r="1204" spans="1:46" x14ac:dyDescent="0.45">
      <c r="A1204" s="62" t="s">
        <v>967</v>
      </c>
      <c r="B1204" s="62" t="s">
        <v>1230</v>
      </c>
      <c r="C1204" s="63"/>
      <c r="D1204" s="64"/>
      <c r="E1204" s="65"/>
      <c r="F1204" s="66"/>
      <c r="G1204" s="63"/>
      <c r="H1204" s="67"/>
      <c r="I1204" s="68"/>
      <c r="J1204" s="68"/>
      <c r="K1204" s="32"/>
      <c r="L1204" s="75"/>
      <c r="M1204" s="75"/>
      <c r="N1204" s="70"/>
      <c r="O1204" t="s">
        <v>1568</v>
      </c>
      <c r="P1204" s="76">
        <v>44958.873310185183</v>
      </c>
      <c r="Q1204" t="s">
        <v>2127</v>
      </c>
      <c r="V1204" s="77" t="str">
        <f>HYPERLINK("https://pbs.twimg.com/profile_images/1587436829053431808/FYWep7sW_normal.jpg")</f>
        <v>https://pbs.twimg.com/profile_images/1587436829053431808/FYWep7sW_normal.jpg</v>
      </c>
      <c r="W1204" s="76">
        <v>44958.873310185183</v>
      </c>
      <c r="X1204" s="80">
        <v>44958</v>
      </c>
      <c r="Y1204" s="78" t="s">
        <v>3244</v>
      </c>
      <c r="Z1204" s="77" t="str">
        <f>HYPERLINK("https://twitter.com/amazonmusic/status/1620889113821085696")</f>
        <v>https://twitter.com/amazonmusic/status/1620889113821085696</v>
      </c>
      <c r="AC1204" s="78" t="s">
        <v>4309</v>
      </c>
      <c r="AD1204" s="78" t="s">
        <v>4473</v>
      </c>
      <c r="AE1204" t="b">
        <v>0</v>
      </c>
      <c r="AF1204">
        <v>8</v>
      </c>
      <c r="AG1204" s="78" t="s">
        <v>4639</v>
      </c>
      <c r="AH1204" t="b">
        <v>0</v>
      </c>
      <c r="AI1204" t="s">
        <v>4829</v>
      </c>
      <c r="AK1204" s="78" t="s">
        <v>4640</v>
      </c>
      <c r="AL1204" t="b">
        <v>0</v>
      </c>
      <c r="AM1204">
        <v>0</v>
      </c>
      <c r="AN1204" s="78" t="s">
        <v>4640</v>
      </c>
      <c r="AO1204" s="78" t="s">
        <v>4851</v>
      </c>
      <c r="AP1204" t="b">
        <v>0</v>
      </c>
      <c r="AQ1204" s="78" t="s">
        <v>4473</v>
      </c>
      <c r="AR1204" t="s">
        <v>179</v>
      </c>
      <c r="AS1204">
        <v>0</v>
      </c>
      <c r="AT1204">
        <v>0</v>
      </c>
    </row>
    <row r="1205" spans="1:46" x14ac:dyDescent="0.45">
      <c r="A1205" s="62" t="s">
        <v>967</v>
      </c>
      <c r="B1205" s="62" t="s">
        <v>242</v>
      </c>
      <c r="C1205" s="63"/>
      <c r="D1205" s="64"/>
      <c r="E1205" s="65"/>
      <c r="F1205" s="66"/>
      <c r="G1205" s="63"/>
      <c r="H1205" s="67"/>
      <c r="I1205" s="68"/>
      <c r="J1205" s="68"/>
      <c r="K1205" s="32"/>
      <c r="L1205" s="75"/>
      <c r="M1205" s="75"/>
      <c r="N1205" s="70"/>
      <c r="O1205" t="s">
        <v>1567</v>
      </c>
      <c r="P1205" s="76">
        <v>44958.873310185183</v>
      </c>
      <c r="Q1205" t="s">
        <v>2127</v>
      </c>
      <c r="V1205" s="77" t="str">
        <f>HYPERLINK("https://pbs.twimg.com/profile_images/1587436829053431808/FYWep7sW_normal.jpg")</f>
        <v>https://pbs.twimg.com/profile_images/1587436829053431808/FYWep7sW_normal.jpg</v>
      </c>
      <c r="W1205" s="76">
        <v>44958.873310185183</v>
      </c>
      <c r="X1205" s="80">
        <v>44958</v>
      </c>
      <c r="Y1205" s="78" t="s">
        <v>3244</v>
      </c>
      <c r="Z1205" s="77" t="str">
        <f>HYPERLINK("https://twitter.com/amazonmusic/status/1620889113821085696")</f>
        <v>https://twitter.com/amazonmusic/status/1620889113821085696</v>
      </c>
      <c r="AC1205" s="78" t="s">
        <v>4309</v>
      </c>
      <c r="AD1205" s="78" t="s">
        <v>4473</v>
      </c>
      <c r="AE1205" t="b">
        <v>0</v>
      </c>
      <c r="AF1205">
        <v>8</v>
      </c>
      <c r="AG1205" s="78" t="s">
        <v>4639</v>
      </c>
      <c r="AH1205" t="b">
        <v>0</v>
      </c>
      <c r="AI1205" t="s">
        <v>4829</v>
      </c>
      <c r="AK1205" s="78" t="s">
        <v>4640</v>
      </c>
      <c r="AL1205" t="b">
        <v>0</v>
      </c>
      <c r="AM1205">
        <v>0</v>
      </c>
      <c r="AN1205" s="78" t="s">
        <v>4640</v>
      </c>
      <c r="AO1205" s="78" t="s">
        <v>4851</v>
      </c>
      <c r="AP1205" t="b">
        <v>0</v>
      </c>
      <c r="AQ1205" s="78" t="s">
        <v>4473</v>
      </c>
      <c r="AR1205" t="s">
        <v>179</v>
      </c>
      <c r="AS1205">
        <v>0</v>
      </c>
      <c r="AT1205">
        <v>0</v>
      </c>
    </row>
    <row r="1206" spans="1:46" x14ac:dyDescent="0.45">
      <c r="A1206" s="62" t="s">
        <v>398</v>
      </c>
      <c r="B1206" s="62" t="s">
        <v>1230</v>
      </c>
      <c r="C1206" s="63"/>
      <c r="D1206" s="64"/>
      <c r="E1206" s="65"/>
      <c r="F1206" s="66"/>
      <c r="G1206" s="63"/>
      <c r="H1206" s="67"/>
      <c r="I1206" s="68"/>
      <c r="J1206" s="68"/>
      <c r="K1206" s="32"/>
      <c r="L1206" s="75"/>
      <c r="M1206" s="75"/>
      <c r="N1206" s="70"/>
      <c r="O1206" t="s">
        <v>1568</v>
      </c>
      <c r="P1206" s="76">
        <v>44958.704606481479</v>
      </c>
      <c r="Q1206" t="s">
        <v>1729</v>
      </c>
      <c r="V1206" s="77" t="str">
        <f>HYPERLINK("https://pbs.twimg.com/profile_images/1620004105816080389/TwRKFZun_normal.jpg")</f>
        <v>https://pbs.twimg.com/profile_images/1620004105816080389/TwRKFZun_normal.jpg</v>
      </c>
      <c r="W1206" s="76">
        <v>44958.704606481479</v>
      </c>
      <c r="X1206" s="80">
        <v>44958</v>
      </c>
      <c r="Y1206" s="78" t="s">
        <v>2626</v>
      </c>
      <c r="Z1206" s="77" t="str">
        <f>HYPERLINK("https://twitter.com/fuckkdarneii/status/1620827981269581824")</f>
        <v>https://twitter.com/fuckkdarneii/status/1620827981269581824</v>
      </c>
      <c r="AC1206" s="78" t="s">
        <v>3643</v>
      </c>
      <c r="AD1206" s="78" t="s">
        <v>4473</v>
      </c>
      <c r="AE1206" t="b">
        <v>0</v>
      </c>
      <c r="AF1206">
        <v>7</v>
      </c>
      <c r="AG1206" s="78" t="s">
        <v>4639</v>
      </c>
      <c r="AH1206" t="b">
        <v>0</v>
      </c>
      <c r="AI1206" t="s">
        <v>4829</v>
      </c>
      <c r="AK1206" s="78" t="s">
        <v>4640</v>
      </c>
      <c r="AL1206" t="b">
        <v>0</v>
      </c>
      <c r="AM1206">
        <v>0</v>
      </c>
      <c r="AN1206" s="78" t="s">
        <v>4640</v>
      </c>
      <c r="AO1206" s="78" t="s">
        <v>4849</v>
      </c>
      <c r="AP1206" t="b">
        <v>0</v>
      </c>
      <c r="AQ1206" s="78" t="s">
        <v>4473</v>
      </c>
      <c r="AR1206" t="s">
        <v>179</v>
      </c>
      <c r="AS1206">
        <v>0</v>
      </c>
      <c r="AT1206">
        <v>0</v>
      </c>
    </row>
    <row r="1207" spans="1:46" x14ac:dyDescent="0.45">
      <c r="A1207" s="62" t="s">
        <v>398</v>
      </c>
      <c r="B1207" s="62" t="s">
        <v>242</v>
      </c>
      <c r="C1207" s="63"/>
      <c r="D1207" s="64"/>
      <c r="E1207" s="65"/>
      <c r="F1207" s="66"/>
      <c r="G1207" s="63"/>
      <c r="H1207" s="67"/>
      <c r="I1207" s="68"/>
      <c r="J1207" s="68"/>
      <c r="K1207" s="32"/>
      <c r="L1207" s="75"/>
      <c r="M1207" s="75"/>
      <c r="N1207" s="70"/>
      <c r="O1207" t="s">
        <v>1567</v>
      </c>
      <c r="P1207" s="76">
        <v>44958.704606481479</v>
      </c>
      <c r="Q1207" t="s">
        <v>1729</v>
      </c>
      <c r="V1207" s="77" t="str">
        <f>HYPERLINK("https://pbs.twimg.com/profile_images/1620004105816080389/TwRKFZun_normal.jpg")</f>
        <v>https://pbs.twimg.com/profile_images/1620004105816080389/TwRKFZun_normal.jpg</v>
      </c>
      <c r="W1207" s="76">
        <v>44958.704606481479</v>
      </c>
      <c r="X1207" s="80">
        <v>44958</v>
      </c>
      <c r="Y1207" s="78" t="s">
        <v>2626</v>
      </c>
      <c r="Z1207" s="77" t="str">
        <f>HYPERLINK("https://twitter.com/fuckkdarneii/status/1620827981269581824")</f>
        <v>https://twitter.com/fuckkdarneii/status/1620827981269581824</v>
      </c>
      <c r="AC1207" s="78" t="s">
        <v>3643</v>
      </c>
      <c r="AD1207" s="78" t="s">
        <v>4473</v>
      </c>
      <c r="AE1207" t="b">
        <v>0</v>
      </c>
      <c r="AF1207">
        <v>7</v>
      </c>
      <c r="AG1207" s="78" t="s">
        <v>4639</v>
      </c>
      <c r="AH1207" t="b">
        <v>0</v>
      </c>
      <c r="AI1207" t="s">
        <v>4829</v>
      </c>
      <c r="AK1207" s="78" t="s">
        <v>4640</v>
      </c>
      <c r="AL1207" t="b">
        <v>0</v>
      </c>
      <c r="AM1207">
        <v>0</v>
      </c>
      <c r="AN1207" s="78" t="s">
        <v>4640</v>
      </c>
      <c r="AO1207" s="78" t="s">
        <v>4849</v>
      </c>
      <c r="AP1207" t="b">
        <v>0</v>
      </c>
      <c r="AQ1207" s="78" t="s">
        <v>4473</v>
      </c>
      <c r="AR1207" t="s">
        <v>179</v>
      </c>
      <c r="AS1207">
        <v>0</v>
      </c>
      <c r="AT1207">
        <v>0</v>
      </c>
    </row>
    <row r="1208" spans="1:46" x14ac:dyDescent="0.45">
      <c r="A1208" s="62" t="s">
        <v>627</v>
      </c>
      <c r="B1208" s="62" t="s">
        <v>1257</v>
      </c>
      <c r="C1208" s="63"/>
      <c r="D1208" s="64"/>
      <c r="E1208" s="65"/>
      <c r="F1208" s="66"/>
      <c r="G1208" s="63"/>
      <c r="H1208" s="67"/>
      <c r="I1208" s="68"/>
      <c r="J1208" s="68"/>
      <c r="K1208" s="32"/>
      <c r="L1208" s="75"/>
      <c r="M1208" s="75"/>
      <c r="N1208" s="70"/>
      <c r="O1208" t="s">
        <v>1568</v>
      </c>
      <c r="P1208" s="76">
        <v>44957.836331018516</v>
      </c>
      <c r="Q1208" t="s">
        <v>1744</v>
      </c>
      <c r="U1208" s="77" t="str">
        <f>HYPERLINK("https://pbs.twimg.com/ext_tw_video_thumb/1620513123135365125/pu/img/k_ONxRoXi1Mcbxzp.jpg")</f>
        <v>https://pbs.twimg.com/ext_tw_video_thumb/1620513123135365125/pu/img/k_ONxRoXi1Mcbxzp.jpg</v>
      </c>
      <c r="V1208" s="77" t="str">
        <f>HYPERLINK("https://pbs.twimg.com/ext_tw_video_thumb/1620513123135365125/pu/img/k_ONxRoXi1Mcbxzp.jpg")</f>
        <v>https://pbs.twimg.com/ext_tw_video_thumb/1620513123135365125/pu/img/k_ONxRoXi1Mcbxzp.jpg</v>
      </c>
      <c r="W1208" s="76">
        <v>44957.836331018516</v>
      </c>
      <c r="X1208" s="80">
        <v>44957</v>
      </c>
      <c r="Y1208" s="78" t="s">
        <v>2828</v>
      </c>
      <c r="Z1208" s="77" t="str">
        <f>HYPERLINK("https://twitter.com/lacolorsusa/status/1620513328480092162")</f>
        <v>https://twitter.com/lacolorsusa/status/1620513328480092162</v>
      </c>
      <c r="AC1208" s="78" t="s">
        <v>3891</v>
      </c>
      <c r="AE1208" t="b">
        <v>0</v>
      </c>
      <c r="AF1208">
        <v>6</v>
      </c>
      <c r="AG1208" s="78" t="s">
        <v>4640</v>
      </c>
      <c r="AH1208" t="b">
        <v>0</v>
      </c>
      <c r="AI1208" t="s">
        <v>4829</v>
      </c>
      <c r="AK1208" s="78" t="s">
        <v>4640</v>
      </c>
      <c r="AL1208" t="b">
        <v>0</v>
      </c>
      <c r="AM1208">
        <v>1</v>
      </c>
      <c r="AN1208" s="78" t="s">
        <v>4640</v>
      </c>
      <c r="AO1208" s="78" t="s">
        <v>4864</v>
      </c>
      <c r="AP1208" t="b">
        <v>0</v>
      </c>
      <c r="AQ1208" s="78" t="s">
        <v>3891</v>
      </c>
      <c r="AR1208" t="s">
        <v>1569</v>
      </c>
      <c r="AS1208">
        <v>0</v>
      </c>
      <c r="AT1208">
        <v>0</v>
      </c>
    </row>
    <row r="1209" spans="1:46" x14ac:dyDescent="0.45">
      <c r="A1209" s="62" t="s">
        <v>776</v>
      </c>
      <c r="B1209" s="62" t="s">
        <v>1313</v>
      </c>
      <c r="C1209" s="63"/>
      <c r="D1209" s="64"/>
      <c r="E1209" s="65"/>
      <c r="F1209" s="66"/>
      <c r="G1209" s="63"/>
      <c r="H1209" s="67"/>
      <c r="I1209" s="68"/>
      <c r="J1209" s="68"/>
      <c r="K1209" s="32"/>
      <c r="L1209" s="75"/>
      <c r="M1209" s="75"/>
      <c r="N1209" s="70"/>
      <c r="O1209" t="s">
        <v>1568</v>
      </c>
      <c r="P1209" s="76">
        <v>44958.835682870369</v>
      </c>
      <c r="Q1209" t="s">
        <v>1832</v>
      </c>
      <c r="V1209" s="77" t="str">
        <f>HYPERLINK("https://pbs.twimg.com/profile_images/1597056585527955456/JiygFHOq_normal.jpg")</f>
        <v>https://pbs.twimg.com/profile_images/1597056585527955456/JiygFHOq_normal.jpg</v>
      </c>
      <c r="W1209" s="76">
        <v>44958.835682870369</v>
      </c>
      <c r="X1209" s="80">
        <v>44958</v>
      </c>
      <c r="Y1209" s="78" t="s">
        <v>2998</v>
      </c>
      <c r="Z1209" s="77" t="str">
        <f>HYPERLINK("https://twitter.com/summerdonbell/status/1620875478168137730")</f>
        <v>https://twitter.com/summerdonbell/status/1620875478168137730</v>
      </c>
      <c r="AC1209" s="78" t="s">
        <v>4063</v>
      </c>
      <c r="AE1209" t="b">
        <v>0</v>
      </c>
      <c r="AF1209">
        <v>6</v>
      </c>
      <c r="AG1209" s="78" t="s">
        <v>4640</v>
      </c>
      <c r="AH1209" t="b">
        <v>0</v>
      </c>
      <c r="AI1209" t="s">
        <v>4829</v>
      </c>
      <c r="AK1209" s="78" t="s">
        <v>4640</v>
      </c>
      <c r="AL1209" t="b">
        <v>0</v>
      </c>
      <c r="AM1209">
        <v>4</v>
      </c>
      <c r="AN1209" s="78" t="s">
        <v>4640</v>
      </c>
      <c r="AO1209" s="78" t="s">
        <v>4849</v>
      </c>
      <c r="AP1209" t="b">
        <v>0</v>
      </c>
      <c r="AQ1209" s="78" t="s">
        <v>4063</v>
      </c>
      <c r="AR1209" t="s">
        <v>179</v>
      </c>
      <c r="AS1209">
        <v>0</v>
      </c>
      <c r="AT1209">
        <v>0</v>
      </c>
    </row>
    <row r="1210" spans="1:46" x14ac:dyDescent="0.45">
      <c r="A1210" s="62" t="s">
        <v>776</v>
      </c>
      <c r="B1210" s="62" t="s">
        <v>242</v>
      </c>
      <c r="C1210" s="63"/>
      <c r="D1210" s="64"/>
      <c r="E1210" s="65"/>
      <c r="F1210" s="66"/>
      <c r="G1210" s="63"/>
      <c r="H1210" s="67"/>
      <c r="I1210" s="68"/>
      <c r="J1210" s="68"/>
      <c r="K1210" s="32"/>
      <c r="L1210" s="75"/>
      <c r="M1210" s="75"/>
      <c r="N1210" s="70"/>
      <c r="O1210" t="s">
        <v>1568</v>
      </c>
      <c r="P1210" s="76">
        <v>44958.835682870369</v>
      </c>
      <c r="Q1210" t="s">
        <v>1832</v>
      </c>
      <c r="V1210" s="77" t="str">
        <f>HYPERLINK("https://pbs.twimg.com/profile_images/1597056585527955456/JiygFHOq_normal.jpg")</f>
        <v>https://pbs.twimg.com/profile_images/1597056585527955456/JiygFHOq_normal.jpg</v>
      </c>
      <c r="W1210" s="76">
        <v>44958.835682870369</v>
      </c>
      <c r="X1210" s="80">
        <v>44958</v>
      </c>
      <c r="Y1210" s="78" t="s">
        <v>2998</v>
      </c>
      <c r="Z1210" s="77" t="str">
        <f>HYPERLINK("https://twitter.com/summerdonbell/status/1620875478168137730")</f>
        <v>https://twitter.com/summerdonbell/status/1620875478168137730</v>
      </c>
      <c r="AC1210" s="78" t="s">
        <v>4063</v>
      </c>
      <c r="AE1210" t="b">
        <v>0</v>
      </c>
      <c r="AF1210">
        <v>6</v>
      </c>
      <c r="AG1210" s="78" t="s">
        <v>4640</v>
      </c>
      <c r="AH1210" t="b">
        <v>0</v>
      </c>
      <c r="AI1210" t="s">
        <v>4829</v>
      </c>
      <c r="AK1210" s="78" t="s">
        <v>4640</v>
      </c>
      <c r="AL1210" t="b">
        <v>0</v>
      </c>
      <c r="AM1210">
        <v>4</v>
      </c>
      <c r="AN1210" s="78" t="s">
        <v>4640</v>
      </c>
      <c r="AO1210" s="78" t="s">
        <v>4849</v>
      </c>
      <c r="AP1210" t="b">
        <v>0</v>
      </c>
      <c r="AQ1210" s="78" t="s">
        <v>4063</v>
      </c>
      <c r="AR1210" t="s">
        <v>179</v>
      </c>
      <c r="AS1210">
        <v>0</v>
      </c>
      <c r="AT1210">
        <v>0</v>
      </c>
    </row>
    <row r="1211" spans="1:46" x14ac:dyDescent="0.45">
      <c r="A1211" s="62" t="s">
        <v>839</v>
      </c>
      <c r="B1211" s="62" t="s">
        <v>1230</v>
      </c>
      <c r="C1211" s="63"/>
      <c r="D1211" s="64"/>
      <c r="E1211" s="65"/>
      <c r="F1211" s="66"/>
      <c r="G1211" s="63"/>
      <c r="H1211" s="67"/>
      <c r="I1211" s="68"/>
      <c r="J1211" s="68"/>
      <c r="K1211" s="32"/>
      <c r="L1211" s="75"/>
      <c r="M1211" s="75"/>
      <c r="N1211" s="70"/>
      <c r="O1211" t="s">
        <v>1568</v>
      </c>
      <c r="P1211" s="76">
        <v>44958.819374999999</v>
      </c>
      <c r="Q1211" t="s">
        <v>2019</v>
      </c>
      <c r="V1211" s="77" t="str">
        <f>HYPERLINK("https://pbs.twimg.com/profile_images/1620783702274883587/PGXUsOg2_normal.jpg")</f>
        <v>https://pbs.twimg.com/profile_images/1620783702274883587/PGXUsOg2_normal.jpg</v>
      </c>
      <c r="W1211" s="76">
        <v>44958.819374999999</v>
      </c>
      <c r="X1211" s="80">
        <v>44958</v>
      </c>
      <c r="Y1211" s="78" t="s">
        <v>3094</v>
      </c>
      <c r="Z1211" s="77" t="str">
        <f>HYPERLINK("https://twitter.com/ohspacefool/status/1620869568284725248")</f>
        <v>https://twitter.com/ohspacefool/status/1620869568284725248</v>
      </c>
      <c r="AC1211" s="78" t="s">
        <v>4159</v>
      </c>
      <c r="AD1211" s="78" t="s">
        <v>4473</v>
      </c>
      <c r="AE1211" t="b">
        <v>0</v>
      </c>
      <c r="AF1211">
        <v>6</v>
      </c>
      <c r="AG1211" s="78" t="s">
        <v>4639</v>
      </c>
      <c r="AH1211" t="b">
        <v>0</v>
      </c>
      <c r="AI1211" t="s">
        <v>4829</v>
      </c>
      <c r="AK1211" s="78" t="s">
        <v>4640</v>
      </c>
      <c r="AL1211" t="b">
        <v>0</v>
      </c>
      <c r="AM1211">
        <v>1</v>
      </c>
      <c r="AN1211" s="78" t="s">
        <v>4640</v>
      </c>
      <c r="AO1211" s="78" t="s">
        <v>4849</v>
      </c>
      <c r="AP1211" t="b">
        <v>0</v>
      </c>
      <c r="AQ1211" s="78" t="s">
        <v>4473</v>
      </c>
      <c r="AR1211" t="s">
        <v>179</v>
      </c>
      <c r="AS1211">
        <v>0</v>
      </c>
      <c r="AT1211">
        <v>0</v>
      </c>
    </row>
    <row r="1212" spans="1:46" x14ac:dyDescent="0.45">
      <c r="A1212" s="62" t="s">
        <v>839</v>
      </c>
      <c r="B1212" s="62" t="s">
        <v>242</v>
      </c>
      <c r="C1212" s="63"/>
      <c r="D1212" s="64"/>
      <c r="E1212" s="65"/>
      <c r="F1212" s="66"/>
      <c r="G1212" s="63"/>
      <c r="H1212" s="67"/>
      <c r="I1212" s="68"/>
      <c r="J1212" s="68"/>
      <c r="K1212" s="32"/>
      <c r="L1212" s="75"/>
      <c r="M1212" s="75"/>
      <c r="N1212" s="70"/>
      <c r="O1212" t="s">
        <v>1567</v>
      </c>
      <c r="P1212" s="76">
        <v>44958.819374999999</v>
      </c>
      <c r="Q1212" t="s">
        <v>2019</v>
      </c>
      <c r="V1212" s="77" t="str">
        <f>HYPERLINK("https://pbs.twimg.com/profile_images/1620783702274883587/PGXUsOg2_normal.jpg")</f>
        <v>https://pbs.twimg.com/profile_images/1620783702274883587/PGXUsOg2_normal.jpg</v>
      </c>
      <c r="W1212" s="76">
        <v>44958.819374999999</v>
      </c>
      <c r="X1212" s="80">
        <v>44958</v>
      </c>
      <c r="Y1212" s="78" t="s">
        <v>3094</v>
      </c>
      <c r="Z1212" s="77" t="str">
        <f>HYPERLINK("https://twitter.com/ohspacefool/status/1620869568284725248")</f>
        <v>https://twitter.com/ohspacefool/status/1620869568284725248</v>
      </c>
      <c r="AC1212" s="78" t="s">
        <v>4159</v>
      </c>
      <c r="AD1212" s="78" t="s">
        <v>4473</v>
      </c>
      <c r="AE1212" t="b">
        <v>0</v>
      </c>
      <c r="AF1212">
        <v>6</v>
      </c>
      <c r="AG1212" s="78" t="s">
        <v>4639</v>
      </c>
      <c r="AH1212" t="b">
        <v>0</v>
      </c>
      <c r="AI1212" t="s">
        <v>4829</v>
      </c>
      <c r="AK1212" s="78" t="s">
        <v>4640</v>
      </c>
      <c r="AL1212" t="b">
        <v>0</v>
      </c>
      <c r="AM1212">
        <v>1</v>
      </c>
      <c r="AN1212" s="78" t="s">
        <v>4640</v>
      </c>
      <c r="AO1212" s="78" t="s">
        <v>4849</v>
      </c>
      <c r="AP1212" t="b">
        <v>0</v>
      </c>
      <c r="AQ1212" s="78" t="s">
        <v>4473</v>
      </c>
      <c r="AR1212" t="s">
        <v>179</v>
      </c>
      <c r="AS1212">
        <v>0</v>
      </c>
      <c r="AT1212">
        <v>0</v>
      </c>
    </row>
    <row r="1213" spans="1:46" x14ac:dyDescent="0.45">
      <c r="A1213" s="62" t="s">
        <v>627</v>
      </c>
      <c r="B1213" s="62" t="s">
        <v>242</v>
      </c>
      <c r="C1213" s="63"/>
      <c r="D1213" s="64"/>
      <c r="E1213" s="65"/>
      <c r="F1213" s="66"/>
      <c r="G1213" s="63"/>
      <c r="H1213" s="67"/>
      <c r="I1213" s="68"/>
      <c r="J1213" s="68"/>
      <c r="K1213" s="32"/>
      <c r="L1213" s="75"/>
      <c r="M1213" s="75"/>
      <c r="N1213" s="70"/>
      <c r="O1213" t="s">
        <v>1568</v>
      </c>
      <c r="P1213" s="76">
        <v>44957.836331018516</v>
      </c>
      <c r="Q1213" t="s">
        <v>1744</v>
      </c>
      <c r="U1213" s="77" t="str">
        <f>HYPERLINK("https://pbs.twimg.com/ext_tw_video_thumb/1620513123135365125/pu/img/k_ONxRoXi1Mcbxzp.jpg")</f>
        <v>https://pbs.twimg.com/ext_tw_video_thumb/1620513123135365125/pu/img/k_ONxRoXi1Mcbxzp.jpg</v>
      </c>
      <c r="V1213" s="77" t="str">
        <f>HYPERLINK("https://pbs.twimg.com/ext_tw_video_thumb/1620513123135365125/pu/img/k_ONxRoXi1Mcbxzp.jpg")</f>
        <v>https://pbs.twimg.com/ext_tw_video_thumb/1620513123135365125/pu/img/k_ONxRoXi1Mcbxzp.jpg</v>
      </c>
      <c r="W1213" s="76">
        <v>44957.836331018516</v>
      </c>
      <c r="X1213" s="80">
        <v>44957</v>
      </c>
      <c r="Y1213" s="78" t="s">
        <v>2828</v>
      </c>
      <c r="Z1213" s="77" t="str">
        <f>HYPERLINK("https://twitter.com/lacolorsusa/status/1620513328480092162")</f>
        <v>https://twitter.com/lacolorsusa/status/1620513328480092162</v>
      </c>
      <c r="AC1213" s="78" t="s">
        <v>3891</v>
      </c>
      <c r="AE1213" t="b">
        <v>0</v>
      </c>
      <c r="AF1213">
        <v>6</v>
      </c>
      <c r="AG1213" s="78" t="s">
        <v>4640</v>
      </c>
      <c r="AH1213" t="b">
        <v>0</v>
      </c>
      <c r="AI1213" t="s">
        <v>4829</v>
      </c>
      <c r="AK1213" s="78" t="s">
        <v>4640</v>
      </c>
      <c r="AL1213" t="b">
        <v>0</v>
      </c>
      <c r="AM1213">
        <v>1</v>
      </c>
      <c r="AN1213" s="78" t="s">
        <v>4640</v>
      </c>
      <c r="AO1213" s="78" t="s">
        <v>4864</v>
      </c>
      <c r="AP1213" t="b">
        <v>0</v>
      </c>
      <c r="AQ1213" s="78" t="s">
        <v>3891</v>
      </c>
      <c r="AR1213" t="s">
        <v>1569</v>
      </c>
      <c r="AS1213">
        <v>0</v>
      </c>
      <c r="AT1213">
        <v>0</v>
      </c>
    </row>
    <row r="1214" spans="1:46" x14ac:dyDescent="0.45">
      <c r="A1214" s="62" t="s">
        <v>456</v>
      </c>
      <c r="B1214" s="62" t="s">
        <v>1230</v>
      </c>
      <c r="C1214" s="63"/>
      <c r="D1214" s="64"/>
      <c r="E1214" s="65"/>
      <c r="F1214" s="66"/>
      <c r="G1214" s="63"/>
      <c r="H1214" s="67"/>
      <c r="I1214" s="68"/>
      <c r="J1214" s="68"/>
      <c r="K1214" s="32"/>
      <c r="L1214" s="75"/>
      <c r="M1214" s="75"/>
      <c r="N1214" s="70"/>
      <c r="O1214" t="s">
        <v>1568</v>
      </c>
      <c r="P1214" s="76">
        <v>44958.729525462964</v>
      </c>
      <c r="Q1214" t="s">
        <v>1754</v>
      </c>
      <c r="V1214" s="77" t="str">
        <f>HYPERLINK("https://pbs.twimg.com/profile_images/873217753103998976/fKScTPiU_normal.jpg")</f>
        <v>https://pbs.twimg.com/profile_images/873217753103998976/fKScTPiU_normal.jpg</v>
      </c>
      <c r="W1214" s="76">
        <v>44958.729525462964</v>
      </c>
      <c r="X1214" s="80">
        <v>44958</v>
      </c>
      <c r="Y1214" s="78" t="s">
        <v>2686</v>
      </c>
      <c r="Z1214" s="77" t="str">
        <f>HYPERLINK("https://twitter.com/5hourenergy/status/1620837011585372161")</f>
        <v>https://twitter.com/5hourenergy/status/1620837011585372161</v>
      </c>
      <c r="AC1214" s="78" t="s">
        <v>3704</v>
      </c>
      <c r="AD1214" s="78" t="s">
        <v>4473</v>
      </c>
      <c r="AE1214" t="b">
        <v>0</v>
      </c>
      <c r="AF1214">
        <v>5</v>
      </c>
      <c r="AG1214" s="78" t="s">
        <v>4639</v>
      </c>
      <c r="AH1214" t="b">
        <v>0</v>
      </c>
      <c r="AI1214" t="s">
        <v>4829</v>
      </c>
      <c r="AK1214" s="78" t="s">
        <v>4640</v>
      </c>
      <c r="AL1214" t="b">
        <v>0</v>
      </c>
      <c r="AM1214">
        <v>0</v>
      </c>
      <c r="AN1214" s="78" t="s">
        <v>4640</v>
      </c>
      <c r="AO1214" s="78" t="s">
        <v>4851</v>
      </c>
      <c r="AP1214" t="b">
        <v>0</v>
      </c>
      <c r="AQ1214" s="78" t="s">
        <v>4473</v>
      </c>
      <c r="AR1214" t="s">
        <v>179</v>
      </c>
      <c r="AS1214">
        <v>0</v>
      </c>
      <c r="AT1214">
        <v>0</v>
      </c>
    </row>
    <row r="1215" spans="1:46" x14ac:dyDescent="0.45">
      <c r="A1215" s="62" t="s">
        <v>456</v>
      </c>
      <c r="B1215" s="62" t="s">
        <v>242</v>
      </c>
      <c r="C1215" s="63"/>
      <c r="D1215" s="64"/>
      <c r="E1215" s="65"/>
      <c r="F1215" s="66"/>
      <c r="G1215" s="63"/>
      <c r="H1215" s="67"/>
      <c r="I1215" s="68"/>
      <c r="J1215" s="68"/>
      <c r="K1215" s="32"/>
      <c r="L1215" s="75"/>
      <c r="M1215" s="75"/>
      <c r="N1215" s="70"/>
      <c r="O1215" t="s">
        <v>1567</v>
      </c>
      <c r="P1215" s="76">
        <v>44958.729525462964</v>
      </c>
      <c r="Q1215" t="s">
        <v>1754</v>
      </c>
      <c r="V1215" s="77" t="str">
        <f>HYPERLINK("https://pbs.twimg.com/profile_images/873217753103998976/fKScTPiU_normal.jpg")</f>
        <v>https://pbs.twimg.com/profile_images/873217753103998976/fKScTPiU_normal.jpg</v>
      </c>
      <c r="W1215" s="76">
        <v>44958.729525462964</v>
      </c>
      <c r="X1215" s="80">
        <v>44958</v>
      </c>
      <c r="Y1215" s="78" t="s">
        <v>2686</v>
      </c>
      <c r="Z1215" s="77" t="str">
        <f>HYPERLINK("https://twitter.com/5hourenergy/status/1620837011585372161")</f>
        <v>https://twitter.com/5hourenergy/status/1620837011585372161</v>
      </c>
      <c r="AC1215" s="78" t="s">
        <v>3704</v>
      </c>
      <c r="AD1215" s="78" t="s">
        <v>4473</v>
      </c>
      <c r="AE1215" t="b">
        <v>0</v>
      </c>
      <c r="AF1215">
        <v>5</v>
      </c>
      <c r="AG1215" s="78" t="s">
        <v>4639</v>
      </c>
      <c r="AH1215" t="b">
        <v>0</v>
      </c>
      <c r="AI1215" t="s">
        <v>4829</v>
      </c>
      <c r="AK1215" s="78" t="s">
        <v>4640</v>
      </c>
      <c r="AL1215" t="b">
        <v>0</v>
      </c>
      <c r="AM1215">
        <v>0</v>
      </c>
      <c r="AN1215" s="78" t="s">
        <v>4640</v>
      </c>
      <c r="AO1215" s="78" t="s">
        <v>4851</v>
      </c>
      <c r="AP1215" t="b">
        <v>0</v>
      </c>
      <c r="AQ1215" s="78" t="s">
        <v>4473</v>
      </c>
      <c r="AR1215" t="s">
        <v>179</v>
      </c>
      <c r="AS1215">
        <v>0</v>
      </c>
      <c r="AT1215">
        <v>0</v>
      </c>
    </row>
    <row r="1216" spans="1:46" x14ac:dyDescent="0.45">
      <c r="A1216" s="62" t="s">
        <v>738</v>
      </c>
      <c r="B1216" s="62" t="s">
        <v>242</v>
      </c>
      <c r="C1216" s="63"/>
      <c r="D1216" s="64"/>
      <c r="E1216" s="65"/>
      <c r="F1216" s="66"/>
      <c r="G1216" s="63"/>
      <c r="H1216" s="67"/>
      <c r="I1216" s="68"/>
      <c r="J1216" s="68"/>
      <c r="K1216" s="32"/>
      <c r="L1216" s="75"/>
      <c r="M1216" s="75"/>
      <c r="N1216" s="70"/>
      <c r="O1216" t="s">
        <v>1568</v>
      </c>
      <c r="P1216" s="76">
        <v>44958.937013888892</v>
      </c>
      <c r="Q1216" t="s">
        <v>1924</v>
      </c>
      <c r="V1216" s="77" t="str">
        <f>HYPERLINK("https://pbs.twimg.com/profile_images/1620900016297775105/Z7mkeAPI_normal.jpg")</f>
        <v>https://pbs.twimg.com/profile_images/1620900016297775105/Z7mkeAPI_normal.jpg</v>
      </c>
      <c r="W1216" s="76">
        <v>44958.937013888892</v>
      </c>
      <c r="X1216" s="80">
        <v>44958</v>
      </c>
      <c r="Y1216" s="78" t="s">
        <v>2957</v>
      </c>
      <c r="Z1216" s="77" t="str">
        <f>HYPERLINK("https://twitter.com/cunnygriffin/status/1620912199865876489")</f>
        <v>https://twitter.com/cunnygriffin/status/1620912199865876489</v>
      </c>
      <c r="AC1216" s="78" t="s">
        <v>4022</v>
      </c>
      <c r="AD1216" s="78" t="s">
        <v>4568</v>
      </c>
      <c r="AE1216" t="b">
        <v>0</v>
      </c>
      <c r="AF1216">
        <v>5</v>
      </c>
      <c r="AG1216" s="78" t="s">
        <v>4736</v>
      </c>
      <c r="AH1216" t="b">
        <v>0</v>
      </c>
      <c r="AI1216" t="s">
        <v>4829</v>
      </c>
      <c r="AK1216" s="78" t="s">
        <v>4640</v>
      </c>
      <c r="AL1216" t="b">
        <v>0</v>
      </c>
      <c r="AM1216">
        <v>0</v>
      </c>
      <c r="AN1216" s="78" t="s">
        <v>4640</v>
      </c>
      <c r="AO1216" s="78" t="s">
        <v>4849</v>
      </c>
      <c r="AP1216" t="b">
        <v>0</v>
      </c>
      <c r="AQ1216" s="78" t="s">
        <v>4568</v>
      </c>
      <c r="AR1216" t="s">
        <v>179</v>
      </c>
      <c r="AS1216">
        <v>0</v>
      </c>
      <c r="AT1216">
        <v>0</v>
      </c>
    </row>
    <row r="1217" spans="1:46" x14ac:dyDescent="0.45">
      <c r="A1217" s="62" t="s">
        <v>738</v>
      </c>
      <c r="B1217" s="62" t="s">
        <v>1355</v>
      </c>
      <c r="C1217" s="63"/>
      <c r="D1217" s="64"/>
      <c r="E1217" s="65"/>
      <c r="F1217" s="66"/>
      <c r="G1217" s="63"/>
      <c r="H1217" s="67"/>
      <c r="I1217" s="68"/>
      <c r="J1217" s="68"/>
      <c r="K1217" s="32"/>
      <c r="L1217" s="75"/>
      <c r="M1217" s="75"/>
      <c r="N1217" s="70"/>
      <c r="O1217" t="s">
        <v>1567</v>
      </c>
      <c r="P1217" s="76">
        <v>44958.937013888892</v>
      </c>
      <c r="Q1217" t="s">
        <v>1924</v>
      </c>
      <c r="V1217" s="77" t="str">
        <f>HYPERLINK("https://pbs.twimg.com/profile_images/1620900016297775105/Z7mkeAPI_normal.jpg")</f>
        <v>https://pbs.twimg.com/profile_images/1620900016297775105/Z7mkeAPI_normal.jpg</v>
      </c>
      <c r="W1217" s="76">
        <v>44958.937013888892</v>
      </c>
      <c r="X1217" s="80">
        <v>44958</v>
      </c>
      <c r="Y1217" s="78" t="s">
        <v>2957</v>
      </c>
      <c r="Z1217" s="77" t="str">
        <f>HYPERLINK("https://twitter.com/cunnygriffin/status/1620912199865876489")</f>
        <v>https://twitter.com/cunnygriffin/status/1620912199865876489</v>
      </c>
      <c r="AC1217" s="78" t="s">
        <v>4022</v>
      </c>
      <c r="AD1217" s="78" t="s">
        <v>4568</v>
      </c>
      <c r="AE1217" t="b">
        <v>0</v>
      </c>
      <c r="AF1217">
        <v>5</v>
      </c>
      <c r="AG1217" s="78" t="s">
        <v>4736</v>
      </c>
      <c r="AH1217" t="b">
        <v>0</v>
      </c>
      <c r="AI1217" t="s">
        <v>4829</v>
      </c>
      <c r="AK1217" s="78" t="s">
        <v>4640</v>
      </c>
      <c r="AL1217" t="b">
        <v>0</v>
      </c>
      <c r="AM1217">
        <v>0</v>
      </c>
      <c r="AN1217" s="78" t="s">
        <v>4640</v>
      </c>
      <c r="AO1217" s="78" t="s">
        <v>4849</v>
      </c>
      <c r="AP1217" t="b">
        <v>0</v>
      </c>
      <c r="AQ1217" s="78" t="s">
        <v>4568</v>
      </c>
      <c r="AR1217" t="s">
        <v>179</v>
      </c>
      <c r="AS1217">
        <v>0</v>
      </c>
      <c r="AT1217">
        <v>0</v>
      </c>
    </row>
    <row r="1218" spans="1:46" x14ac:dyDescent="0.45">
      <c r="A1218" s="62" t="s">
        <v>374</v>
      </c>
      <c r="B1218" s="62" t="s">
        <v>1230</v>
      </c>
      <c r="C1218" s="63"/>
      <c r="D1218" s="64"/>
      <c r="E1218" s="65"/>
      <c r="F1218" s="66"/>
      <c r="G1218" s="63"/>
      <c r="H1218" s="67"/>
      <c r="I1218" s="68"/>
      <c r="J1218" s="68"/>
      <c r="K1218" s="32"/>
      <c r="L1218" s="75"/>
      <c r="M1218" s="75"/>
      <c r="N1218" s="70"/>
      <c r="O1218" t="s">
        <v>1568</v>
      </c>
      <c r="P1218" s="76">
        <v>44958.687662037039</v>
      </c>
      <c r="Q1218" t="s">
        <v>1714</v>
      </c>
      <c r="V1218" s="77" t="str">
        <f>HYPERLINK("https://pbs.twimg.com/profile_images/1588721565499277312/uLLcBgrR_normal.jpg")</f>
        <v>https://pbs.twimg.com/profile_images/1588721565499277312/uLLcBgrR_normal.jpg</v>
      </c>
      <c r="W1218" s="76">
        <v>44958.687662037039</v>
      </c>
      <c r="X1218" s="80">
        <v>44958</v>
      </c>
      <c r="Y1218" s="78" t="s">
        <v>2600</v>
      </c>
      <c r="Z1218" s="77" t="str">
        <f>HYPERLINK("https://twitter.com/youngcurse22/status/1620821838791151629")</f>
        <v>https://twitter.com/youngcurse22/status/1620821838791151629</v>
      </c>
      <c r="AC1218" s="78" t="s">
        <v>3617</v>
      </c>
      <c r="AD1218" s="78" t="s">
        <v>4473</v>
      </c>
      <c r="AE1218" t="b">
        <v>0</v>
      </c>
      <c r="AF1218">
        <v>4</v>
      </c>
      <c r="AG1218" s="78" t="s">
        <v>4639</v>
      </c>
      <c r="AH1218" t="b">
        <v>0</v>
      </c>
      <c r="AI1218" t="s">
        <v>4829</v>
      </c>
      <c r="AK1218" s="78" t="s">
        <v>4640</v>
      </c>
      <c r="AL1218" t="b">
        <v>0</v>
      </c>
      <c r="AM1218">
        <v>0</v>
      </c>
      <c r="AN1218" s="78" t="s">
        <v>4640</v>
      </c>
      <c r="AO1218" s="78" t="s">
        <v>4849</v>
      </c>
      <c r="AP1218" t="b">
        <v>0</v>
      </c>
      <c r="AQ1218" s="78" t="s">
        <v>4473</v>
      </c>
      <c r="AR1218" t="s">
        <v>179</v>
      </c>
      <c r="AS1218">
        <v>0</v>
      </c>
      <c r="AT1218">
        <v>0</v>
      </c>
    </row>
    <row r="1219" spans="1:46" x14ac:dyDescent="0.45">
      <c r="A1219" s="62" t="s">
        <v>374</v>
      </c>
      <c r="B1219" s="62" t="s">
        <v>242</v>
      </c>
      <c r="C1219" s="63"/>
      <c r="D1219" s="64"/>
      <c r="E1219" s="65"/>
      <c r="F1219" s="66"/>
      <c r="G1219" s="63"/>
      <c r="H1219" s="67"/>
      <c r="I1219" s="68"/>
      <c r="J1219" s="68"/>
      <c r="K1219" s="32"/>
      <c r="L1219" s="75"/>
      <c r="M1219" s="75"/>
      <c r="N1219" s="70"/>
      <c r="O1219" t="s">
        <v>1567</v>
      </c>
      <c r="P1219" s="76">
        <v>44958.687662037039</v>
      </c>
      <c r="Q1219" t="s">
        <v>1714</v>
      </c>
      <c r="V1219" s="77" t="str">
        <f>HYPERLINK("https://pbs.twimg.com/profile_images/1588721565499277312/uLLcBgrR_normal.jpg")</f>
        <v>https://pbs.twimg.com/profile_images/1588721565499277312/uLLcBgrR_normal.jpg</v>
      </c>
      <c r="W1219" s="76">
        <v>44958.687662037039</v>
      </c>
      <c r="X1219" s="80">
        <v>44958</v>
      </c>
      <c r="Y1219" s="78" t="s">
        <v>2600</v>
      </c>
      <c r="Z1219" s="77" t="str">
        <f>HYPERLINK("https://twitter.com/youngcurse22/status/1620821838791151629")</f>
        <v>https://twitter.com/youngcurse22/status/1620821838791151629</v>
      </c>
      <c r="AC1219" s="78" t="s">
        <v>3617</v>
      </c>
      <c r="AD1219" s="78" t="s">
        <v>4473</v>
      </c>
      <c r="AE1219" t="b">
        <v>0</v>
      </c>
      <c r="AF1219">
        <v>4</v>
      </c>
      <c r="AG1219" s="78" t="s">
        <v>4639</v>
      </c>
      <c r="AH1219" t="b">
        <v>0</v>
      </c>
      <c r="AI1219" t="s">
        <v>4829</v>
      </c>
      <c r="AK1219" s="78" t="s">
        <v>4640</v>
      </c>
      <c r="AL1219" t="b">
        <v>0</v>
      </c>
      <c r="AM1219">
        <v>0</v>
      </c>
      <c r="AN1219" s="78" t="s">
        <v>4640</v>
      </c>
      <c r="AO1219" s="78" t="s">
        <v>4849</v>
      </c>
      <c r="AP1219" t="b">
        <v>0</v>
      </c>
      <c r="AQ1219" s="78" t="s">
        <v>4473</v>
      </c>
      <c r="AR1219" t="s">
        <v>179</v>
      </c>
      <c r="AS1219">
        <v>0</v>
      </c>
      <c r="AT1219">
        <v>0</v>
      </c>
    </row>
    <row r="1220" spans="1:46" x14ac:dyDescent="0.45">
      <c r="A1220" s="62" t="s">
        <v>539</v>
      </c>
      <c r="B1220" s="62" t="s">
        <v>1298</v>
      </c>
      <c r="C1220" s="63"/>
      <c r="D1220" s="64"/>
      <c r="E1220" s="65"/>
      <c r="F1220" s="66"/>
      <c r="G1220" s="63"/>
      <c r="H1220" s="67"/>
      <c r="I1220" s="68"/>
      <c r="J1220" s="68"/>
      <c r="K1220" s="32"/>
      <c r="L1220" s="75"/>
      <c r="M1220" s="75"/>
      <c r="N1220" s="70"/>
      <c r="O1220" t="s">
        <v>1567</v>
      </c>
      <c r="P1220" s="76">
        <v>44958.791921296295</v>
      </c>
      <c r="Q1220" t="s">
        <v>1807</v>
      </c>
      <c r="V1220" s="77" t="str">
        <f>HYPERLINK("https://pbs.twimg.com/profile_images/1296944653502054400/z23AjStJ_normal.jpg")</f>
        <v>https://pbs.twimg.com/profile_images/1296944653502054400/z23AjStJ_normal.jpg</v>
      </c>
      <c r="W1220" s="76">
        <v>44958.791921296295</v>
      </c>
      <c r="X1220" s="80">
        <v>44958</v>
      </c>
      <c r="Y1220" s="78" t="s">
        <v>2781</v>
      </c>
      <c r="Z1220" s="77" t="str">
        <f>HYPERLINK("https://twitter.com/dogmaticprior/status/1620859622600105984")</f>
        <v>https://twitter.com/dogmaticprior/status/1620859622600105984</v>
      </c>
      <c r="AC1220" s="78" t="s">
        <v>3800</v>
      </c>
      <c r="AD1220" s="78" t="s">
        <v>4548</v>
      </c>
      <c r="AE1220" t="b">
        <v>0</v>
      </c>
      <c r="AF1220">
        <v>4</v>
      </c>
      <c r="AG1220" s="78" t="s">
        <v>4715</v>
      </c>
      <c r="AH1220" t="b">
        <v>0</v>
      </c>
      <c r="AI1220" t="s">
        <v>4829</v>
      </c>
      <c r="AK1220" s="78" t="s">
        <v>4640</v>
      </c>
      <c r="AL1220" t="b">
        <v>0</v>
      </c>
      <c r="AM1220">
        <v>0</v>
      </c>
      <c r="AN1220" s="78" t="s">
        <v>4640</v>
      </c>
      <c r="AO1220" s="78" t="s">
        <v>4851</v>
      </c>
      <c r="AP1220" t="b">
        <v>0</v>
      </c>
      <c r="AQ1220" s="78" t="s">
        <v>4548</v>
      </c>
      <c r="AR1220" t="s">
        <v>179</v>
      </c>
      <c r="AS1220">
        <v>0</v>
      </c>
      <c r="AT1220">
        <v>0</v>
      </c>
    </row>
    <row r="1221" spans="1:46" x14ac:dyDescent="0.45">
      <c r="A1221" s="62" t="s">
        <v>539</v>
      </c>
      <c r="B1221" s="62" t="s">
        <v>242</v>
      </c>
      <c r="C1221" s="63"/>
      <c r="D1221" s="64"/>
      <c r="E1221" s="65"/>
      <c r="F1221" s="66"/>
      <c r="G1221" s="63"/>
      <c r="H1221" s="67"/>
      <c r="I1221" s="68"/>
      <c r="J1221" s="68"/>
      <c r="K1221" s="32"/>
      <c r="L1221" s="75"/>
      <c r="M1221" s="75"/>
      <c r="N1221" s="70"/>
      <c r="O1221" t="s">
        <v>1568</v>
      </c>
      <c r="P1221" s="76">
        <v>44958.791921296295</v>
      </c>
      <c r="Q1221" t="s">
        <v>1807</v>
      </c>
      <c r="V1221" s="77" t="str">
        <f>HYPERLINK("https://pbs.twimg.com/profile_images/1296944653502054400/z23AjStJ_normal.jpg")</f>
        <v>https://pbs.twimg.com/profile_images/1296944653502054400/z23AjStJ_normal.jpg</v>
      </c>
      <c r="W1221" s="76">
        <v>44958.791921296295</v>
      </c>
      <c r="X1221" s="80">
        <v>44958</v>
      </c>
      <c r="Y1221" s="78" t="s">
        <v>2781</v>
      </c>
      <c r="Z1221" s="77" t="str">
        <f>HYPERLINK("https://twitter.com/dogmaticprior/status/1620859622600105984")</f>
        <v>https://twitter.com/dogmaticprior/status/1620859622600105984</v>
      </c>
      <c r="AC1221" s="78" t="s">
        <v>3800</v>
      </c>
      <c r="AD1221" s="78" t="s">
        <v>4548</v>
      </c>
      <c r="AE1221" t="b">
        <v>0</v>
      </c>
      <c r="AF1221">
        <v>4</v>
      </c>
      <c r="AG1221" s="78" t="s">
        <v>4715</v>
      </c>
      <c r="AH1221" t="b">
        <v>0</v>
      </c>
      <c r="AI1221" t="s">
        <v>4829</v>
      </c>
      <c r="AK1221" s="78" t="s">
        <v>4640</v>
      </c>
      <c r="AL1221" t="b">
        <v>0</v>
      </c>
      <c r="AM1221">
        <v>0</v>
      </c>
      <c r="AN1221" s="78" t="s">
        <v>4640</v>
      </c>
      <c r="AO1221" s="78" t="s">
        <v>4851</v>
      </c>
      <c r="AP1221" t="b">
        <v>0</v>
      </c>
      <c r="AQ1221" s="78" t="s">
        <v>4548</v>
      </c>
      <c r="AR1221" t="s">
        <v>179</v>
      </c>
      <c r="AS1221">
        <v>0</v>
      </c>
      <c r="AT1221">
        <v>0</v>
      </c>
    </row>
    <row r="1222" spans="1:46" x14ac:dyDescent="0.45">
      <c r="A1222" s="62" t="s">
        <v>716</v>
      </c>
      <c r="B1222" s="62" t="s">
        <v>1347</v>
      </c>
      <c r="C1222" s="63"/>
      <c r="D1222" s="64"/>
      <c r="E1222" s="65"/>
      <c r="F1222" s="66"/>
      <c r="G1222" s="63"/>
      <c r="H1222" s="67"/>
      <c r="I1222" s="68"/>
      <c r="J1222" s="68"/>
      <c r="K1222" s="32"/>
      <c r="L1222" s="75"/>
      <c r="M1222" s="75"/>
      <c r="N1222" s="70"/>
      <c r="O1222" t="s">
        <v>1568</v>
      </c>
      <c r="P1222" s="76">
        <v>44958.910590277781</v>
      </c>
      <c r="Q1222" t="s">
        <v>1905</v>
      </c>
      <c r="U1222" s="77" t="str">
        <f>HYPERLINK("https://pbs.twimg.com/media/Fn6aWFWXoBsbQ0n.jpg")</f>
        <v>https://pbs.twimg.com/media/Fn6aWFWXoBsbQ0n.jpg</v>
      </c>
      <c r="V1222" s="77" t="str">
        <f>HYPERLINK("https://pbs.twimg.com/media/Fn6aWFWXoBsbQ0n.jpg")</f>
        <v>https://pbs.twimg.com/media/Fn6aWFWXoBsbQ0n.jpg</v>
      </c>
      <c r="W1222" s="76">
        <v>44958.910590277781</v>
      </c>
      <c r="X1222" s="80">
        <v>44958</v>
      </c>
      <c r="Y1222" s="78" t="s">
        <v>2931</v>
      </c>
      <c r="Z1222" s="77" t="str">
        <f>HYPERLINK("https://twitter.com/jmesunslave/status/1620902626224398336")</f>
        <v>https://twitter.com/jmesunslave/status/1620902626224398336</v>
      </c>
      <c r="AC1222" s="78" t="s">
        <v>3996</v>
      </c>
      <c r="AE1222" t="b">
        <v>0</v>
      </c>
      <c r="AF1222">
        <v>4</v>
      </c>
      <c r="AG1222" s="78" t="s">
        <v>4640</v>
      </c>
      <c r="AH1222" t="b">
        <v>0</v>
      </c>
      <c r="AI1222" t="s">
        <v>4829</v>
      </c>
      <c r="AK1222" s="78" t="s">
        <v>4640</v>
      </c>
      <c r="AL1222" t="b">
        <v>0</v>
      </c>
      <c r="AM1222">
        <v>0</v>
      </c>
      <c r="AN1222" s="78" t="s">
        <v>4640</v>
      </c>
      <c r="AO1222" s="78" t="s">
        <v>4849</v>
      </c>
      <c r="AP1222" t="b">
        <v>0</v>
      </c>
      <c r="AQ1222" s="78" t="s">
        <v>3996</v>
      </c>
      <c r="AR1222" t="s">
        <v>179</v>
      </c>
      <c r="AS1222">
        <v>0</v>
      </c>
      <c r="AT1222">
        <v>0</v>
      </c>
    </row>
    <row r="1223" spans="1:46" x14ac:dyDescent="0.45">
      <c r="A1223" s="62" t="s">
        <v>716</v>
      </c>
      <c r="B1223" s="62" t="s">
        <v>1348</v>
      </c>
      <c r="C1223" s="63"/>
      <c r="D1223" s="64"/>
      <c r="E1223" s="65"/>
      <c r="F1223" s="66"/>
      <c r="G1223" s="63"/>
      <c r="H1223" s="67"/>
      <c r="I1223" s="68"/>
      <c r="J1223" s="68"/>
      <c r="K1223" s="32"/>
      <c r="L1223" s="75"/>
      <c r="M1223" s="75"/>
      <c r="N1223" s="70"/>
      <c r="O1223" t="s">
        <v>1568</v>
      </c>
      <c r="P1223" s="76">
        <v>44958.910590277781</v>
      </c>
      <c r="Q1223" t="s">
        <v>1905</v>
      </c>
      <c r="U1223" s="77" t="str">
        <f>HYPERLINK("https://pbs.twimg.com/media/Fn6aWFWXoBsbQ0n.jpg")</f>
        <v>https://pbs.twimg.com/media/Fn6aWFWXoBsbQ0n.jpg</v>
      </c>
      <c r="V1223" s="77" t="str">
        <f>HYPERLINK("https://pbs.twimg.com/media/Fn6aWFWXoBsbQ0n.jpg")</f>
        <v>https://pbs.twimg.com/media/Fn6aWFWXoBsbQ0n.jpg</v>
      </c>
      <c r="W1223" s="76">
        <v>44958.910590277781</v>
      </c>
      <c r="X1223" s="80">
        <v>44958</v>
      </c>
      <c r="Y1223" s="78" t="s">
        <v>2931</v>
      </c>
      <c r="Z1223" s="77" t="str">
        <f>HYPERLINK("https://twitter.com/jmesunslave/status/1620902626224398336")</f>
        <v>https://twitter.com/jmesunslave/status/1620902626224398336</v>
      </c>
      <c r="AC1223" s="78" t="s">
        <v>3996</v>
      </c>
      <c r="AE1223" t="b">
        <v>0</v>
      </c>
      <c r="AF1223">
        <v>4</v>
      </c>
      <c r="AG1223" s="78" t="s">
        <v>4640</v>
      </c>
      <c r="AH1223" t="b">
        <v>0</v>
      </c>
      <c r="AI1223" t="s">
        <v>4829</v>
      </c>
      <c r="AK1223" s="78" t="s">
        <v>4640</v>
      </c>
      <c r="AL1223" t="b">
        <v>0</v>
      </c>
      <c r="AM1223">
        <v>0</v>
      </c>
      <c r="AN1223" s="78" t="s">
        <v>4640</v>
      </c>
      <c r="AO1223" s="78" t="s">
        <v>4849</v>
      </c>
      <c r="AP1223" t="b">
        <v>0</v>
      </c>
      <c r="AQ1223" s="78" t="s">
        <v>3996</v>
      </c>
      <c r="AR1223" t="s">
        <v>179</v>
      </c>
      <c r="AS1223">
        <v>0</v>
      </c>
      <c r="AT1223">
        <v>0</v>
      </c>
    </row>
    <row r="1224" spans="1:46" x14ac:dyDescent="0.45">
      <c r="A1224" s="62" t="s">
        <v>716</v>
      </c>
      <c r="B1224" s="62" t="s">
        <v>1349</v>
      </c>
      <c r="C1224" s="63"/>
      <c r="D1224" s="64"/>
      <c r="E1224" s="65"/>
      <c r="F1224" s="66"/>
      <c r="G1224" s="63"/>
      <c r="H1224" s="67"/>
      <c r="I1224" s="68"/>
      <c r="J1224" s="68"/>
      <c r="K1224" s="32"/>
      <c r="L1224" s="75"/>
      <c r="M1224" s="75"/>
      <c r="N1224" s="70"/>
      <c r="O1224" t="s">
        <v>1568</v>
      </c>
      <c r="P1224" s="76">
        <v>44958.910590277781</v>
      </c>
      <c r="Q1224" t="s">
        <v>1905</v>
      </c>
      <c r="U1224" s="77" t="str">
        <f>HYPERLINK("https://pbs.twimg.com/media/Fn6aWFWXoBsbQ0n.jpg")</f>
        <v>https://pbs.twimg.com/media/Fn6aWFWXoBsbQ0n.jpg</v>
      </c>
      <c r="V1224" s="77" t="str">
        <f>HYPERLINK("https://pbs.twimg.com/media/Fn6aWFWXoBsbQ0n.jpg")</f>
        <v>https://pbs.twimg.com/media/Fn6aWFWXoBsbQ0n.jpg</v>
      </c>
      <c r="W1224" s="76">
        <v>44958.910590277781</v>
      </c>
      <c r="X1224" s="80">
        <v>44958</v>
      </c>
      <c r="Y1224" s="78" t="s">
        <v>2931</v>
      </c>
      <c r="Z1224" s="77" t="str">
        <f>HYPERLINK("https://twitter.com/jmesunslave/status/1620902626224398336")</f>
        <v>https://twitter.com/jmesunslave/status/1620902626224398336</v>
      </c>
      <c r="AC1224" s="78" t="s">
        <v>3996</v>
      </c>
      <c r="AE1224" t="b">
        <v>0</v>
      </c>
      <c r="AF1224">
        <v>4</v>
      </c>
      <c r="AG1224" s="78" t="s">
        <v>4640</v>
      </c>
      <c r="AH1224" t="b">
        <v>0</v>
      </c>
      <c r="AI1224" t="s">
        <v>4829</v>
      </c>
      <c r="AK1224" s="78" t="s">
        <v>4640</v>
      </c>
      <c r="AL1224" t="b">
        <v>0</v>
      </c>
      <c r="AM1224">
        <v>0</v>
      </c>
      <c r="AN1224" s="78" t="s">
        <v>4640</v>
      </c>
      <c r="AO1224" s="78" t="s">
        <v>4849</v>
      </c>
      <c r="AP1224" t="b">
        <v>0</v>
      </c>
      <c r="AQ1224" s="78" t="s">
        <v>3996</v>
      </c>
      <c r="AR1224" t="s">
        <v>179</v>
      </c>
      <c r="AS1224">
        <v>0</v>
      </c>
      <c r="AT1224">
        <v>0</v>
      </c>
    </row>
    <row r="1225" spans="1:46" x14ac:dyDescent="0.45">
      <c r="A1225" s="62" t="s">
        <v>716</v>
      </c>
      <c r="B1225" s="62" t="s">
        <v>242</v>
      </c>
      <c r="C1225" s="63"/>
      <c r="D1225" s="64"/>
      <c r="E1225" s="65"/>
      <c r="F1225" s="66"/>
      <c r="G1225" s="63"/>
      <c r="H1225" s="67"/>
      <c r="I1225" s="68"/>
      <c r="J1225" s="68"/>
      <c r="K1225" s="32"/>
      <c r="L1225" s="75"/>
      <c r="M1225" s="75"/>
      <c r="N1225" s="70"/>
      <c r="O1225" t="s">
        <v>1568</v>
      </c>
      <c r="P1225" s="76">
        <v>44958.910590277781</v>
      </c>
      <c r="Q1225" t="s">
        <v>1905</v>
      </c>
      <c r="U1225" s="77" t="str">
        <f>HYPERLINK("https://pbs.twimg.com/media/Fn6aWFWXoBsbQ0n.jpg")</f>
        <v>https://pbs.twimg.com/media/Fn6aWFWXoBsbQ0n.jpg</v>
      </c>
      <c r="V1225" s="77" t="str">
        <f>HYPERLINK("https://pbs.twimg.com/media/Fn6aWFWXoBsbQ0n.jpg")</f>
        <v>https://pbs.twimg.com/media/Fn6aWFWXoBsbQ0n.jpg</v>
      </c>
      <c r="W1225" s="76">
        <v>44958.910590277781</v>
      </c>
      <c r="X1225" s="80">
        <v>44958</v>
      </c>
      <c r="Y1225" s="78" t="s">
        <v>2931</v>
      </c>
      <c r="Z1225" s="77" t="str">
        <f>HYPERLINK("https://twitter.com/jmesunslave/status/1620902626224398336")</f>
        <v>https://twitter.com/jmesunslave/status/1620902626224398336</v>
      </c>
      <c r="AC1225" s="78" t="s">
        <v>3996</v>
      </c>
      <c r="AE1225" t="b">
        <v>0</v>
      </c>
      <c r="AF1225">
        <v>4</v>
      </c>
      <c r="AG1225" s="78" t="s">
        <v>4640</v>
      </c>
      <c r="AH1225" t="b">
        <v>0</v>
      </c>
      <c r="AI1225" t="s">
        <v>4829</v>
      </c>
      <c r="AK1225" s="78" t="s">
        <v>4640</v>
      </c>
      <c r="AL1225" t="b">
        <v>0</v>
      </c>
      <c r="AM1225">
        <v>0</v>
      </c>
      <c r="AN1225" s="78" t="s">
        <v>4640</v>
      </c>
      <c r="AO1225" s="78" t="s">
        <v>4849</v>
      </c>
      <c r="AP1225" t="b">
        <v>0</v>
      </c>
      <c r="AQ1225" s="78" t="s">
        <v>3996</v>
      </c>
      <c r="AR1225" t="s">
        <v>179</v>
      </c>
      <c r="AS1225">
        <v>0</v>
      </c>
      <c r="AT1225">
        <v>0</v>
      </c>
    </row>
    <row r="1226" spans="1:46" x14ac:dyDescent="0.45">
      <c r="A1226" s="62" t="s">
        <v>795</v>
      </c>
      <c r="B1226" s="62" t="s">
        <v>1230</v>
      </c>
      <c r="C1226" s="63"/>
      <c r="D1226" s="64"/>
      <c r="E1226" s="65"/>
      <c r="F1226" s="66"/>
      <c r="G1226" s="63"/>
      <c r="H1226" s="67"/>
      <c r="I1226" s="68"/>
      <c r="J1226" s="68"/>
      <c r="K1226" s="32"/>
      <c r="L1226" s="75"/>
      <c r="M1226" s="75"/>
      <c r="N1226" s="70"/>
      <c r="O1226" t="s">
        <v>1568</v>
      </c>
      <c r="P1226" s="76">
        <v>44958.97693287037</v>
      </c>
      <c r="Q1226" t="s">
        <v>1965</v>
      </c>
      <c r="U1226" s="77" t="str">
        <f>HYPERLINK("https://pbs.twimg.com/media/Fn6wNlFXoAAPSnz.jpg")</f>
        <v>https://pbs.twimg.com/media/Fn6wNlFXoAAPSnz.jpg</v>
      </c>
      <c r="V1226" s="77" t="str">
        <f>HYPERLINK("https://pbs.twimg.com/media/Fn6wNlFXoAAPSnz.jpg")</f>
        <v>https://pbs.twimg.com/media/Fn6wNlFXoAAPSnz.jpg</v>
      </c>
      <c r="W1226" s="76">
        <v>44958.97693287037</v>
      </c>
      <c r="X1226" s="80">
        <v>44958</v>
      </c>
      <c r="Y1226" s="78" t="s">
        <v>3017</v>
      </c>
      <c r="Z1226" s="77" t="str">
        <f>HYPERLINK("https://twitter.com/endlessmart94/status/1620926665965854721")</f>
        <v>https://twitter.com/endlessmart94/status/1620926665965854721</v>
      </c>
      <c r="AC1226" s="78" t="s">
        <v>4082</v>
      </c>
      <c r="AD1226" s="78" t="s">
        <v>4473</v>
      </c>
      <c r="AE1226" t="b">
        <v>0</v>
      </c>
      <c r="AF1226">
        <v>4</v>
      </c>
      <c r="AG1226" s="78" t="s">
        <v>4639</v>
      </c>
      <c r="AH1226" t="b">
        <v>0</v>
      </c>
      <c r="AI1226" t="s">
        <v>4829</v>
      </c>
      <c r="AK1226" s="78" t="s">
        <v>4640</v>
      </c>
      <c r="AL1226" t="b">
        <v>0</v>
      </c>
      <c r="AM1226">
        <v>0</v>
      </c>
      <c r="AN1226" s="78" t="s">
        <v>4640</v>
      </c>
      <c r="AO1226" s="78" t="s">
        <v>4850</v>
      </c>
      <c r="AP1226" t="b">
        <v>0</v>
      </c>
      <c r="AQ1226" s="78" t="s">
        <v>4473</v>
      </c>
      <c r="AR1226" t="s">
        <v>179</v>
      </c>
      <c r="AS1226">
        <v>0</v>
      </c>
      <c r="AT1226">
        <v>0</v>
      </c>
    </row>
    <row r="1227" spans="1:46" x14ac:dyDescent="0.45">
      <c r="A1227" s="62" t="s">
        <v>795</v>
      </c>
      <c r="B1227" s="62" t="s">
        <v>242</v>
      </c>
      <c r="C1227" s="63"/>
      <c r="D1227" s="64"/>
      <c r="E1227" s="65"/>
      <c r="F1227" s="66"/>
      <c r="G1227" s="63"/>
      <c r="H1227" s="67"/>
      <c r="I1227" s="68"/>
      <c r="J1227" s="68"/>
      <c r="K1227" s="32"/>
      <c r="L1227" s="75"/>
      <c r="M1227" s="75"/>
      <c r="N1227" s="70"/>
      <c r="O1227" t="s">
        <v>1567</v>
      </c>
      <c r="P1227" s="76">
        <v>44958.97693287037</v>
      </c>
      <c r="Q1227" t="s">
        <v>1965</v>
      </c>
      <c r="U1227" s="77" t="str">
        <f>HYPERLINK("https://pbs.twimg.com/media/Fn6wNlFXoAAPSnz.jpg")</f>
        <v>https://pbs.twimg.com/media/Fn6wNlFXoAAPSnz.jpg</v>
      </c>
      <c r="V1227" s="77" t="str">
        <f>HYPERLINK("https://pbs.twimg.com/media/Fn6wNlFXoAAPSnz.jpg")</f>
        <v>https://pbs.twimg.com/media/Fn6wNlFXoAAPSnz.jpg</v>
      </c>
      <c r="W1227" s="76">
        <v>44958.97693287037</v>
      </c>
      <c r="X1227" s="80">
        <v>44958</v>
      </c>
      <c r="Y1227" s="78" t="s">
        <v>3017</v>
      </c>
      <c r="Z1227" s="77" t="str">
        <f>HYPERLINK("https://twitter.com/endlessmart94/status/1620926665965854721")</f>
        <v>https://twitter.com/endlessmart94/status/1620926665965854721</v>
      </c>
      <c r="AC1227" s="78" t="s">
        <v>4082</v>
      </c>
      <c r="AD1227" s="78" t="s">
        <v>4473</v>
      </c>
      <c r="AE1227" t="b">
        <v>0</v>
      </c>
      <c r="AF1227">
        <v>4</v>
      </c>
      <c r="AG1227" s="78" t="s">
        <v>4639</v>
      </c>
      <c r="AH1227" t="b">
        <v>0</v>
      </c>
      <c r="AI1227" t="s">
        <v>4829</v>
      </c>
      <c r="AK1227" s="78" t="s">
        <v>4640</v>
      </c>
      <c r="AL1227" t="b">
        <v>0</v>
      </c>
      <c r="AM1227">
        <v>0</v>
      </c>
      <c r="AN1227" s="78" t="s">
        <v>4640</v>
      </c>
      <c r="AO1227" s="78" t="s">
        <v>4850</v>
      </c>
      <c r="AP1227" t="b">
        <v>0</v>
      </c>
      <c r="AQ1227" s="78" t="s">
        <v>4473</v>
      </c>
      <c r="AR1227" t="s">
        <v>179</v>
      </c>
      <c r="AS1227">
        <v>0</v>
      </c>
      <c r="AT1227">
        <v>0</v>
      </c>
    </row>
    <row r="1228" spans="1:46" x14ac:dyDescent="0.45">
      <c r="A1228" s="62" t="s">
        <v>224</v>
      </c>
      <c r="B1228" s="62" t="s">
        <v>1115</v>
      </c>
      <c r="C1228" s="63"/>
      <c r="D1228" s="64"/>
      <c r="E1228" s="65"/>
      <c r="F1228" s="66"/>
      <c r="G1228" s="63"/>
      <c r="H1228" s="67"/>
      <c r="I1228" s="68"/>
      <c r="J1228" s="68"/>
      <c r="K1228" s="32"/>
      <c r="L1228" s="75"/>
      <c r="M1228" s="75"/>
      <c r="N1228" s="70"/>
      <c r="O1228" t="s">
        <v>1567</v>
      </c>
      <c r="P1228" s="76">
        <v>44958.299953703703</v>
      </c>
      <c r="Q1228" t="s">
        <v>1578</v>
      </c>
      <c r="U1228" s="77" t="str">
        <f>HYPERLINK("https://pbs.twimg.com/media/Fn3RD67aEAEA_jE.png")</f>
        <v>https://pbs.twimg.com/media/Fn3RD67aEAEA_jE.png</v>
      </c>
      <c r="V1228" s="77" t="str">
        <f>HYPERLINK("https://pbs.twimg.com/media/Fn3RD67aEAEA_jE.png")</f>
        <v>https://pbs.twimg.com/media/Fn3RD67aEAEA_jE.png</v>
      </c>
      <c r="W1228" s="76">
        <v>44958.299953703703</v>
      </c>
      <c r="X1228" s="80">
        <v>44958</v>
      </c>
      <c r="Y1228" s="78" t="s">
        <v>2427</v>
      </c>
      <c r="Z1228" s="77" t="str">
        <f>HYPERLINK("https://twitter.com/wyndstrom1/status/1620681339715612672")</f>
        <v>https://twitter.com/wyndstrom1/status/1620681339715612672</v>
      </c>
      <c r="AC1228" s="78" t="s">
        <v>3442</v>
      </c>
      <c r="AD1228" s="78" t="s">
        <v>4502</v>
      </c>
      <c r="AE1228" t="b">
        <v>0</v>
      </c>
      <c r="AF1228">
        <v>3</v>
      </c>
      <c r="AG1228" s="78" t="s">
        <v>4644</v>
      </c>
      <c r="AH1228" t="b">
        <v>0</v>
      </c>
      <c r="AI1228" t="s">
        <v>4829</v>
      </c>
      <c r="AK1228" s="78" t="s">
        <v>4640</v>
      </c>
      <c r="AL1228" t="b">
        <v>0</v>
      </c>
      <c r="AM1228">
        <v>0</v>
      </c>
      <c r="AN1228" s="78" t="s">
        <v>4640</v>
      </c>
      <c r="AO1228" s="78" t="s">
        <v>4851</v>
      </c>
      <c r="AP1228" t="b">
        <v>0</v>
      </c>
      <c r="AQ1228" s="78" t="s">
        <v>4502</v>
      </c>
      <c r="AR1228" t="s">
        <v>179</v>
      </c>
      <c r="AS1228">
        <v>0</v>
      </c>
      <c r="AT1228">
        <v>0</v>
      </c>
    </row>
    <row r="1229" spans="1:46" x14ac:dyDescent="0.45">
      <c r="A1229" s="62" t="s">
        <v>224</v>
      </c>
      <c r="B1229" s="62" t="s">
        <v>242</v>
      </c>
      <c r="C1229" s="63"/>
      <c r="D1229" s="64"/>
      <c r="E1229" s="65"/>
      <c r="F1229" s="66"/>
      <c r="G1229" s="63"/>
      <c r="H1229" s="67"/>
      <c r="I1229" s="68"/>
      <c r="J1229" s="68"/>
      <c r="K1229" s="32"/>
      <c r="L1229" s="75"/>
      <c r="M1229" s="75"/>
      <c r="N1229" s="70"/>
      <c r="O1229" t="s">
        <v>1568</v>
      </c>
      <c r="P1229" s="76">
        <v>44958.299953703703</v>
      </c>
      <c r="Q1229" t="s">
        <v>1578</v>
      </c>
      <c r="U1229" s="77" t="str">
        <f>HYPERLINK("https://pbs.twimg.com/media/Fn3RD67aEAEA_jE.png")</f>
        <v>https://pbs.twimg.com/media/Fn3RD67aEAEA_jE.png</v>
      </c>
      <c r="V1229" s="77" t="str">
        <f>HYPERLINK("https://pbs.twimg.com/media/Fn3RD67aEAEA_jE.png")</f>
        <v>https://pbs.twimg.com/media/Fn3RD67aEAEA_jE.png</v>
      </c>
      <c r="W1229" s="76">
        <v>44958.299953703703</v>
      </c>
      <c r="X1229" s="80">
        <v>44958</v>
      </c>
      <c r="Y1229" s="78" t="s">
        <v>2427</v>
      </c>
      <c r="Z1229" s="77" t="str">
        <f>HYPERLINK("https://twitter.com/wyndstrom1/status/1620681339715612672")</f>
        <v>https://twitter.com/wyndstrom1/status/1620681339715612672</v>
      </c>
      <c r="AC1229" s="78" t="s">
        <v>3442</v>
      </c>
      <c r="AD1229" s="78" t="s">
        <v>4502</v>
      </c>
      <c r="AE1229" t="b">
        <v>0</v>
      </c>
      <c r="AF1229">
        <v>3</v>
      </c>
      <c r="AG1229" s="78" t="s">
        <v>4644</v>
      </c>
      <c r="AH1229" t="b">
        <v>0</v>
      </c>
      <c r="AI1229" t="s">
        <v>4829</v>
      </c>
      <c r="AK1229" s="78" t="s">
        <v>4640</v>
      </c>
      <c r="AL1229" t="b">
        <v>0</v>
      </c>
      <c r="AM1229">
        <v>0</v>
      </c>
      <c r="AN1229" s="78" t="s">
        <v>4640</v>
      </c>
      <c r="AO1229" s="78" t="s">
        <v>4851</v>
      </c>
      <c r="AP1229" t="b">
        <v>0</v>
      </c>
      <c r="AQ1229" s="78" t="s">
        <v>4502</v>
      </c>
      <c r="AR1229" t="s">
        <v>179</v>
      </c>
      <c r="AS1229">
        <v>0</v>
      </c>
      <c r="AT1229">
        <v>0</v>
      </c>
    </row>
    <row r="1230" spans="1:46" x14ac:dyDescent="0.45">
      <c r="A1230" s="62" t="s">
        <v>362</v>
      </c>
      <c r="B1230" s="62" t="s">
        <v>1230</v>
      </c>
      <c r="C1230" s="63"/>
      <c r="D1230" s="64"/>
      <c r="E1230" s="65"/>
      <c r="F1230" s="66"/>
      <c r="G1230" s="63"/>
      <c r="H1230" s="67"/>
      <c r="I1230" s="68"/>
      <c r="J1230" s="68"/>
      <c r="K1230" s="32"/>
      <c r="L1230" s="75"/>
      <c r="M1230" s="75"/>
      <c r="N1230" s="70"/>
      <c r="O1230" t="s">
        <v>1568</v>
      </c>
      <c r="P1230" s="76">
        <v>44958.680150462962</v>
      </c>
      <c r="Q1230" t="s">
        <v>1701</v>
      </c>
      <c r="V1230" s="77" t="str">
        <f>HYPERLINK("https://pbs.twimg.com/profile_images/1473835698746712064/tZAaKmf7_normal.jpg")</f>
        <v>https://pbs.twimg.com/profile_images/1473835698746712064/tZAaKmf7_normal.jpg</v>
      </c>
      <c r="W1230" s="76">
        <v>44958.680150462962</v>
      </c>
      <c r="X1230" s="80">
        <v>44958</v>
      </c>
      <c r="Y1230" s="78" t="s">
        <v>2583</v>
      </c>
      <c r="Z1230" s="77" t="str">
        <f>HYPERLINK("https://twitter.com/itzbrittanybih/status/1620819118663536641")</f>
        <v>https://twitter.com/itzbrittanybih/status/1620819118663536641</v>
      </c>
      <c r="AC1230" s="78" t="s">
        <v>3600</v>
      </c>
      <c r="AD1230" s="78" t="s">
        <v>4473</v>
      </c>
      <c r="AE1230" t="b">
        <v>0</v>
      </c>
      <c r="AF1230">
        <v>3</v>
      </c>
      <c r="AG1230" s="78" t="s">
        <v>4639</v>
      </c>
      <c r="AH1230" t="b">
        <v>0</v>
      </c>
      <c r="AI1230" t="s">
        <v>4829</v>
      </c>
      <c r="AK1230" s="78" t="s">
        <v>4640</v>
      </c>
      <c r="AL1230" t="b">
        <v>0</v>
      </c>
      <c r="AM1230">
        <v>0</v>
      </c>
      <c r="AN1230" s="78" t="s">
        <v>4640</v>
      </c>
      <c r="AO1230" s="78" t="s">
        <v>4850</v>
      </c>
      <c r="AP1230" t="b">
        <v>0</v>
      </c>
      <c r="AQ1230" s="78" t="s">
        <v>4473</v>
      </c>
      <c r="AR1230" t="s">
        <v>179</v>
      </c>
      <c r="AS1230">
        <v>0</v>
      </c>
      <c r="AT1230">
        <v>0</v>
      </c>
    </row>
    <row r="1231" spans="1:46" x14ac:dyDescent="0.45">
      <c r="A1231" s="62" t="s">
        <v>362</v>
      </c>
      <c r="B1231" s="62" t="s">
        <v>242</v>
      </c>
      <c r="C1231" s="63"/>
      <c r="D1231" s="64"/>
      <c r="E1231" s="65"/>
      <c r="F1231" s="66"/>
      <c r="G1231" s="63"/>
      <c r="H1231" s="67"/>
      <c r="I1231" s="68"/>
      <c r="J1231" s="68"/>
      <c r="K1231" s="32"/>
      <c r="L1231" s="75"/>
      <c r="M1231" s="75"/>
      <c r="N1231" s="70"/>
      <c r="O1231" t="s">
        <v>1567</v>
      </c>
      <c r="P1231" s="76">
        <v>44958.680150462962</v>
      </c>
      <c r="Q1231" t="s">
        <v>1701</v>
      </c>
      <c r="V1231" s="77" t="str">
        <f>HYPERLINK("https://pbs.twimg.com/profile_images/1473835698746712064/tZAaKmf7_normal.jpg")</f>
        <v>https://pbs.twimg.com/profile_images/1473835698746712064/tZAaKmf7_normal.jpg</v>
      </c>
      <c r="W1231" s="76">
        <v>44958.680150462962</v>
      </c>
      <c r="X1231" s="80">
        <v>44958</v>
      </c>
      <c r="Y1231" s="78" t="s">
        <v>2583</v>
      </c>
      <c r="Z1231" s="77" t="str">
        <f>HYPERLINK("https://twitter.com/itzbrittanybih/status/1620819118663536641")</f>
        <v>https://twitter.com/itzbrittanybih/status/1620819118663536641</v>
      </c>
      <c r="AC1231" s="78" t="s">
        <v>3600</v>
      </c>
      <c r="AD1231" s="78" t="s">
        <v>4473</v>
      </c>
      <c r="AE1231" t="b">
        <v>0</v>
      </c>
      <c r="AF1231">
        <v>3</v>
      </c>
      <c r="AG1231" s="78" t="s">
        <v>4639</v>
      </c>
      <c r="AH1231" t="b">
        <v>0</v>
      </c>
      <c r="AI1231" t="s">
        <v>4829</v>
      </c>
      <c r="AK1231" s="78" t="s">
        <v>4640</v>
      </c>
      <c r="AL1231" t="b">
        <v>0</v>
      </c>
      <c r="AM1231">
        <v>0</v>
      </c>
      <c r="AN1231" s="78" t="s">
        <v>4640</v>
      </c>
      <c r="AO1231" s="78" t="s">
        <v>4850</v>
      </c>
      <c r="AP1231" t="b">
        <v>0</v>
      </c>
      <c r="AQ1231" s="78" t="s">
        <v>4473</v>
      </c>
      <c r="AR1231" t="s">
        <v>179</v>
      </c>
      <c r="AS1231">
        <v>0</v>
      </c>
      <c r="AT1231">
        <v>0</v>
      </c>
    </row>
    <row r="1232" spans="1:46" x14ac:dyDescent="0.45">
      <c r="A1232" s="62" t="s">
        <v>510</v>
      </c>
      <c r="B1232" s="62" t="s">
        <v>1230</v>
      </c>
      <c r="C1232" s="63"/>
      <c r="D1232" s="64"/>
      <c r="E1232" s="65"/>
      <c r="F1232" s="66"/>
      <c r="G1232" s="63"/>
      <c r="H1232" s="67"/>
      <c r="I1232" s="68"/>
      <c r="J1232" s="68"/>
      <c r="K1232" s="32"/>
      <c r="L1232" s="75"/>
      <c r="M1232" s="75"/>
      <c r="N1232" s="70"/>
      <c r="O1232" t="s">
        <v>1568</v>
      </c>
      <c r="P1232" s="76">
        <v>44958.764490740738</v>
      </c>
      <c r="Q1232" t="s">
        <v>1790</v>
      </c>
      <c r="V1232" s="77" t="str">
        <f>HYPERLINK("https://pbs.twimg.com/profile_images/1582200729875480578/ogmJnKDi_normal.jpg")</f>
        <v>https://pbs.twimg.com/profile_images/1582200729875480578/ogmJnKDi_normal.jpg</v>
      </c>
      <c r="W1232" s="76">
        <v>44958.764490740738</v>
      </c>
      <c r="X1232" s="80">
        <v>44958</v>
      </c>
      <c r="Y1232" s="78" t="s">
        <v>2750</v>
      </c>
      <c r="Z1232" s="77" t="str">
        <f>HYPERLINK("https://twitter.com/inalittledove/status/1620849679775969281")</f>
        <v>https://twitter.com/inalittledove/status/1620849679775969281</v>
      </c>
      <c r="AC1232" s="78" t="s">
        <v>3769</v>
      </c>
      <c r="AD1232" s="78" t="s">
        <v>4473</v>
      </c>
      <c r="AE1232" t="b">
        <v>0</v>
      </c>
      <c r="AF1232">
        <v>3</v>
      </c>
      <c r="AG1232" s="78" t="s">
        <v>4639</v>
      </c>
      <c r="AH1232" t="b">
        <v>0</v>
      </c>
      <c r="AI1232" t="s">
        <v>4829</v>
      </c>
      <c r="AK1232" s="78" t="s">
        <v>4640</v>
      </c>
      <c r="AL1232" t="b">
        <v>0</v>
      </c>
      <c r="AM1232">
        <v>0</v>
      </c>
      <c r="AN1232" s="78" t="s">
        <v>4640</v>
      </c>
      <c r="AO1232" s="78" t="s">
        <v>4851</v>
      </c>
      <c r="AP1232" t="b">
        <v>0</v>
      </c>
      <c r="AQ1232" s="78" t="s">
        <v>4473</v>
      </c>
      <c r="AR1232" t="s">
        <v>179</v>
      </c>
      <c r="AS1232">
        <v>0</v>
      </c>
      <c r="AT1232">
        <v>0</v>
      </c>
    </row>
    <row r="1233" spans="1:46" x14ac:dyDescent="0.45">
      <c r="A1233" s="62" t="s">
        <v>510</v>
      </c>
      <c r="B1233" s="62" t="s">
        <v>242</v>
      </c>
      <c r="C1233" s="63"/>
      <c r="D1233" s="64"/>
      <c r="E1233" s="65"/>
      <c r="F1233" s="66"/>
      <c r="G1233" s="63"/>
      <c r="H1233" s="67"/>
      <c r="I1233" s="68"/>
      <c r="J1233" s="68"/>
      <c r="K1233" s="32"/>
      <c r="L1233" s="75"/>
      <c r="M1233" s="75"/>
      <c r="N1233" s="70"/>
      <c r="O1233" t="s">
        <v>1567</v>
      </c>
      <c r="P1233" s="76">
        <v>44958.764490740738</v>
      </c>
      <c r="Q1233" t="s">
        <v>1790</v>
      </c>
      <c r="V1233" s="77" t="str">
        <f>HYPERLINK("https://pbs.twimg.com/profile_images/1582200729875480578/ogmJnKDi_normal.jpg")</f>
        <v>https://pbs.twimg.com/profile_images/1582200729875480578/ogmJnKDi_normal.jpg</v>
      </c>
      <c r="W1233" s="76">
        <v>44958.764490740738</v>
      </c>
      <c r="X1233" s="80">
        <v>44958</v>
      </c>
      <c r="Y1233" s="78" t="s">
        <v>2750</v>
      </c>
      <c r="Z1233" s="77" t="str">
        <f>HYPERLINK("https://twitter.com/inalittledove/status/1620849679775969281")</f>
        <v>https://twitter.com/inalittledove/status/1620849679775969281</v>
      </c>
      <c r="AC1233" s="78" t="s">
        <v>3769</v>
      </c>
      <c r="AD1233" s="78" t="s">
        <v>4473</v>
      </c>
      <c r="AE1233" t="b">
        <v>0</v>
      </c>
      <c r="AF1233">
        <v>3</v>
      </c>
      <c r="AG1233" s="78" t="s">
        <v>4639</v>
      </c>
      <c r="AH1233" t="b">
        <v>0</v>
      </c>
      <c r="AI1233" t="s">
        <v>4829</v>
      </c>
      <c r="AK1233" s="78" t="s">
        <v>4640</v>
      </c>
      <c r="AL1233" t="b">
        <v>0</v>
      </c>
      <c r="AM1233">
        <v>0</v>
      </c>
      <c r="AN1233" s="78" t="s">
        <v>4640</v>
      </c>
      <c r="AO1233" s="78" t="s">
        <v>4851</v>
      </c>
      <c r="AP1233" t="b">
        <v>0</v>
      </c>
      <c r="AQ1233" s="78" t="s">
        <v>4473</v>
      </c>
      <c r="AR1233" t="s">
        <v>179</v>
      </c>
      <c r="AS1233">
        <v>0</v>
      </c>
      <c r="AT1233">
        <v>0</v>
      </c>
    </row>
    <row r="1234" spans="1:46" x14ac:dyDescent="0.45">
      <c r="A1234" s="62" t="s">
        <v>750</v>
      </c>
      <c r="B1234" s="62" t="s">
        <v>242</v>
      </c>
      <c r="C1234" s="63"/>
      <c r="D1234" s="64"/>
      <c r="E1234" s="65"/>
      <c r="F1234" s="66"/>
      <c r="G1234" s="63"/>
      <c r="H1234" s="67"/>
      <c r="I1234" s="68"/>
      <c r="J1234" s="68"/>
      <c r="K1234" s="32"/>
      <c r="L1234" s="75"/>
      <c r="M1234" s="75"/>
      <c r="N1234" s="70"/>
      <c r="O1234" t="s">
        <v>1568</v>
      </c>
      <c r="P1234" s="76">
        <v>44958.940243055556</v>
      </c>
      <c r="Q1234" t="s">
        <v>1934</v>
      </c>
      <c r="V1234" s="77" t="str">
        <f>HYPERLINK("https://pbs.twimg.com/profile_images/1615518395373441026/iEtcA4dQ_normal.jpg")</f>
        <v>https://pbs.twimg.com/profile_images/1615518395373441026/iEtcA4dQ_normal.jpg</v>
      </c>
      <c r="W1234" s="76">
        <v>44958.940243055556</v>
      </c>
      <c r="X1234" s="80">
        <v>44958</v>
      </c>
      <c r="Y1234" s="78" t="s">
        <v>2969</v>
      </c>
      <c r="Z1234" s="77" t="str">
        <f>HYPERLINK("https://twitter.com/apmix_yt/status/1620913370810683393")</f>
        <v>https://twitter.com/apmix_yt/status/1620913370810683393</v>
      </c>
      <c r="AC1234" s="78" t="s">
        <v>4034</v>
      </c>
      <c r="AD1234" s="78" t="s">
        <v>4420</v>
      </c>
      <c r="AE1234" t="b">
        <v>0</v>
      </c>
      <c r="AF1234">
        <v>3</v>
      </c>
      <c r="AG1234" s="78" t="s">
        <v>4737</v>
      </c>
      <c r="AH1234" t="b">
        <v>0</v>
      </c>
      <c r="AI1234" t="s">
        <v>4829</v>
      </c>
      <c r="AK1234" s="78" t="s">
        <v>4640</v>
      </c>
      <c r="AL1234" t="b">
        <v>0</v>
      </c>
      <c r="AM1234">
        <v>0</v>
      </c>
      <c r="AN1234" s="78" t="s">
        <v>4640</v>
      </c>
      <c r="AO1234" s="78" t="s">
        <v>4850</v>
      </c>
      <c r="AP1234" t="b">
        <v>0</v>
      </c>
      <c r="AQ1234" s="78" t="s">
        <v>4420</v>
      </c>
      <c r="AR1234" t="s">
        <v>179</v>
      </c>
      <c r="AS1234">
        <v>0</v>
      </c>
      <c r="AT1234">
        <v>0</v>
      </c>
    </row>
    <row r="1235" spans="1:46" x14ac:dyDescent="0.45">
      <c r="A1235" s="62" t="s">
        <v>750</v>
      </c>
      <c r="B1235" s="62" t="s">
        <v>1046</v>
      </c>
      <c r="C1235" s="63"/>
      <c r="D1235" s="64"/>
      <c r="E1235" s="65"/>
      <c r="F1235" s="66"/>
      <c r="G1235" s="63"/>
      <c r="H1235" s="67"/>
      <c r="I1235" s="68"/>
      <c r="J1235" s="68"/>
      <c r="K1235" s="32"/>
      <c r="L1235" s="75"/>
      <c r="M1235" s="75"/>
      <c r="N1235" s="70"/>
      <c r="O1235" t="s">
        <v>1567</v>
      </c>
      <c r="P1235" s="76">
        <v>44958.940243055556</v>
      </c>
      <c r="Q1235" t="s">
        <v>1934</v>
      </c>
      <c r="V1235" s="77" t="str">
        <f>HYPERLINK("https://pbs.twimg.com/profile_images/1615518395373441026/iEtcA4dQ_normal.jpg")</f>
        <v>https://pbs.twimg.com/profile_images/1615518395373441026/iEtcA4dQ_normal.jpg</v>
      </c>
      <c r="W1235" s="76">
        <v>44958.940243055556</v>
      </c>
      <c r="X1235" s="80">
        <v>44958</v>
      </c>
      <c r="Y1235" s="78" t="s">
        <v>2969</v>
      </c>
      <c r="Z1235" s="77" t="str">
        <f>HYPERLINK("https://twitter.com/apmix_yt/status/1620913370810683393")</f>
        <v>https://twitter.com/apmix_yt/status/1620913370810683393</v>
      </c>
      <c r="AC1235" s="78" t="s">
        <v>4034</v>
      </c>
      <c r="AD1235" s="78" t="s">
        <v>4420</v>
      </c>
      <c r="AE1235" t="b">
        <v>0</v>
      </c>
      <c r="AF1235">
        <v>3</v>
      </c>
      <c r="AG1235" s="78" t="s">
        <v>4737</v>
      </c>
      <c r="AH1235" t="b">
        <v>0</v>
      </c>
      <c r="AI1235" t="s">
        <v>4829</v>
      </c>
      <c r="AK1235" s="78" t="s">
        <v>4640</v>
      </c>
      <c r="AL1235" t="b">
        <v>0</v>
      </c>
      <c r="AM1235">
        <v>0</v>
      </c>
      <c r="AN1235" s="78" t="s">
        <v>4640</v>
      </c>
      <c r="AO1235" s="78" t="s">
        <v>4850</v>
      </c>
      <c r="AP1235" t="b">
        <v>0</v>
      </c>
      <c r="AQ1235" s="78" t="s">
        <v>4420</v>
      </c>
      <c r="AR1235" t="s">
        <v>179</v>
      </c>
      <c r="AS1235">
        <v>0</v>
      </c>
      <c r="AT1235">
        <v>0</v>
      </c>
    </row>
    <row r="1236" spans="1:46" x14ac:dyDescent="0.45">
      <c r="A1236" s="62" t="s">
        <v>770</v>
      </c>
      <c r="B1236" s="62" t="s">
        <v>242</v>
      </c>
      <c r="C1236" s="63"/>
      <c r="D1236" s="64"/>
      <c r="E1236" s="65"/>
      <c r="F1236" s="66"/>
      <c r="G1236" s="63"/>
      <c r="H1236" s="67"/>
      <c r="I1236" s="68"/>
      <c r="J1236" s="68"/>
      <c r="K1236" s="32"/>
      <c r="L1236" s="75"/>
      <c r="M1236" s="75"/>
      <c r="N1236" s="70"/>
      <c r="O1236" t="s">
        <v>1568</v>
      </c>
      <c r="P1236" s="76">
        <v>44958.955416666664</v>
      </c>
      <c r="Q1236" t="s">
        <v>1948</v>
      </c>
      <c r="V1236" s="77" t="str">
        <f>HYPERLINK("https://pbs.twimg.com/profile_images/1495829608276635652/nDoQY1ec_normal.jpg")</f>
        <v>https://pbs.twimg.com/profile_images/1495829608276635652/nDoQY1ec_normal.jpg</v>
      </c>
      <c r="W1236" s="76">
        <v>44958.955416666664</v>
      </c>
      <c r="X1236" s="80">
        <v>44958</v>
      </c>
      <c r="Y1236" s="78" t="s">
        <v>2992</v>
      </c>
      <c r="Z1236" s="77" t="str">
        <f>HYPERLINK("https://twitter.com/jguess12/status/1620918871099064325")</f>
        <v>https://twitter.com/jguess12/status/1620918871099064325</v>
      </c>
      <c r="AC1236" s="78" t="s">
        <v>4057</v>
      </c>
      <c r="AD1236" s="78" t="s">
        <v>4420</v>
      </c>
      <c r="AE1236" t="b">
        <v>0</v>
      </c>
      <c r="AF1236">
        <v>3</v>
      </c>
      <c r="AG1236" s="78" t="s">
        <v>4737</v>
      </c>
      <c r="AH1236" t="b">
        <v>0</v>
      </c>
      <c r="AI1236" t="s">
        <v>4829</v>
      </c>
      <c r="AK1236" s="78" t="s">
        <v>4640</v>
      </c>
      <c r="AL1236" t="b">
        <v>0</v>
      </c>
      <c r="AM1236">
        <v>0</v>
      </c>
      <c r="AN1236" s="78" t="s">
        <v>4640</v>
      </c>
      <c r="AO1236" s="78" t="s">
        <v>4849</v>
      </c>
      <c r="AP1236" t="b">
        <v>0</v>
      </c>
      <c r="AQ1236" s="78" t="s">
        <v>4420</v>
      </c>
      <c r="AR1236" t="s">
        <v>179</v>
      </c>
      <c r="AS1236">
        <v>0</v>
      </c>
      <c r="AT1236">
        <v>0</v>
      </c>
    </row>
    <row r="1237" spans="1:46" x14ac:dyDescent="0.45">
      <c r="A1237" s="62" t="s">
        <v>770</v>
      </c>
      <c r="B1237" s="62" t="s">
        <v>1046</v>
      </c>
      <c r="C1237" s="63"/>
      <c r="D1237" s="64"/>
      <c r="E1237" s="65"/>
      <c r="F1237" s="66"/>
      <c r="G1237" s="63"/>
      <c r="H1237" s="67"/>
      <c r="I1237" s="68"/>
      <c r="J1237" s="68"/>
      <c r="K1237" s="32"/>
      <c r="L1237" s="75"/>
      <c r="M1237" s="75"/>
      <c r="N1237" s="70"/>
      <c r="O1237" t="s">
        <v>1567</v>
      </c>
      <c r="P1237" s="76">
        <v>44958.955416666664</v>
      </c>
      <c r="Q1237" t="s">
        <v>1948</v>
      </c>
      <c r="V1237" s="77" t="str">
        <f>HYPERLINK("https://pbs.twimg.com/profile_images/1495829608276635652/nDoQY1ec_normal.jpg")</f>
        <v>https://pbs.twimg.com/profile_images/1495829608276635652/nDoQY1ec_normal.jpg</v>
      </c>
      <c r="W1237" s="76">
        <v>44958.955416666664</v>
      </c>
      <c r="X1237" s="80">
        <v>44958</v>
      </c>
      <c r="Y1237" s="78" t="s">
        <v>2992</v>
      </c>
      <c r="Z1237" s="77" t="str">
        <f>HYPERLINK("https://twitter.com/jguess12/status/1620918871099064325")</f>
        <v>https://twitter.com/jguess12/status/1620918871099064325</v>
      </c>
      <c r="AC1237" s="78" t="s">
        <v>4057</v>
      </c>
      <c r="AD1237" s="78" t="s">
        <v>4420</v>
      </c>
      <c r="AE1237" t="b">
        <v>0</v>
      </c>
      <c r="AF1237">
        <v>3</v>
      </c>
      <c r="AG1237" s="78" t="s">
        <v>4737</v>
      </c>
      <c r="AH1237" t="b">
        <v>0</v>
      </c>
      <c r="AI1237" t="s">
        <v>4829</v>
      </c>
      <c r="AK1237" s="78" t="s">
        <v>4640</v>
      </c>
      <c r="AL1237" t="b">
        <v>0</v>
      </c>
      <c r="AM1237">
        <v>0</v>
      </c>
      <c r="AN1237" s="78" t="s">
        <v>4640</v>
      </c>
      <c r="AO1237" s="78" t="s">
        <v>4849</v>
      </c>
      <c r="AP1237" t="b">
        <v>0</v>
      </c>
      <c r="AQ1237" s="78" t="s">
        <v>4420</v>
      </c>
      <c r="AR1237" t="s">
        <v>179</v>
      </c>
      <c r="AS1237">
        <v>0</v>
      </c>
      <c r="AT1237">
        <v>0</v>
      </c>
    </row>
    <row r="1238" spans="1:46" x14ac:dyDescent="0.45">
      <c r="A1238" s="62" t="s">
        <v>788</v>
      </c>
      <c r="B1238" s="62" t="s">
        <v>1369</v>
      </c>
      <c r="C1238" s="63"/>
      <c r="D1238" s="64"/>
      <c r="E1238" s="65"/>
      <c r="F1238" s="66"/>
      <c r="G1238" s="63"/>
      <c r="H1238" s="67"/>
      <c r="I1238" s="68"/>
      <c r="J1238" s="68"/>
      <c r="K1238" s="32"/>
      <c r="L1238" s="75"/>
      <c r="M1238" s="75"/>
      <c r="N1238" s="70"/>
      <c r="O1238" t="s">
        <v>1568</v>
      </c>
      <c r="P1238" s="76">
        <v>44958.771736111114</v>
      </c>
      <c r="Q1238" t="s">
        <v>1961</v>
      </c>
      <c r="V1238" s="77" t="str">
        <f>HYPERLINK("https://pbs.twimg.com/profile_images/1532886686522396672/SFEDvaMT_normal.jpg")</f>
        <v>https://pbs.twimg.com/profile_images/1532886686522396672/SFEDvaMT_normal.jpg</v>
      </c>
      <c r="W1238" s="76">
        <v>44958.771736111114</v>
      </c>
      <c r="X1238" s="80">
        <v>44958</v>
      </c>
      <c r="Y1238" s="78" t="s">
        <v>3010</v>
      </c>
      <c r="Z1238" s="77" t="str">
        <f>HYPERLINK("https://twitter.com/dgarcia_ctw/status/1620852305414463488")</f>
        <v>https://twitter.com/dgarcia_ctw/status/1620852305414463488</v>
      </c>
      <c r="AC1238" s="78" t="s">
        <v>4075</v>
      </c>
      <c r="AD1238" s="78" t="s">
        <v>4578</v>
      </c>
      <c r="AE1238" t="b">
        <v>0</v>
      </c>
      <c r="AF1238">
        <v>3</v>
      </c>
      <c r="AG1238" s="78" t="s">
        <v>4747</v>
      </c>
      <c r="AH1238" t="b">
        <v>0</v>
      </c>
      <c r="AI1238" t="s">
        <v>4829</v>
      </c>
      <c r="AK1238" s="78" t="s">
        <v>4640</v>
      </c>
      <c r="AL1238" t="b">
        <v>0</v>
      </c>
      <c r="AM1238">
        <v>1</v>
      </c>
      <c r="AN1238" s="78" t="s">
        <v>4640</v>
      </c>
      <c r="AO1238" s="78" t="s">
        <v>4849</v>
      </c>
      <c r="AP1238" t="b">
        <v>0</v>
      </c>
      <c r="AQ1238" s="78" t="s">
        <v>4578</v>
      </c>
      <c r="AR1238" t="s">
        <v>179</v>
      </c>
      <c r="AS1238">
        <v>0</v>
      </c>
      <c r="AT1238">
        <v>0</v>
      </c>
    </row>
    <row r="1239" spans="1:46" x14ac:dyDescent="0.45">
      <c r="A1239" s="62" t="s">
        <v>788</v>
      </c>
      <c r="B1239" s="62" t="s">
        <v>1370</v>
      </c>
      <c r="C1239" s="63"/>
      <c r="D1239" s="64"/>
      <c r="E1239" s="65"/>
      <c r="F1239" s="66"/>
      <c r="G1239" s="63"/>
      <c r="H1239" s="67"/>
      <c r="I1239" s="68"/>
      <c r="J1239" s="68"/>
      <c r="K1239" s="32"/>
      <c r="L1239" s="75"/>
      <c r="M1239" s="75"/>
      <c r="N1239" s="70"/>
      <c r="O1239" t="s">
        <v>1568</v>
      </c>
      <c r="P1239" s="76">
        <v>44958.771736111114</v>
      </c>
      <c r="Q1239" t="s">
        <v>1961</v>
      </c>
      <c r="V1239" s="77" t="str">
        <f>HYPERLINK("https://pbs.twimg.com/profile_images/1532886686522396672/SFEDvaMT_normal.jpg")</f>
        <v>https://pbs.twimg.com/profile_images/1532886686522396672/SFEDvaMT_normal.jpg</v>
      </c>
      <c r="W1239" s="76">
        <v>44958.771736111114</v>
      </c>
      <c r="X1239" s="80">
        <v>44958</v>
      </c>
      <c r="Y1239" s="78" t="s">
        <v>3010</v>
      </c>
      <c r="Z1239" s="77" t="str">
        <f>HYPERLINK("https://twitter.com/dgarcia_ctw/status/1620852305414463488")</f>
        <v>https://twitter.com/dgarcia_ctw/status/1620852305414463488</v>
      </c>
      <c r="AC1239" s="78" t="s">
        <v>4075</v>
      </c>
      <c r="AD1239" s="78" t="s">
        <v>4578</v>
      </c>
      <c r="AE1239" t="b">
        <v>0</v>
      </c>
      <c r="AF1239">
        <v>3</v>
      </c>
      <c r="AG1239" s="78" t="s">
        <v>4747</v>
      </c>
      <c r="AH1239" t="b">
        <v>0</v>
      </c>
      <c r="AI1239" t="s">
        <v>4829</v>
      </c>
      <c r="AK1239" s="78" t="s">
        <v>4640</v>
      </c>
      <c r="AL1239" t="b">
        <v>0</v>
      </c>
      <c r="AM1239">
        <v>1</v>
      </c>
      <c r="AN1239" s="78" t="s">
        <v>4640</v>
      </c>
      <c r="AO1239" s="78" t="s">
        <v>4849</v>
      </c>
      <c r="AP1239" t="b">
        <v>0</v>
      </c>
      <c r="AQ1239" s="78" t="s">
        <v>4578</v>
      </c>
      <c r="AR1239" t="s">
        <v>179</v>
      </c>
      <c r="AS1239">
        <v>0</v>
      </c>
      <c r="AT1239">
        <v>0</v>
      </c>
    </row>
    <row r="1240" spans="1:46" x14ac:dyDescent="0.45">
      <c r="A1240" s="62" t="s">
        <v>788</v>
      </c>
      <c r="B1240" s="62" t="s">
        <v>1371</v>
      </c>
      <c r="C1240" s="63"/>
      <c r="D1240" s="64"/>
      <c r="E1240" s="65"/>
      <c r="F1240" s="66"/>
      <c r="G1240" s="63"/>
      <c r="H1240" s="67"/>
      <c r="I1240" s="68"/>
      <c r="J1240" s="68"/>
      <c r="K1240" s="32"/>
      <c r="L1240" s="75"/>
      <c r="M1240" s="75"/>
      <c r="N1240" s="70"/>
      <c r="O1240" t="s">
        <v>1568</v>
      </c>
      <c r="P1240" s="76">
        <v>44958.771736111114</v>
      </c>
      <c r="Q1240" t="s">
        <v>1961</v>
      </c>
      <c r="V1240" s="77" t="str">
        <f>HYPERLINK("https://pbs.twimg.com/profile_images/1532886686522396672/SFEDvaMT_normal.jpg")</f>
        <v>https://pbs.twimg.com/profile_images/1532886686522396672/SFEDvaMT_normal.jpg</v>
      </c>
      <c r="W1240" s="76">
        <v>44958.771736111114</v>
      </c>
      <c r="X1240" s="80">
        <v>44958</v>
      </c>
      <c r="Y1240" s="78" t="s">
        <v>3010</v>
      </c>
      <c r="Z1240" s="77" t="str">
        <f>HYPERLINK("https://twitter.com/dgarcia_ctw/status/1620852305414463488")</f>
        <v>https://twitter.com/dgarcia_ctw/status/1620852305414463488</v>
      </c>
      <c r="AC1240" s="78" t="s">
        <v>4075</v>
      </c>
      <c r="AD1240" s="78" t="s">
        <v>4578</v>
      </c>
      <c r="AE1240" t="b">
        <v>0</v>
      </c>
      <c r="AF1240">
        <v>3</v>
      </c>
      <c r="AG1240" s="78" t="s">
        <v>4747</v>
      </c>
      <c r="AH1240" t="b">
        <v>0</v>
      </c>
      <c r="AI1240" t="s">
        <v>4829</v>
      </c>
      <c r="AK1240" s="78" t="s">
        <v>4640</v>
      </c>
      <c r="AL1240" t="b">
        <v>0</v>
      </c>
      <c r="AM1240">
        <v>1</v>
      </c>
      <c r="AN1240" s="78" t="s">
        <v>4640</v>
      </c>
      <c r="AO1240" s="78" t="s">
        <v>4849</v>
      </c>
      <c r="AP1240" t="b">
        <v>0</v>
      </c>
      <c r="AQ1240" s="78" t="s">
        <v>4578</v>
      </c>
      <c r="AR1240" t="s">
        <v>179</v>
      </c>
      <c r="AS1240">
        <v>0</v>
      </c>
      <c r="AT1240">
        <v>0</v>
      </c>
    </row>
    <row r="1241" spans="1:46" x14ac:dyDescent="0.45">
      <c r="A1241" s="62" t="s">
        <v>788</v>
      </c>
      <c r="B1241" s="62" t="s">
        <v>1372</v>
      </c>
      <c r="C1241" s="63"/>
      <c r="D1241" s="64"/>
      <c r="E1241" s="65"/>
      <c r="F1241" s="66"/>
      <c r="G1241" s="63"/>
      <c r="H1241" s="67"/>
      <c r="I1241" s="68"/>
      <c r="J1241" s="68"/>
      <c r="K1241" s="32"/>
      <c r="L1241" s="75"/>
      <c r="M1241" s="75"/>
      <c r="N1241" s="70"/>
      <c r="O1241" t="s">
        <v>1568</v>
      </c>
      <c r="P1241" s="76">
        <v>44958.771736111114</v>
      </c>
      <c r="Q1241" t="s">
        <v>1961</v>
      </c>
      <c r="V1241" s="77" t="str">
        <f>HYPERLINK("https://pbs.twimg.com/profile_images/1532886686522396672/SFEDvaMT_normal.jpg")</f>
        <v>https://pbs.twimg.com/profile_images/1532886686522396672/SFEDvaMT_normal.jpg</v>
      </c>
      <c r="W1241" s="76">
        <v>44958.771736111114</v>
      </c>
      <c r="X1241" s="80">
        <v>44958</v>
      </c>
      <c r="Y1241" s="78" t="s">
        <v>3010</v>
      </c>
      <c r="Z1241" s="77" t="str">
        <f>HYPERLINK("https://twitter.com/dgarcia_ctw/status/1620852305414463488")</f>
        <v>https://twitter.com/dgarcia_ctw/status/1620852305414463488</v>
      </c>
      <c r="AC1241" s="78" t="s">
        <v>4075</v>
      </c>
      <c r="AD1241" s="78" t="s">
        <v>4578</v>
      </c>
      <c r="AE1241" t="b">
        <v>0</v>
      </c>
      <c r="AF1241">
        <v>3</v>
      </c>
      <c r="AG1241" s="78" t="s">
        <v>4747</v>
      </c>
      <c r="AH1241" t="b">
        <v>0</v>
      </c>
      <c r="AI1241" t="s">
        <v>4829</v>
      </c>
      <c r="AK1241" s="78" t="s">
        <v>4640</v>
      </c>
      <c r="AL1241" t="b">
        <v>0</v>
      </c>
      <c r="AM1241">
        <v>1</v>
      </c>
      <c r="AN1241" s="78" t="s">
        <v>4640</v>
      </c>
      <c r="AO1241" s="78" t="s">
        <v>4849</v>
      </c>
      <c r="AP1241" t="b">
        <v>0</v>
      </c>
      <c r="AQ1241" s="78" t="s">
        <v>4578</v>
      </c>
      <c r="AR1241" t="s">
        <v>179</v>
      </c>
      <c r="AS1241">
        <v>0</v>
      </c>
      <c r="AT1241">
        <v>0</v>
      </c>
    </row>
    <row r="1242" spans="1:46" x14ac:dyDescent="0.45">
      <c r="A1242" s="62" t="s">
        <v>788</v>
      </c>
      <c r="B1242" s="62" t="s">
        <v>1373</v>
      </c>
      <c r="C1242" s="63"/>
      <c r="D1242" s="64"/>
      <c r="E1242" s="65"/>
      <c r="F1242" s="66"/>
      <c r="G1242" s="63"/>
      <c r="H1242" s="67"/>
      <c r="I1242" s="68"/>
      <c r="J1242" s="68"/>
      <c r="K1242" s="32"/>
      <c r="L1242" s="75"/>
      <c r="M1242" s="75"/>
      <c r="N1242" s="70"/>
      <c r="O1242" t="s">
        <v>1568</v>
      </c>
      <c r="P1242" s="76">
        <v>44958.771736111114</v>
      </c>
      <c r="Q1242" t="s">
        <v>1961</v>
      </c>
      <c r="V1242" s="77" t="str">
        <f>HYPERLINK("https://pbs.twimg.com/profile_images/1532886686522396672/SFEDvaMT_normal.jpg")</f>
        <v>https://pbs.twimg.com/profile_images/1532886686522396672/SFEDvaMT_normal.jpg</v>
      </c>
      <c r="W1242" s="76">
        <v>44958.771736111114</v>
      </c>
      <c r="X1242" s="80">
        <v>44958</v>
      </c>
      <c r="Y1242" s="78" t="s">
        <v>3010</v>
      </c>
      <c r="Z1242" s="77" t="str">
        <f>HYPERLINK("https://twitter.com/dgarcia_ctw/status/1620852305414463488")</f>
        <v>https://twitter.com/dgarcia_ctw/status/1620852305414463488</v>
      </c>
      <c r="AC1242" s="78" t="s">
        <v>4075</v>
      </c>
      <c r="AD1242" s="78" t="s">
        <v>4578</v>
      </c>
      <c r="AE1242" t="b">
        <v>0</v>
      </c>
      <c r="AF1242">
        <v>3</v>
      </c>
      <c r="AG1242" s="78" t="s">
        <v>4747</v>
      </c>
      <c r="AH1242" t="b">
        <v>0</v>
      </c>
      <c r="AI1242" t="s">
        <v>4829</v>
      </c>
      <c r="AK1242" s="78" t="s">
        <v>4640</v>
      </c>
      <c r="AL1242" t="b">
        <v>0</v>
      </c>
      <c r="AM1242">
        <v>1</v>
      </c>
      <c r="AN1242" s="78" t="s">
        <v>4640</v>
      </c>
      <c r="AO1242" s="78" t="s">
        <v>4849</v>
      </c>
      <c r="AP1242" t="b">
        <v>0</v>
      </c>
      <c r="AQ1242" s="78" t="s">
        <v>4578</v>
      </c>
      <c r="AR1242" t="s">
        <v>179</v>
      </c>
      <c r="AS1242">
        <v>0</v>
      </c>
      <c r="AT1242">
        <v>0</v>
      </c>
    </row>
    <row r="1243" spans="1:46" x14ac:dyDescent="0.45">
      <c r="A1243" s="62" t="s">
        <v>788</v>
      </c>
      <c r="B1243" s="62" t="s">
        <v>1374</v>
      </c>
      <c r="C1243" s="63"/>
      <c r="D1243" s="64"/>
      <c r="E1243" s="65"/>
      <c r="F1243" s="66"/>
      <c r="G1243" s="63"/>
      <c r="H1243" s="67"/>
      <c r="I1243" s="68"/>
      <c r="J1243" s="68"/>
      <c r="K1243" s="32"/>
      <c r="L1243" s="75"/>
      <c r="M1243" s="75"/>
      <c r="N1243" s="70"/>
      <c r="O1243" t="s">
        <v>1567</v>
      </c>
      <c r="P1243" s="76">
        <v>44958.771736111114</v>
      </c>
      <c r="Q1243" t="s">
        <v>1961</v>
      </c>
      <c r="V1243" s="77" t="str">
        <f>HYPERLINK("https://pbs.twimg.com/profile_images/1532886686522396672/SFEDvaMT_normal.jpg")</f>
        <v>https://pbs.twimg.com/profile_images/1532886686522396672/SFEDvaMT_normal.jpg</v>
      </c>
      <c r="W1243" s="76">
        <v>44958.771736111114</v>
      </c>
      <c r="X1243" s="80">
        <v>44958</v>
      </c>
      <c r="Y1243" s="78" t="s">
        <v>3010</v>
      </c>
      <c r="Z1243" s="77" t="str">
        <f>HYPERLINK("https://twitter.com/dgarcia_ctw/status/1620852305414463488")</f>
        <v>https://twitter.com/dgarcia_ctw/status/1620852305414463488</v>
      </c>
      <c r="AC1243" s="78" t="s">
        <v>4075</v>
      </c>
      <c r="AD1243" s="78" t="s">
        <v>4578</v>
      </c>
      <c r="AE1243" t="b">
        <v>0</v>
      </c>
      <c r="AF1243">
        <v>3</v>
      </c>
      <c r="AG1243" s="78" t="s">
        <v>4747</v>
      </c>
      <c r="AH1243" t="b">
        <v>0</v>
      </c>
      <c r="AI1243" t="s">
        <v>4829</v>
      </c>
      <c r="AK1243" s="78" t="s">
        <v>4640</v>
      </c>
      <c r="AL1243" t="b">
        <v>0</v>
      </c>
      <c r="AM1243">
        <v>1</v>
      </c>
      <c r="AN1243" s="78" t="s">
        <v>4640</v>
      </c>
      <c r="AO1243" s="78" t="s">
        <v>4849</v>
      </c>
      <c r="AP1243" t="b">
        <v>0</v>
      </c>
      <c r="AQ1243" s="78" t="s">
        <v>4578</v>
      </c>
      <c r="AR1243" t="s">
        <v>179</v>
      </c>
      <c r="AS1243">
        <v>0</v>
      </c>
      <c r="AT1243">
        <v>0</v>
      </c>
    </row>
    <row r="1244" spans="1:46" x14ac:dyDescent="0.45">
      <c r="A1244" s="62" t="s">
        <v>819</v>
      </c>
      <c r="B1244" s="62" t="s">
        <v>242</v>
      </c>
      <c r="C1244" s="63"/>
      <c r="D1244" s="64"/>
      <c r="E1244" s="65"/>
      <c r="F1244" s="66"/>
      <c r="G1244" s="63"/>
      <c r="H1244" s="67"/>
      <c r="I1244" s="68"/>
      <c r="J1244" s="68"/>
      <c r="K1244" s="32"/>
      <c r="L1244" s="75"/>
      <c r="M1244" s="75"/>
      <c r="N1244" s="70"/>
      <c r="O1244" t="s">
        <v>1568</v>
      </c>
      <c r="P1244" s="76">
        <v>44958.999143518522</v>
      </c>
      <c r="Q1244" t="s">
        <v>2002</v>
      </c>
      <c r="U1244" s="77" t="str">
        <f>HYPERLINK("https://pbs.twimg.com/media/Fn63hvfWQAMRMZ9.jpg")</f>
        <v>https://pbs.twimg.com/media/Fn63hvfWQAMRMZ9.jpg</v>
      </c>
      <c r="V1244" s="77" t="str">
        <f>HYPERLINK("https://pbs.twimg.com/media/Fn63hvfWQAMRMZ9.jpg")</f>
        <v>https://pbs.twimg.com/media/Fn63hvfWQAMRMZ9.jpg</v>
      </c>
      <c r="W1244" s="76">
        <v>44958.999143518522</v>
      </c>
      <c r="X1244" s="80">
        <v>44958</v>
      </c>
      <c r="Y1244" s="78" t="s">
        <v>3062</v>
      </c>
      <c r="Z1244" s="77" t="str">
        <f>HYPERLINK("https://twitter.com/jaredcruzaedo/status/1620934715103662080")</f>
        <v>https://twitter.com/jaredcruzaedo/status/1620934715103662080</v>
      </c>
      <c r="AC1244" s="78" t="s">
        <v>4127</v>
      </c>
      <c r="AE1244" t="b">
        <v>0</v>
      </c>
      <c r="AF1244">
        <v>3</v>
      </c>
      <c r="AG1244" s="78" t="s">
        <v>4640</v>
      </c>
      <c r="AH1244" t="b">
        <v>0</v>
      </c>
      <c r="AI1244" t="s">
        <v>4829</v>
      </c>
      <c r="AK1244" s="78" t="s">
        <v>4640</v>
      </c>
      <c r="AL1244" t="b">
        <v>0</v>
      </c>
      <c r="AM1244">
        <v>0</v>
      </c>
      <c r="AN1244" s="78" t="s">
        <v>4640</v>
      </c>
      <c r="AO1244" s="78" t="s">
        <v>4849</v>
      </c>
      <c r="AP1244" t="b">
        <v>0</v>
      </c>
      <c r="AQ1244" s="78" t="s">
        <v>4127</v>
      </c>
      <c r="AR1244" t="s">
        <v>179</v>
      </c>
      <c r="AS1244">
        <v>0</v>
      </c>
      <c r="AT1244">
        <v>0</v>
      </c>
    </row>
    <row r="1245" spans="1:46" x14ac:dyDescent="0.45">
      <c r="A1245" s="62" t="s">
        <v>788</v>
      </c>
      <c r="B1245" s="62" t="s">
        <v>242</v>
      </c>
      <c r="C1245" s="63"/>
      <c r="D1245" s="64"/>
      <c r="E1245" s="65"/>
      <c r="F1245" s="66"/>
      <c r="G1245" s="63"/>
      <c r="H1245" s="67"/>
      <c r="I1245" s="68"/>
      <c r="J1245" s="68"/>
      <c r="K1245" s="32"/>
      <c r="L1245" s="75"/>
      <c r="M1245" s="75"/>
      <c r="N1245" s="70"/>
      <c r="O1245" t="s">
        <v>1568</v>
      </c>
      <c r="P1245" s="76">
        <v>44958.771736111114</v>
      </c>
      <c r="Q1245" t="s">
        <v>1961</v>
      </c>
      <c r="V1245" s="77" t="str">
        <f>HYPERLINK("https://pbs.twimg.com/profile_images/1532886686522396672/SFEDvaMT_normal.jpg")</f>
        <v>https://pbs.twimg.com/profile_images/1532886686522396672/SFEDvaMT_normal.jpg</v>
      </c>
      <c r="W1245" s="76">
        <v>44958.771736111114</v>
      </c>
      <c r="X1245" s="80">
        <v>44958</v>
      </c>
      <c r="Y1245" s="78" t="s">
        <v>3010</v>
      </c>
      <c r="Z1245" s="77" t="str">
        <f>HYPERLINK("https://twitter.com/dgarcia_ctw/status/1620852305414463488")</f>
        <v>https://twitter.com/dgarcia_ctw/status/1620852305414463488</v>
      </c>
      <c r="AC1245" s="78" t="s">
        <v>4075</v>
      </c>
      <c r="AD1245" s="78" t="s">
        <v>4578</v>
      </c>
      <c r="AE1245" t="b">
        <v>0</v>
      </c>
      <c r="AF1245">
        <v>3</v>
      </c>
      <c r="AG1245" s="78" t="s">
        <v>4747</v>
      </c>
      <c r="AH1245" t="b">
        <v>0</v>
      </c>
      <c r="AI1245" t="s">
        <v>4829</v>
      </c>
      <c r="AK1245" s="78" t="s">
        <v>4640</v>
      </c>
      <c r="AL1245" t="b">
        <v>0</v>
      </c>
      <c r="AM1245">
        <v>1</v>
      </c>
      <c r="AN1245" s="78" t="s">
        <v>4640</v>
      </c>
      <c r="AO1245" s="78" t="s">
        <v>4849</v>
      </c>
      <c r="AP1245" t="b">
        <v>0</v>
      </c>
      <c r="AQ1245" s="78" t="s">
        <v>4578</v>
      </c>
      <c r="AR1245" t="s">
        <v>179</v>
      </c>
      <c r="AS1245">
        <v>0</v>
      </c>
      <c r="AT1245">
        <v>0</v>
      </c>
    </row>
    <row r="1246" spans="1:46" x14ac:dyDescent="0.45">
      <c r="A1246" s="62" t="s">
        <v>788</v>
      </c>
      <c r="B1246" s="62" t="s">
        <v>830</v>
      </c>
      <c r="C1246" s="63"/>
      <c r="D1246" s="64"/>
      <c r="E1246" s="65"/>
      <c r="F1246" s="66"/>
      <c r="G1246" s="63"/>
      <c r="H1246" s="67"/>
      <c r="I1246" s="68"/>
      <c r="J1246" s="68"/>
      <c r="K1246" s="32"/>
      <c r="L1246" s="75"/>
      <c r="M1246" s="75"/>
      <c r="N1246" s="70"/>
      <c r="O1246" t="s">
        <v>1568</v>
      </c>
      <c r="P1246" s="76">
        <v>44958.771736111114</v>
      </c>
      <c r="Q1246" t="s">
        <v>1961</v>
      </c>
      <c r="V1246" s="77" t="str">
        <f>HYPERLINK("https://pbs.twimg.com/profile_images/1532886686522396672/SFEDvaMT_normal.jpg")</f>
        <v>https://pbs.twimg.com/profile_images/1532886686522396672/SFEDvaMT_normal.jpg</v>
      </c>
      <c r="W1246" s="76">
        <v>44958.771736111114</v>
      </c>
      <c r="X1246" s="80">
        <v>44958</v>
      </c>
      <c r="Y1246" s="78" t="s">
        <v>3010</v>
      </c>
      <c r="Z1246" s="77" t="str">
        <f>HYPERLINK("https://twitter.com/dgarcia_ctw/status/1620852305414463488")</f>
        <v>https://twitter.com/dgarcia_ctw/status/1620852305414463488</v>
      </c>
      <c r="AC1246" s="78" t="s">
        <v>4075</v>
      </c>
      <c r="AD1246" s="78" t="s">
        <v>4578</v>
      </c>
      <c r="AE1246" t="b">
        <v>0</v>
      </c>
      <c r="AF1246">
        <v>3</v>
      </c>
      <c r="AG1246" s="78" t="s">
        <v>4747</v>
      </c>
      <c r="AH1246" t="b">
        <v>0</v>
      </c>
      <c r="AI1246" t="s">
        <v>4829</v>
      </c>
      <c r="AK1246" s="78" t="s">
        <v>4640</v>
      </c>
      <c r="AL1246" t="b">
        <v>0</v>
      </c>
      <c r="AM1246">
        <v>1</v>
      </c>
      <c r="AN1246" s="78" t="s">
        <v>4640</v>
      </c>
      <c r="AO1246" s="78" t="s">
        <v>4849</v>
      </c>
      <c r="AP1246" t="b">
        <v>0</v>
      </c>
      <c r="AQ1246" s="78" t="s">
        <v>4578</v>
      </c>
      <c r="AR1246" t="s">
        <v>179</v>
      </c>
      <c r="AS1246">
        <v>0</v>
      </c>
      <c r="AT1246">
        <v>0</v>
      </c>
    </row>
    <row r="1247" spans="1:46" x14ac:dyDescent="0.45">
      <c r="A1247" s="62" t="s">
        <v>884</v>
      </c>
      <c r="B1247" s="62" t="s">
        <v>242</v>
      </c>
      <c r="C1247" s="63"/>
      <c r="D1247" s="64"/>
      <c r="E1247" s="65"/>
      <c r="F1247" s="66"/>
      <c r="G1247" s="63"/>
      <c r="H1247" s="67"/>
      <c r="I1247" s="68"/>
      <c r="J1247" s="68"/>
      <c r="K1247" s="32"/>
      <c r="L1247" s="75"/>
      <c r="M1247" s="75"/>
      <c r="N1247" s="70"/>
      <c r="O1247" t="s">
        <v>1567</v>
      </c>
      <c r="P1247" s="76">
        <v>44959.069872685184</v>
      </c>
      <c r="Q1247" t="s">
        <v>2051</v>
      </c>
      <c r="V1247" s="77" t="str">
        <f>HYPERLINK("https://pbs.twimg.com/profile_images/1068678291920314368/hPO81Jli_normal.jpg")</f>
        <v>https://pbs.twimg.com/profile_images/1068678291920314368/hPO81Jli_normal.jpg</v>
      </c>
      <c r="W1247" s="76">
        <v>44959.069872685184</v>
      </c>
      <c r="X1247" s="80">
        <v>44959</v>
      </c>
      <c r="Y1247" s="78" t="s">
        <v>3145</v>
      </c>
      <c r="Z1247" s="77" t="str">
        <f>HYPERLINK("https://twitter.com/cptngusmccrae/status/1620960348412026882")</f>
        <v>https://twitter.com/cptngusmccrae/status/1620960348412026882</v>
      </c>
      <c r="AC1247" s="78" t="s">
        <v>4210</v>
      </c>
      <c r="AE1247" t="b">
        <v>0</v>
      </c>
      <c r="AF1247">
        <v>3</v>
      </c>
      <c r="AG1247" s="78" t="s">
        <v>4639</v>
      </c>
      <c r="AH1247" t="b">
        <v>0</v>
      </c>
      <c r="AI1247" t="s">
        <v>4829</v>
      </c>
      <c r="AK1247" s="78" t="s">
        <v>4640</v>
      </c>
      <c r="AL1247" t="b">
        <v>0</v>
      </c>
      <c r="AM1247">
        <v>1</v>
      </c>
      <c r="AN1247" s="78" t="s">
        <v>4640</v>
      </c>
      <c r="AO1247" s="78" t="s">
        <v>4856</v>
      </c>
      <c r="AP1247" t="b">
        <v>0</v>
      </c>
      <c r="AQ1247" s="78" t="s">
        <v>4210</v>
      </c>
      <c r="AR1247" t="s">
        <v>179</v>
      </c>
      <c r="AS1247">
        <v>0</v>
      </c>
      <c r="AT1247">
        <v>0</v>
      </c>
    </row>
    <row r="1248" spans="1:46" x14ac:dyDescent="0.45">
      <c r="A1248" s="62" t="s">
        <v>913</v>
      </c>
      <c r="B1248" s="62" t="s">
        <v>1430</v>
      </c>
      <c r="C1248" s="63"/>
      <c r="D1248" s="64"/>
      <c r="E1248" s="65"/>
      <c r="F1248" s="66"/>
      <c r="G1248" s="63"/>
      <c r="H1248" s="67"/>
      <c r="I1248" s="68"/>
      <c r="J1248" s="68"/>
      <c r="K1248" s="32"/>
      <c r="L1248" s="75"/>
      <c r="M1248" s="75"/>
      <c r="N1248" s="70"/>
      <c r="O1248" t="s">
        <v>1568</v>
      </c>
      <c r="P1248" s="76">
        <v>44959.104155092595</v>
      </c>
      <c r="Q1248" t="s">
        <v>2072</v>
      </c>
      <c r="U1248" s="77" t="str">
        <f>HYPERLINK("https://pbs.twimg.com/media/Fn7aJJxXEAAyxlT.jpg")</f>
        <v>https://pbs.twimg.com/media/Fn7aJJxXEAAyxlT.jpg</v>
      </c>
      <c r="V1248" s="77" t="str">
        <f>HYPERLINK("https://pbs.twimg.com/media/Fn7aJJxXEAAyxlT.jpg")</f>
        <v>https://pbs.twimg.com/media/Fn7aJJxXEAAyxlT.jpg</v>
      </c>
      <c r="W1248" s="76">
        <v>44959.104155092595</v>
      </c>
      <c r="X1248" s="80">
        <v>44959</v>
      </c>
      <c r="Y1248" s="78" t="s">
        <v>3177</v>
      </c>
      <c r="Z1248" s="77" t="str">
        <f>HYPERLINK("https://twitter.com/morganjhudson/status/1620972771957424129")</f>
        <v>https://twitter.com/morganjhudson/status/1620972771957424129</v>
      </c>
      <c r="AC1248" s="78" t="s">
        <v>4242</v>
      </c>
      <c r="AE1248" t="b">
        <v>0</v>
      </c>
      <c r="AF1248">
        <v>3</v>
      </c>
      <c r="AG1248" s="78" t="s">
        <v>4640</v>
      </c>
      <c r="AH1248" t="b">
        <v>0</v>
      </c>
      <c r="AI1248" t="s">
        <v>4829</v>
      </c>
      <c r="AK1248" s="78" t="s">
        <v>4640</v>
      </c>
      <c r="AL1248" t="b">
        <v>0</v>
      </c>
      <c r="AM1248">
        <v>1</v>
      </c>
      <c r="AN1248" s="78" t="s">
        <v>4640</v>
      </c>
      <c r="AO1248" s="78" t="s">
        <v>4849</v>
      </c>
      <c r="AP1248" t="b">
        <v>0</v>
      </c>
      <c r="AQ1248" s="78" t="s">
        <v>4242</v>
      </c>
      <c r="AR1248" t="s">
        <v>179</v>
      </c>
      <c r="AS1248">
        <v>0</v>
      </c>
      <c r="AT1248">
        <v>0</v>
      </c>
    </row>
    <row r="1249" spans="1:46" x14ac:dyDescent="0.45">
      <c r="A1249" s="62" t="s">
        <v>913</v>
      </c>
      <c r="B1249" s="62" t="s">
        <v>1431</v>
      </c>
      <c r="C1249" s="63"/>
      <c r="D1249" s="64"/>
      <c r="E1249" s="65"/>
      <c r="F1249" s="66"/>
      <c r="G1249" s="63"/>
      <c r="H1249" s="67"/>
      <c r="I1249" s="68"/>
      <c r="J1249" s="68"/>
      <c r="K1249" s="32"/>
      <c r="L1249" s="75"/>
      <c r="M1249" s="75"/>
      <c r="N1249" s="70"/>
      <c r="O1249" t="s">
        <v>1568</v>
      </c>
      <c r="P1249" s="76">
        <v>44959.104155092595</v>
      </c>
      <c r="Q1249" t="s">
        <v>2072</v>
      </c>
      <c r="U1249" s="77" t="str">
        <f>HYPERLINK("https://pbs.twimg.com/media/Fn7aJJxXEAAyxlT.jpg")</f>
        <v>https://pbs.twimg.com/media/Fn7aJJxXEAAyxlT.jpg</v>
      </c>
      <c r="V1249" s="77" t="str">
        <f>HYPERLINK("https://pbs.twimg.com/media/Fn7aJJxXEAAyxlT.jpg")</f>
        <v>https://pbs.twimg.com/media/Fn7aJJxXEAAyxlT.jpg</v>
      </c>
      <c r="W1249" s="76">
        <v>44959.104155092595</v>
      </c>
      <c r="X1249" s="80">
        <v>44959</v>
      </c>
      <c r="Y1249" s="78" t="s">
        <v>3177</v>
      </c>
      <c r="Z1249" s="77" t="str">
        <f>HYPERLINK("https://twitter.com/morganjhudson/status/1620972771957424129")</f>
        <v>https://twitter.com/morganjhudson/status/1620972771957424129</v>
      </c>
      <c r="AC1249" s="78" t="s">
        <v>4242</v>
      </c>
      <c r="AE1249" t="b">
        <v>0</v>
      </c>
      <c r="AF1249">
        <v>3</v>
      </c>
      <c r="AG1249" s="78" t="s">
        <v>4640</v>
      </c>
      <c r="AH1249" t="b">
        <v>0</v>
      </c>
      <c r="AI1249" t="s">
        <v>4829</v>
      </c>
      <c r="AK1249" s="78" t="s">
        <v>4640</v>
      </c>
      <c r="AL1249" t="b">
        <v>0</v>
      </c>
      <c r="AM1249">
        <v>1</v>
      </c>
      <c r="AN1249" s="78" t="s">
        <v>4640</v>
      </c>
      <c r="AO1249" s="78" t="s">
        <v>4849</v>
      </c>
      <c r="AP1249" t="b">
        <v>0</v>
      </c>
      <c r="AQ1249" s="78" t="s">
        <v>4242</v>
      </c>
      <c r="AR1249" t="s">
        <v>179</v>
      </c>
      <c r="AS1249">
        <v>0</v>
      </c>
      <c r="AT1249">
        <v>0</v>
      </c>
    </row>
    <row r="1250" spans="1:46" x14ac:dyDescent="0.45">
      <c r="A1250" s="62" t="s">
        <v>913</v>
      </c>
      <c r="B1250" s="62" t="s">
        <v>242</v>
      </c>
      <c r="C1250" s="63"/>
      <c r="D1250" s="64"/>
      <c r="E1250" s="65"/>
      <c r="F1250" s="66"/>
      <c r="G1250" s="63"/>
      <c r="H1250" s="67"/>
      <c r="I1250" s="68"/>
      <c r="J1250" s="68"/>
      <c r="K1250" s="32"/>
      <c r="L1250" s="75"/>
      <c r="M1250" s="75"/>
      <c r="N1250" s="70"/>
      <c r="O1250" t="s">
        <v>1568</v>
      </c>
      <c r="P1250" s="76">
        <v>44959.104155092595</v>
      </c>
      <c r="Q1250" t="s">
        <v>2072</v>
      </c>
      <c r="U1250" s="77" t="str">
        <f>HYPERLINK("https://pbs.twimg.com/media/Fn7aJJxXEAAyxlT.jpg")</f>
        <v>https://pbs.twimg.com/media/Fn7aJJxXEAAyxlT.jpg</v>
      </c>
      <c r="V1250" s="77" t="str">
        <f>HYPERLINK("https://pbs.twimg.com/media/Fn7aJJxXEAAyxlT.jpg")</f>
        <v>https://pbs.twimg.com/media/Fn7aJJxXEAAyxlT.jpg</v>
      </c>
      <c r="W1250" s="76">
        <v>44959.104155092595</v>
      </c>
      <c r="X1250" s="80">
        <v>44959</v>
      </c>
      <c r="Y1250" s="78" t="s">
        <v>3177</v>
      </c>
      <c r="Z1250" s="77" t="str">
        <f>HYPERLINK("https://twitter.com/morganjhudson/status/1620972771957424129")</f>
        <v>https://twitter.com/morganjhudson/status/1620972771957424129</v>
      </c>
      <c r="AC1250" s="78" t="s">
        <v>4242</v>
      </c>
      <c r="AE1250" t="b">
        <v>0</v>
      </c>
      <c r="AF1250">
        <v>3</v>
      </c>
      <c r="AG1250" s="78" t="s">
        <v>4640</v>
      </c>
      <c r="AH1250" t="b">
        <v>0</v>
      </c>
      <c r="AI1250" t="s">
        <v>4829</v>
      </c>
      <c r="AK1250" s="78" t="s">
        <v>4640</v>
      </c>
      <c r="AL1250" t="b">
        <v>0</v>
      </c>
      <c r="AM1250">
        <v>1</v>
      </c>
      <c r="AN1250" s="78" t="s">
        <v>4640</v>
      </c>
      <c r="AO1250" s="78" t="s">
        <v>4849</v>
      </c>
      <c r="AP1250" t="b">
        <v>0</v>
      </c>
      <c r="AQ1250" s="78" t="s">
        <v>4242</v>
      </c>
      <c r="AR1250" t="s">
        <v>179</v>
      </c>
      <c r="AS1250">
        <v>0</v>
      </c>
      <c r="AT1250">
        <v>0</v>
      </c>
    </row>
    <row r="1251" spans="1:46" x14ac:dyDescent="0.45">
      <c r="A1251" s="62" t="s">
        <v>362</v>
      </c>
      <c r="B1251" s="62" t="s">
        <v>1247</v>
      </c>
      <c r="C1251" s="63"/>
      <c r="D1251" s="64"/>
      <c r="E1251" s="65"/>
      <c r="F1251" s="66"/>
      <c r="G1251" s="63"/>
      <c r="H1251" s="67"/>
      <c r="I1251" s="68"/>
      <c r="J1251" s="68"/>
      <c r="K1251" s="32"/>
      <c r="L1251" s="75"/>
      <c r="M1251" s="75"/>
      <c r="N1251" s="70"/>
      <c r="O1251" t="s">
        <v>1568</v>
      </c>
      <c r="P1251" s="76">
        <v>44958.68109953704</v>
      </c>
      <c r="Q1251" t="s">
        <v>1702</v>
      </c>
      <c r="V1251" s="77" t="str">
        <f>HYPERLINK("https://pbs.twimg.com/profile_images/1473835698746712064/tZAaKmf7_normal.jpg")</f>
        <v>https://pbs.twimg.com/profile_images/1473835698746712064/tZAaKmf7_normal.jpg</v>
      </c>
      <c r="W1251" s="76">
        <v>44958.68109953704</v>
      </c>
      <c r="X1251" s="80">
        <v>44958</v>
      </c>
      <c r="Y1251" s="78" t="s">
        <v>2584</v>
      </c>
      <c r="Z1251" s="77" t="str">
        <f>HYPERLINK("https://twitter.com/itzbrittanybih/status/1620819458788044803")</f>
        <v>https://twitter.com/itzbrittanybih/status/1620819458788044803</v>
      </c>
      <c r="AC1251" s="78" t="s">
        <v>3601</v>
      </c>
      <c r="AD1251" s="78" t="s">
        <v>4473</v>
      </c>
      <c r="AE1251" t="b">
        <v>0</v>
      </c>
      <c r="AF1251">
        <v>2</v>
      </c>
      <c r="AG1251" s="78" t="s">
        <v>4639</v>
      </c>
      <c r="AH1251" t="b">
        <v>0</v>
      </c>
      <c r="AI1251" t="s">
        <v>4829</v>
      </c>
      <c r="AK1251" s="78" t="s">
        <v>4640</v>
      </c>
      <c r="AL1251" t="b">
        <v>0</v>
      </c>
      <c r="AM1251">
        <v>0</v>
      </c>
      <c r="AN1251" s="78" t="s">
        <v>4640</v>
      </c>
      <c r="AO1251" s="78" t="s">
        <v>4850</v>
      </c>
      <c r="AP1251" t="b">
        <v>0</v>
      </c>
      <c r="AQ1251" s="78" t="s">
        <v>4473</v>
      </c>
      <c r="AR1251" t="s">
        <v>179</v>
      </c>
      <c r="AS1251">
        <v>0</v>
      </c>
      <c r="AT1251">
        <v>0</v>
      </c>
    </row>
    <row r="1252" spans="1:46" x14ac:dyDescent="0.45">
      <c r="A1252" s="62" t="s">
        <v>362</v>
      </c>
      <c r="B1252" s="62" t="s">
        <v>1248</v>
      </c>
      <c r="C1252" s="63"/>
      <c r="D1252" s="64"/>
      <c r="E1252" s="65"/>
      <c r="F1252" s="66"/>
      <c r="G1252" s="63"/>
      <c r="H1252" s="67"/>
      <c r="I1252" s="68"/>
      <c r="J1252" s="68"/>
      <c r="K1252" s="32"/>
      <c r="L1252" s="75"/>
      <c r="M1252" s="75"/>
      <c r="N1252" s="70"/>
      <c r="O1252" t="s">
        <v>1568</v>
      </c>
      <c r="P1252" s="76">
        <v>44958.68109953704</v>
      </c>
      <c r="Q1252" t="s">
        <v>1702</v>
      </c>
      <c r="V1252" s="77" t="str">
        <f>HYPERLINK("https://pbs.twimg.com/profile_images/1473835698746712064/tZAaKmf7_normal.jpg")</f>
        <v>https://pbs.twimg.com/profile_images/1473835698746712064/tZAaKmf7_normal.jpg</v>
      </c>
      <c r="W1252" s="76">
        <v>44958.68109953704</v>
      </c>
      <c r="X1252" s="80">
        <v>44958</v>
      </c>
      <c r="Y1252" s="78" t="s">
        <v>2584</v>
      </c>
      <c r="Z1252" s="77" t="str">
        <f>HYPERLINK("https://twitter.com/itzbrittanybih/status/1620819458788044803")</f>
        <v>https://twitter.com/itzbrittanybih/status/1620819458788044803</v>
      </c>
      <c r="AC1252" s="78" t="s">
        <v>3601</v>
      </c>
      <c r="AD1252" s="78" t="s">
        <v>4473</v>
      </c>
      <c r="AE1252" t="b">
        <v>0</v>
      </c>
      <c r="AF1252">
        <v>2</v>
      </c>
      <c r="AG1252" s="78" t="s">
        <v>4639</v>
      </c>
      <c r="AH1252" t="b">
        <v>0</v>
      </c>
      <c r="AI1252" t="s">
        <v>4829</v>
      </c>
      <c r="AK1252" s="78" t="s">
        <v>4640</v>
      </c>
      <c r="AL1252" t="b">
        <v>0</v>
      </c>
      <c r="AM1252">
        <v>0</v>
      </c>
      <c r="AN1252" s="78" t="s">
        <v>4640</v>
      </c>
      <c r="AO1252" s="78" t="s">
        <v>4850</v>
      </c>
      <c r="AP1252" t="b">
        <v>0</v>
      </c>
      <c r="AQ1252" s="78" t="s">
        <v>4473</v>
      </c>
      <c r="AR1252" t="s">
        <v>179</v>
      </c>
      <c r="AS1252">
        <v>0</v>
      </c>
      <c r="AT1252">
        <v>0</v>
      </c>
    </row>
    <row r="1253" spans="1:46" x14ac:dyDescent="0.45">
      <c r="A1253" s="62" t="s">
        <v>362</v>
      </c>
      <c r="B1253" s="62" t="s">
        <v>1230</v>
      </c>
      <c r="C1253" s="63"/>
      <c r="D1253" s="64"/>
      <c r="E1253" s="65"/>
      <c r="F1253" s="66"/>
      <c r="G1253" s="63"/>
      <c r="H1253" s="67"/>
      <c r="I1253" s="68"/>
      <c r="J1253" s="68"/>
      <c r="K1253" s="32"/>
      <c r="L1253" s="75"/>
      <c r="M1253" s="75"/>
      <c r="N1253" s="70"/>
      <c r="O1253" t="s">
        <v>1568</v>
      </c>
      <c r="P1253" s="76">
        <v>44958.68109953704</v>
      </c>
      <c r="Q1253" t="s">
        <v>1702</v>
      </c>
      <c r="V1253" s="77" t="str">
        <f>HYPERLINK("https://pbs.twimg.com/profile_images/1473835698746712064/tZAaKmf7_normal.jpg")</f>
        <v>https://pbs.twimg.com/profile_images/1473835698746712064/tZAaKmf7_normal.jpg</v>
      </c>
      <c r="W1253" s="76">
        <v>44958.68109953704</v>
      </c>
      <c r="X1253" s="80">
        <v>44958</v>
      </c>
      <c r="Y1253" s="78" t="s">
        <v>2584</v>
      </c>
      <c r="Z1253" s="77" t="str">
        <f>HYPERLINK("https://twitter.com/itzbrittanybih/status/1620819458788044803")</f>
        <v>https://twitter.com/itzbrittanybih/status/1620819458788044803</v>
      </c>
      <c r="AC1253" s="78" t="s">
        <v>3601</v>
      </c>
      <c r="AD1253" s="78" t="s">
        <v>4473</v>
      </c>
      <c r="AE1253" t="b">
        <v>0</v>
      </c>
      <c r="AF1253">
        <v>2</v>
      </c>
      <c r="AG1253" s="78" t="s">
        <v>4639</v>
      </c>
      <c r="AH1253" t="b">
        <v>0</v>
      </c>
      <c r="AI1253" t="s">
        <v>4829</v>
      </c>
      <c r="AK1253" s="78" t="s">
        <v>4640</v>
      </c>
      <c r="AL1253" t="b">
        <v>0</v>
      </c>
      <c r="AM1253">
        <v>0</v>
      </c>
      <c r="AN1253" s="78" t="s">
        <v>4640</v>
      </c>
      <c r="AO1253" s="78" t="s">
        <v>4850</v>
      </c>
      <c r="AP1253" t="b">
        <v>0</v>
      </c>
      <c r="AQ1253" s="78" t="s">
        <v>4473</v>
      </c>
      <c r="AR1253" t="s">
        <v>179</v>
      </c>
      <c r="AS1253">
        <v>0</v>
      </c>
      <c r="AT1253">
        <v>0</v>
      </c>
    </row>
    <row r="1254" spans="1:46" x14ac:dyDescent="0.45">
      <c r="A1254" s="62" t="s">
        <v>362</v>
      </c>
      <c r="B1254" s="62" t="s">
        <v>242</v>
      </c>
      <c r="C1254" s="63"/>
      <c r="D1254" s="64"/>
      <c r="E1254" s="65"/>
      <c r="F1254" s="66"/>
      <c r="G1254" s="63"/>
      <c r="H1254" s="67"/>
      <c r="I1254" s="68"/>
      <c r="J1254" s="68"/>
      <c r="K1254" s="32"/>
      <c r="L1254" s="75"/>
      <c r="M1254" s="75"/>
      <c r="N1254" s="70"/>
      <c r="O1254" t="s">
        <v>1567</v>
      </c>
      <c r="P1254" s="76">
        <v>44958.68109953704</v>
      </c>
      <c r="Q1254" t="s">
        <v>1702</v>
      </c>
      <c r="V1254" s="77" t="str">
        <f>HYPERLINK("https://pbs.twimg.com/profile_images/1473835698746712064/tZAaKmf7_normal.jpg")</f>
        <v>https://pbs.twimg.com/profile_images/1473835698746712064/tZAaKmf7_normal.jpg</v>
      </c>
      <c r="W1254" s="76">
        <v>44958.68109953704</v>
      </c>
      <c r="X1254" s="80">
        <v>44958</v>
      </c>
      <c r="Y1254" s="78" t="s">
        <v>2584</v>
      </c>
      <c r="Z1254" s="77" t="str">
        <f>HYPERLINK("https://twitter.com/itzbrittanybih/status/1620819458788044803")</f>
        <v>https://twitter.com/itzbrittanybih/status/1620819458788044803</v>
      </c>
      <c r="AC1254" s="78" t="s">
        <v>3601</v>
      </c>
      <c r="AD1254" s="78" t="s">
        <v>4473</v>
      </c>
      <c r="AE1254" t="b">
        <v>0</v>
      </c>
      <c r="AF1254">
        <v>2</v>
      </c>
      <c r="AG1254" s="78" t="s">
        <v>4639</v>
      </c>
      <c r="AH1254" t="b">
        <v>0</v>
      </c>
      <c r="AI1254" t="s">
        <v>4829</v>
      </c>
      <c r="AK1254" s="78" t="s">
        <v>4640</v>
      </c>
      <c r="AL1254" t="b">
        <v>0</v>
      </c>
      <c r="AM1254">
        <v>0</v>
      </c>
      <c r="AN1254" s="78" t="s">
        <v>4640</v>
      </c>
      <c r="AO1254" s="78" t="s">
        <v>4850</v>
      </c>
      <c r="AP1254" t="b">
        <v>0</v>
      </c>
      <c r="AQ1254" s="78" t="s">
        <v>4473</v>
      </c>
      <c r="AR1254" t="s">
        <v>179</v>
      </c>
      <c r="AS1254">
        <v>0</v>
      </c>
      <c r="AT1254">
        <v>0</v>
      </c>
    </row>
    <row r="1255" spans="1:46" x14ac:dyDescent="0.45">
      <c r="A1255" s="62" t="s">
        <v>409</v>
      </c>
      <c r="B1255" s="62" t="s">
        <v>1198</v>
      </c>
      <c r="C1255" s="63"/>
      <c r="D1255" s="64"/>
      <c r="E1255" s="65"/>
      <c r="F1255" s="66"/>
      <c r="G1255" s="63"/>
      <c r="H1255" s="67"/>
      <c r="I1255" s="68"/>
      <c r="J1255" s="68"/>
      <c r="K1255" s="32"/>
      <c r="L1255" s="75"/>
      <c r="M1255" s="75"/>
      <c r="N1255" s="70"/>
      <c r="O1255" t="s">
        <v>1568</v>
      </c>
      <c r="P1255" s="76">
        <v>44958.708969907406</v>
      </c>
      <c r="Q1255" t="s">
        <v>1736</v>
      </c>
      <c r="U1255" s="77" t="str">
        <f>HYPERLINK("https://pbs.twimg.com/ext_tw_video_thumb/1620829286268637189/pu/img/yql5CKK2tmTFfiaf.jpg")</f>
        <v>https://pbs.twimg.com/ext_tw_video_thumb/1620829286268637189/pu/img/yql5CKK2tmTFfiaf.jpg</v>
      </c>
      <c r="V1255" s="77" t="str">
        <f>HYPERLINK("https://pbs.twimg.com/ext_tw_video_thumb/1620829286268637189/pu/img/yql5CKK2tmTFfiaf.jpg")</f>
        <v>https://pbs.twimg.com/ext_tw_video_thumb/1620829286268637189/pu/img/yql5CKK2tmTFfiaf.jpg</v>
      </c>
      <c r="W1255" s="76">
        <v>44958.708969907406</v>
      </c>
      <c r="X1255" s="80">
        <v>44958</v>
      </c>
      <c r="Y1255" s="78" t="s">
        <v>2638</v>
      </c>
      <c r="Z1255" s="77" t="str">
        <f>HYPERLINK("https://twitter.com/eatmagicspoon/status/1620829561893326848")</f>
        <v>https://twitter.com/eatmagicspoon/status/1620829561893326848</v>
      </c>
      <c r="AC1255" s="78" t="s">
        <v>3655</v>
      </c>
      <c r="AE1255" t="b">
        <v>0</v>
      </c>
      <c r="AF1255">
        <v>2</v>
      </c>
      <c r="AG1255" s="78" t="s">
        <v>4640</v>
      </c>
      <c r="AH1255" t="b">
        <v>0</v>
      </c>
      <c r="AI1255" t="s">
        <v>4829</v>
      </c>
      <c r="AK1255" s="78" t="s">
        <v>4640</v>
      </c>
      <c r="AL1255" t="b">
        <v>0</v>
      </c>
      <c r="AM1255">
        <v>0</v>
      </c>
      <c r="AN1255" s="78" t="s">
        <v>4640</v>
      </c>
      <c r="AO1255" s="78" t="s">
        <v>4851</v>
      </c>
      <c r="AP1255" t="b">
        <v>0</v>
      </c>
      <c r="AQ1255" s="78" t="s">
        <v>3655</v>
      </c>
      <c r="AR1255" t="s">
        <v>179</v>
      </c>
      <c r="AS1255">
        <v>0</v>
      </c>
      <c r="AT1255">
        <v>0</v>
      </c>
    </row>
    <row r="1256" spans="1:46" x14ac:dyDescent="0.45">
      <c r="A1256" s="62" t="s">
        <v>409</v>
      </c>
      <c r="B1256" s="62" t="s">
        <v>1199</v>
      </c>
      <c r="C1256" s="63"/>
      <c r="D1256" s="64"/>
      <c r="E1256" s="65"/>
      <c r="F1256" s="66"/>
      <c r="G1256" s="63"/>
      <c r="H1256" s="67"/>
      <c r="I1256" s="68"/>
      <c r="J1256" s="68"/>
      <c r="K1256" s="32"/>
      <c r="L1256" s="75"/>
      <c r="M1256" s="75"/>
      <c r="N1256" s="70"/>
      <c r="O1256" t="s">
        <v>1568</v>
      </c>
      <c r="P1256" s="76">
        <v>44958.708969907406</v>
      </c>
      <c r="Q1256" t="s">
        <v>1736</v>
      </c>
      <c r="U1256" s="77" t="str">
        <f>HYPERLINK("https://pbs.twimg.com/ext_tw_video_thumb/1620829286268637189/pu/img/yql5CKK2tmTFfiaf.jpg")</f>
        <v>https://pbs.twimg.com/ext_tw_video_thumb/1620829286268637189/pu/img/yql5CKK2tmTFfiaf.jpg</v>
      </c>
      <c r="V1256" s="77" t="str">
        <f>HYPERLINK("https://pbs.twimg.com/ext_tw_video_thumb/1620829286268637189/pu/img/yql5CKK2tmTFfiaf.jpg")</f>
        <v>https://pbs.twimg.com/ext_tw_video_thumb/1620829286268637189/pu/img/yql5CKK2tmTFfiaf.jpg</v>
      </c>
      <c r="W1256" s="76">
        <v>44958.708969907406</v>
      </c>
      <c r="X1256" s="80">
        <v>44958</v>
      </c>
      <c r="Y1256" s="78" t="s">
        <v>2638</v>
      </c>
      <c r="Z1256" s="77" t="str">
        <f>HYPERLINK("https://twitter.com/eatmagicspoon/status/1620829561893326848")</f>
        <v>https://twitter.com/eatmagicspoon/status/1620829561893326848</v>
      </c>
      <c r="AC1256" s="78" t="s">
        <v>3655</v>
      </c>
      <c r="AE1256" t="b">
        <v>0</v>
      </c>
      <c r="AF1256">
        <v>2</v>
      </c>
      <c r="AG1256" s="78" t="s">
        <v>4640</v>
      </c>
      <c r="AH1256" t="b">
        <v>0</v>
      </c>
      <c r="AI1256" t="s">
        <v>4829</v>
      </c>
      <c r="AK1256" s="78" t="s">
        <v>4640</v>
      </c>
      <c r="AL1256" t="b">
        <v>0</v>
      </c>
      <c r="AM1256">
        <v>0</v>
      </c>
      <c r="AN1256" s="78" t="s">
        <v>4640</v>
      </c>
      <c r="AO1256" s="78" t="s">
        <v>4851</v>
      </c>
      <c r="AP1256" t="b">
        <v>0</v>
      </c>
      <c r="AQ1256" s="78" t="s">
        <v>3655</v>
      </c>
      <c r="AR1256" t="s">
        <v>179</v>
      </c>
      <c r="AS1256">
        <v>0</v>
      </c>
      <c r="AT1256">
        <v>0</v>
      </c>
    </row>
    <row r="1257" spans="1:46" x14ac:dyDescent="0.45">
      <c r="A1257" s="62" t="s">
        <v>409</v>
      </c>
      <c r="B1257" s="62" t="s">
        <v>1185</v>
      </c>
      <c r="C1257" s="63"/>
      <c r="D1257" s="64"/>
      <c r="E1257" s="65"/>
      <c r="F1257" s="66"/>
      <c r="G1257" s="63"/>
      <c r="H1257" s="67"/>
      <c r="I1257" s="68"/>
      <c r="J1257" s="68"/>
      <c r="K1257" s="32"/>
      <c r="L1257" s="75"/>
      <c r="M1257" s="75"/>
      <c r="N1257" s="70"/>
      <c r="O1257" t="s">
        <v>1568</v>
      </c>
      <c r="P1257" s="76">
        <v>44958.708969907406</v>
      </c>
      <c r="Q1257" t="s">
        <v>1736</v>
      </c>
      <c r="U1257" s="77" t="str">
        <f>HYPERLINK("https://pbs.twimg.com/ext_tw_video_thumb/1620829286268637189/pu/img/yql5CKK2tmTFfiaf.jpg")</f>
        <v>https://pbs.twimg.com/ext_tw_video_thumb/1620829286268637189/pu/img/yql5CKK2tmTFfiaf.jpg</v>
      </c>
      <c r="V1257" s="77" t="str">
        <f>HYPERLINK("https://pbs.twimg.com/ext_tw_video_thumb/1620829286268637189/pu/img/yql5CKK2tmTFfiaf.jpg")</f>
        <v>https://pbs.twimg.com/ext_tw_video_thumb/1620829286268637189/pu/img/yql5CKK2tmTFfiaf.jpg</v>
      </c>
      <c r="W1257" s="76">
        <v>44958.708969907406</v>
      </c>
      <c r="X1257" s="80">
        <v>44958</v>
      </c>
      <c r="Y1257" s="78" t="s">
        <v>2638</v>
      </c>
      <c r="Z1257" s="77" t="str">
        <f>HYPERLINK("https://twitter.com/eatmagicspoon/status/1620829561893326848")</f>
        <v>https://twitter.com/eatmagicspoon/status/1620829561893326848</v>
      </c>
      <c r="AC1257" s="78" t="s">
        <v>3655</v>
      </c>
      <c r="AE1257" t="b">
        <v>0</v>
      </c>
      <c r="AF1257">
        <v>2</v>
      </c>
      <c r="AG1257" s="78" t="s">
        <v>4640</v>
      </c>
      <c r="AH1257" t="b">
        <v>0</v>
      </c>
      <c r="AI1257" t="s">
        <v>4829</v>
      </c>
      <c r="AK1257" s="78" t="s">
        <v>4640</v>
      </c>
      <c r="AL1257" t="b">
        <v>0</v>
      </c>
      <c r="AM1257">
        <v>0</v>
      </c>
      <c r="AN1257" s="78" t="s">
        <v>4640</v>
      </c>
      <c r="AO1257" s="78" t="s">
        <v>4851</v>
      </c>
      <c r="AP1257" t="b">
        <v>0</v>
      </c>
      <c r="AQ1257" s="78" t="s">
        <v>3655</v>
      </c>
      <c r="AR1257" t="s">
        <v>179</v>
      </c>
      <c r="AS1257">
        <v>0</v>
      </c>
      <c r="AT1257">
        <v>0</v>
      </c>
    </row>
    <row r="1258" spans="1:46" x14ac:dyDescent="0.45">
      <c r="A1258" s="62" t="s">
        <v>409</v>
      </c>
      <c r="B1258" s="62" t="s">
        <v>242</v>
      </c>
      <c r="C1258" s="63"/>
      <c r="D1258" s="64"/>
      <c r="E1258" s="65"/>
      <c r="F1258" s="66"/>
      <c r="G1258" s="63"/>
      <c r="H1258" s="67"/>
      <c r="I1258" s="68"/>
      <c r="J1258" s="68"/>
      <c r="K1258" s="32"/>
      <c r="L1258" s="75"/>
      <c r="M1258" s="75"/>
      <c r="N1258" s="70"/>
      <c r="O1258" t="s">
        <v>1568</v>
      </c>
      <c r="P1258" s="76">
        <v>44958.708969907406</v>
      </c>
      <c r="Q1258" t="s">
        <v>1736</v>
      </c>
      <c r="U1258" s="77" t="str">
        <f>HYPERLINK("https://pbs.twimg.com/ext_tw_video_thumb/1620829286268637189/pu/img/yql5CKK2tmTFfiaf.jpg")</f>
        <v>https://pbs.twimg.com/ext_tw_video_thumb/1620829286268637189/pu/img/yql5CKK2tmTFfiaf.jpg</v>
      </c>
      <c r="V1258" s="77" t="str">
        <f>HYPERLINK("https://pbs.twimg.com/ext_tw_video_thumb/1620829286268637189/pu/img/yql5CKK2tmTFfiaf.jpg")</f>
        <v>https://pbs.twimg.com/ext_tw_video_thumb/1620829286268637189/pu/img/yql5CKK2tmTFfiaf.jpg</v>
      </c>
      <c r="W1258" s="76">
        <v>44958.708969907406</v>
      </c>
      <c r="X1258" s="80">
        <v>44958</v>
      </c>
      <c r="Y1258" s="78" t="s">
        <v>2638</v>
      </c>
      <c r="Z1258" s="77" t="str">
        <f>HYPERLINK("https://twitter.com/eatmagicspoon/status/1620829561893326848")</f>
        <v>https://twitter.com/eatmagicspoon/status/1620829561893326848</v>
      </c>
      <c r="AC1258" s="78" t="s">
        <v>3655</v>
      </c>
      <c r="AE1258" t="b">
        <v>0</v>
      </c>
      <c r="AF1258">
        <v>2</v>
      </c>
      <c r="AG1258" s="78" t="s">
        <v>4640</v>
      </c>
      <c r="AH1258" t="b">
        <v>0</v>
      </c>
      <c r="AI1258" t="s">
        <v>4829</v>
      </c>
      <c r="AK1258" s="78" t="s">
        <v>4640</v>
      </c>
      <c r="AL1258" t="b">
        <v>0</v>
      </c>
      <c r="AM1258">
        <v>0</v>
      </c>
      <c r="AN1258" s="78" t="s">
        <v>4640</v>
      </c>
      <c r="AO1258" s="78" t="s">
        <v>4851</v>
      </c>
      <c r="AP1258" t="b">
        <v>0</v>
      </c>
      <c r="AQ1258" s="78" t="s">
        <v>3655</v>
      </c>
      <c r="AR1258" t="s">
        <v>179</v>
      </c>
      <c r="AS1258">
        <v>0</v>
      </c>
      <c r="AT1258">
        <v>0</v>
      </c>
    </row>
    <row r="1259" spans="1:46" x14ac:dyDescent="0.45">
      <c r="A1259" s="62" t="s">
        <v>409</v>
      </c>
      <c r="B1259" s="62" t="s">
        <v>1181</v>
      </c>
      <c r="C1259" s="63"/>
      <c r="D1259" s="64"/>
      <c r="E1259" s="65"/>
      <c r="F1259" s="66"/>
      <c r="G1259" s="63"/>
      <c r="H1259" s="67"/>
      <c r="I1259" s="68"/>
      <c r="J1259" s="68"/>
      <c r="K1259" s="32"/>
      <c r="L1259" s="75"/>
      <c r="M1259" s="75"/>
      <c r="N1259" s="70"/>
      <c r="O1259" t="s">
        <v>1568</v>
      </c>
      <c r="P1259" s="76">
        <v>44958.708969907406</v>
      </c>
      <c r="Q1259" t="s">
        <v>1736</v>
      </c>
      <c r="U1259" s="77" t="str">
        <f>HYPERLINK("https://pbs.twimg.com/ext_tw_video_thumb/1620829286268637189/pu/img/yql5CKK2tmTFfiaf.jpg")</f>
        <v>https://pbs.twimg.com/ext_tw_video_thumb/1620829286268637189/pu/img/yql5CKK2tmTFfiaf.jpg</v>
      </c>
      <c r="V1259" s="77" t="str">
        <f>HYPERLINK("https://pbs.twimg.com/ext_tw_video_thumb/1620829286268637189/pu/img/yql5CKK2tmTFfiaf.jpg")</f>
        <v>https://pbs.twimg.com/ext_tw_video_thumb/1620829286268637189/pu/img/yql5CKK2tmTFfiaf.jpg</v>
      </c>
      <c r="W1259" s="76">
        <v>44958.708969907406</v>
      </c>
      <c r="X1259" s="80">
        <v>44958</v>
      </c>
      <c r="Y1259" s="78" t="s">
        <v>2638</v>
      </c>
      <c r="Z1259" s="77" t="str">
        <f>HYPERLINK("https://twitter.com/eatmagicspoon/status/1620829561893326848")</f>
        <v>https://twitter.com/eatmagicspoon/status/1620829561893326848</v>
      </c>
      <c r="AC1259" s="78" t="s">
        <v>3655</v>
      </c>
      <c r="AE1259" t="b">
        <v>0</v>
      </c>
      <c r="AF1259">
        <v>2</v>
      </c>
      <c r="AG1259" s="78" t="s">
        <v>4640</v>
      </c>
      <c r="AH1259" t="b">
        <v>0</v>
      </c>
      <c r="AI1259" t="s">
        <v>4829</v>
      </c>
      <c r="AK1259" s="78" t="s">
        <v>4640</v>
      </c>
      <c r="AL1259" t="b">
        <v>0</v>
      </c>
      <c r="AM1259">
        <v>0</v>
      </c>
      <c r="AN1259" s="78" t="s">
        <v>4640</v>
      </c>
      <c r="AO1259" s="78" t="s">
        <v>4851</v>
      </c>
      <c r="AP1259" t="b">
        <v>0</v>
      </c>
      <c r="AQ1259" s="78" t="s">
        <v>3655</v>
      </c>
      <c r="AR1259" t="s">
        <v>179</v>
      </c>
      <c r="AS1259">
        <v>0</v>
      </c>
      <c r="AT1259">
        <v>0</v>
      </c>
    </row>
    <row r="1260" spans="1:46" x14ac:dyDescent="0.45">
      <c r="A1260" s="62" t="s">
        <v>462</v>
      </c>
      <c r="B1260" s="62" t="s">
        <v>242</v>
      </c>
      <c r="C1260" s="63"/>
      <c r="D1260" s="64"/>
      <c r="E1260" s="65"/>
      <c r="F1260" s="66"/>
      <c r="G1260" s="63"/>
      <c r="H1260" s="67"/>
      <c r="I1260" s="68"/>
      <c r="J1260" s="68"/>
      <c r="K1260" s="32"/>
      <c r="L1260" s="75"/>
      <c r="M1260" s="75"/>
      <c r="N1260" s="70"/>
      <c r="O1260" t="s">
        <v>1568</v>
      </c>
      <c r="P1260" s="76">
        <v>44958.731203703705</v>
      </c>
      <c r="Q1260" t="s">
        <v>1755</v>
      </c>
      <c r="V1260" s="77" t="str">
        <f>HYPERLINK("https://pbs.twimg.com/profile_images/1487936368793858050/PhdiyAZ7_normal.jpg")</f>
        <v>https://pbs.twimg.com/profile_images/1487936368793858050/PhdiyAZ7_normal.jpg</v>
      </c>
      <c r="W1260" s="76">
        <v>44958.731203703705</v>
      </c>
      <c r="X1260" s="80">
        <v>44958</v>
      </c>
      <c r="Y1260" s="78" t="s">
        <v>2692</v>
      </c>
      <c r="Z1260" s="77" t="str">
        <f>HYPERLINK("https://twitter.com/eddie_tex_tex/status/1620837618459242497")</f>
        <v>https://twitter.com/eddie_tex_tex/status/1620837618459242497</v>
      </c>
      <c r="AC1260" s="78" t="s">
        <v>3710</v>
      </c>
      <c r="AD1260" s="78" t="s">
        <v>4342</v>
      </c>
      <c r="AE1260" t="b">
        <v>0</v>
      </c>
      <c r="AF1260">
        <v>2</v>
      </c>
      <c r="AG1260" s="78" t="s">
        <v>4646</v>
      </c>
      <c r="AH1260" t="b">
        <v>0</v>
      </c>
      <c r="AI1260" t="s">
        <v>4829</v>
      </c>
      <c r="AK1260" s="78" t="s">
        <v>4640</v>
      </c>
      <c r="AL1260" t="b">
        <v>0</v>
      </c>
      <c r="AM1260">
        <v>0</v>
      </c>
      <c r="AN1260" s="78" t="s">
        <v>4640</v>
      </c>
      <c r="AO1260" s="78" t="s">
        <v>4850</v>
      </c>
      <c r="AP1260" t="b">
        <v>0</v>
      </c>
      <c r="AQ1260" s="78" t="s">
        <v>4342</v>
      </c>
      <c r="AR1260" t="s">
        <v>179</v>
      </c>
      <c r="AS1260">
        <v>0</v>
      </c>
      <c r="AT1260">
        <v>0</v>
      </c>
    </row>
    <row r="1261" spans="1:46" x14ac:dyDescent="0.45">
      <c r="A1261" s="62" t="s">
        <v>462</v>
      </c>
      <c r="B1261" s="62" t="s">
        <v>992</v>
      </c>
      <c r="C1261" s="63"/>
      <c r="D1261" s="64"/>
      <c r="E1261" s="65"/>
      <c r="F1261" s="66"/>
      <c r="G1261" s="63"/>
      <c r="H1261" s="67"/>
      <c r="I1261" s="68"/>
      <c r="J1261" s="68"/>
      <c r="K1261" s="32"/>
      <c r="L1261" s="75"/>
      <c r="M1261" s="75"/>
      <c r="N1261" s="70"/>
      <c r="O1261" t="s">
        <v>1567</v>
      </c>
      <c r="P1261" s="76">
        <v>44958.731203703705</v>
      </c>
      <c r="Q1261" t="s">
        <v>1755</v>
      </c>
      <c r="V1261" s="77" t="str">
        <f>HYPERLINK("https://pbs.twimg.com/profile_images/1487936368793858050/PhdiyAZ7_normal.jpg")</f>
        <v>https://pbs.twimg.com/profile_images/1487936368793858050/PhdiyAZ7_normal.jpg</v>
      </c>
      <c r="W1261" s="76">
        <v>44958.731203703705</v>
      </c>
      <c r="X1261" s="80">
        <v>44958</v>
      </c>
      <c r="Y1261" s="78" t="s">
        <v>2692</v>
      </c>
      <c r="Z1261" s="77" t="str">
        <f>HYPERLINK("https://twitter.com/eddie_tex_tex/status/1620837618459242497")</f>
        <v>https://twitter.com/eddie_tex_tex/status/1620837618459242497</v>
      </c>
      <c r="AC1261" s="78" t="s">
        <v>3710</v>
      </c>
      <c r="AD1261" s="78" t="s">
        <v>4342</v>
      </c>
      <c r="AE1261" t="b">
        <v>0</v>
      </c>
      <c r="AF1261">
        <v>2</v>
      </c>
      <c r="AG1261" s="78" t="s">
        <v>4646</v>
      </c>
      <c r="AH1261" t="b">
        <v>0</v>
      </c>
      <c r="AI1261" t="s">
        <v>4829</v>
      </c>
      <c r="AK1261" s="78" t="s">
        <v>4640</v>
      </c>
      <c r="AL1261" t="b">
        <v>0</v>
      </c>
      <c r="AM1261">
        <v>0</v>
      </c>
      <c r="AN1261" s="78" t="s">
        <v>4640</v>
      </c>
      <c r="AO1261" s="78" t="s">
        <v>4850</v>
      </c>
      <c r="AP1261" t="b">
        <v>0</v>
      </c>
      <c r="AQ1261" s="78" t="s">
        <v>4342</v>
      </c>
      <c r="AR1261" t="s">
        <v>179</v>
      </c>
      <c r="AS1261">
        <v>0</v>
      </c>
      <c r="AT1261">
        <v>0</v>
      </c>
    </row>
    <row r="1262" spans="1:46" x14ac:dyDescent="0.45">
      <c r="A1262" s="62" t="s">
        <v>491</v>
      </c>
      <c r="B1262" s="62" t="s">
        <v>242</v>
      </c>
      <c r="C1262" s="63"/>
      <c r="D1262" s="64"/>
      <c r="E1262" s="65"/>
      <c r="F1262" s="66"/>
      <c r="G1262" s="63"/>
      <c r="H1262" s="67"/>
      <c r="I1262" s="68"/>
      <c r="J1262" s="68"/>
      <c r="K1262" s="32"/>
      <c r="L1262" s="75"/>
      <c r="M1262" s="75"/>
      <c r="N1262" s="70"/>
      <c r="O1262" t="s">
        <v>1567</v>
      </c>
      <c r="P1262" s="76">
        <v>44958.748888888891</v>
      </c>
      <c r="Q1262" t="s">
        <v>1777</v>
      </c>
      <c r="V1262" s="77" t="str">
        <f>HYPERLINK("https://pbs.twimg.com/profile_images/1593690689895809025/jVPYEDFd_normal.jpg")</f>
        <v>https://pbs.twimg.com/profile_images/1593690689895809025/jVPYEDFd_normal.jpg</v>
      </c>
      <c r="W1262" s="76">
        <v>44958.748888888891</v>
      </c>
      <c r="X1262" s="80">
        <v>44958</v>
      </c>
      <c r="Y1262" s="78" t="s">
        <v>2730</v>
      </c>
      <c r="Z1262" s="77" t="str">
        <f>HYPERLINK("https://twitter.com/vampire_witchb/status/1620844024960790528")</f>
        <v>https://twitter.com/vampire_witchb/status/1620844024960790528</v>
      </c>
      <c r="AC1262" s="78" t="s">
        <v>3748</v>
      </c>
      <c r="AE1262" t="b">
        <v>0</v>
      </c>
      <c r="AF1262">
        <v>2</v>
      </c>
      <c r="AG1262" s="78" t="s">
        <v>4639</v>
      </c>
      <c r="AH1262" t="b">
        <v>0</v>
      </c>
      <c r="AI1262" t="s">
        <v>4829</v>
      </c>
      <c r="AK1262" s="78" t="s">
        <v>4640</v>
      </c>
      <c r="AL1262" t="b">
        <v>0</v>
      </c>
      <c r="AM1262">
        <v>0</v>
      </c>
      <c r="AN1262" s="78" t="s">
        <v>4640</v>
      </c>
      <c r="AO1262" s="78" t="s">
        <v>4849</v>
      </c>
      <c r="AP1262" t="b">
        <v>0</v>
      </c>
      <c r="AQ1262" s="78" t="s">
        <v>3748</v>
      </c>
      <c r="AR1262" t="s">
        <v>179</v>
      </c>
      <c r="AS1262">
        <v>0</v>
      </c>
      <c r="AT1262">
        <v>0</v>
      </c>
    </row>
    <row r="1263" spans="1:46" x14ac:dyDescent="0.45">
      <c r="A1263" s="62" t="s">
        <v>509</v>
      </c>
      <c r="B1263" s="62" t="s">
        <v>1230</v>
      </c>
      <c r="C1263" s="63"/>
      <c r="D1263" s="64"/>
      <c r="E1263" s="65"/>
      <c r="F1263" s="66"/>
      <c r="G1263" s="63"/>
      <c r="H1263" s="67"/>
      <c r="I1263" s="68"/>
      <c r="J1263" s="68"/>
      <c r="K1263" s="32"/>
      <c r="L1263" s="75"/>
      <c r="M1263" s="75"/>
      <c r="N1263" s="70"/>
      <c r="O1263" t="s">
        <v>1568</v>
      </c>
      <c r="P1263" s="76">
        <v>44958.763402777775</v>
      </c>
      <c r="Q1263" t="s">
        <v>1789</v>
      </c>
      <c r="V1263" s="77" t="str">
        <f>HYPERLINK("https://pbs.twimg.com/profile_images/1614019452852658177/3tW2seDN_normal.jpg")</f>
        <v>https://pbs.twimg.com/profile_images/1614019452852658177/3tW2seDN_normal.jpg</v>
      </c>
      <c r="W1263" s="76">
        <v>44958.763402777775</v>
      </c>
      <c r="X1263" s="80">
        <v>44958</v>
      </c>
      <c r="Y1263" s="78" t="s">
        <v>2749</v>
      </c>
      <c r="Z1263" s="77" t="str">
        <f>HYPERLINK("https://twitter.com/veronieray/status/1620849286215761939")</f>
        <v>https://twitter.com/veronieray/status/1620849286215761939</v>
      </c>
      <c r="AC1263" s="78" t="s">
        <v>3768</v>
      </c>
      <c r="AD1263" s="78" t="s">
        <v>4473</v>
      </c>
      <c r="AE1263" t="b">
        <v>0</v>
      </c>
      <c r="AF1263">
        <v>2</v>
      </c>
      <c r="AG1263" s="78" t="s">
        <v>4639</v>
      </c>
      <c r="AH1263" t="b">
        <v>0</v>
      </c>
      <c r="AI1263" t="s">
        <v>4829</v>
      </c>
      <c r="AK1263" s="78" t="s">
        <v>4640</v>
      </c>
      <c r="AL1263" t="b">
        <v>0</v>
      </c>
      <c r="AM1263">
        <v>0</v>
      </c>
      <c r="AN1263" s="78" t="s">
        <v>4640</v>
      </c>
      <c r="AO1263" s="78" t="s">
        <v>4849</v>
      </c>
      <c r="AP1263" t="b">
        <v>0</v>
      </c>
      <c r="AQ1263" s="78" t="s">
        <v>4473</v>
      </c>
      <c r="AR1263" t="s">
        <v>179</v>
      </c>
      <c r="AS1263">
        <v>0</v>
      </c>
      <c r="AT1263">
        <v>0</v>
      </c>
    </row>
    <row r="1264" spans="1:46" x14ac:dyDescent="0.45">
      <c r="A1264" s="62" t="s">
        <v>509</v>
      </c>
      <c r="B1264" s="62" t="s">
        <v>242</v>
      </c>
      <c r="C1264" s="63"/>
      <c r="D1264" s="64"/>
      <c r="E1264" s="65"/>
      <c r="F1264" s="66"/>
      <c r="G1264" s="63"/>
      <c r="H1264" s="67"/>
      <c r="I1264" s="68"/>
      <c r="J1264" s="68"/>
      <c r="K1264" s="32"/>
      <c r="L1264" s="75"/>
      <c r="M1264" s="75"/>
      <c r="N1264" s="70"/>
      <c r="O1264" t="s">
        <v>1567</v>
      </c>
      <c r="P1264" s="76">
        <v>44958.763402777775</v>
      </c>
      <c r="Q1264" t="s">
        <v>1789</v>
      </c>
      <c r="V1264" s="77" t="str">
        <f>HYPERLINK("https://pbs.twimg.com/profile_images/1614019452852658177/3tW2seDN_normal.jpg")</f>
        <v>https://pbs.twimg.com/profile_images/1614019452852658177/3tW2seDN_normal.jpg</v>
      </c>
      <c r="W1264" s="76">
        <v>44958.763402777775</v>
      </c>
      <c r="X1264" s="80">
        <v>44958</v>
      </c>
      <c r="Y1264" s="78" t="s">
        <v>2749</v>
      </c>
      <c r="Z1264" s="77" t="str">
        <f>HYPERLINK("https://twitter.com/veronieray/status/1620849286215761939")</f>
        <v>https://twitter.com/veronieray/status/1620849286215761939</v>
      </c>
      <c r="AC1264" s="78" t="s">
        <v>3768</v>
      </c>
      <c r="AD1264" s="78" t="s">
        <v>4473</v>
      </c>
      <c r="AE1264" t="b">
        <v>0</v>
      </c>
      <c r="AF1264">
        <v>2</v>
      </c>
      <c r="AG1264" s="78" t="s">
        <v>4639</v>
      </c>
      <c r="AH1264" t="b">
        <v>0</v>
      </c>
      <c r="AI1264" t="s">
        <v>4829</v>
      </c>
      <c r="AK1264" s="78" t="s">
        <v>4640</v>
      </c>
      <c r="AL1264" t="b">
        <v>0</v>
      </c>
      <c r="AM1264">
        <v>0</v>
      </c>
      <c r="AN1264" s="78" t="s">
        <v>4640</v>
      </c>
      <c r="AO1264" s="78" t="s">
        <v>4849</v>
      </c>
      <c r="AP1264" t="b">
        <v>0</v>
      </c>
      <c r="AQ1264" s="78" t="s">
        <v>4473</v>
      </c>
      <c r="AR1264" t="s">
        <v>179</v>
      </c>
      <c r="AS1264">
        <v>0</v>
      </c>
      <c r="AT1264">
        <v>0</v>
      </c>
    </row>
    <row r="1265" spans="1:46" x14ac:dyDescent="0.45">
      <c r="A1265" s="62" t="s">
        <v>532</v>
      </c>
      <c r="B1265" s="62" t="s">
        <v>1230</v>
      </c>
      <c r="C1265" s="63"/>
      <c r="D1265" s="64"/>
      <c r="E1265" s="65"/>
      <c r="F1265" s="66"/>
      <c r="G1265" s="63"/>
      <c r="H1265" s="67"/>
      <c r="I1265" s="68"/>
      <c r="J1265" s="68"/>
      <c r="K1265" s="32"/>
      <c r="L1265" s="75"/>
      <c r="M1265" s="75"/>
      <c r="N1265" s="70"/>
      <c r="O1265" t="s">
        <v>1568</v>
      </c>
      <c r="P1265" s="76">
        <v>44958.783587962964</v>
      </c>
      <c r="Q1265" t="s">
        <v>1804</v>
      </c>
      <c r="V1265" s="77" t="str">
        <f>HYPERLINK("https://pbs.twimg.com/profile_images/723602846101475328/gxYclp8P_normal.jpg")</f>
        <v>https://pbs.twimg.com/profile_images/723602846101475328/gxYclp8P_normal.jpg</v>
      </c>
      <c r="W1265" s="76">
        <v>44958.783587962964</v>
      </c>
      <c r="X1265" s="80">
        <v>44958</v>
      </c>
      <c r="Y1265" s="78" t="s">
        <v>2774</v>
      </c>
      <c r="Z1265" s="77" t="str">
        <f>HYPERLINK("https://twitter.com/pqgrigori/status/1620856602495488005")</f>
        <v>https://twitter.com/pqgrigori/status/1620856602495488005</v>
      </c>
      <c r="AC1265" s="78" t="s">
        <v>3793</v>
      </c>
      <c r="AD1265" s="78" t="s">
        <v>4473</v>
      </c>
      <c r="AE1265" t="b">
        <v>0</v>
      </c>
      <c r="AF1265">
        <v>2</v>
      </c>
      <c r="AG1265" s="78" t="s">
        <v>4639</v>
      </c>
      <c r="AH1265" t="b">
        <v>0</v>
      </c>
      <c r="AI1265" t="s">
        <v>4829</v>
      </c>
      <c r="AK1265" s="78" t="s">
        <v>4640</v>
      </c>
      <c r="AL1265" t="b">
        <v>0</v>
      </c>
      <c r="AM1265">
        <v>0</v>
      </c>
      <c r="AN1265" s="78" t="s">
        <v>4640</v>
      </c>
      <c r="AO1265" s="78" t="s">
        <v>4849</v>
      </c>
      <c r="AP1265" t="b">
        <v>0</v>
      </c>
      <c r="AQ1265" s="78" t="s">
        <v>4473</v>
      </c>
      <c r="AR1265" t="s">
        <v>179</v>
      </c>
      <c r="AS1265">
        <v>0</v>
      </c>
      <c r="AT1265">
        <v>0</v>
      </c>
    </row>
    <row r="1266" spans="1:46" x14ac:dyDescent="0.45">
      <c r="A1266" s="62" t="s">
        <v>532</v>
      </c>
      <c r="B1266" s="62" t="s">
        <v>242</v>
      </c>
      <c r="C1266" s="63"/>
      <c r="D1266" s="64"/>
      <c r="E1266" s="65"/>
      <c r="F1266" s="66"/>
      <c r="G1266" s="63"/>
      <c r="H1266" s="67"/>
      <c r="I1266" s="68"/>
      <c r="J1266" s="68"/>
      <c r="K1266" s="32"/>
      <c r="L1266" s="75"/>
      <c r="M1266" s="75"/>
      <c r="N1266" s="70"/>
      <c r="O1266" t="s">
        <v>1567</v>
      </c>
      <c r="P1266" s="76">
        <v>44958.783587962964</v>
      </c>
      <c r="Q1266" t="s">
        <v>1804</v>
      </c>
      <c r="V1266" s="77" t="str">
        <f>HYPERLINK("https://pbs.twimg.com/profile_images/723602846101475328/gxYclp8P_normal.jpg")</f>
        <v>https://pbs.twimg.com/profile_images/723602846101475328/gxYclp8P_normal.jpg</v>
      </c>
      <c r="W1266" s="76">
        <v>44958.783587962964</v>
      </c>
      <c r="X1266" s="80">
        <v>44958</v>
      </c>
      <c r="Y1266" s="78" t="s">
        <v>2774</v>
      </c>
      <c r="Z1266" s="77" t="str">
        <f>HYPERLINK("https://twitter.com/pqgrigori/status/1620856602495488005")</f>
        <v>https://twitter.com/pqgrigori/status/1620856602495488005</v>
      </c>
      <c r="AC1266" s="78" t="s">
        <v>3793</v>
      </c>
      <c r="AD1266" s="78" t="s">
        <v>4473</v>
      </c>
      <c r="AE1266" t="b">
        <v>0</v>
      </c>
      <c r="AF1266">
        <v>2</v>
      </c>
      <c r="AG1266" s="78" t="s">
        <v>4639</v>
      </c>
      <c r="AH1266" t="b">
        <v>0</v>
      </c>
      <c r="AI1266" t="s">
        <v>4829</v>
      </c>
      <c r="AK1266" s="78" t="s">
        <v>4640</v>
      </c>
      <c r="AL1266" t="b">
        <v>0</v>
      </c>
      <c r="AM1266">
        <v>0</v>
      </c>
      <c r="AN1266" s="78" t="s">
        <v>4640</v>
      </c>
      <c r="AO1266" s="78" t="s">
        <v>4849</v>
      </c>
      <c r="AP1266" t="b">
        <v>0</v>
      </c>
      <c r="AQ1266" s="78" t="s">
        <v>4473</v>
      </c>
      <c r="AR1266" t="s">
        <v>179</v>
      </c>
      <c r="AS1266">
        <v>0</v>
      </c>
      <c r="AT1266">
        <v>0</v>
      </c>
    </row>
    <row r="1267" spans="1:46" x14ac:dyDescent="0.45">
      <c r="A1267" s="62" t="s">
        <v>603</v>
      </c>
      <c r="B1267" s="62" t="s">
        <v>604</v>
      </c>
      <c r="C1267" s="63"/>
      <c r="D1267" s="64"/>
      <c r="E1267" s="65"/>
      <c r="F1267" s="66"/>
      <c r="G1267" s="63"/>
      <c r="H1267" s="67"/>
      <c r="I1267" s="68"/>
      <c r="J1267" s="68"/>
      <c r="K1267" s="32"/>
      <c r="L1267" s="75"/>
      <c r="M1267" s="75"/>
      <c r="N1267" s="70"/>
      <c r="O1267" t="s">
        <v>1568</v>
      </c>
      <c r="P1267" s="76">
        <v>44958.48814814815</v>
      </c>
      <c r="Q1267" t="s">
        <v>1818</v>
      </c>
      <c r="V1267" s="77" t="str">
        <f>HYPERLINK("https://pbs.twimg.com/profile_images/1571736228466429954/8AXnYSvS_normal.jpg")</f>
        <v>https://pbs.twimg.com/profile_images/1571736228466429954/8AXnYSvS_normal.jpg</v>
      </c>
      <c r="W1267" s="76">
        <v>44958.48814814815</v>
      </c>
      <c r="X1267" s="80">
        <v>44958</v>
      </c>
      <c r="Y1267" s="78" t="s">
        <v>2802</v>
      </c>
      <c r="Z1267" s="77" t="str">
        <f>HYPERLINK("https://twitter.com/delphicdeb/status/1620749537672568834")</f>
        <v>https://twitter.com/delphicdeb/status/1620749537672568834</v>
      </c>
      <c r="AC1267" s="78" t="s">
        <v>3865</v>
      </c>
      <c r="AD1267" s="78" t="s">
        <v>4551</v>
      </c>
      <c r="AE1267" t="b">
        <v>0</v>
      </c>
      <c r="AF1267">
        <v>2</v>
      </c>
      <c r="AG1267" s="78" t="s">
        <v>4717</v>
      </c>
      <c r="AH1267" t="b">
        <v>0</v>
      </c>
      <c r="AI1267" t="s">
        <v>4829</v>
      </c>
      <c r="AK1267" s="78" t="s">
        <v>4640</v>
      </c>
      <c r="AL1267" t="b">
        <v>0</v>
      </c>
      <c r="AM1267">
        <v>0</v>
      </c>
      <c r="AN1267" s="78" t="s">
        <v>4640</v>
      </c>
      <c r="AO1267" s="78" t="s">
        <v>4850</v>
      </c>
      <c r="AP1267" t="b">
        <v>0</v>
      </c>
      <c r="AQ1267" s="78" t="s">
        <v>4551</v>
      </c>
      <c r="AR1267" t="s">
        <v>179</v>
      </c>
      <c r="AS1267">
        <v>0</v>
      </c>
      <c r="AT1267">
        <v>0</v>
      </c>
    </row>
    <row r="1268" spans="1:46" x14ac:dyDescent="0.45">
      <c r="A1268" s="62" t="s">
        <v>603</v>
      </c>
      <c r="B1268" s="62" t="s">
        <v>242</v>
      </c>
      <c r="C1268" s="63"/>
      <c r="D1268" s="64"/>
      <c r="E1268" s="65"/>
      <c r="F1268" s="66"/>
      <c r="G1268" s="63"/>
      <c r="H1268" s="67"/>
      <c r="I1268" s="68"/>
      <c r="J1268" s="68"/>
      <c r="K1268" s="32"/>
      <c r="L1268" s="75"/>
      <c r="M1268" s="75"/>
      <c r="N1268" s="70"/>
      <c r="O1268" t="s">
        <v>1568</v>
      </c>
      <c r="P1268" s="76">
        <v>44958.48814814815</v>
      </c>
      <c r="Q1268" t="s">
        <v>1818</v>
      </c>
      <c r="V1268" s="77" t="str">
        <f>HYPERLINK("https://pbs.twimg.com/profile_images/1571736228466429954/8AXnYSvS_normal.jpg")</f>
        <v>https://pbs.twimg.com/profile_images/1571736228466429954/8AXnYSvS_normal.jpg</v>
      </c>
      <c r="W1268" s="76">
        <v>44958.48814814815</v>
      </c>
      <c r="X1268" s="80">
        <v>44958</v>
      </c>
      <c r="Y1268" s="78" t="s">
        <v>2802</v>
      </c>
      <c r="Z1268" s="77" t="str">
        <f>HYPERLINK("https://twitter.com/delphicdeb/status/1620749537672568834")</f>
        <v>https://twitter.com/delphicdeb/status/1620749537672568834</v>
      </c>
      <c r="AC1268" s="78" t="s">
        <v>3865</v>
      </c>
      <c r="AD1268" s="78" t="s">
        <v>4551</v>
      </c>
      <c r="AE1268" t="b">
        <v>0</v>
      </c>
      <c r="AF1268">
        <v>2</v>
      </c>
      <c r="AG1268" s="78" t="s">
        <v>4717</v>
      </c>
      <c r="AH1268" t="b">
        <v>0</v>
      </c>
      <c r="AI1268" t="s">
        <v>4829</v>
      </c>
      <c r="AK1268" s="78" t="s">
        <v>4640</v>
      </c>
      <c r="AL1268" t="b">
        <v>0</v>
      </c>
      <c r="AM1268">
        <v>0</v>
      </c>
      <c r="AN1268" s="78" t="s">
        <v>4640</v>
      </c>
      <c r="AO1268" s="78" t="s">
        <v>4850</v>
      </c>
      <c r="AP1268" t="b">
        <v>0</v>
      </c>
      <c r="AQ1268" s="78" t="s">
        <v>4551</v>
      </c>
      <c r="AR1268" t="s">
        <v>179</v>
      </c>
      <c r="AS1268">
        <v>0</v>
      </c>
      <c r="AT1268">
        <v>0</v>
      </c>
    </row>
    <row r="1269" spans="1:46" x14ac:dyDescent="0.45">
      <c r="A1269" s="62" t="s">
        <v>603</v>
      </c>
      <c r="B1269" s="62" t="s">
        <v>605</v>
      </c>
      <c r="C1269" s="63"/>
      <c r="D1269" s="64"/>
      <c r="E1269" s="65"/>
      <c r="F1269" s="66"/>
      <c r="G1269" s="63"/>
      <c r="H1269" s="67"/>
      <c r="I1269" s="68"/>
      <c r="J1269" s="68"/>
      <c r="K1269" s="32"/>
      <c r="L1269" s="75"/>
      <c r="M1269" s="75"/>
      <c r="N1269" s="70"/>
      <c r="O1269" t="s">
        <v>1567</v>
      </c>
      <c r="P1269" s="76">
        <v>44958.48814814815</v>
      </c>
      <c r="Q1269" t="s">
        <v>1818</v>
      </c>
      <c r="V1269" s="77" t="str">
        <f>HYPERLINK("https://pbs.twimg.com/profile_images/1571736228466429954/8AXnYSvS_normal.jpg")</f>
        <v>https://pbs.twimg.com/profile_images/1571736228466429954/8AXnYSvS_normal.jpg</v>
      </c>
      <c r="W1269" s="76">
        <v>44958.48814814815</v>
      </c>
      <c r="X1269" s="80">
        <v>44958</v>
      </c>
      <c r="Y1269" s="78" t="s">
        <v>2802</v>
      </c>
      <c r="Z1269" s="77" t="str">
        <f>HYPERLINK("https://twitter.com/delphicdeb/status/1620749537672568834")</f>
        <v>https://twitter.com/delphicdeb/status/1620749537672568834</v>
      </c>
      <c r="AC1269" s="78" t="s">
        <v>3865</v>
      </c>
      <c r="AD1269" s="78" t="s">
        <v>4551</v>
      </c>
      <c r="AE1269" t="b">
        <v>0</v>
      </c>
      <c r="AF1269">
        <v>2</v>
      </c>
      <c r="AG1269" s="78" t="s">
        <v>4717</v>
      </c>
      <c r="AH1269" t="b">
        <v>0</v>
      </c>
      <c r="AI1269" t="s">
        <v>4829</v>
      </c>
      <c r="AK1269" s="78" t="s">
        <v>4640</v>
      </c>
      <c r="AL1269" t="b">
        <v>0</v>
      </c>
      <c r="AM1269">
        <v>0</v>
      </c>
      <c r="AN1269" s="78" t="s">
        <v>4640</v>
      </c>
      <c r="AO1269" s="78" t="s">
        <v>4850</v>
      </c>
      <c r="AP1269" t="b">
        <v>0</v>
      </c>
      <c r="AQ1269" s="78" t="s">
        <v>4551</v>
      </c>
      <c r="AR1269" t="s">
        <v>179</v>
      </c>
      <c r="AS1269">
        <v>0</v>
      </c>
      <c r="AT1269">
        <v>0</v>
      </c>
    </row>
    <row r="1270" spans="1:46" x14ac:dyDescent="0.45">
      <c r="A1270" s="62" t="s">
        <v>624</v>
      </c>
      <c r="B1270" s="62" t="s">
        <v>242</v>
      </c>
      <c r="C1270" s="63"/>
      <c r="D1270" s="64"/>
      <c r="E1270" s="65"/>
      <c r="F1270" s="66"/>
      <c r="G1270" s="63"/>
      <c r="H1270" s="67"/>
      <c r="I1270" s="68"/>
      <c r="J1270" s="68"/>
      <c r="K1270" s="32"/>
      <c r="L1270" s="75"/>
      <c r="M1270" s="75"/>
      <c r="N1270" s="70"/>
      <c r="O1270" t="s">
        <v>1567</v>
      </c>
      <c r="P1270" s="76">
        <v>44958.832800925928</v>
      </c>
      <c r="Q1270" t="s">
        <v>1829</v>
      </c>
      <c r="V1270" s="77" t="str">
        <f>HYPERLINK("https://pbs.twimg.com/profile_images/1522344129811812352/PdzZ0OVf_normal.jpg")</f>
        <v>https://pbs.twimg.com/profile_images/1522344129811812352/PdzZ0OVf_normal.jpg</v>
      </c>
      <c r="W1270" s="76">
        <v>44958.832800925928</v>
      </c>
      <c r="X1270" s="80">
        <v>44958</v>
      </c>
      <c r="Y1270" s="78" t="s">
        <v>2825</v>
      </c>
      <c r="Z1270" s="77" t="str">
        <f>HYPERLINK("https://twitter.com/natalie74737687/status/1620874435908538382")</f>
        <v>https://twitter.com/natalie74737687/status/1620874435908538382</v>
      </c>
      <c r="AC1270" s="78" t="s">
        <v>3888</v>
      </c>
      <c r="AD1270" s="78" t="s">
        <v>4495</v>
      </c>
      <c r="AE1270" t="b">
        <v>0</v>
      </c>
      <c r="AF1270">
        <v>2</v>
      </c>
      <c r="AG1270" s="78" t="s">
        <v>4639</v>
      </c>
      <c r="AH1270" t="b">
        <v>0</v>
      </c>
      <c r="AI1270" t="s">
        <v>4829</v>
      </c>
      <c r="AK1270" s="78" t="s">
        <v>4640</v>
      </c>
      <c r="AL1270" t="b">
        <v>0</v>
      </c>
      <c r="AM1270">
        <v>0</v>
      </c>
      <c r="AN1270" s="78" t="s">
        <v>4640</v>
      </c>
      <c r="AO1270" s="78" t="s">
        <v>4849</v>
      </c>
      <c r="AP1270" t="b">
        <v>0</v>
      </c>
      <c r="AQ1270" s="78" t="s">
        <v>4495</v>
      </c>
      <c r="AR1270" t="s">
        <v>179</v>
      </c>
      <c r="AS1270">
        <v>0</v>
      </c>
      <c r="AT1270">
        <v>0</v>
      </c>
    </row>
    <row r="1271" spans="1:46" x14ac:dyDescent="0.45">
      <c r="A1271" s="62" t="s">
        <v>673</v>
      </c>
      <c r="B1271" s="62" t="s">
        <v>1230</v>
      </c>
      <c r="C1271" s="63"/>
      <c r="D1271" s="64"/>
      <c r="E1271" s="65"/>
      <c r="F1271" s="66"/>
      <c r="G1271" s="63"/>
      <c r="H1271" s="67"/>
      <c r="I1271" s="68"/>
      <c r="J1271" s="68"/>
      <c r="K1271" s="32"/>
      <c r="L1271" s="75"/>
      <c r="M1271" s="75"/>
      <c r="N1271" s="70"/>
      <c r="O1271" t="s">
        <v>1568</v>
      </c>
      <c r="P1271" s="76">
        <v>44958.869756944441</v>
      </c>
      <c r="Q1271" t="s">
        <v>1861</v>
      </c>
      <c r="U1271" s="77" t="str">
        <f>HYPERLINK("https://pbs.twimg.com/media/Fn6M4x-XoBI1hOR.jpg")</f>
        <v>https://pbs.twimg.com/media/Fn6M4x-XoBI1hOR.jpg</v>
      </c>
      <c r="V1271" s="77" t="str">
        <f>HYPERLINK("https://pbs.twimg.com/media/Fn6M4x-XoBI1hOR.jpg")</f>
        <v>https://pbs.twimg.com/media/Fn6M4x-XoBI1hOR.jpg</v>
      </c>
      <c r="W1271" s="76">
        <v>44958.869756944441</v>
      </c>
      <c r="X1271" s="80">
        <v>44958</v>
      </c>
      <c r="Y1271" s="78" t="s">
        <v>2874</v>
      </c>
      <c r="Z1271" s="77" t="str">
        <f>HYPERLINK("https://twitter.com/saartorijr/status/1620887826874368000")</f>
        <v>https://twitter.com/saartorijr/status/1620887826874368000</v>
      </c>
      <c r="AC1271" s="78" t="s">
        <v>3939</v>
      </c>
      <c r="AD1271" s="78" t="s">
        <v>4473</v>
      </c>
      <c r="AE1271" t="b">
        <v>0</v>
      </c>
      <c r="AF1271">
        <v>2</v>
      </c>
      <c r="AG1271" s="78" t="s">
        <v>4639</v>
      </c>
      <c r="AH1271" t="b">
        <v>0</v>
      </c>
      <c r="AI1271" t="s">
        <v>4829</v>
      </c>
      <c r="AK1271" s="78" t="s">
        <v>4640</v>
      </c>
      <c r="AL1271" t="b">
        <v>0</v>
      </c>
      <c r="AM1271">
        <v>0</v>
      </c>
      <c r="AN1271" s="78" t="s">
        <v>4640</v>
      </c>
      <c r="AO1271" s="78" t="s">
        <v>4849</v>
      </c>
      <c r="AP1271" t="b">
        <v>0</v>
      </c>
      <c r="AQ1271" s="78" t="s">
        <v>4473</v>
      </c>
      <c r="AR1271" t="s">
        <v>179</v>
      </c>
      <c r="AS1271">
        <v>0</v>
      </c>
      <c r="AT1271">
        <v>0</v>
      </c>
    </row>
    <row r="1272" spans="1:46" x14ac:dyDescent="0.45">
      <c r="A1272" s="62" t="s">
        <v>673</v>
      </c>
      <c r="B1272" s="62" t="s">
        <v>242</v>
      </c>
      <c r="C1272" s="63"/>
      <c r="D1272" s="64"/>
      <c r="E1272" s="65"/>
      <c r="F1272" s="66"/>
      <c r="G1272" s="63"/>
      <c r="H1272" s="67"/>
      <c r="I1272" s="68"/>
      <c r="J1272" s="68"/>
      <c r="K1272" s="32"/>
      <c r="L1272" s="75"/>
      <c r="M1272" s="75"/>
      <c r="N1272" s="70"/>
      <c r="O1272" t="s">
        <v>1567</v>
      </c>
      <c r="P1272" s="76">
        <v>44958.869756944441</v>
      </c>
      <c r="Q1272" t="s">
        <v>1861</v>
      </c>
      <c r="U1272" s="77" t="str">
        <f>HYPERLINK("https://pbs.twimg.com/media/Fn6M4x-XoBI1hOR.jpg")</f>
        <v>https://pbs.twimg.com/media/Fn6M4x-XoBI1hOR.jpg</v>
      </c>
      <c r="V1272" s="77" t="str">
        <f>HYPERLINK("https://pbs.twimg.com/media/Fn6M4x-XoBI1hOR.jpg")</f>
        <v>https://pbs.twimg.com/media/Fn6M4x-XoBI1hOR.jpg</v>
      </c>
      <c r="W1272" s="76">
        <v>44958.869756944441</v>
      </c>
      <c r="X1272" s="80">
        <v>44958</v>
      </c>
      <c r="Y1272" s="78" t="s">
        <v>2874</v>
      </c>
      <c r="Z1272" s="77" t="str">
        <f>HYPERLINK("https://twitter.com/saartorijr/status/1620887826874368000")</f>
        <v>https://twitter.com/saartorijr/status/1620887826874368000</v>
      </c>
      <c r="AC1272" s="78" t="s">
        <v>3939</v>
      </c>
      <c r="AD1272" s="78" t="s">
        <v>4473</v>
      </c>
      <c r="AE1272" t="b">
        <v>0</v>
      </c>
      <c r="AF1272">
        <v>2</v>
      </c>
      <c r="AG1272" s="78" t="s">
        <v>4639</v>
      </c>
      <c r="AH1272" t="b">
        <v>0</v>
      </c>
      <c r="AI1272" t="s">
        <v>4829</v>
      </c>
      <c r="AK1272" s="78" t="s">
        <v>4640</v>
      </c>
      <c r="AL1272" t="b">
        <v>0</v>
      </c>
      <c r="AM1272">
        <v>0</v>
      </c>
      <c r="AN1272" s="78" t="s">
        <v>4640</v>
      </c>
      <c r="AO1272" s="78" t="s">
        <v>4849</v>
      </c>
      <c r="AP1272" t="b">
        <v>0</v>
      </c>
      <c r="AQ1272" s="78" t="s">
        <v>4473</v>
      </c>
      <c r="AR1272" t="s">
        <v>179</v>
      </c>
      <c r="AS1272">
        <v>0</v>
      </c>
      <c r="AT1272">
        <v>0</v>
      </c>
    </row>
    <row r="1273" spans="1:46" x14ac:dyDescent="0.45">
      <c r="A1273" s="62" t="s">
        <v>733</v>
      </c>
      <c r="B1273" s="62" t="s">
        <v>1354</v>
      </c>
      <c r="C1273" s="63"/>
      <c r="D1273" s="64"/>
      <c r="E1273" s="65"/>
      <c r="F1273" s="66"/>
      <c r="G1273" s="63"/>
      <c r="H1273" s="67"/>
      <c r="I1273" s="68"/>
      <c r="J1273" s="68"/>
      <c r="K1273" s="32"/>
      <c r="L1273" s="75"/>
      <c r="M1273" s="75"/>
      <c r="N1273" s="70"/>
      <c r="O1273" t="s">
        <v>1568</v>
      </c>
      <c r="P1273" s="76">
        <v>44958.871724537035</v>
      </c>
      <c r="Q1273" t="s">
        <v>1920</v>
      </c>
      <c r="U1273" s="77" t="str">
        <f>HYPERLINK("https://pbs.twimg.com/media/Fn6NiSMXoAsP_xF.jpg")</f>
        <v>https://pbs.twimg.com/media/Fn6NiSMXoAsP_xF.jpg</v>
      </c>
      <c r="V1273" s="77" t="str">
        <f>HYPERLINK("https://pbs.twimg.com/media/Fn6NiSMXoAsP_xF.jpg")</f>
        <v>https://pbs.twimg.com/media/Fn6NiSMXoAsP_xF.jpg</v>
      </c>
      <c r="W1273" s="76">
        <v>44958.871724537035</v>
      </c>
      <c r="X1273" s="80">
        <v>44958</v>
      </c>
      <c r="Y1273" s="78" t="s">
        <v>2952</v>
      </c>
      <c r="Z1273" s="77" t="str">
        <f>HYPERLINK("https://twitter.com/tallrobbrowne/status/1620888540057067520")</f>
        <v>https://twitter.com/tallrobbrowne/status/1620888540057067520</v>
      </c>
      <c r="AC1273" s="78" t="s">
        <v>4017</v>
      </c>
      <c r="AE1273" t="b">
        <v>0</v>
      </c>
      <c r="AF1273">
        <v>2</v>
      </c>
      <c r="AG1273" s="78" t="s">
        <v>4640</v>
      </c>
      <c r="AH1273" t="b">
        <v>0</v>
      </c>
      <c r="AI1273" t="s">
        <v>4829</v>
      </c>
      <c r="AK1273" s="78" t="s">
        <v>4640</v>
      </c>
      <c r="AL1273" t="b">
        <v>0</v>
      </c>
      <c r="AM1273">
        <v>1</v>
      </c>
      <c r="AN1273" s="78" t="s">
        <v>4640</v>
      </c>
      <c r="AO1273" s="78" t="s">
        <v>4849</v>
      </c>
      <c r="AP1273" t="b">
        <v>0</v>
      </c>
      <c r="AQ1273" s="78" t="s">
        <v>4017</v>
      </c>
      <c r="AR1273" t="s">
        <v>179</v>
      </c>
      <c r="AS1273">
        <v>0</v>
      </c>
      <c r="AT1273">
        <v>0</v>
      </c>
    </row>
    <row r="1274" spans="1:46" x14ac:dyDescent="0.45">
      <c r="A1274" s="62" t="s">
        <v>733</v>
      </c>
      <c r="B1274" s="62" t="s">
        <v>242</v>
      </c>
      <c r="C1274" s="63"/>
      <c r="D1274" s="64"/>
      <c r="E1274" s="65"/>
      <c r="F1274" s="66"/>
      <c r="G1274" s="63"/>
      <c r="H1274" s="67"/>
      <c r="I1274" s="68"/>
      <c r="J1274" s="68"/>
      <c r="K1274" s="32"/>
      <c r="L1274" s="75"/>
      <c r="M1274" s="75"/>
      <c r="N1274" s="70"/>
      <c r="O1274" t="s">
        <v>1568</v>
      </c>
      <c r="P1274" s="76">
        <v>44958.871724537035</v>
      </c>
      <c r="Q1274" t="s">
        <v>1920</v>
      </c>
      <c r="U1274" s="77" t="str">
        <f>HYPERLINK("https://pbs.twimg.com/media/Fn6NiSMXoAsP_xF.jpg")</f>
        <v>https://pbs.twimg.com/media/Fn6NiSMXoAsP_xF.jpg</v>
      </c>
      <c r="V1274" s="77" t="str">
        <f>HYPERLINK("https://pbs.twimg.com/media/Fn6NiSMXoAsP_xF.jpg")</f>
        <v>https://pbs.twimg.com/media/Fn6NiSMXoAsP_xF.jpg</v>
      </c>
      <c r="W1274" s="76">
        <v>44958.871724537035</v>
      </c>
      <c r="X1274" s="80">
        <v>44958</v>
      </c>
      <c r="Y1274" s="78" t="s">
        <v>2952</v>
      </c>
      <c r="Z1274" s="77" t="str">
        <f>HYPERLINK("https://twitter.com/tallrobbrowne/status/1620888540057067520")</f>
        <v>https://twitter.com/tallrobbrowne/status/1620888540057067520</v>
      </c>
      <c r="AC1274" s="78" t="s">
        <v>4017</v>
      </c>
      <c r="AE1274" t="b">
        <v>0</v>
      </c>
      <c r="AF1274">
        <v>2</v>
      </c>
      <c r="AG1274" s="78" t="s">
        <v>4640</v>
      </c>
      <c r="AH1274" t="b">
        <v>0</v>
      </c>
      <c r="AI1274" t="s">
        <v>4829</v>
      </c>
      <c r="AK1274" s="78" t="s">
        <v>4640</v>
      </c>
      <c r="AL1274" t="b">
        <v>0</v>
      </c>
      <c r="AM1274">
        <v>1</v>
      </c>
      <c r="AN1274" s="78" t="s">
        <v>4640</v>
      </c>
      <c r="AO1274" s="78" t="s">
        <v>4849</v>
      </c>
      <c r="AP1274" t="b">
        <v>0</v>
      </c>
      <c r="AQ1274" s="78" t="s">
        <v>4017</v>
      </c>
      <c r="AR1274" t="s">
        <v>179</v>
      </c>
      <c r="AS1274">
        <v>0</v>
      </c>
      <c r="AT1274">
        <v>0</v>
      </c>
    </row>
    <row r="1275" spans="1:46" x14ac:dyDescent="0.45">
      <c r="A1275" s="62" t="s">
        <v>733</v>
      </c>
      <c r="B1275" s="62" t="s">
        <v>1185</v>
      </c>
      <c r="C1275" s="63"/>
      <c r="D1275" s="64"/>
      <c r="E1275" s="65"/>
      <c r="F1275" s="66"/>
      <c r="G1275" s="63"/>
      <c r="H1275" s="67"/>
      <c r="I1275" s="68"/>
      <c r="J1275" s="68"/>
      <c r="K1275" s="32"/>
      <c r="L1275" s="75"/>
      <c r="M1275" s="75"/>
      <c r="N1275" s="70"/>
      <c r="O1275" t="s">
        <v>1568</v>
      </c>
      <c r="P1275" s="76">
        <v>44958.871724537035</v>
      </c>
      <c r="Q1275" t="s">
        <v>1920</v>
      </c>
      <c r="U1275" s="77" t="str">
        <f>HYPERLINK("https://pbs.twimg.com/media/Fn6NiSMXoAsP_xF.jpg")</f>
        <v>https://pbs.twimg.com/media/Fn6NiSMXoAsP_xF.jpg</v>
      </c>
      <c r="V1275" s="77" t="str">
        <f>HYPERLINK("https://pbs.twimg.com/media/Fn6NiSMXoAsP_xF.jpg")</f>
        <v>https://pbs.twimg.com/media/Fn6NiSMXoAsP_xF.jpg</v>
      </c>
      <c r="W1275" s="76">
        <v>44958.871724537035</v>
      </c>
      <c r="X1275" s="80">
        <v>44958</v>
      </c>
      <c r="Y1275" s="78" t="s">
        <v>2952</v>
      </c>
      <c r="Z1275" s="77" t="str">
        <f>HYPERLINK("https://twitter.com/tallrobbrowne/status/1620888540057067520")</f>
        <v>https://twitter.com/tallrobbrowne/status/1620888540057067520</v>
      </c>
      <c r="AC1275" s="78" t="s">
        <v>4017</v>
      </c>
      <c r="AE1275" t="b">
        <v>0</v>
      </c>
      <c r="AF1275">
        <v>2</v>
      </c>
      <c r="AG1275" s="78" t="s">
        <v>4640</v>
      </c>
      <c r="AH1275" t="b">
        <v>0</v>
      </c>
      <c r="AI1275" t="s">
        <v>4829</v>
      </c>
      <c r="AK1275" s="78" t="s">
        <v>4640</v>
      </c>
      <c r="AL1275" t="b">
        <v>0</v>
      </c>
      <c r="AM1275">
        <v>1</v>
      </c>
      <c r="AN1275" s="78" t="s">
        <v>4640</v>
      </c>
      <c r="AO1275" s="78" t="s">
        <v>4849</v>
      </c>
      <c r="AP1275" t="b">
        <v>0</v>
      </c>
      <c r="AQ1275" s="78" t="s">
        <v>4017</v>
      </c>
      <c r="AR1275" t="s">
        <v>179</v>
      </c>
      <c r="AS1275">
        <v>0</v>
      </c>
      <c r="AT1275">
        <v>0</v>
      </c>
    </row>
    <row r="1276" spans="1:46" x14ac:dyDescent="0.45">
      <c r="A1276" s="62" t="s">
        <v>773</v>
      </c>
      <c r="B1276" s="62" t="s">
        <v>1355</v>
      </c>
      <c r="C1276" s="63"/>
      <c r="D1276" s="64"/>
      <c r="E1276" s="65"/>
      <c r="F1276" s="66"/>
      <c r="G1276" s="63"/>
      <c r="H1276" s="67"/>
      <c r="I1276" s="68"/>
      <c r="J1276" s="68"/>
      <c r="K1276" s="32"/>
      <c r="L1276" s="75"/>
      <c r="M1276" s="75"/>
      <c r="N1276" s="70"/>
      <c r="O1276" t="s">
        <v>1568</v>
      </c>
      <c r="P1276" s="76">
        <v>44958.956145833334</v>
      </c>
      <c r="Q1276" t="s">
        <v>1950</v>
      </c>
      <c r="V1276" s="77" t="str">
        <f>HYPERLINK("https://pbs.twimg.com/profile_images/1555980288924303360/O44Nru7b_normal.jpg")</f>
        <v>https://pbs.twimg.com/profile_images/1555980288924303360/O44Nru7b_normal.jpg</v>
      </c>
      <c r="W1276" s="76">
        <v>44958.956145833334</v>
      </c>
      <c r="X1276" s="80">
        <v>44958</v>
      </c>
      <c r="Y1276" s="78" t="s">
        <v>2995</v>
      </c>
      <c r="Z1276" s="77" t="str">
        <f>HYPERLINK("https://twitter.com/savage_skeletor/status/1620919135134695425")</f>
        <v>https://twitter.com/savage_skeletor/status/1620919135134695425</v>
      </c>
      <c r="AC1276" s="78" t="s">
        <v>4060</v>
      </c>
      <c r="AD1276" s="78" t="s">
        <v>4059</v>
      </c>
      <c r="AE1276" t="b">
        <v>0</v>
      </c>
      <c r="AF1276">
        <v>2</v>
      </c>
      <c r="AG1276" s="78" t="s">
        <v>4742</v>
      </c>
      <c r="AH1276" t="b">
        <v>0</v>
      </c>
      <c r="AI1276" t="s">
        <v>4829</v>
      </c>
      <c r="AK1276" s="78" t="s">
        <v>4640</v>
      </c>
      <c r="AL1276" t="b">
        <v>0</v>
      </c>
      <c r="AM1276">
        <v>0</v>
      </c>
      <c r="AN1276" s="78" t="s">
        <v>4640</v>
      </c>
      <c r="AO1276" s="78" t="s">
        <v>4850</v>
      </c>
      <c r="AP1276" t="b">
        <v>0</v>
      </c>
      <c r="AQ1276" s="78" t="s">
        <v>4059</v>
      </c>
      <c r="AR1276" t="s">
        <v>179</v>
      </c>
      <c r="AS1276">
        <v>0</v>
      </c>
      <c r="AT1276">
        <v>0</v>
      </c>
    </row>
    <row r="1277" spans="1:46" x14ac:dyDescent="0.45">
      <c r="A1277" s="62" t="s">
        <v>773</v>
      </c>
      <c r="B1277" s="62" t="s">
        <v>772</v>
      </c>
      <c r="C1277" s="63"/>
      <c r="D1277" s="64"/>
      <c r="E1277" s="65"/>
      <c r="F1277" s="66"/>
      <c r="G1277" s="63"/>
      <c r="H1277" s="67"/>
      <c r="I1277" s="68"/>
      <c r="J1277" s="68"/>
      <c r="K1277" s="32"/>
      <c r="L1277" s="75"/>
      <c r="M1277" s="75"/>
      <c r="N1277" s="70"/>
      <c r="O1277" t="s">
        <v>1567</v>
      </c>
      <c r="P1277" s="76">
        <v>44958.956145833334</v>
      </c>
      <c r="Q1277" t="s">
        <v>1950</v>
      </c>
      <c r="V1277" s="77" t="str">
        <f>HYPERLINK("https://pbs.twimg.com/profile_images/1555980288924303360/O44Nru7b_normal.jpg")</f>
        <v>https://pbs.twimg.com/profile_images/1555980288924303360/O44Nru7b_normal.jpg</v>
      </c>
      <c r="W1277" s="76">
        <v>44958.956145833334</v>
      </c>
      <c r="X1277" s="80">
        <v>44958</v>
      </c>
      <c r="Y1277" s="78" t="s">
        <v>2995</v>
      </c>
      <c r="Z1277" s="77" t="str">
        <f>HYPERLINK("https://twitter.com/savage_skeletor/status/1620919135134695425")</f>
        <v>https://twitter.com/savage_skeletor/status/1620919135134695425</v>
      </c>
      <c r="AC1277" s="78" t="s">
        <v>4060</v>
      </c>
      <c r="AD1277" s="78" t="s">
        <v>4059</v>
      </c>
      <c r="AE1277" t="b">
        <v>0</v>
      </c>
      <c r="AF1277">
        <v>2</v>
      </c>
      <c r="AG1277" s="78" t="s">
        <v>4742</v>
      </c>
      <c r="AH1277" t="b">
        <v>0</v>
      </c>
      <c r="AI1277" t="s">
        <v>4829</v>
      </c>
      <c r="AK1277" s="78" t="s">
        <v>4640</v>
      </c>
      <c r="AL1277" t="b">
        <v>0</v>
      </c>
      <c r="AM1277">
        <v>0</v>
      </c>
      <c r="AN1277" s="78" t="s">
        <v>4640</v>
      </c>
      <c r="AO1277" s="78" t="s">
        <v>4850</v>
      </c>
      <c r="AP1277" t="b">
        <v>0</v>
      </c>
      <c r="AQ1277" s="78" t="s">
        <v>4059</v>
      </c>
      <c r="AR1277" t="s">
        <v>179</v>
      </c>
      <c r="AS1277">
        <v>0</v>
      </c>
      <c r="AT1277">
        <v>0</v>
      </c>
    </row>
    <row r="1278" spans="1:46" x14ac:dyDescent="0.45">
      <c r="A1278" s="62" t="s">
        <v>773</v>
      </c>
      <c r="B1278" s="62" t="s">
        <v>242</v>
      </c>
      <c r="C1278" s="63"/>
      <c r="D1278" s="64"/>
      <c r="E1278" s="65"/>
      <c r="F1278" s="66"/>
      <c r="G1278" s="63"/>
      <c r="H1278" s="67"/>
      <c r="I1278" s="68"/>
      <c r="J1278" s="68"/>
      <c r="K1278" s="32"/>
      <c r="L1278" s="75"/>
      <c r="M1278" s="75"/>
      <c r="N1278" s="70"/>
      <c r="O1278" t="s">
        <v>1568</v>
      </c>
      <c r="P1278" s="76">
        <v>44958.956145833334</v>
      </c>
      <c r="Q1278" t="s">
        <v>1950</v>
      </c>
      <c r="V1278" s="77" t="str">
        <f>HYPERLINK("https://pbs.twimg.com/profile_images/1555980288924303360/O44Nru7b_normal.jpg")</f>
        <v>https://pbs.twimg.com/profile_images/1555980288924303360/O44Nru7b_normal.jpg</v>
      </c>
      <c r="W1278" s="76">
        <v>44958.956145833334</v>
      </c>
      <c r="X1278" s="80">
        <v>44958</v>
      </c>
      <c r="Y1278" s="78" t="s">
        <v>2995</v>
      </c>
      <c r="Z1278" s="77" t="str">
        <f>HYPERLINK("https://twitter.com/savage_skeletor/status/1620919135134695425")</f>
        <v>https://twitter.com/savage_skeletor/status/1620919135134695425</v>
      </c>
      <c r="AC1278" s="78" t="s">
        <v>4060</v>
      </c>
      <c r="AD1278" s="78" t="s">
        <v>4059</v>
      </c>
      <c r="AE1278" t="b">
        <v>0</v>
      </c>
      <c r="AF1278">
        <v>2</v>
      </c>
      <c r="AG1278" s="78" t="s">
        <v>4742</v>
      </c>
      <c r="AH1278" t="b">
        <v>0</v>
      </c>
      <c r="AI1278" t="s">
        <v>4829</v>
      </c>
      <c r="AK1278" s="78" t="s">
        <v>4640</v>
      </c>
      <c r="AL1278" t="b">
        <v>0</v>
      </c>
      <c r="AM1278">
        <v>0</v>
      </c>
      <c r="AN1278" s="78" t="s">
        <v>4640</v>
      </c>
      <c r="AO1278" s="78" t="s">
        <v>4850</v>
      </c>
      <c r="AP1278" t="b">
        <v>0</v>
      </c>
      <c r="AQ1278" s="78" t="s">
        <v>4059</v>
      </c>
      <c r="AR1278" t="s">
        <v>179</v>
      </c>
      <c r="AS1278">
        <v>0</v>
      </c>
      <c r="AT1278">
        <v>0</v>
      </c>
    </row>
    <row r="1279" spans="1:46" x14ac:dyDescent="0.45">
      <c r="A1279" s="62" t="s">
        <v>798</v>
      </c>
      <c r="B1279" s="62" t="s">
        <v>1379</v>
      </c>
      <c r="C1279" s="63"/>
      <c r="D1279" s="64"/>
      <c r="E1279" s="65"/>
      <c r="F1279" s="66"/>
      <c r="G1279" s="63"/>
      <c r="H1279" s="67"/>
      <c r="I1279" s="68"/>
      <c r="J1279" s="68"/>
      <c r="K1279" s="32"/>
      <c r="L1279" s="75"/>
      <c r="M1279" s="75"/>
      <c r="N1279" s="70"/>
      <c r="O1279" t="s">
        <v>1568</v>
      </c>
      <c r="P1279" s="76">
        <v>44904.098564814813</v>
      </c>
      <c r="Q1279" t="s">
        <v>1969</v>
      </c>
      <c r="V1279" s="77" t="str">
        <f>HYPERLINK("https://pbs.twimg.com/profile_images/1613022584831971328/YU9O8hUY_normal.jpg")</f>
        <v>https://pbs.twimg.com/profile_images/1613022584831971328/YU9O8hUY_normal.jpg</v>
      </c>
      <c r="W1279" s="76">
        <v>44904.098564814813</v>
      </c>
      <c r="X1279" s="80">
        <v>44904</v>
      </c>
      <c r="Y1279" s="78" t="s">
        <v>3023</v>
      </c>
      <c r="Z1279" s="77" t="str">
        <f>HYPERLINK("https://twitter.com/ecclesi41663287/status/1601039414704340994")</f>
        <v>https://twitter.com/ecclesi41663287/status/1601039414704340994</v>
      </c>
      <c r="AC1279" s="78" t="s">
        <v>4088</v>
      </c>
      <c r="AD1279" s="78" t="s">
        <v>4581</v>
      </c>
      <c r="AE1279" t="b">
        <v>0</v>
      </c>
      <c r="AF1279">
        <v>2</v>
      </c>
      <c r="AG1279" s="78" t="s">
        <v>4750</v>
      </c>
      <c r="AH1279" t="b">
        <v>0</v>
      </c>
      <c r="AI1279" t="s">
        <v>4829</v>
      </c>
      <c r="AK1279" s="78" t="s">
        <v>4640</v>
      </c>
      <c r="AL1279" t="b">
        <v>0</v>
      </c>
      <c r="AM1279">
        <v>1</v>
      </c>
      <c r="AN1279" s="78" t="s">
        <v>4640</v>
      </c>
      <c r="AO1279" s="78" t="s">
        <v>4849</v>
      </c>
      <c r="AP1279" t="b">
        <v>0</v>
      </c>
      <c r="AQ1279" s="78" t="s">
        <v>4581</v>
      </c>
      <c r="AR1279" t="s">
        <v>1569</v>
      </c>
      <c r="AS1279">
        <v>0</v>
      </c>
      <c r="AT1279">
        <v>0</v>
      </c>
    </row>
    <row r="1280" spans="1:46" x14ac:dyDescent="0.45">
      <c r="A1280" s="62" t="s">
        <v>798</v>
      </c>
      <c r="B1280" s="62" t="s">
        <v>1380</v>
      </c>
      <c r="C1280" s="63"/>
      <c r="D1280" s="64"/>
      <c r="E1280" s="65"/>
      <c r="F1280" s="66"/>
      <c r="G1280" s="63"/>
      <c r="H1280" s="67"/>
      <c r="I1280" s="68"/>
      <c r="J1280" s="68"/>
      <c r="K1280" s="32"/>
      <c r="L1280" s="75"/>
      <c r="M1280" s="75"/>
      <c r="N1280" s="70"/>
      <c r="O1280" t="s">
        <v>1568</v>
      </c>
      <c r="P1280" s="76">
        <v>44904.098564814813</v>
      </c>
      <c r="Q1280" t="s">
        <v>1969</v>
      </c>
      <c r="V1280" s="77" t="str">
        <f>HYPERLINK("https://pbs.twimg.com/profile_images/1613022584831971328/YU9O8hUY_normal.jpg")</f>
        <v>https://pbs.twimg.com/profile_images/1613022584831971328/YU9O8hUY_normal.jpg</v>
      </c>
      <c r="W1280" s="76">
        <v>44904.098564814813</v>
      </c>
      <c r="X1280" s="80">
        <v>44904</v>
      </c>
      <c r="Y1280" s="78" t="s">
        <v>3023</v>
      </c>
      <c r="Z1280" s="77" t="str">
        <f>HYPERLINK("https://twitter.com/ecclesi41663287/status/1601039414704340994")</f>
        <v>https://twitter.com/ecclesi41663287/status/1601039414704340994</v>
      </c>
      <c r="AC1280" s="78" t="s">
        <v>4088</v>
      </c>
      <c r="AD1280" s="78" t="s">
        <v>4581</v>
      </c>
      <c r="AE1280" t="b">
        <v>0</v>
      </c>
      <c r="AF1280">
        <v>2</v>
      </c>
      <c r="AG1280" s="78" t="s">
        <v>4750</v>
      </c>
      <c r="AH1280" t="b">
        <v>0</v>
      </c>
      <c r="AI1280" t="s">
        <v>4829</v>
      </c>
      <c r="AK1280" s="78" t="s">
        <v>4640</v>
      </c>
      <c r="AL1280" t="b">
        <v>0</v>
      </c>
      <c r="AM1280">
        <v>1</v>
      </c>
      <c r="AN1280" s="78" t="s">
        <v>4640</v>
      </c>
      <c r="AO1280" s="78" t="s">
        <v>4849</v>
      </c>
      <c r="AP1280" t="b">
        <v>0</v>
      </c>
      <c r="AQ1280" s="78" t="s">
        <v>4581</v>
      </c>
      <c r="AR1280" t="s">
        <v>1569</v>
      </c>
      <c r="AS1280">
        <v>0</v>
      </c>
      <c r="AT1280">
        <v>0</v>
      </c>
    </row>
    <row r="1281" spans="1:54" x14ac:dyDescent="0.45">
      <c r="A1281" s="62" t="s">
        <v>798</v>
      </c>
      <c r="B1281" s="62" t="s">
        <v>1381</v>
      </c>
      <c r="C1281" s="63"/>
      <c r="D1281" s="64"/>
      <c r="E1281" s="65"/>
      <c r="F1281" s="66"/>
      <c r="G1281" s="63"/>
      <c r="H1281" s="67"/>
      <c r="I1281" s="68"/>
      <c r="J1281" s="68"/>
      <c r="K1281" s="32"/>
      <c r="L1281" s="75"/>
      <c r="M1281" s="75"/>
      <c r="N1281" s="70"/>
      <c r="O1281" t="s">
        <v>1568</v>
      </c>
      <c r="P1281" s="76">
        <v>44904.098564814813</v>
      </c>
      <c r="Q1281" t="s">
        <v>1969</v>
      </c>
      <c r="V1281" s="77" t="str">
        <f>HYPERLINK("https://pbs.twimg.com/profile_images/1613022584831971328/YU9O8hUY_normal.jpg")</f>
        <v>https://pbs.twimg.com/profile_images/1613022584831971328/YU9O8hUY_normal.jpg</v>
      </c>
      <c r="W1281" s="76">
        <v>44904.098564814813</v>
      </c>
      <c r="X1281" s="80">
        <v>44904</v>
      </c>
      <c r="Y1281" s="78" t="s">
        <v>3023</v>
      </c>
      <c r="Z1281" s="77" t="str">
        <f>HYPERLINK("https://twitter.com/ecclesi41663287/status/1601039414704340994")</f>
        <v>https://twitter.com/ecclesi41663287/status/1601039414704340994</v>
      </c>
      <c r="AC1281" s="78" t="s">
        <v>4088</v>
      </c>
      <c r="AD1281" s="78" t="s">
        <v>4581</v>
      </c>
      <c r="AE1281" t="b">
        <v>0</v>
      </c>
      <c r="AF1281">
        <v>2</v>
      </c>
      <c r="AG1281" s="78" t="s">
        <v>4750</v>
      </c>
      <c r="AH1281" t="b">
        <v>0</v>
      </c>
      <c r="AI1281" t="s">
        <v>4829</v>
      </c>
      <c r="AK1281" s="78" t="s">
        <v>4640</v>
      </c>
      <c r="AL1281" t="b">
        <v>0</v>
      </c>
      <c r="AM1281">
        <v>1</v>
      </c>
      <c r="AN1281" s="78" t="s">
        <v>4640</v>
      </c>
      <c r="AO1281" s="78" t="s">
        <v>4849</v>
      </c>
      <c r="AP1281" t="b">
        <v>0</v>
      </c>
      <c r="AQ1281" s="78" t="s">
        <v>4581</v>
      </c>
      <c r="AR1281" t="s">
        <v>1569</v>
      </c>
      <c r="AS1281">
        <v>0</v>
      </c>
      <c r="AT1281">
        <v>0</v>
      </c>
    </row>
    <row r="1282" spans="1:54" x14ac:dyDescent="0.45">
      <c r="A1282" s="62" t="s">
        <v>798</v>
      </c>
      <c r="B1282" s="62" t="s">
        <v>1382</v>
      </c>
      <c r="C1282" s="63"/>
      <c r="D1282" s="64"/>
      <c r="E1282" s="65"/>
      <c r="F1282" s="66"/>
      <c r="G1282" s="63"/>
      <c r="H1282" s="67"/>
      <c r="I1282" s="68"/>
      <c r="J1282" s="68"/>
      <c r="K1282" s="32"/>
      <c r="L1282" s="75"/>
      <c r="M1282" s="75"/>
      <c r="N1282" s="70"/>
      <c r="O1282" t="s">
        <v>1568</v>
      </c>
      <c r="P1282" s="76">
        <v>44904.098564814813</v>
      </c>
      <c r="Q1282" t="s">
        <v>1969</v>
      </c>
      <c r="V1282" s="77" t="str">
        <f>HYPERLINK("https://pbs.twimg.com/profile_images/1613022584831971328/YU9O8hUY_normal.jpg")</f>
        <v>https://pbs.twimg.com/profile_images/1613022584831971328/YU9O8hUY_normal.jpg</v>
      </c>
      <c r="W1282" s="76">
        <v>44904.098564814813</v>
      </c>
      <c r="X1282" s="80">
        <v>44904</v>
      </c>
      <c r="Y1282" s="78" t="s">
        <v>3023</v>
      </c>
      <c r="Z1282" s="77" t="str">
        <f>HYPERLINK("https://twitter.com/ecclesi41663287/status/1601039414704340994")</f>
        <v>https://twitter.com/ecclesi41663287/status/1601039414704340994</v>
      </c>
      <c r="AC1282" s="78" t="s">
        <v>4088</v>
      </c>
      <c r="AD1282" s="78" t="s">
        <v>4581</v>
      </c>
      <c r="AE1282" t="b">
        <v>0</v>
      </c>
      <c r="AF1282">
        <v>2</v>
      </c>
      <c r="AG1282" s="78" t="s">
        <v>4750</v>
      </c>
      <c r="AH1282" t="b">
        <v>0</v>
      </c>
      <c r="AI1282" t="s">
        <v>4829</v>
      </c>
      <c r="AK1282" s="78" t="s">
        <v>4640</v>
      </c>
      <c r="AL1282" t="b">
        <v>0</v>
      </c>
      <c r="AM1282">
        <v>1</v>
      </c>
      <c r="AN1282" s="78" t="s">
        <v>4640</v>
      </c>
      <c r="AO1282" s="78" t="s">
        <v>4849</v>
      </c>
      <c r="AP1282" t="b">
        <v>0</v>
      </c>
      <c r="AQ1282" s="78" t="s">
        <v>4581</v>
      </c>
      <c r="AR1282" t="s">
        <v>1569</v>
      </c>
      <c r="AS1282">
        <v>0</v>
      </c>
      <c r="AT1282">
        <v>0</v>
      </c>
    </row>
    <row r="1283" spans="1:54" x14ac:dyDescent="0.45">
      <c r="A1283" s="62" t="s">
        <v>798</v>
      </c>
      <c r="B1283" s="62" t="s">
        <v>796</v>
      </c>
      <c r="C1283" s="63"/>
      <c r="D1283" s="64"/>
      <c r="E1283" s="65"/>
      <c r="F1283" s="66"/>
      <c r="G1283" s="63"/>
      <c r="H1283" s="67"/>
      <c r="I1283" s="68"/>
      <c r="J1283" s="68"/>
      <c r="K1283" s="32"/>
      <c r="L1283" s="75"/>
      <c r="M1283" s="75"/>
      <c r="N1283" s="70"/>
      <c r="O1283" t="s">
        <v>1567</v>
      </c>
      <c r="P1283" s="76">
        <v>44904.098564814813</v>
      </c>
      <c r="Q1283" t="s">
        <v>1969</v>
      </c>
      <c r="V1283" s="77" t="str">
        <f>HYPERLINK("https://pbs.twimg.com/profile_images/1613022584831971328/YU9O8hUY_normal.jpg")</f>
        <v>https://pbs.twimg.com/profile_images/1613022584831971328/YU9O8hUY_normal.jpg</v>
      </c>
      <c r="W1283" s="76">
        <v>44904.098564814813</v>
      </c>
      <c r="X1283" s="80">
        <v>44904</v>
      </c>
      <c r="Y1283" s="78" t="s">
        <v>3023</v>
      </c>
      <c r="Z1283" s="77" t="str">
        <f>HYPERLINK("https://twitter.com/ecclesi41663287/status/1601039414704340994")</f>
        <v>https://twitter.com/ecclesi41663287/status/1601039414704340994</v>
      </c>
      <c r="AC1283" s="78" t="s">
        <v>4088</v>
      </c>
      <c r="AD1283" s="78" t="s">
        <v>4581</v>
      </c>
      <c r="AE1283" t="b">
        <v>0</v>
      </c>
      <c r="AF1283">
        <v>2</v>
      </c>
      <c r="AG1283" s="78" t="s">
        <v>4750</v>
      </c>
      <c r="AH1283" t="b">
        <v>0</v>
      </c>
      <c r="AI1283" t="s">
        <v>4829</v>
      </c>
      <c r="AK1283" s="78" t="s">
        <v>4640</v>
      </c>
      <c r="AL1283" t="b">
        <v>0</v>
      </c>
      <c r="AM1283">
        <v>1</v>
      </c>
      <c r="AN1283" s="78" t="s">
        <v>4640</v>
      </c>
      <c r="AO1283" s="78" t="s">
        <v>4849</v>
      </c>
      <c r="AP1283" t="b">
        <v>0</v>
      </c>
      <c r="AQ1283" s="78" t="s">
        <v>4581</v>
      </c>
      <c r="AR1283" t="s">
        <v>1569</v>
      </c>
      <c r="AS1283">
        <v>0</v>
      </c>
      <c r="AT1283">
        <v>0</v>
      </c>
    </row>
    <row r="1284" spans="1:54" x14ac:dyDescent="0.45">
      <c r="A1284" s="62" t="s">
        <v>798</v>
      </c>
      <c r="B1284" s="62" t="s">
        <v>1247</v>
      </c>
      <c r="C1284" s="63"/>
      <c r="D1284" s="64"/>
      <c r="E1284" s="65"/>
      <c r="F1284" s="66"/>
      <c r="G1284" s="63"/>
      <c r="H1284" s="67"/>
      <c r="I1284" s="68"/>
      <c r="J1284" s="68"/>
      <c r="K1284" s="32"/>
      <c r="L1284" s="75"/>
      <c r="M1284" s="75"/>
      <c r="N1284" s="70"/>
      <c r="O1284" t="s">
        <v>1568</v>
      </c>
      <c r="P1284" s="76">
        <v>44904.098564814813</v>
      </c>
      <c r="Q1284" t="s">
        <v>1969</v>
      </c>
      <c r="V1284" s="77" t="str">
        <f>HYPERLINK("https://pbs.twimg.com/profile_images/1613022584831971328/YU9O8hUY_normal.jpg")</f>
        <v>https://pbs.twimg.com/profile_images/1613022584831971328/YU9O8hUY_normal.jpg</v>
      </c>
      <c r="W1284" s="76">
        <v>44904.098564814813</v>
      </c>
      <c r="X1284" s="80">
        <v>44904</v>
      </c>
      <c r="Y1284" s="78" t="s">
        <v>3023</v>
      </c>
      <c r="Z1284" s="77" t="str">
        <f>HYPERLINK("https://twitter.com/ecclesi41663287/status/1601039414704340994")</f>
        <v>https://twitter.com/ecclesi41663287/status/1601039414704340994</v>
      </c>
      <c r="AC1284" s="78" t="s">
        <v>4088</v>
      </c>
      <c r="AD1284" s="78" t="s">
        <v>4581</v>
      </c>
      <c r="AE1284" t="b">
        <v>0</v>
      </c>
      <c r="AF1284">
        <v>2</v>
      </c>
      <c r="AG1284" s="78" t="s">
        <v>4750</v>
      </c>
      <c r="AH1284" t="b">
        <v>0</v>
      </c>
      <c r="AI1284" t="s">
        <v>4829</v>
      </c>
      <c r="AK1284" s="78" t="s">
        <v>4640</v>
      </c>
      <c r="AL1284" t="b">
        <v>0</v>
      </c>
      <c r="AM1284">
        <v>1</v>
      </c>
      <c r="AN1284" s="78" t="s">
        <v>4640</v>
      </c>
      <c r="AO1284" s="78" t="s">
        <v>4849</v>
      </c>
      <c r="AP1284" t="b">
        <v>0</v>
      </c>
      <c r="AQ1284" s="78" t="s">
        <v>4581</v>
      </c>
      <c r="AR1284" t="s">
        <v>1569</v>
      </c>
      <c r="AS1284">
        <v>0</v>
      </c>
      <c r="AT1284">
        <v>0</v>
      </c>
    </row>
    <row r="1285" spans="1:54" x14ac:dyDescent="0.45">
      <c r="A1285" s="62" t="s">
        <v>798</v>
      </c>
      <c r="B1285" s="62" t="s">
        <v>242</v>
      </c>
      <c r="C1285" s="63"/>
      <c r="D1285" s="64"/>
      <c r="E1285" s="65"/>
      <c r="F1285" s="66"/>
      <c r="G1285" s="63"/>
      <c r="H1285" s="67"/>
      <c r="I1285" s="68"/>
      <c r="J1285" s="68"/>
      <c r="K1285" s="32"/>
      <c r="L1285" s="75"/>
      <c r="M1285" s="75"/>
      <c r="N1285" s="70"/>
      <c r="O1285" t="s">
        <v>1568</v>
      </c>
      <c r="P1285" s="76">
        <v>44904.098564814813</v>
      </c>
      <c r="Q1285" t="s">
        <v>1969</v>
      </c>
      <c r="V1285" s="77" t="str">
        <f>HYPERLINK("https://pbs.twimg.com/profile_images/1613022584831971328/YU9O8hUY_normal.jpg")</f>
        <v>https://pbs.twimg.com/profile_images/1613022584831971328/YU9O8hUY_normal.jpg</v>
      </c>
      <c r="W1285" s="76">
        <v>44904.098564814813</v>
      </c>
      <c r="X1285" s="80">
        <v>44904</v>
      </c>
      <c r="Y1285" s="78" t="s">
        <v>3023</v>
      </c>
      <c r="Z1285" s="77" t="str">
        <f>HYPERLINK("https://twitter.com/ecclesi41663287/status/1601039414704340994")</f>
        <v>https://twitter.com/ecclesi41663287/status/1601039414704340994</v>
      </c>
      <c r="AC1285" s="78" t="s">
        <v>4088</v>
      </c>
      <c r="AD1285" s="78" t="s">
        <v>4581</v>
      </c>
      <c r="AE1285" t="b">
        <v>0</v>
      </c>
      <c r="AF1285">
        <v>2</v>
      </c>
      <c r="AG1285" s="78" t="s">
        <v>4750</v>
      </c>
      <c r="AH1285" t="b">
        <v>0</v>
      </c>
      <c r="AI1285" t="s">
        <v>4829</v>
      </c>
      <c r="AK1285" s="78" t="s">
        <v>4640</v>
      </c>
      <c r="AL1285" t="b">
        <v>0</v>
      </c>
      <c r="AM1285">
        <v>1</v>
      </c>
      <c r="AN1285" s="78" t="s">
        <v>4640</v>
      </c>
      <c r="AO1285" s="78" t="s">
        <v>4849</v>
      </c>
      <c r="AP1285" t="b">
        <v>0</v>
      </c>
      <c r="AQ1285" s="78" t="s">
        <v>4581</v>
      </c>
      <c r="AR1285" t="s">
        <v>1569</v>
      </c>
      <c r="AS1285">
        <v>0</v>
      </c>
      <c r="AT1285">
        <v>0</v>
      </c>
    </row>
    <row r="1286" spans="1:54" x14ac:dyDescent="0.45">
      <c r="A1286" s="62" t="s">
        <v>798</v>
      </c>
      <c r="B1286" s="62" t="s">
        <v>1383</v>
      </c>
      <c r="C1286" s="63"/>
      <c r="D1286" s="64"/>
      <c r="E1286" s="65"/>
      <c r="F1286" s="66"/>
      <c r="G1286" s="63"/>
      <c r="H1286" s="67"/>
      <c r="I1286" s="68"/>
      <c r="J1286" s="68"/>
      <c r="K1286" s="32"/>
      <c r="L1286" s="75"/>
      <c r="M1286" s="75"/>
      <c r="N1286" s="70"/>
      <c r="O1286" t="s">
        <v>1568</v>
      </c>
      <c r="P1286" s="76">
        <v>44904.098564814813</v>
      </c>
      <c r="Q1286" t="s">
        <v>1969</v>
      </c>
      <c r="V1286" s="77" t="str">
        <f>HYPERLINK("https://pbs.twimg.com/profile_images/1613022584831971328/YU9O8hUY_normal.jpg")</f>
        <v>https://pbs.twimg.com/profile_images/1613022584831971328/YU9O8hUY_normal.jpg</v>
      </c>
      <c r="W1286" s="76">
        <v>44904.098564814813</v>
      </c>
      <c r="X1286" s="80">
        <v>44904</v>
      </c>
      <c r="Y1286" s="78" t="s">
        <v>3023</v>
      </c>
      <c r="Z1286" s="77" t="str">
        <f>HYPERLINK("https://twitter.com/ecclesi41663287/status/1601039414704340994")</f>
        <v>https://twitter.com/ecclesi41663287/status/1601039414704340994</v>
      </c>
      <c r="AC1286" s="78" t="s">
        <v>4088</v>
      </c>
      <c r="AD1286" s="78" t="s">
        <v>4581</v>
      </c>
      <c r="AE1286" t="b">
        <v>0</v>
      </c>
      <c r="AF1286">
        <v>2</v>
      </c>
      <c r="AG1286" s="78" t="s">
        <v>4750</v>
      </c>
      <c r="AH1286" t="b">
        <v>0</v>
      </c>
      <c r="AI1286" t="s">
        <v>4829</v>
      </c>
      <c r="AK1286" s="78" t="s">
        <v>4640</v>
      </c>
      <c r="AL1286" t="b">
        <v>0</v>
      </c>
      <c r="AM1286">
        <v>1</v>
      </c>
      <c r="AN1286" s="78" t="s">
        <v>4640</v>
      </c>
      <c r="AO1286" s="78" t="s">
        <v>4849</v>
      </c>
      <c r="AP1286" t="b">
        <v>0</v>
      </c>
      <c r="AQ1286" s="78" t="s">
        <v>4581</v>
      </c>
      <c r="AR1286" t="s">
        <v>1569</v>
      </c>
      <c r="AS1286">
        <v>0</v>
      </c>
      <c r="AT1286">
        <v>0</v>
      </c>
    </row>
    <row r="1287" spans="1:54" x14ac:dyDescent="0.45">
      <c r="A1287" s="62" t="s">
        <v>804</v>
      </c>
      <c r="B1287" s="62" t="s">
        <v>242</v>
      </c>
      <c r="C1287" s="63"/>
      <c r="D1287" s="64"/>
      <c r="E1287" s="65"/>
      <c r="F1287" s="66"/>
      <c r="G1287" s="63"/>
      <c r="H1287" s="67"/>
      <c r="I1287" s="68"/>
      <c r="J1287" s="68"/>
      <c r="K1287" s="32"/>
      <c r="L1287" s="75"/>
      <c r="M1287" s="75"/>
      <c r="N1287" s="70"/>
      <c r="O1287" t="s">
        <v>1567</v>
      </c>
      <c r="P1287" s="76">
        <v>44958.980300925927</v>
      </c>
      <c r="Q1287" t="s">
        <v>1972</v>
      </c>
      <c r="V1287" s="77" t="str">
        <f>HYPERLINK("https://pbs.twimg.com/profile_images/1605594641788817408/JNdFDrZQ_normal.jpg")</f>
        <v>https://pbs.twimg.com/profile_images/1605594641788817408/JNdFDrZQ_normal.jpg</v>
      </c>
      <c r="W1287" s="76">
        <v>44958.980300925927</v>
      </c>
      <c r="X1287" s="80">
        <v>44958</v>
      </c>
      <c r="Y1287" s="78" t="s">
        <v>3029</v>
      </c>
      <c r="Z1287" s="77" t="str">
        <f>HYPERLINK("https://twitter.com/kenissupreme/status/1620927889880518656")</f>
        <v>https://twitter.com/kenissupreme/status/1620927889880518656</v>
      </c>
      <c r="AC1287" s="78" t="s">
        <v>4094</v>
      </c>
      <c r="AD1287" s="78" t="s">
        <v>4497</v>
      </c>
      <c r="AE1287" t="b">
        <v>0</v>
      </c>
      <c r="AF1287">
        <v>2</v>
      </c>
      <c r="AG1287" s="78" t="s">
        <v>4639</v>
      </c>
      <c r="AH1287" t="b">
        <v>0</v>
      </c>
      <c r="AI1287" t="s">
        <v>4829</v>
      </c>
      <c r="AK1287" s="78" t="s">
        <v>4640</v>
      </c>
      <c r="AL1287" t="b">
        <v>0</v>
      </c>
      <c r="AM1287">
        <v>0</v>
      </c>
      <c r="AN1287" s="78" t="s">
        <v>4640</v>
      </c>
      <c r="AO1287" s="78" t="s">
        <v>4849</v>
      </c>
      <c r="AP1287" t="b">
        <v>0</v>
      </c>
      <c r="AQ1287" s="78" t="s">
        <v>4497</v>
      </c>
      <c r="AR1287" t="s">
        <v>179</v>
      </c>
      <c r="AS1287">
        <v>0</v>
      </c>
      <c r="AT1287">
        <v>0</v>
      </c>
    </row>
    <row r="1288" spans="1:54" x14ac:dyDescent="0.45">
      <c r="A1288" s="62" t="s">
        <v>963</v>
      </c>
      <c r="B1288" s="62" t="s">
        <v>964</v>
      </c>
      <c r="C1288" s="63"/>
      <c r="D1288" s="64"/>
      <c r="E1288" s="65"/>
      <c r="F1288" s="66"/>
      <c r="G1288" s="63"/>
      <c r="H1288" s="67"/>
      <c r="I1288" s="68"/>
      <c r="J1288" s="68"/>
      <c r="K1288" s="32"/>
      <c r="L1288" s="75"/>
      <c r="M1288" s="75"/>
      <c r="N1288" s="70"/>
      <c r="O1288" t="s">
        <v>1567</v>
      </c>
      <c r="P1288" s="76">
        <v>44959.154953703706</v>
      </c>
      <c r="Q1288" t="s">
        <v>2122</v>
      </c>
      <c r="V1288" s="77" t="str">
        <f>HYPERLINK("https://pbs.twimg.com/profile_images/1586432996646625281/8nNvZ22E_normal.jpg")</f>
        <v>https://pbs.twimg.com/profile_images/1586432996646625281/8nNvZ22E_normal.jpg</v>
      </c>
      <c r="W1288" s="76">
        <v>44959.154953703706</v>
      </c>
      <c r="X1288" s="80">
        <v>44959</v>
      </c>
      <c r="Y1288" s="78" t="s">
        <v>3239</v>
      </c>
      <c r="Z1288" s="77" t="str">
        <f>HYPERLINK("https://twitter.com/shioma_al3meeri/status/1620991177947504640")</f>
        <v>https://twitter.com/shioma_al3meeri/status/1620991177947504640</v>
      </c>
      <c r="AC1288" s="78" t="s">
        <v>4304</v>
      </c>
      <c r="AD1288" s="78" t="s">
        <v>4305</v>
      </c>
      <c r="AE1288" t="b">
        <v>0</v>
      </c>
      <c r="AF1288">
        <v>2</v>
      </c>
      <c r="AG1288" s="78" t="s">
        <v>4780</v>
      </c>
      <c r="AH1288" t="b">
        <v>0</v>
      </c>
      <c r="AI1288" t="s">
        <v>4829</v>
      </c>
      <c r="AK1288" s="78" t="s">
        <v>4640</v>
      </c>
      <c r="AL1288" t="b">
        <v>0</v>
      </c>
      <c r="AM1288">
        <v>0</v>
      </c>
      <c r="AN1288" s="78" t="s">
        <v>4640</v>
      </c>
      <c r="AO1288" s="78" t="s">
        <v>4849</v>
      </c>
      <c r="AP1288" t="b">
        <v>0</v>
      </c>
      <c r="AQ1288" s="78" t="s">
        <v>4305</v>
      </c>
      <c r="AR1288" t="s">
        <v>179</v>
      </c>
      <c r="AS1288">
        <v>0</v>
      </c>
      <c r="AT1288">
        <v>0</v>
      </c>
      <c r="AU1288" t="s">
        <v>4894</v>
      </c>
      <c r="AV1288" t="s">
        <v>4899</v>
      </c>
      <c r="AW1288" t="s">
        <v>4901</v>
      </c>
      <c r="AX1288" t="s">
        <v>4923</v>
      </c>
      <c r="AY1288" t="s">
        <v>4948</v>
      </c>
      <c r="AZ1288" t="s">
        <v>4972</v>
      </c>
      <c r="BA1288" t="s">
        <v>4975</v>
      </c>
      <c r="BB1288" s="77" t="str">
        <f>HYPERLINK("https://api.twitter.com/1.1/geo/id/82dbbc30f11e52f2.json")</f>
        <v>https://api.twitter.com/1.1/geo/id/82dbbc30f11e52f2.json</v>
      </c>
    </row>
    <row r="1289" spans="1:54" x14ac:dyDescent="0.45">
      <c r="A1289" s="62" t="s">
        <v>963</v>
      </c>
      <c r="B1289" s="62" t="s">
        <v>1217</v>
      </c>
      <c r="C1289" s="63"/>
      <c r="D1289" s="64"/>
      <c r="E1289" s="65"/>
      <c r="F1289" s="66"/>
      <c r="G1289" s="63"/>
      <c r="H1289" s="67"/>
      <c r="I1289" s="68"/>
      <c r="J1289" s="68"/>
      <c r="K1289" s="32"/>
      <c r="L1289" s="75"/>
      <c r="M1289" s="75"/>
      <c r="N1289" s="70"/>
      <c r="O1289" t="s">
        <v>1568</v>
      </c>
      <c r="P1289" s="76">
        <v>44959.154953703706</v>
      </c>
      <c r="Q1289" t="s">
        <v>2122</v>
      </c>
      <c r="V1289" s="77" t="str">
        <f>HYPERLINK("https://pbs.twimg.com/profile_images/1586432996646625281/8nNvZ22E_normal.jpg")</f>
        <v>https://pbs.twimg.com/profile_images/1586432996646625281/8nNvZ22E_normal.jpg</v>
      </c>
      <c r="W1289" s="76">
        <v>44959.154953703706</v>
      </c>
      <c r="X1289" s="80">
        <v>44959</v>
      </c>
      <c r="Y1289" s="78" t="s">
        <v>3239</v>
      </c>
      <c r="Z1289" s="77" t="str">
        <f>HYPERLINK("https://twitter.com/shioma_al3meeri/status/1620991177947504640")</f>
        <v>https://twitter.com/shioma_al3meeri/status/1620991177947504640</v>
      </c>
      <c r="AC1289" s="78" t="s">
        <v>4304</v>
      </c>
      <c r="AD1289" s="78" t="s">
        <v>4305</v>
      </c>
      <c r="AE1289" t="b">
        <v>0</v>
      </c>
      <c r="AF1289">
        <v>2</v>
      </c>
      <c r="AG1289" s="78" t="s">
        <v>4780</v>
      </c>
      <c r="AH1289" t="b">
        <v>0</v>
      </c>
      <c r="AI1289" t="s">
        <v>4829</v>
      </c>
      <c r="AK1289" s="78" t="s">
        <v>4640</v>
      </c>
      <c r="AL1289" t="b">
        <v>0</v>
      </c>
      <c r="AM1289">
        <v>0</v>
      </c>
      <c r="AN1289" s="78" t="s">
        <v>4640</v>
      </c>
      <c r="AO1289" s="78" t="s">
        <v>4849</v>
      </c>
      <c r="AP1289" t="b">
        <v>0</v>
      </c>
      <c r="AQ1289" s="78" t="s">
        <v>4305</v>
      </c>
      <c r="AR1289" t="s">
        <v>179</v>
      </c>
      <c r="AS1289">
        <v>0</v>
      </c>
      <c r="AT1289">
        <v>0</v>
      </c>
      <c r="AU1289" t="s">
        <v>4894</v>
      </c>
      <c r="AV1289" t="s">
        <v>4899</v>
      </c>
      <c r="AW1289" t="s">
        <v>4901</v>
      </c>
      <c r="AX1289" t="s">
        <v>4923</v>
      </c>
      <c r="AY1289" t="s">
        <v>4948</v>
      </c>
      <c r="AZ1289" t="s">
        <v>4972</v>
      </c>
      <c r="BA1289" t="s">
        <v>4975</v>
      </c>
      <c r="BB1289" s="77" t="str">
        <f>HYPERLINK("https://api.twitter.com/1.1/geo/id/82dbbc30f11e52f2.json")</f>
        <v>https://api.twitter.com/1.1/geo/id/82dbbc30f11e52f2.json</v>
      </c>
    </row>
    <row r="1290" spans="1:54" x14ac:dyDescent="0.45">
      <c r="A1290" s="62" t="s">
        <v>963</v>
      </c>
      <c r="B1290" s="62" t="s">
        <v>242</v>
      </c>
      <c r="C1290" s="63"/>
      <c r="D1290" s="64"/>
      <c r="E1290" s="65"/>
      <c r="F1290" s="66"/>
      <c r="G1290" s="63"/>
      <c r="H1290" s="67"/>
      <c r="I1290" s="68"/>
      <c r="J1290" s="68"/>
      <c r="K1290" s="32"/>
      <c r="L1290" s="75"/>
      <c r="M1290" s="75"/>
      <c r="N1290" s="70"/>
      <c r="O1290" t="s">
        <v>1568</v>
      </c>
      <c r="P1290" s="76">
        <v>44959.154953703706</v>
      </c>
      <c r="Q1290" t="s">
        <v>2122</v>
      </c>
      <c r="V1290" s="77" t="str">
        <f>HYPERLINK("https://pbs.twimg.com/profile_images/1586432996646625281/8nNvZ22E_normal.jpg")</f>
        <v>https://pbs.twimg.com/profile_images/1586432996646625281/8nNvZ22E_normal.jpg</v>
      </c>
      <c r="W1290" s="76">
        <v>44959.154953703706</v>
      </c>
      <c r="X1290" s="80">
        <v>44959</v>
      </c>
      <c r="Y1290" s="78" t="s">
        <v>3239</v>
      </c>
      <c r="Z1290" s="77" t="str">
        <f>HYPERLINK("https://twitter.com/shioma_al3meeri/status/1620991177947504640")</f>
        <v>https://twitter.com/shioma_al3meeri/status/1620991177947504640</v>
      </c>
      <c r="AC1290" s="78" t="s">
        <v>4304</v>
      </c>
      <c r="AD1290" s="78" t="s">
        <v>4305</v>
      </c>
      <c r="AE1290" t="b">
        <v>0</v>
      </c>
      <c r="AF1290">
        <v>2</v>
      </c>
      <c r="AG1290" s="78" t="s">
        <v>4780</v>
      </c>
      <c r="AH1290" t="b">
        <v>0</v>
      </c>
      <c r="AI1290" t="s">
        <v>4829</v>
      </c>
      <c r="AK1290" s="78" t="s">
        <v>4640</v>
      </c>
      <c r="AL1290" t="b">
        <v>0</v>
      </c>
      <c r="AM1290">
        <v>0</v>
      </c>
      <c r="AN1290" s="78" t="s">
        <v>4640</v>
      </c>
      <c r="AO1290" s="78" t="s">
        <v>4849</v>
      </c>
      <c r="AP1290" t="b">
        <v>0</v>
      </c>
      <c r="AQ1290" s="78" t="s">
        <v>4305</v>
      </c>
      <c r="AR1290" t="s">
        <v>179</v>
      </c>
      <c r="AS1290">
        <v>0</v>
      </c>
      <c r="AT1290">
        <v>0</v>
      </c>
      <c r="AU1290" t="s">
        <v>4894</v>
      </c>
      <c r="AV1290" t="s">
        <v>4899</v>
      </c>
      <c r="AW1290" t="s">
        <v>4901</v>
      </c>
      <c r="AX1290" t="s">
        <v>4923</v>
      </c>
      <c r="AY1290" t="s">
        <v>4948</v>
      </c>
      <c r="AZ1290" t="s">
        <v>4972</v>
      </c>
      <c r="BA1290" t="s">
        <v>4975</v>
      </c>
      <c r="BB1290" s="77" t="str">
        <f>HYPERLINK("https://api.twitter.com/1.1/geo/id/82dbbc30f11e52f2.json")</f>
        <v>https://api.twitter.com/1.1/geo/id/82dbbc30f11e52f2.json</v>
      </c>
    </row>
    <row r="1291" spans="1:54" x14ac:dyDescent="0.45">
      <c r="A1291" s="62" t="s">
        <v>963</v>
      </c>
      <c r="B1291" s="62" t="s">
        <v>965</v>
      </c>
      <c r="C1291" s="63"/>
      <c r="D1291" s="64"/>
      <c r="E1291" s="65"/>
      <c r="F1291" s="66"/>
      <c r="G1291" s="63"/>
      <c r="H1291" s="67"/>
      <c r="I1291" s="68"/>
      <c r="J1291" s="68"/>
      <c r="K1291" s="32"/>
      <c r="L1291" s="75"/>
      <c r="M1291" s="75"/>
      <c r="N1291" s="70"/>
      <c r="O1291" t="s">
        <v>1568</v>
      </c>
      <c r="P1291" s="76">
        <v>44959.154953703706</v>
      </c>
      <c r="Q1291" t="s">
        <v>2122</v>
      </c>
      <c r="V1291" s="77" t="str">
        <f>HYPERLINK("https://pbs.twimg.com/profile_images/1586432996646625281/8nNvZ22E_normal.jpg")</f>
        <v>https://pbs.twimg.com/profile_images/1586432996646625281/8nNvZ22E_normal.jpg</v>
      </c>
      <c r="W1291" s="76">
        <v>44959.154953703706</v>
      </c>
      <c r="X1291" s="80">
        <v>44959</v>
      </c>
      <c r="Y1291" s="78" t="s">
        <v>3239</v>
      </c>
      <c r="Z1291" s="77" t="str">
        <f>HYPERLINK("https://twitter.com/shioma_al3meeri/status/1620991177947504640")</f>
        <v>https://twitter.com/shioma_al3meeri/status/1620991177947504640</v>
      </c>
      <c r="AC1291" s="78" t="s">
        <v>4304</v>
      </c>
      <c r="AD1291" s="78" t="s">
        <v>4305</v>
      </c>
      <c r="AE1291" t="b">
        <v>0</v>
      </c>
      <c r="AF1291">
        <v>2</v>
      </c>
      <c r="AG1291" s="78" t="s">
        <v>4780</v>
      </c>
      <c r="AH1291" t="b">
        <v>0</v>
      </c>
      <c r="AI1291" t="s">
        <v>4829</v>
      </c>
      <c r="AK1291" s="78" t="s">
        <v>4640</v>
      </c>
      <c r="AL1291" t="b">
        <v>0</v>
      </c>
      <c r="AM1291">
        <v>0</v>
      </c>
      <c r="AN1291" s="78" t="s">
        <v>4640</v>
      </c>
      <c r="AO1291" s="78" t="s">
        <v>4849</v>
      </c>
      <c r="AP1291" t="b">
        <v>0</v>
      </c>
      <c r="AQ1291" s="78" t="s">
        <v>4305</v>
      </c>
      <c r="AR1291" t="s">
        <v>179</v>
      </c>
      <c r="AS1291">
        <v>0</v>
      </c>
      <c r="AT1291">
        <v>0</v>
      </c>
      <c r="AU1291" t="s">
        <v>4894</v>
      </c>
      <c r="AV1291" t="s">
        <v>4899</v>
      </c>
      <c r="AW1291" t="s">
        <v>4901</v>
      </c>
      <c r="AX1291" t="s">
        <v>4923</v>
      </c>
      <c r="AY1291" t="s">
        <v>4948</v>
      </c>
      <c r="AZ1291" t="s">
        <v>4972</v>
      </c>
      <c r="BA1291" t="s">
        <v>4975</v>
      </c>
      <c r="BB1291" s="77" t="str">
        <f>HYPERLINK("https://api.twitter.com/1.1/geo/id/82dbbc30f11e52f2.json")</f>
        <v>https://api.twitter.com/1.1/geo/id/82dbbc30f11e52f2.json</v>
      </c>
    </row>
    <row r="1292" spans="1:54" x14ac:dyDescent="0.45">
      <c r="A1292" s="62" t="s">
        <v>978</v>
      </c>
      <c r="B1292" s="62" t="s">
        <v>1230</v>
      </c>
      <c r="C1292" s="63"/>
      <c r="D1292" s="64"/>
      <c r="E1292" s="65"/>
      <c r="F1292" s="66"/>
      <c r="G1292" s="63"/>
      <c r="H1292" s="67"/>
      <c r="I1292" s="68"/>
      <c r="J1292" s="68"/>
      <c r="K1292" s="32"/>
      <c r="L1292" s="75"/>
      <c r="M1292" s="75"/>
      <c r="N1292" s="70"/>
      <c r="O1292" t="s">
        <v>1568</v>
      </c>
      <c r="P1292" s="76">
        <v>44959.225115740737</v>
      </c>
      <c r="Q1292" t="s">
        <v>2141</v>
      </c>
      <c r="V1292" s="77" t="str">
        <f>HYPERLINK("https://pbs.twimg.com/profile_images/1611627998603612162/GrGj7bjy_normal.jpg")</f>
        <v>https://pbs.twimg.com/profile_images/1611627998603612162/GrGj7bjy_normal.jpg</v>
      </c>
      <c r="W1292" s="76">
        <v>44959.225115740737</v>
      </c>
      <c r="X1292" s="80">
        <v>44959</v>
      </c>
      <c r="Y1292" s="78" t="s">
        <v>3262</v>
      </c>
      <c r="Z1292" s="77" t="str">
        <f>HYPERLINK("https://twitter.com/xhaytonn/status/1621016605097447428")</f>
        <v>https://twitter.com/xhaytonn/status/1621016605097447428</v>
      </c>
      <c r="AC1292" s="78" t="s">
        <v>4327</v>
      </c>
      <c r="AD1292" s="78" t="s">
        <v>4473</v>
      </c>
      <c r="AE1292" t="b">
        <v>0</v>
      </c>
      <c r="AF1292">
        <v>2</v>
      </c>
      <c r="AG1292" s="78" t="s">
        <v>4639</v>
      </c>
      <c r="AH1292" t="b">
        <v>0</v>
      </c>
      <c r="AI1292" t="s">
        <v>4829</v>
      </c>
      <c r="AK1292" s="78" t="s">
        <v>4640</v>
      </c>
      <c r="AL1292" t="b">
        <v>0</v>
      </c>
      <c r="AM1292">
        <v>0</v>
      </c>
      <c r="AN1292" s="78" t="s">
        <v>4640</v>
      </c>
      <c r="AO1292" s="78" t="s">
        <v>4849</v>
      </c>
      <c r="AP1292" t="b">
        <v>0</v>
      </c>
      <c r="AQ1292" s="78" t="s">
        <v>4473</v>
      </c>
      <c r="AR1292" t="s">
        <v>179</v>
      </c>
      <c r="AS1292">
        <v>0</v>
      </c>
      <c r="AT1292">
        <v>0</v>
      </c>
    </row>
    <row r="1293" spans="1:54" x14ac:dyDescent="0.45">
      <c r="A1293" s="62" t="s">
        <v>978</v>
      </c>
      <c r="B1293" s="62" t="s">
        <v>242</v>
      </c>
      <c r="C1293" s="63"/>
      <c r="D1293" s="64"/>
      <c r="E1293" s="65"/>
      <c r="F1293" s="66"/>
      <c r="G1293" s="63"/>
      <c r="H1293" s="67"/>
      <c r="I1293" s="68"/>
      <c r="J1293" s="68"/>
      <c r="K1293" s="32"/>
      <c r="L1293" s="75"/>
      <c r="M1293" s="75"/>
      <c r="N1293" s="70"/>
      <c r="O1293" t="s">
        <v>1567</v>
      </c>
      <c r="P1293" s="76">
        <v>44959.225115740737</v>
      </c>
      <c r="Q1293" t="s">
        <v>2141</v>
      </c>
      <c r="V1293" s="77" t="str">
        <f>HYPERLINK("https://pbs.twimg.com/profile_images/1611627998603612162/GrGj7bjy_normal.jpg")</f>
        <v>https://pbs.twimg.com/profile_images/1611627998603612162/GrGj7bjy_normal.jpg</v>
      </c>
      <c r="W1293" s="76">
        <v>44959.225115740737</v>
      </c>
      <c r="X1293" s="80">
        <v>44959</v>
      </c>
      <c r="Y1293" s="78" t="s">
        <v>3262</v>
      </c>
      <c r="Z1293" s="77" t="str">
        <f>HYPERLINK("https://twitter.com/xhaytonn/status/1621016605097447428")</f>
        <v>https://twitter.com/xhaytonn/status/1621016605097447428</v>
      </c>
      <c r="AC1293" s="78" t="s">
        <v>4327</v>
      </c>
      <c r="AD1293" s="78" t="s">
        <v>4473</v>
      </c>
      <c r="AE1293" t="b">
        <v>0</v>
      </c>
      <c r="AF1293">
        <v>2</v>
      </c>
      <c r="AG1293" s="78" t="s">
        <v>4639</v>
      </c>
      <c r="AH1293" t="b">
        <v>0</v>
      </c>
      <c r="AI1293" t="s">
        <v>4829</v>
      </c>
      <c r="AK1293" s="78" t="s">
        <v>4640</v>
      </c>
      <c r="AL1293" t="b">
        <v>0</v>
      </c>
      <c r="AM1293">
        <v>0</v>
      </c>
      <c r="AN1293" s="78" t="s">
        <v>4640</v>
      </c>
      <c r="AO1293" s="78" t="s">
        <v>4849</v>
      </c>
      <c r="AP1293" t="b">
        <v>0</v>
      </c>
      <c r="AQ1293" s="78" t="s">
        <v>4473</v>
      </c>
      <c r="AR1293" t="s">
        <v>179</v>
      </c>
      <c r="AS1293">
        <v>0</v>
      </c>
      <c r="AT1293">
        <v>0</v>
      </c>
    </row>
    <row r="1294" spans="1:54" x14ac:dyDescent="0.45">
      <c r="A1294" s="62" t="s">
        <v>996</v>
      </c>
      <c r="B1294" s="62" t="s">
        <v>1476</v>
      </c>
      <c r="C1294" s="63"/>
      <c r="D1294" s="64"/>
      <c r="E1294" s="65"/>
      <c r="F1294" s="66"/>
      <c r="G1294" s="63"/>
      <c r="H1294" s="67"/>
      <c r="I1294" s="68"/>
      <c r="J1294" s="68"/>
      <c r="K1294" s="32"/>
      <c r="L1294" s="75"/>
      <c r="M1294" s="75"/>
      <c r="N1294" s="70"/>
      <c r="O1294" t="s">
        <v>1568</v>
      </c>
      <c r="P1294" s="76">
        <v>44959.270092592589</v>
      </c>
      <c r="Q1294" t="s">
        <v>2154</v>
      </c>
      <c r="V1294" s="77" t="str">
        <f>HYPERLINK("https://pbs.twimg.com/profile_images/1620158291618988032/i0-wkfif_normal.jpg")</f>
        <v>https://pbs.twimg.com/profile_images/1620158291618988032/i0-wkfif_normal.jpg</v>
      </c>
      <c r="W1294" s="76">
        <v>44959.270092592589</v>
      </c>
      <c r="X1294" s="80">
        <v>44959</v>
      </c>
      <c r="Y1294" s="78" t="s">
        <v>3282</v>
      </c>
      <c r="Z1294" s="77" t="str">
        <f>HYPERLINK("https://twitter.com/uninguest/status/1621032903655424002")</f>
        <v>https://twitter.com/uninguest/status/1621032903655424002</v>
      </c>
      <c r="AC1294" s="78" t="s">
        <v>4347</v>
      </c>
      <c r="AD1294" s="78" t="s">
        <v>4611</v>
      </c>
      <c r="AE1294" t="b">
        <v>0</v>
      </c>
      <c r="AF1294">
        <v>2</v>
      </c>
      <c r="AG1294" s="78" t="s">
        <v>4792</v>
      </c>
      <c r="AH1294" t="b">
        <v>0</v>
      </c>
      <c r="AI1294" t="s">
        <v>4829</v>
      </c>
      <c r="AK1294" s="78" t="s">
        <v>4640</v>
      </c>
      <c r="AL1294" t="b">
        <v>0</v>
      </c>
      <c r="AM1294">
        <v>0</v>
      </c>
      <c r="AN1294" s="78" t="s">
        <v>4640</v>
      </c>
      <c r="AO1294" s="78" t="s">
        <v>4849</v>
      </c>
      <c r="AP1294" t="b">
        <v>0</v>
      </c>
      <c r="AQ1294" s="78" t="s">
        <v>4611</v>
      </c>
      <c r="AR1294" t="s">
        <v>179</v>
      </c>
      <c r="AS1294">
        <v>0</v>
      </c>
      <c r="AT1294">
        <v>0</v>
      </c>
    </row>
    <row r="1295" spans="1:54" x14ac:dyDescent="0.45">
      <c r="A1295" s="62" t="s">
        <v>996</v>
      </c>
      <c r="B1295" s="62" t="s">
        <v>1477</v>
      </c>
      <c r="C1295" s="63"/>
      <c r="D1295" s="64"/>
      <c r="E1295" s="65"/>
      <c r="F1295" s="66"/>
      <c r="G1295" s="63"/>
      <c r="H1295" s="67"/>
      <c r="I1295" s="68"/>
      <c r="J1295" s="68"/>
      <c r="K1295" s="32"/>
      <c r="L1295" s="75"/>
      <c r="M1295" s="75"/>
      <c r="N1295" s="70"/>
      <c r="O1295" t="s">
        <v>1568</v>
      </c>
      <c r="P1295" s="76">
        <v>44959.270092592589</v>
      </c>
      <c r="Q1295" t="s">
        <v>2154</v>
      </c>
      <c r="V1295" s="77" t="str">
        <f>HYPERLINK("https://pbs.twimg.com/profile_images/1620158291618988032/i0-wkfif_normal.jpg")</f>
        <v>https://pbs.twimg.com/profile_images/1620158291618988032/i0-wkfif_normal.jpg</v>
      </c>
      <c r="W1295" s="76">
        <v>44959.270092592589</v>
      </c>
      <c r="X1295" s="80">
        <v>44959</v>
      </c>
      <c r="Y1295" s="78" t="s">
        <v>3282</v>
      </c>
      <c r="Z1295" s="77" t="str">
        <f>HYPERLINK("https://twitter.com/uninguest/status/1621032903655424002")</f>
        <v>https://twitter.com/uninguest/status/1621032903655424002</v>
      </c>
      <c r="AC1295" s="78" t="s">
        <v>4347</v>
      </c>
      <c r="AD1295" s="78" t="s">
        <v>4611</v>
      </c>
      <c r="AE1295" t="b">
        <v>0</v>
      </c>
      <c r="AF1295">
        <v>2</v>
      </c>
      <c r="AG1295" s="78" t="s">
        <v>4792</v>
      </c>
      <c r="AH1295" t="b">
        <v>0</v>
      </c>
      <c r="AI1295" t="s">
        <v>4829</v>
      </c>
      <c r="AK1295" s="78" t="s">
        <v>4640</v>
      </c>
      <c r="AL1295" t="b">
        <v>0</v>
      </c>
      <c r="AM1295">
        <v>0</v>
      </c>
      <c r="AN1295" s="78" t="s">
        <v>4640</v>
      </c>
      <c r="AO1295" s="78" t="s">
        <v>4849</v>
      </c>
      <c r="AP1295" t="b">
        <v>0</v>
      </c>
      <c r="AQ1295" s="78" t="s">
        <v>4611</v>
      </c>
      <c r="AR1295" t="s">
        <v>179</v>
      </c>
      <c r="AS1295">
        <v>0</v>
      </c>
      <c r="AT1295">
        <v>0</v>
      </c>
    </row>
    <row r="1296" spans="1:54" x14ac:dyDescent="0.45">
      <c r="A1296" s="62" t="s">
        <v>996</v>
      </c>
      <c r="B1296" s="62" t="s">
        <v>1478</v>
      </c>
      <c r="C1296" s="63"/>
      <c r="D1296" s="64"/>
      <c r="E1296" s="65"/>
      <c r="F1296" s="66"/>
      <c r="G1296" s="63"/>
      <c r="H1296" s="67"/>
      <c r="I1296" s="68"/>
      <c r="J1296" s="68"/>
      <c r="K1296" s="32"/>
      <c r="L1296" s="75"/>
      <c r="M1296" s="75"/>
      <c r="N1296" s="70"/>
      <c r="O1296" t="s">
        <v>1568</v>
      </c>
      <c r="P1296" s="76">
        <v>44959.270092592589</v>
      </c>
      <c r="Q1296" t="s">
        <v>2154</v>
      </c>
      <c r="V1296" s="77" t="str">
        <f>HYPERLINK("https://pbs.twimg.com/profile_images/1620158291618988032/i0-wkfif_normal.jpg")</f>
        <v>https://pbs.twimg.com/profile_images/1620158291618988032/i0-wkfif_normal.jpg</v>
      </c>
      <c r="W1296" s="76">
        <v>44959.270092592589</v>
      </c>
      <c r="X1296" s="80">
        <v>44959</v>
      </c>
      <c r="Y1296" s="78" t="s">
        <v>3282</v>
      </c>
      <c r="Z1296" s="77" t="str">
        <f>HYPERLINK("https://twitter.com/uninguest/status/1621032903655424002")</f>
        <v>https://twitter.com/uninguest/status/1621032903655424002</v>
      </c>
      <c r="AC1296" s="78" t="s">
        <v>4347</v>
      </c>
      <c r="AD1296" s="78" t="s">
        <v>4611</v>
      </c>
      <c r="AE1296" t="b">
        <v>0</v>
      </c>
      <c r="AF1296">
        <v>2</v>
      </c>
      <c r="AG1296" s="78" t="s">
        <v>4792</v>
      </c>
      <c r="AH1296" t="b">
        <v>0</v>
      </c>
      <c r="AI1296" t="s">
        <v>4829</v>
      </c>
      <c r="AK1296" s="78" t="s">
        <v>4640</v>
      </c>
      <c r="AL1296" t="b">
        <v>0</v>
      </c>
      <c r="AM1296">
        <v>0</v>
      </c>
      <c r="AN1296" s="78" t="s">
        <v>4640</v>
      </c>
      <c r="AO1296" s="78" t="s">
        <v>4849</v>
      </c>
      <c r="AP1296" t="b">
        <v>0</v>
      </c>
      <c r="AQ1296" s="78" t="s">
        <v>4611</v>
      </c>
      <c r="AR1296" t="s">
        <v>179</v>
      </c>
      <c r="AS1296">
        <v>0</v>
      </c>
      <c r="AT1296">
        <v>0</v>
      </c>
    </row>
    <row r="1297" spans="1:46" x14ac:dyDescent="0.45">
      <c r="A1297" s="62" t="s">
        <v>996</v>
      </c>
      <c r="B1297" s="62" t="s">
        <v>1479</v>
      </c>
      <c r="C1297" s="63"/>
      <c r="D1297" s="64"/>
      <c r="E1297" s="65"/>
      <c r="F1297" s="66"/>
      <c r="G1297" s="63"/>
      <c r="H1297" s="67"/>
      <c r="I1297" s="68"/>
      <c r="J1297" s="68"/>
      <c r="K1297" s="32"/>
      <c r="L1297" s="75"/>
      <c r="M1297" s="75"/>
      <c r="N1297" s="70"/>
      <c r="O1297" t="s">
        <v>1568</v>
      </c>
      <c r="P1297" s="76">
        <v>44959.270092592589</v>
      </c>
      <c r="Q1297" t="s">
        <v>2154</v>
      </c>
      <c r="V1297" s="77" t="str">
        <f>HYPERLINK("https://pbs.twimg.com/profile_images/1620158291618988032/i0-wkfif_normal.jpg")</f>
        <v>https://pbs.twimg.com/profile_images/1620158291618988032/i0-wkfif_normal.jpg</v>
      </c>
      <c r="W1297" s="76">
        <v>44959.270092592589</v>
      </c>
      <c r="X1297" s="80">
        <v>44959</v>
      </c>
      <c r="Y1297" s="78" t="s">
        <v>3282</v>
      </c>
      <c r="Z1297" s="77" t="str">
        <f>HYPERLINK("https://twitter.com/uninguest/status/1621032903655424002")</f>
        <v>https://twitter.com/uninguest/status/1621032903655424002</v>
      </c>
      <c r="AC1297" s="78" t="s">
        <v>4347</v>
      </c>
      <c r="AD1297" s="78" t="s">
        <v>4611</v>
      </c>
      <c r="AE1297" t="b">
        <v>0</v>
      </c>
      <c r="AF1297">
        <v>2</v>
      </c>
      <c r="AG1297" s="78" t="s">
        <v>4792</v>
      </c>
      <c r="AH1297" t="b">
        <v>0</v>
      </c>
      <c r="AI1297" t="s">
        <v>4829</v>
      </c>
      <c r="AK1297" s="78" t="s">
        <v>4640</v>
      </c>
      <c r="AL1297" t="b">
        <v>0</v>
      </c>
      <c r="AM1297">
        <v>0</v>
      </c>
      <c r="AN1297" s="78" t="s">
        <v>4640</v>
      </c>
      <c r="AO1297" s="78" t="s">
        <v>4849</v>
      </c>
      <c r="AP1297" t="b">
        <v>0</v>
      </c>
      <c r="AQ1297" s="78" t="s">
        <v>4611</v>
      </c>
      <c r="AR1297" t="s">
        <v>179</v>
      </c>
      <c r="AS1297">
        <v>0</v>
      </c>
      <c r="AT1297">
        <v>0</v>
      </c>
    </row>
    <row r="1298" spans="1:46" x14ac:dyDescent="0.45">
      <c r="A1298" s="62" t="s">
        <v>996</v>
      </c>
      <c r="B1298" s="62" t="s">
        <v>1480</v>
      </c>
      <c r="C1298" s="63"/>
      <c r="D1298" s="64"/>
      <c r="E1298" s="65"/>
      <c r="F1298" s="66"/>
      <c r="G1298" s="63"/>
      <c r="H1298" s="67"/>
      <c r="I1298" s="68"/>
      <c r="J1298" s="68"/>
      <c r="K1298" s="32"/>
      <c r="L1298" s="75"/>
      <c r="M1298" s="75"/>
      <c r="N1298" s="70"/>
      <c r="O1298" t="s">
        <v>1568</v>
      </c>
      <c r="P1298" s="76">
        <v>44959.270092592589</v>
      </c>
      <c r="Q1298" t="s">
        <v>2154</v>
      </c>
      <c r="V1298" s="77" t="str">
        <f>HYPERLINK("https://pbs.twimg.com/profile_images/1620158291618988032/i0-wkfif_normal.jpg")</f>
        <v>https://pbs.twimg.com/profile_images/1620158291618988032/i0-wkfif_normal.jpg</v>
      </c>
      <c r="W1298" s="76">
        <v>44959.270092592589</v>
      </c>
      <c r="X1298" s="80">
        <v>44959</v>
      </c>
      <c r="Y1298" s="78" t="s">
        <v>3282</v>
      </c>
      <c r="Z1298" s="77" t="str">
        <f>HYPERLINK("https://twitter.com/uninguest/status/1621032903655424002")</f>
        <v>https://twitter.com/uninguest/status/1621032903655424002</v>
      </c>
      <c r="AC1298" s="78" t="s">
        <v>4347</v>
      </c>
      <c r="AD1298" s="78" t="s">
        <v>4611</v>
      </c>
      <c r="AE1298" t="b">
        <v>0</v>
      </c>
      <c r="AF1298">
        <v>2</v>
      </c>
      <c r="AG1298" s="78" t="s">
        <v>4792</v>
      </c>
      <c r="AH1298" t="b">
        <v>0</v>
      </c>
      <c r="AI1298" t="s">
        <v>4829</v>
      </c>
      <c r="AK1298" s="78" t="s">
        <v>4640</v>
      </c>
      <c r="AL1298" t="b">
        <v>0</v>
      </c>
      <c r="AM1298">
        <v>0</v>
      </c>
      <c r="AN1298" s="78" t="s">
        <v>4640</v>
      </c>
      <c r="AO1298" s="78" t="s">
        <v>4849</v>
      </c>
      <c r="AP1298" t="b">
        <v>0</v>
      </c>
      <c r="AQ1298" s="78" t="s">
        <v>4611</v>
      </c>
      <c r="AR1298" t="s">
        <v>179</v>
      </c>
      <c r="AS1298">
        <v>0</v>
      </c>
      <c r="AT1298">
        <v>0</v>
      </c>
    </row>
    <row r="1299" spans="1:46" x14ac:dyDescent="0.45">
      <c r="A1299" s="62" t="s">
        <v>996</v>
      </c>
      <c r="B1299" s="62" t="s">
        <v>1481</v>
      </c>
      <c r="C1299" s="63"/>
      <c r="D1299" s="64"/>
      <c r="E1299" s="65"/>
      <c r="F1299" s="66"/>
      <c r="G1299" s="63"/>
      <c r="H1299" s="67"/>
      <c r="I1299" s="68"/>
      <c r="J1299" s="68"/>
      <c r="K1299" s="32"/>
      <c r="L1299" s="75"/>
      <c r="M1299" s="75"/>
      <c r="N1299" s="70"/>
      <c r="O1299" t="s">
        <v>1568</v>
      </c>
      <c r="P1299" s="76">
        <v>44959.270092592589</v>
      </c>
      <c r="Q1299" t="s">
        <v>2154</v>
      </c>
      <c r="V1299" s="77" t="str">
        <f>HYPERLINK("https://pbs.twimg.com/profile_images/1620158291618988032/i0-wkfif_normal.jpg")</f>
        <v>https://pbs.twimg.com/profile_images/1620158291618988032/i0-wkfif_normal.jpg</v>
      </c>
      <c r="W1299" s="76">
        <v>44959.270092592589</v>
      </c>
      <c r="X1299" s="80">
        <v>44959</v>
      </c>
      <c r="Y1299" s="78" t="s">
        <v>3282</v>
      </c>
      <c r="Z1299" s="77" t="str">
        <f>HYPERLINK("https://twitter.com/uninguest/status/1621032903655424002")</f>
        <v>https://twitter.com/uninguest/status/1621032903655424002</v>
      </c>
      <c r="AC1299" s="78" t="s">
        <v>4347</v>
      </c>
      <c r="AD1299" s="78" t="s">
        <v>4611</v>
      </c>
      <c r="AE1299" t="b">
        <v>0</v>
      </c>
      <c r="AF1299">
        <v>2</v>
      </c>
      <c r="AG1299" s="78" t="s">
        <v>4792</v>
      </c>
      <c r="AH1299" t="b">
        <v>0</v>
      </c>
      <c r="AI1299" t="s">
        <v>4829</v>
      </c>
      <c r="AK1299" s="78" t="s">
        <v>4640</v>
      </c>
      <c r="AL1299" t="b">
        <v>0</v>
      </c>
      <c r="AM1299">
        <v>0</v>
      </c>
      <c r="AN1299" s="78" t="s">
        <v>4640</v>
      </c>
      <c r="AO1299" s="78" t="s">
        <v>4849</v>
      </c>
      <c r="AP1299" t="b">
        <v>0</v>
      </c>
      <c r="AQ1299" s="78" t="s">
        <v>4611</v>
      </c>
      <c r="AR1299" t="s">
        <v>179</v>
      </c>
      <c r="AS1299">
        <v>0</v>
      </c>
      <c r="AT1299">
        <v>0</v>
      </c>
    </row>
    <row r="1300" spans="1:46" x14ac:dyDescent="0.45">
      <c r="A1300" s="62" t="s">
        <v>996</v>
      </c>
      <c r="B1300" s="62" t="s">
        <v>1383</v>
      </c>
      <c r="C1300" s="63"/>
      <c r="D1300" s="64"/>
      <c r="E1300" s="65"/>
      <c r="F1300" s="66"/>
      <c r="G1300" s="63"/>
      <c r="H1300" s="67"/>
      <c r="I1300" s="68"/>
      <c r="J1300" s="68"/>
      <c r="K1300" s="32"/>
      <c r="L1300" s="75"/>
      <c r="M1300" s="75"/>
      <c r="N1300" s="70"/>
      <c r="O1300" t="s">
        <v>1568</v>
      </c>
      <c r="P1300" s="76">
        <v>44959.270092592589</v>
      </c>
      <c r="Q1300" t="s">
        <v>2154</v>
      </c>
      <c r="V1300" s="77" t="str">
        <f>HYPERLINK("https://pbs.twimg.com/profile_images/1620158291618988032/i0-wkfif_normal.jpg")</f>
        <v>https://pbs.twimg.com/profile_images/1620158291618988032/i0-wkfif_normal.jpg</v>
      </c>
      <c r="W1300" s="76">
        <v>44959.270092592589</v>
      </c>
      <c r="X1300" s="80">
        <v>44959</v>
      </c>
      <c r="Y1300" s="78" t="s">
        <v>3282</v>
      </c>
      <c r="Z1300" s="77" t="str">
        <f>HYPERLINK("https://twitter.com/uninguest/status/1621032903655424002")</f>
        <v>https://twitter.com/uninguest/status/1621032903655424002</v>
      </c>
      <c r="AC1300" s="78" t="s">
        <v>4347</v>
      </c>
      <c r="AD1300" s="78" t="s">
        <v>4611</v>
      </c>
      <c r="AE1300" t="b">
        <v>0</v>
      </c>
      <c r="AF1300">
        <v>2</v>
      </c>
      <c r="AG1300" s="78" t="s">
        <v>4792</v>
      </c>
      <c r="AH1300" t="b">
        <v>0</v>
      </c>
      <c r="AI1300" t="s">
        <v>4829</v>
      </c>
      <c r="AK1300" s="78" t="s">
        <v>4640</v>
      </c>
      <c r="AL1300" t="b">
        <v>0</v>
      </c>
      <c r="AM1300">
        <v>0</v>
      </c>
      <c r="AN1300" s="78" t="s">
        <v>4640</v>
      </c>
      <c r="AO1300" s="78" t="s">
        <v>4849</v>
      </c>
      <c r="AP1300" t="b">
        <v>0</v>
      </c>
      <c r="AQ1300" s="78" t="s">
        <v>4611</v>
      </c>
      <c r="AR1300" t="s">
        <v>179</v>
      </c>
      <c r="AS1300">
        <v>0</v>
      </c>
      <c r="AT1300">
        <v>0</v>
      </c>
    </row>
    <row r="1301" spans="1:46" x14ac:dyDescent="0.45">
      <c r="A1301" s="62" t="s">
        <v>996</v>
      </c>
      <c r="B1301" s="62" t="s">
        <v>1482</v>
      </c>
      <c r="C1301" s="63"/>
      <c r="D1301" s="64"/>
      <c r="E1301" s="65"/>
      <c r="F1301" s="66"/>
      <c r="G1301" s="63"/>
      <c r="H1301" s="67"/>
      <c r="I1301" s="68"/>
      <c r="J1301" s="68"/>
      <c r="K1301" s="32"/>
      <c r="L1301" s="75"/>
      <c r="M1301" s="75"/>
      <c r="N1301" s="70"/>
      <c r="O1301" t="s">
        <v>1568</v>
      </c>
      <c r="P1301" s="76">
        <v>44959.270092592589</v>
      </c>
      <c r="Q1301" t="s">
        <v>2154</v>
      </c>
      <c r="V1301" s="77" t="str">
        <f>HYPERLINK("https://pbs.twimg.com/profile_images/1620158291618988032/i0-wkfif_normal.jpg")</f>
        <v>https://pbs.twimg.com/profile_images/1620158291618988032/i0-wkfif_normal.jpg</v>
      </c>
      <c r="W1301" s="76">
        <v>44959.270092592589</v>
      </c>
      <c r="X1301" s="80">
        <v>44959</v>
      </c>
      <c r="Y1301" s="78" t="s">
        <v>3282</v>
      </c>
      <c r="Z1301" s="77" t="str">
        <f>HYPERLINK("https://twitter.com/uninguest/status/1621032903655424002")</f>
        <v>https://twitter.com/uninguest/status/1621032903655424002</v>
      </c>
      <c r="AC1301" s="78" t="s">
        <v>4347</v>
      </c>
      <c r="AD1301" s="78" t="s">
        <v>4611</v>
      </c>
      <c r="AE1301" t="b">
        <v>0</v>
      </c>
      <c r="AF1301">
        <v>2</v>
      </c>
      <c r="AG1301" s="78" t="s">
        <v>4792</v>
      </c>
      <c r="AH1301" t="b">
        <v>0</v>
      </c>
      <c r="AI1301" t="s">
        <v>4829</v>
      </c>
      <c r="AK1301" s="78" t="s">
        <v>4640</v>
      </c>
      <c r="AL1301" t="b">
        <v>0</v>
      </c>
      <c r="AM1301">
        <v>0</v>
      </c>
      <c r="AN1301" s="78" t="s">
        <v>4640</v>
      </c>
      <c r="AO1301" s="78" t="s">
        <v>4849</v>
      </c>
      <c r="AP1301" t="b">
        <v>0</v>
      </c>
      <c r="AQ1301" s="78" t="s">
        <v>4611</v>
      </c>
      <c r="AR1301" t="s">
        <v>179</v>
      </c>
      <c r="AS1301">
        <v>0</v>
      </c>
      <c r="AT1301">
        <v>0</v>
      </c>
    </row>
    <row r="1302" spans="1:46" x14ac:dyDescent="0.45">
      <c r="A1302" s="62" t="s">
        <v>996</v>
      </c>
      <c r="B1302" s="62" t="s">
        <v>1483</v>
      </c>
      <c r="C1302" s="63"/>
      <c r="D1302" s="64"/>
      <c r="E1302" s="65"/>
      <c r="F1302" s="66"/>
      <c r="G1302" s="63"/>
      <c r="H1302" s="67"/>
      <c r="I1302" s="68"/>
      <c r="J1302" s="68"/>
      <c r="K1302" s="32"/>
      <c r="L1302" s="75"/>
      <c r="M1302" s="75"/>
      <c r="N1302" s="70"/>
      <c r="O1302" t="s">
        <v>1568</v>
      </c>
      <c r="P1302" s="76">
        <v>44959.270092592589</v>
      </c>
      <c r="Q1302" t="s">
        <v>2154</v>
      </c>
      <c r="V1302" s="77" t="str">
        <f>HYPERLINK("https://pbs.twimg.com/profile_images/1620158291618988032/i0-wkfif_normal.jpg")</f>
        <v>https://pbs.twimg.com/profile_images/1620158291618988032/i0-wkfif_normal.jpg</v>
      </c>
      <c r="W1302" s="76">
        <v>44959.270092592589</v>
      </c>
      <c r="X1302" s="80">
        <v>44959</v>
      </c>
      <c r="Y1302" s="78" t="s">
        <v>3282</v>
      </c>
      <c r="Z1302" s="77" t="str">
        <f>HYPERLINK("https://twitter.com/uninguest/status/1621032903655424002")</f>
        <v>https://twitter.com/uninguest/status/1621032903655424002</v>
      </c>
      <c r="AC1302" s="78" t="s">
        <v>4347</v>
      </c>
      <c r="AD1302" s="78" t="s">
        <v>4611</v>
      </c>
      <c r="AE1302" t="b">
        <v>0</v>
      </c>
      <c r="AF1302">
        <v>2</v>
      </c>
      <c r="AG1302" s="78" t="s">
        <v>4792</v>
      </c>
      <c r="AH1302" t="b">
        <v>0</v>
      </c>
      <c r="AI1302" t="s">
        <v>4829</v>
      </c>
      <c r="AK1302" s="78" t="s">
        <v>4640</v>
      </c>
      <c r="AL1302" t="b">
        <v>0</v>
      </c>
      <c r="AM1302">
        <v>0</v>
      </c>
      <c r="AN1302" s="78" t="s">
        <v>4640</v>
      </c>
      <c r="AO1302" s="78" t="s">
        <v>4849</v>
      </c>
      <c r="AP1302" t="b">
        <v>0</v>
      </c>
      <c r="AQ1302" s="78" t="s">
        <v>4611</v>
      </c>
      <c r="AR1302" t="s">
        <v>179</v>
      </c>
      <c r="AS1302">
        <v>0</v>
      </c>
      <c r="AT1302">
        <v>0</v>
      </c>
    </row>
    <row r="1303" spans="1:46" x14ac:dyDescent="0.45">
      <c r="A1303" s="62" t="s">
        <v>996</v>
      </c>
      <c r="B1303" s="62" t="s">
        <v>1247</v>
      </c>
      <c r="C1303" s="63"/>
      <c r="D1303" s="64"/>
      <c r="E1303" s="65"/>
      <c r="F1303" s="66"/>
      <c r="G1303" s="63"/>
      <c r="H1303" s="67"/>
      <c r="I1303" s="68"/>
      <c r="J1303" s="68"/>
      <c r="K1303" s="32"/>
      <c r="L1303" s="75"/>
      <c r="M1303" s="75"/>
      <c r="N1303" s="70"/>
      <c r="O1303" t="s">
        <v>1568</v>
      </c>
      <c r="P1303" s="76">
        <v>44959.270092592589</v>
      </c>
      <c r="Q1303" t="s">
        <v>2154</v>
      </c>
      <c r="V1303" s="77" t="str">
        <f>HYPERLINK("https://pbs.twimg.com/profile_images/1620158291618988032/i0-wkfif_normal.jpg")</f>
        <v>https://pbs.twimg.com/profile_images/1620158291618988032/i0-wkfif_normal.jpg</v>
      </c>
      <c r="W1303" s="76">
        <v>44959.270092592589</v>
      </c>
      <c r="X1303" s="80">
        <v>44959</v>
      </c>
      <c r="Y1303" s="78" t="s">
        <v>3282</v>
      </c>
      <c r="Z1303" s="77" t="str">
        <f>HYPERLINK("https://twitter.com/uninguest/status/1621032903655424002")</f>
        <v>https://twitter.com/uninguest/status/1621032903655424002</v>
      </c>
      <c r="AC1303" s="78" t="s">
        <v>4347</v>
      </c>
      <c r="AD1303" s="78" t="s">
        <v>4611</v>
      </c>
      <c r="AE1303" t="b">
        <v>0</v>
      </c>
      <c r="AF1303">
        <v>2</v>
      </c>
      <c r="AG1303" s="78" t="s">
        <v>4792</v>
      </c>
      <c r="AH1303" t="b">
        <v>0</v>
      </c>
      <c r="AI1303" t="s">
        <v>4829</v>
      </c>
      <c r="AK1303" s="78" t="s">
        <v>4640</v>
      </c>
      <c r="AL1303" t="b">
        <v>0</v>
      </c>
      <c r="AM1303">
        <v>0</v>
      </c>
      <c r="AN1303" s="78" t="s">
        <v>4640</v>
      </c>
      <c r="AO1303" s="78" t="s">
        <v>4849</v>
      </c>
      <c r="AP1303" t="b">
        <v>0</v>
      </c>
      <c r="AQ1303" s="78" t="s">
        <v>4611</v>
      </c>
      <c r="AR1303" t="s">
        <v>179</v>
      </c>
      <c r="AS1303">
        <v>0</v>
      </c>
      <c r="AT1303">
        <v>0</v>
      </c>
    </row>
    <row r="1304" spans="1:46" x14ac:dyDescent="0.45">
      <c r="A1304" s="62" t="s">
        <v>996</v>
      </c>
      <c r="B1304" s="62" t="s">
        <v>242</v>
      </c>
      <c r="C1304" s="63"/>
      <c r="D1304" s="64"/>
      <c r="E1304" s="65"/>
      <c r="F1304" s="66"/>
      <c r="G1304" s="63"/>
      <c r="H1304" s="67"/>
      <c r="I1304" s="68"/>
      <c r="J1304" s="68"/>
      <c r="K1304" s="32"/>
      <c r="L1304" s="75"/>
      <c r="M1304" s="75"/>
      <c r="N1304" s="70"/>
      <c r="O1304" t="s">
        <v>1568</v>
      </c>
      <c r="P1304" s="76">
        <v>44959.270092592589</v>
      </c>
      <c r="Q1304" t="s">
        <v>2154</v>
      </c>
      <c r="V1304" s="77" t="str">
        <f>HYPERLINK("https://pbs.twimg.com/profile_images/1620158291618988032/i0-wkfif_normal.jpg")</f>
        <v>https://pbs.twimg.com/profile_images/1620158291618988032/i0-wkfif_normal.jpg</v>
      </c>
      <c r="W1304" s="76">
        <v>44959.270092592589</v>
      </c>
      <c r="X1304" s="80">
        <v>44959</v>
      </c>
      <c r="Y1304" s="78" t="s">
        <v>3282</v>
      </c>
      <c r="Z1304" s="77" t="str">
        <f>HYPERLINK("https://twitter.com/uninguest/status/1621032903655424002")</f>
        <v>https://twitter.com/uninguest/status/1621032903655424002</v>
      </c>
      <c r="AC1304" s="78" t="s">
        <v>4347</v>
      </c>
      <c r="AD1304" s="78" t="s">
        <v>4611</v>
      </c>
      <c r="AE1304" t="b">
        <v>0</v>
      </c>
      <c r="AF1304">
        <v>2</v>
      </c>
      <c r="AG1304" s="78" t="s">
        <v>4792</v>
      </c>
      <c r="AH1304" t="b">
        <v>0</v>
      </c>
      <c r="AI1304" t="s">
        <v>4829</v>
      </c>
      <c r="AK1304" s="78" t="s">
        <v>4640</v>
      </c>
      <c r="AL1304" t="b">
        <v>0</v>
      </c>
      <c r="AM1304">
        <v>0</v>
      </c>
      <c r="AN1304" s="78" t="s">
        <v>4640</v>
      </c>
      <c r="AO1304" s="78" t="s">
        <v>4849</v>
      </c>
      <c r="AP1304" t="b">
        <v>0</v>
      </c>
      <c r="AQ1304" s="78" t="s">
        <v>4611</v>
      </c>
      <c r="AR1304" t="s">
        <v>179</v>
      </c>
      <c r="AS1304">
        <v>0</v>
      </c>
      <c r="AT1304">
        <v>0</v>
      </c>
    </row>
    <row r="1305" spans="1:46" x14ac:dyDescent="0.45">
      <c r="A1305" s="62" t="s">
        <v>996</v>
      </c>
      <c r="B1305" s="62" t="s">
        <v>1484</v>
      </c>
      <c r="C1305" s="63"/>
      <c r="D1305" s="64"/>
      <c r="E1305" s="65"/>
      <c r="F1305" s="66"/>
      <c r="G1305" s="63"/>
      <c r="H1305" s="67"/>
      <c r="I1305" s="68"/>
      <c r="J1305" s="68"/>
      <c r="K1305" s="32"/>
      <c r="L1305" s="75"/>
      <c r="M1305" s="75"/>
      <c r="N1305" s="70"/>
      <c r="O1305" t="s">
        <v>1568</v>
      </c>
      <c r="P1305" s="76">
        <v>44959.270092592589</v>
      </c>
      <c r="Q1305" t="s">
        <v>2154</v>
      </c>
      <c r="V1305" s="77" t="str">
        <f>HYPERLINK("https://pbs.twimg.com/profile_images/1620158291618988032/i0-wkfif_normal.jpg")</f>
        <v>https://pbs.twimg.com/profile_images/1620158291618988032/i0-wkfif_normal.jpg</v>
      </c>
      <c r="W1305" s="76">
        <v>44959.270092592589</v>
      </c>
      <c r="X1305" s="80">
        <v>44959</v>
      </c>
      <c r="Y1305" s="78" t="s">
        <v>3282</v>
      </c>
      <c r="Z1305" s="77" t="str">
        <f>HYPERLINK("https://twitter.com/uninguest/status/1621032903655424002")</f>
        <v>https://twitter.com/uninguest/status/1621032903655424002</v>
      </c>
      <c r="AC1305" s="78" t="s">
        <v>4347</v>
      </c>
      <c r="AD1305" s="78" t="s">
        <v>4611</v>
      </c>
      <c r="AE1305" t="b">
        <v>0</v>
      </c>
      <c r="AF1305">
        <v>2</v>
      </c>
      <c r="AG1305" s="78" t="s">
        <v>4792</v>
      </c>
      <c r="AH1305" t="b">
        <v>0</v>
      </c>
      <c r="AI1305" t="s">
        <v>4829</v>
      </c>
      <c r="AK1305" s="78" t="s">
        <v>4640</v>
      </c>
      <c r="AL1305" t="b">
        <v>0</v>
      </c>
      <c r="AM1305">
        <v>0</v>
      </c>
      <c r="AN1305" s="78" t="s">
        <v>4640</v>
      </c>
      <c r="AO1305" s="78" t="s">
        <v>4849</v>
      </c>
      <c r="AP1305" t="b">
        <v>0</v>
      </c>
      <c r="AQ1305" s="78" t="s">
        <v>4611</v>
      </c>
      <c r="AR1305" t="s">
        <v>179</v>
      </c>
      <c r="AS1305">
        <v>0</v>
      </c>
      <c r="AT1305">
        <v>0</v>
      </c>
    </row>
    <row r="1306" spans="1:46" x14ac:dyDescent="0.45">
      <c r="A1306" s="62" t="s">
        <v>1030</v>
      </c>
      <c r="B1306" s="62" t="s">
        <v>1505</v>
      </c>
      <c r="C1306" s="63"/>
      <c r="D1306" s="64"/>
      <c r="E1306" s="65"/>
      <c r="F1306" s="66"/>
      <c r="G1306" s="63"/>
      <c r="H1306" s="67"/>
      <c r="I1306" s="68"/>
      <c r="J1306" s="68"/>
      <c r="K1306" s="32"/>
      <c r="L1306" s="75"/>
      <c r="M1306" s="75"/>
      <c r="N1306" s="70"/>
      <c r="O1306" t="s">
        <v>1568</v>
      </c>
      <c r="P1306" s="76">
        <v>44959.1799537037</v>
      </c>
      <c r="Q1306" t="s">
        <v>2185</v>
      </c>
      <c r="V1306" s="77" t="str">
        <f>HYPERLINK("https://pbs.twimg.com/profile_images/1276249913244839937/NAGZkgfQ_normal.jpg")</f>
        <v>https://pbs.twimg.com/profile_images/1276249913244839937/NAGZkgfQ_normal.jpg</v>
      </c>
      <c r="W1306" s="76">
        <v>44959.1799537037</v>
      </c>
      <c r="X1306" s="80">
        <v>44959</v>
      </c>
      <c r="Y1306" s="78" t="s">
        <v>3331</v>
      </c>
      <c r="Z1306" s="77" t="str">
        <f>HYPERLINK("https://twitter.com/mohammed_saif70/status/1621000241247047681")</f>
        <v>https://twitter.com/mohammed_saif70/status/1621000241247047681</v>
      </c>
      <c r="AC1306" s="78" t="s">
        <v>4396</v>
      </c>
      <c r="AD1306" s="78" t="s">
        <v>4619</v>
      </c>
      <c r="AE1306" t="b">
        <v>0</v>
      </c>
      <c r="AF1306">
        <v>2</v>
      </c>
      <c r="AG1306" s="78" t="s">
        <v>4801</v>
      </c>
      <c r="AH1306" t="b">
        <v>0</v>
      </c>
      <c r="AI1306" t="s">
        <v>4829</v>
      </c>
      <c r="AK1306" s="78" t="s">
        <v>4640</v>
      </c>
      <c r="AL1306" t="b">
        <v>0</v>
      </c>
      <c r="AM1306">
        <v>2</v>
      </c>
      <c r="AN1306" s="78" t="s">
        <v>4640</v>
      </c>
      <c r="AO1306" s="78" t="s">
        <v>4850</v>
      </c>
      <c r="AP1306" t="b">
        <v>0</v>
      </c>
      <c r="AQ1306" s="78" t="s">
        <v>4619</v>
      </c>
      <c r="AR1306" t="s">
        <v>179</v>
      </c>
      <c r="AS1306">
        <v>0</v>
      </c>
      <c r="AT1306">
        <v>0</v>
      </c>
    </row>
    <row r="1307" spans="1:46" x14ac:dyDescent="0.45">
      <c r="A1307" s="62" t="s">
        <v>1030</v>
      </c>
      <c r="B1307" s="62" t="s">
        <v>1487</v>
      </c>
      <c r="C1307" s="63"/>
      <c r="D1307" s="64"/>
      <c r="E1307" s="65"/>
      <c r="F1307" s="66"/>
      <c r="G1307" s="63"/>
      <c r="H1307" s="67"/>
      <c r="I1307" s="68"/>
      <c r="J1307" s="68"/>
      <c r="K1307" s="32"/>
      <c r="L1307" s="75"/>
      <c r="M1307" s="75"/>
      <c r="N1307" s="70"/>
      <c r="O1307" t="s">
        <v>1568</v>
      </c>
      <c r="P1307" s="76">
        <v>44959.1799537037</v>
      </c>
      <c r="Q1307" t="s">
        <v>2185</v>
      </c>
      <c r="V1307" s="77" t="str">
        <f>HYPERLINK("https://pbs.twimg.com/profile_images/1276249913244839937/NAGZkgfQ_normal.jpg")</f>
        <v>https://pbs.twimg.com/profile_images/1276249913244839937/NAGZkgfQ_normal.jpg</v>
      </c>
      <c r="W1307" s="76">
        <v>44959.1799537037</v>
      </c>
      <c r="X1307" s="80">
        <v>44959</v>
      </c>
      <c r="Y1307" s="78" t="s">
        <v>3331</v>
      </c>
      <c r="Z1307" s="77" t="str">
        <f>HYPERLINK("https://twitter.com/mohammed_saif70/status/1621000241247047681")</f>
        <v>https://twitter.com/mohammed_saif70/status/1621000241247047681</v>
      </c>
      <c r="AC1307" s="78" t="s">
        <v>4396</v>
      </c>
      <c r="AD1307" s="78" t="s">
        <v>4619</v>
      </c>
      <c r="AE1307" t="b">
        <v>0</v>
      </c>
      <c r="AF1307">
        <v>2</v>
      </c>
      <c r="AG1307" s="78" t="s">
        <v>4801</v>
      </c>
      <c r="AH1307" t="b">
        <v>0</v>
      </c>
      <c r="AI1307" t="s">
        <v>4829</v>
      </c>
      <c r="AK1307" s="78" t="s">
        <v>4640</v>
      </c>
      <c r="AL1307" t="b">
        <v>0</v>
      </c>
      <c r="AM1307">
        <v>2</v>
      </c>
      <c r="AN1307" s="78" t="s">
        <v>4640</v>
      </c>
      <c r="AO1307" s="78" t="s">
        <v>4850</v>
      </c>
      <c r="AP1307" t="b">
        <v>0</v>
      </c>
      <c r="AQ1307" s="78" t="s">
        <v>4619</v>
      </c>
      <c r="AR1307" t="s">
        <v>179</v>
      </c>
      <c r="AS1307">
        <v>0</v>
      </c>
      <c r="AT1307">
        <v>0</v>
      </c>
    </row>
    <row r="1308" spans="1:46" x14ac:dyDescent="0.45">
      <c r="A1308" s="62" t="s">
        <v>1030</v>
      </c>
      <c r="B1308" s="62" t="s">
        <v>1031</v>
      </c>
      <c r="C1308" s="63"/>
      <c r="D1308" s="64"/>
      <c r="E1308" s="65"/>
      <c r="F1308" s="66"/>
      <c r="G1308" s="63"/>
      <c r="H1308" s="67"/>
      <c r="I1308" s="68"/>
      <c r="J1308" s="68"/>
      <c r="K1308" s="32"/>
      <c r="L1308" s="75"/>
      <c r="M1308" s="75"/>
      <c r="N1308" s="70"/>
      <c r="O1308" t="s">
        <v>1568</v>
      </c>
      <c r="P1308" s="76">
        <v>44959.1799537037</v>
      </c>
      <c r="Q1308" t="s">
        <v>2185</v>
      </c>
      <c r="V1308" s="77" t="str">
        <f>HYPERLINK("https://pbs.twimg.com/profile_images/1276249913244839937/NAGZkgfQ_normal.jpg")</f>
        <v>https://pbs.twimg.com/profile_images/1276249913244839937/NAGZkgfQ_normal.jpg</v>
      </c>
      <c r="W1308" s="76">
        <v>44959.1799537037</v>
      </c>
      <c r="X1308" s="80">
        <v>44959</v>
      </c>
      <c r="Y1308" s="78" t="s">
        <v>3331</v>
      </c>
      <c r="Z1308" s="77" t="str">
        <f>HYPERLINK("https://twitter.com/mohammed_saif70/status/1621000241247047681")</f>
        <v>https://twitter.com/mohammed_saif70/status/1621000241247047681</v>
      </c>
      <c r="AC1308" s="78" t="s">
        <v>4396</v>
      </c>
      <c r="AD1308" s="78" t="s">
        <v>4619</v>
      </c>
      <c r="AE1308" t="b">
        <v>0</v>
      </c>
      <c r="AF1308">
        <v>2</v>
      </c>
      <c r="AG1308" s="78" t="s">
        <v>4801</v>
      </c>
      <c r="AH1308" t="b">
        <v>0</v>
      </c>
      <c r="AI1308" t="s">
        <v>4829</v>
      </c>
      <c r="AK1308" s="78" t="s">
        <v>4640</v>
      </c>
      <c r="AL1308" t="b">
        <v>0</v>
      </c>
      <c r="AM1308">
        <v>2</v>
      </c>
      <c r="AN1308" s="78" t="s">
        <v>4640</v>
      </c>
      <c r="AO1308" s="78" t="s">
        <v>4850</v>
      </c>
      <c r="AP1308" t="b">
        <v>0</v>
      </c>
      <c r="AQ1308" s="78" t="s">
        <v>4619</v>
      </c>
      <c r="AR1308" t="s">
        <v>179</v>
      </c>
      <c r="AS1308">
        <v>0</v>
      </c>
      <c r="AT1308">
        <v>0</v>
      </c>
    </row>
    <row r="1309" spans="1:46" x14ac:dyDescent="0.45">
      <c r="A1309" s="62" t="s">
        <v>1030</v>
      </c>
      <c r="B1309" s="62" t="s">
        <v>1506</v>
      </c>
      <c r="C1309" s="63"/>
      <c r="D1309" s="64"/>
      <c r="E1309" s="65"/>
      <c r="F1309" s="66"/>
      <c r="G1309" s="63"/>
      <c r="H1309" s="67"/>
      <c r="I1309" s="68"/>
      <c r="J1309" s="68"/>
      <c r="K1309" s="32"/>
      <c r="L1309" s="75"/>
      <c r="M1309" s="75"/>
      <c r="N1309" s="70"/>
      <c r="O1309" t="s">
        <v>1568</v>
      </c>
      <c r="P1309" s="76">
        <v>44959.1799537037</v>
      </c>
      <c r="Q1309" t="s">
        <v>2185</v>
      </c>
      <c r="V1309" s="77" t="str">
        <f>HYPERLINK("https://pbs.twimg.com/profile_images/1276249913244839937/NAGZkgfQ_normal.jpg")</f>
        <v>https://pbs.twimg.com/profile_images/1276249913244839937/NAGZkgfQ_normal.jpg</v>
      </c>
      <c r="W1309" s="76">
        <v>44959.1799537037</v>
      </c>
      <c r="X1309" s="80">
        <v>44959</v>
      </c>
      <c r="Y1309" s="78" t="s">
        <v>3331</v>
      </c>
      <c r="Z1309" s="77" t="str">
        <f>HYPERLINK("https://twitter.com/mohammed_saif70/status/1621000241247047681")</f>
        <v>https://twitter.com/mohammed_saif70/status/1621000241247047681</v>
      </c>
      <c r="AC1309" s="78" t="s">
        <v>4396</v>
      </c>
      <c r="AD1309" s="78" t="s">
        <v>4619</v>
      </c>
      <c r="AE1309" t="b">
        <v>0</v>
      </c>
      <c r="AF1309">
        <v>2</v>
      </c>
      <c r="AG1309" s="78" t="s">
        <v>4801</v>
      </c>
      <c r="AH1309" t="b">
        <v>0</v>
      </c>
      <c r="AI1309" t="s">
        <v>4829</v>
      </c>
      <c r="AK1309" s="78" t="s">
        <v>4640</v>
      </c>
      <c r="AL1309" t="b">
        <v>0</v>
      </c>
      <c r="AM1309">
        <v>2</v>
      </c>
      <c r="AN1309" s="78" t="s">
        <v>4640</v>
      </c>
      <c r="AO1309" s="78" t="s">
        <v>4850</v>
      </c>
      <c r="AP1309" t="b">
        <v>0</v>
      </c>
      <c r="AQ1309" s="78" t="s">
        <v>4619</v>
      </c>
      <c r="AR1309" t="s">
        <v>179</v>
      </c>
      <c r="AS1309">
        <v>0</v>
      </c>
      <c r="AT1309">
        <v>0</v>
      </c>
    </row>
    <row r="1310" spans="1:46" x14ac:dyDescent="0.45">
      <c r="A1310" s="62" t="s">
        <v>1030</v>
      </c>
      <c r="B1310" s="62" t="s">
        <v>1109</v>
      </c>
      <c r="C1310" s="63"/>
      <c r="D1310" s="64"/>
      <c r="E1310" s="65"/>
      <c r="F1310" s="66"/>
      <c r="G1310" s="63"/>
      <c r="H1310" s="67"/>
      <c r="I1310" s="68"/>
      <c r="J1310" s="68"/>
      <c r="K1310" s="32"/>
      <c r="L1310" s="75"/>
      <c r="M1310" s="75"/>
      <c r="N1310" s="70"/>
      <c r="O1310" t="s">
        <v>1568</v>
      </c>
      <c r="P1310" s="76">
        <v>44959.1799537037</v>
      </c>
      <c r="Q1310" t="s">
        <v>2185</v>
      </c>
      <c r="V1310" s="77" t="str">
        <f>HYPERLINK("https://pbs.twimg.com/profile_images/1276249913244839937/NAGZkgfQ_normal.jpg")</f>
        <v>https://pbs.twimg.com/profile_images/1276249913244839937/NAGZkgfQ_normal.jpg</v>
      </c>
      <c r="W1310" s="76">
        <v>44959.1799537037</v>
      </c>
      <c r="X1310" s="80">
        <v>44959</v>
      </c>
      <c r="Y1310" s="78" t="s">
        <v>3331</v>
      </c>
      <c r="Z1310" s="77" t="str">
        <f>HYPERLINK("https://twitter.com/mohammed_saif70/status/1621000241247047681")</f>
        <v>https://twitter.com/mohammed_saif70/status/1621000241247047681</v>
      </c>
      <c r="AC1310" s="78" t="s">
        <v>4396</v>
      </c>
      <c r="AD1310" s="78" t="s">
        <v>4619</v>
      </c>
      <c r="AE1310" t="b">
        <v>0</v>
      </c>
      <c r="AF1310">
        <v>2</v>
      </c>
      <c r="AG1310" s="78" t="s">
        <v>4801</v>
      </c>
      <c r="AH1310" t="b">
        <v>0</v>
      </c>
      <c r="AI1310" t="s">
        <v>4829</v>
      </c>
      <c r="AK1310" s="78" t="s">
        <v>4640</v>
      </c>
      <c r="AL1310" t="b">
        <v>0</v>
      </c>
      <c r="AM1310">
        <v>2</v>
      </c>
      <c r="AN1310" s="78" t="s">
        <v>4640</v>
      </c>
      <c r="AO1310" s="78" t="s">
        <v>4850</v>
      </c>
      <c r="AP1310" t="b">
        <v>0</v>
      </c>
      <c r="AQ1310" s="78" t="s">
        <v>4619</v>
      </c>
      <c r="AR1310" t="s">
        <v>179</v>
      </c>
      <c r="AS1310">
        <v>0</v>
      </c>
      <c r="AT1310">
        <v>0</v>
      </c>
    </row>
    <row r="1311" spans="1:46" x14ac:dyDescent="0.45">
      <c r="A1311" s="62" t="s">
        <v>1030</v>
      </c>
      <c r="B1311" s="62" t="s">
        <v>242</v>
      </c>
      <c r="C1311" s="63"/>
      <c r="D1311" s="64"/>
      <c r="E1311" s="65"/>
      <c r="F1311" s="66"/>
      <c r="G1311" s="63"/>
      <c r="H1311" s="67"/>
      <c r="I1311" s="68"/>
      <c r="J1311" s="68"/>
      <c r="K1311" s="32"/>
      <c r="L1311" s="75"/>
      <c r="M1311" s="75"/>
      <c r="N1311" s="70"/>
      <c r="O1311" t="s">
        <v>1568</v>
      </c>
      <c r="P1311" s="76">
        <v>44959.1799537037</v>
      </c>
      <c r="Q1311" t="s">
        <v>2185</v>
      </c>
      <c r="V1311" s="77" t="str">
        <f>HYPERLINK("https://pbs.twimg.com/profile_images/1276249913244839937/NAGZkgfQ_normal.jpg")</f>
        <v>https://pbs.twimg.com/profile_images/1276249913244839937/NAGZkgfQ_normal.jpg</v>
      </c>
      <c r="W1311" s="76">
        <v>44959.1799537037</v>
      </c>
      <c r="X1311" s="80">
        <v>44959</v>
      </c>
      <c r="Y1311" s="78" t="s">
        <v>3331</v>
      </c>
      <c r="Z1311" s="77" t="str">
        <f>HYPERLINK("https://twitter.com/mohammed_saif70/status/1621000241247047681")</f>
        <v>https://twitter.com/mohammed_saif70/status/1621000241247047681</v>
      </c>
      <c r="AC1311" s="78" t="s">
        <v>4396</v>
      </c>
      <c r="AD1311" s="78" t="s">
        <v>4619</v>
      </c>
      <c r="AE1311" t="b">
        <v>0</v>
      </c>
      <c r="AF1311">
        <v>2</v>
      </c>
      <c r="AG1311" s="78" t="s">
        <v>4801</v>
      </c>
      <c r="AH1311" t="b">
        <v>0</v>
      </c>
      <c r="AI1311" t="s">
        <v>4829</v>
      </c>
      <c r="AK1311" s="78" t="s">
        <v>4640</v>
      </c>
      <c r="AL1311" t="b">
        <v>0</v>
      </c>
      <c r="AM1311">
        <v>2</v>
      </c>
      <c r="AN1311" s="78" t="s">
        <v>4640</v>
      </c>
      <c r="AO1311" s="78" t="s">
        <v>4850</v>
      </c>
      <c r="AP1311" t="b">
        <v>0</v>
      </c>
      <c r="AQ1311" s="78" t="s">
        <v>4619</v>
      </c>
      <c r="AR1311" t="s">
        <v>179</v>
      </c>
      <c r="AS1311">
        <v>0</v>
      </c>
      <c r="AT1311">
        <v>0</v>
      </c>
    </row>
    <row r="1312" spans="1:46" x14ac:dyDescent="0.45">
      <c r="A1312" s="62" t="s">
        <v>1030</v>
      </c>
      <c r="B1312" s="62" t="s">
        <v>1108</v>
      </c>
      <c r="C1312" s="63"/>
      <c r="D1312" s="64"/>
      <c r="E1312" s="65"/>
      <c r="F1312" s="66"/>
      <c r="G1312" s="63"/>
      <c r="H1312" s="67"/>
      <c r="I1312" s="68"/>
      <c r="J1312" s="68"/>
      <c r="K1312" s="32"/>
      <c r="L1312" s="75"/>
      <c r="M1312" s="75"/>
      <c r="N1312" s="70"/>
      <c r="O1312" t="s">
        <v>1568</v>
      </c>
      <c r="P1312" s="76">
        <v>44959.1799537037</v>
      </c>
      <c r="Q1312" t="s">
        <v>2185</v>
      </c>
      <c r="V1312" s="77" t="str">
        <f>HYPERLINK("https://pbs.twimg.com/profile_images/1276249913244839937/NAGZkgfQ_normal.jpg")</f>
        <v>https://pbs.twimg.com/profile_images/1276249913244839937/NAGZkgfQ_normal.jpg</v>
      </c>
      <c r="W1312" s="76">
        <v>44959.1799537037</v>
      </c>
      <c r="X1312" s="80">
        <v>44959</v>
      </c>
      <c r="Y1312" s="78" t="s">
        <v>3331</v>
      </c>
      <c r="Z1312" s="77" t="str">
        <f>HYPERLINK("https://twitter.com/mohammed_saif70/status/1621000241247047681")</f>
        <v>https://twitter.com/mohammed_saif70/status/1621000241247047681</v>
      </c>
      <c r="AC1312" s="78" t="s">
        <v>4396</v>
      </c>
      <c r="AD1312" s="78" t="s">
        <v>4619</v>
      </c>
      <c r="AE1312" t="b">
        <v>0</v>
      </c>
      <c r="AF1312">
        <v>2</v>
      </c>
      <c r="AG1312" s="78" t="s">
        <v>4801</v>
      </c>
      <c r="AH1312" t="b">
        <v>0</v>
      </c>
      <c r="AI1312" t="s">
        <v>4829</v>
      </c>
      <c r="AK1312" s="78" t="s">
        <v>4640</v>
      </c>
      <c r="AL1312" t="b">
        <v>0</v>
      </c>
      <c r="AM1312">
        <v>2</v>
      </c>
      <c r="AN1312" s="78" t="s">
        <v>4640</v>
      </c>
      <c r="AO1312" s="78" t="s">
        <v>4850</v>
      </c>
      <c r="AP1312" t="b">
        <v>0</v>
      </c>
      <c r="AQ1312" s="78" t="s">
        <v>4619</v>
      </c>
      <c r="AR1312" t="s">
        <v>179</v>
      </c>
      <c r="AS1312">
        <v>0</v>
      </c>
      <c r="AT1312">
        <v>0</v>
      </c>
    </row>
    <row r="1313" spans="1:46" x14ac:dyDescent="0.45">
      <c r="A1313" s="62" t="s">
        <v>1030</v>
      </c>
      <c r="B1313" s="62" t="s">
        <v>1110</v>
      </c>
      <c r="C1313" s="63"/>
      <c r="D1313" s="64"/>
      <c r="E1313" s="65"/>
      <c r="F1313" s="66"/>
      <c r="G1313" s="63"/>
      <c r="H1313" s="67"/>
      <c r="I1313" s="68"/>
      <c r="J1313" s="68"/>
      <c r="K1313" s="32"/>
      <c r="L1313" s="75"/>
      <c r="M1313" s="75"/>
      <c r="N1313" s="70"/>
      <c r="O1313" t="s">
        <v>1568</v>
      </c>
      <c r="P1313" s="76">
        <v>44959.1799537037</v>
      </c>
      <c r="Q1313" t="s">
        <v>2185</v>
      </c>
      <c r="V1313" s="77" t="str">
        <f>HYPERLINK("https://pbs.twimg.com/profile_images/1276249913244839937/NAGZkgfQ_normal.jpg")</f>
        <v>https://pbs.twimg.com/profile_images/1276249913244839937/NAGZkgfQ_normal.jpg</v>
      </c>
      <c r="W1313" s="76">
        <v>44959.1799537037</v>
      </c>
      <c r="X1313" s="80">
        <v>44959</v>
      </c>
      <c r="Y1313" s="78" t="s">
        <v>3331</v>
      </c>
      <c r="Z1313" s="77" t="str">
        <f>HYPERLINK("https://twitter.com/mohammed_saif70/status/1621000241247047681")</f>
        <v>https://twitter.com/mohammed_saif70/status/1621000241247047681</v>
      </c>
      <c r="AC1313" s="78" t="s">
        <v>4396</v>
      </c>
      <c r="AD1313" s="78" t="s">
        <v>4619</v>
      </c>
      <c r="AE1313" t="b">
        <v>0</v>
      </c>
      <c r="AF1313">
        <v>2</v>
      </c>
      <c r="AG1313" s="78" t="s">
        <v>4801</v>
      </c>
      <c r="AH1313" t="b">
        <v>0</v>
      </c>
      <c r="AI1313" t="s">
        <v>4829</v>
      </c>
      <c r="AK1313" s="78" t="s">
        <v>4640</v>
      </c>
      <c r="AL1313" t="b">
        <v>0</v>
      </c>
      <c r="AM1313">
        <v>2</v>
      </c>
      <c r="AN1313" s="78" t="s">
        <v>4640</v>
      </c>
      <c r="AO1313" s="78" t="s">
        <v>4850</v>
      </c>
      <c r="AP1313" t="b">
        <v>0</v>
      </c>
      <c r="AQ1313" s="78" t="s">
        <v>4619</v>
      </c>
      <c r="AR1313" t="s">
        <v>179</v>
      </c>
      <c r="AS1313">
        <v>0</v>
      </c>
      <c r="AT1313">
        <v>0</v>
      </c>
    </row>
    <row r="1314" spans="1:46" x14ac:dyDescent="0.45">
      <c r="A1314" s="62" t="s">
        <v>1030</v>
      </c>
      <c r="B1314" s="62" t="s">
        <v>1507</v>
      </c>
      <c r="C1314" s="63"/>
      <c r="D1314" s="64"/>
      <c r="E1314" s="65"/>
      <c r="F1314" s="66"/>
      <c r="G1314" s="63"/>
      <c r="H1314" s="67"/>
      <c r="I1314" s="68"/>
      <c r="J1314" s="68"/>
      <c r="K1314" s="32"/>
      <c r="L1314" s="75"/>
      <c r="M1314" s="75"/>
      <c r="N1314" s="70"/>
      <c r="O1314" t="s">
        <v>1567</v>
      </c>
      <c r="P1314" s="76">
        <v>44959.1799537037</v>
      </c>
      <c r="Q1314" t="s">
        <v>2185</v>
      </c>
      <c r="V1314" s="77" t="str">
        <f>HYPERLINK("https://pbs.twimg.com/profile_images/1276249913244839937/NAGZkgfQ_normal.jpg")</f>
        <v>https://pbs.twimg.com/profile_images/1276249913244839937/NAGZkgfQ_normal.jpg</v>
      </c>
      <c r="W1314" s="76">
        <v>44959.1799537037</v>
      </c>
      <c r="X1314" s="80">
        <v>44959</v>
      </c>
      <c r="Y1314" s="78" t="s">
        <v>3331</v>
      </c>
      <c r="Z1314" s="77" t="str">
        <f>HYPERLINK("https://twitter.com/mohammed_saif70/status/1621000241247047681")</f>
        <v>https://twitter.com/mohammed_saif70/status/1621000241247047681</v>
      </c>
      <c r="AC1314" s="78" t="s">
        <v>4396</v>
      </c>
      <c r="AD1314" s="78" t="s">
        <v>4619</v>
      </c>
      <c r="AE1314" t="b">
        <v>0</v>
      </c>
      <c r="AF1314">
        <v>2</v>
      </c>
      <c r="AG1314" s="78" t="s">
        <v>4801</v>
      </c>
      <c r="AH1314" t="b">
        <v>0</v>
      </c>
      <c r="AI1314" t="s">
        <v>4829</v>
      </c>
      <c r="AK1314" s="78" t="s">
        <v>4640</v>
      </c>
      <c r="AL1314" t="b">
        <v>0</v>
      </c>
      <c r="AM1314">
        <v>2</v>
      </c>
      <c r="AN1314" s="78" t="s">
        <v>4640</v>
      </c>
      <c r="AO1314" s="78" t="s">
        <v>4850</v>
      </c>
      <c r="AP1314" t="b">
        <v>0</v>
      </c>
      <c r="AQ1314" s="78" t="s">
        <v>4619</v>
      </c>
      <c r="AR1314" t="s">
        <v>179</v>
      </c>
      <c r="AS1314">
        <v>0</v>
      </c>
      <c r="AT1314">
        <v>0</v>
      </c>
    </row>
    <row r="1315" spans="1:46" x14ac:dyDescent="0.45">
      <c r="A1315" s="62" t="s">
        <v>222</v>
      </c>
      <c r="B1315" s="62" t="s">
        <v>1111</v>
      </c>
      <c r="C1315" s="63"/>
      <c r="D1315" s="64"/>
      <c r="E1315" s="65"/>
      <c r="F1315" s="66"/>
      <c r="G1315" s="63"/>
      <c r="H1315" s="67"/>
      <c r="I1315" s="68"/>
      <c r="J1315" s="68"/>
      <c r="K1315" s="32"/>
      <c r="L1315" s="75"/>
      <c r="M1315" s="75"/>
      <c r="N1315" s="70"/>
      <c r="O1315" t="s">
        <v>1568</v>
      </c>
      <c r="P1315" s="76">
        <v>44958.2971412037</v>
      </c>
      <c r="Q1315" t="s">
        <v>1576</v>
      </c>
      <c r="V1315" s="77" t="str">
        <f>HYPERLINK("https://pbs.twimg.com/profile_images/1602970362588942343/68abIY8s_normal.png")</f>
        <v>https://pbs.twimg.com/profile_images/1602970362588942343/68abIY8s_normal.png</v>
      </c>
      <c r="W1315" s="76">
        <v>44958.2971412037</v>
      </c>
      <c r="X1315" s="80">
        <v>44958</v>
      </c>
      <c r="Y1315" s="78" t="s">
        <v>2425</v>
      </c>
      <c r="Z1315" s="77" t="str">
        <f>HYPERLINK("https://twitter.com/ivicam10/status/1620680320210321408")</f>
        <v>https://twitter.com/ivicam10/status/1620680320210321408</v>
      </c>
      <c r="AC1315" s="78" t="s">
        <v>3440</v>
      </c>
      <c r="AD1315" s="78" t="s">
        <v>4498</v>
      </c>
      <c r="AE1315" t="b">
        <v>0</v>
      </c>
      <c r="AF1315">
        <v>1</v>
      </c>
      <c r="AG1315" s="78" t="s">
        <v>4639</v>
      </c>
      <c r="AH1315" t="b">
        <v>0</v>
      </c>
      <c r="AI1315" t="s">
        <v>4829</v>
      </c>
      <c r="AK1315" s="78" t="s">
        <v>4640</v>
      </c>
      <c r="AL1315" t="b">
        <v>0</v>
      </c>
      <c r="AM1315">
        <v>0</v>
      </c>
      <c r="AN1315" s="78" t="s">
        <v>4640</v>
      </c>
      <c r="AO1315" s="78" t="s">
        <v>4850</v>
      </c>
      <c r="AP1315" t="b">
        <v>0</v>
      </c>
      <c r="AQ1315" s="78" t="s">
        <v>4498</v>
      </c>
      <c r="AR1315" t="s">
        <v>179</v>
      </c>
      <c r="AS1315">
        <v>0</v>
      </c>
      <c r="AT1315">
        <v>0</v>
      </c>
    </row>
    <row r="1316" spans="1:46" x14ac:dyDescent="0.45">
      <c r="A1316" s="62" t="s">
        <v>222</v>
      </c>
      <c r="B1316" s="62" t="s">
        <v>242</v>
      </c>
      <c r="C1316" s="63"/>
      <c r="D1316" s="64"/>
      <c r="E1316" s="65"/>
      <c r="F1316" s="66"/>
      <c r="G1316" s="63"/>
      <c r="H1316" s="67"/>
      <c r="I1316" s="68"/>
      <c r="J1316" s="68"/>
      <c r="K1316" s="32"/>
      <c r="L1316" s="75"/>
      <c r="M1316" s="75"/>
      <c r="N1316" s="70"/>
      <c r="O1316" t="s">
        <v>1567</v>
      </c>
      <c r="P1316" s="76">
        <v>44958.2971412037</v>
      </c>
      <c r="Q1316" t="s">
        <v>1576</v>
      </c>
      <c r="V1316" s="77" t="str">
        <f>HYPERLINK("https://pbs.twimg.com/profile_images/1602970362588942343/68abIY8s_normal.png")</f>
        <v>https://pbs.twimg.com/profile_images/1602970362588942343/68abIY8s_normal.png</v>
      </c>
      <c r="W1316" s="76">
        <v>44958.2971412037</v>
      </c>
      <c r="X1316" s="80">
        <v>44958</v>
      </c>
      <c r="Y1316" s="78" t="s">
        <v>2425</v>
      </c>
      <c r="Z1316" s="77" t="str">
        <f>HYPERLINK("https://twitter.com/ivicam10/status/1620680320210321408")</f>
        <v>https://twitter.com/ivicam10/status/1620680320210321408</v>
      </c>
      <c r="AC1316" s="78" t="s">
        <v>3440</v>
      </c>
      <c r="AD1316" s="78" t="s">
        <v>4498</v>
      </c>
      <c r="AE1316" t="b">
        <v>0</v>
      </c>
      <c r="AF1316">
        <v>1</v>
      </c>
      <c r="AG1316" s="78" t="s">
        <v>4639</v>
      </c>
      <c r="AH1316" t="b">
        <v>0</v>
      </c>
      <c r="AI1316" t="s">
        <v>4829</v>
      </c>
      <c r="AK1316" s="78" t="s">
        <v>4640</v>
      </c>
      <c r="AL1316" t="b">
        <v>0</v>
      </c>
      <c r="AM1316">
        <v>0</v>
      </c>
      <c r="AN1316" s="78" t="s">
        <v>4640</v>
      </c>
      <c r="AO1316" s="78" t="s">
        <v>4850</v>
      </c>
      <c r="AP1316" t="b">
        <v>0</v>
      </c>
      <c r="AQ1316" s="78" t="s">
        <v>4498</v>
      </c>
      <c r="AR1316" t="s">
        <v>179</v>
      </c>
      <c r="AS1316">
        <v>0</v>
      </c>
      <c r="AT1316">
        <v>0</v>
      </c>
    </row>
    <row r="1317" spans="1:46" x14ac:dyDescent="0.45">
      <c r="A1317" s="62" t="s">
        <v>242</v>
      </c>
      <c r="B1317" s="62" t="s">
        <v>243</v>
      </c>
      <c r="C1317" s="63"/>
      <c r="D1317" s="64"/>
      <c r="E1317" s="65"/>
      <c r="F1317" s="66"/>
      <c r="G1317" s="63"/>
      <c r="H1317" s="67"/>
      <c r="I1317" s="68"/>
      <c r="J1317" s="68"/>
      <c r="K1317" s="32"/>
      <c r="L1317" s="75"/>
      <c r="M1317" s="75"/>
      <c r="N1317" s="70"/>
      <c r="O1317" t="s">
        <v>1567</v>
      </c>
      <c r="P1317" s="76">
        <v>44958.395266203705</v>
      </c>
      <c r="Q1317" t="s">
        <v>1593</v>
      </c>
      <c r="V1317" s="77" t="str">
        <f>HYPERLINK("https://pbs.twimg.com/profile_images/1614031605676253184/n4E7yeWV_normal.jpg")</f>
        <v>https://pbs.twimg.com/profile_images/1614031605676253184/n4E7yeWV_normal.jpg</v>
      </c>
      <c r="W1317" s="76">
        <v>44958.395266203705</v>
      </c>
      <c r="X1317" s="80">
        <v>44958</v>
      </c>
      <c r="Y1317" s="78" t="s">
        <v>2446</v>
      </c>
      <c r="Z1317" s="77" t="str">
        <f>HYPERLINK("https://twitter.com/walmart/status/1620715877422219264")</f>
        <v>https://twitter.com/walmart/status/1620715877422219264</v>
      </c>
      <c r="AC1317" s="78" t="s">
        <v>3461</v>
      </c>
      <c r="AD1317" s="78" t="s">
        <v>4509</v>
      </c>
      <c r="AE1317" t="b">
        <v>0</v>
      </c>
      <c r="AF1317">
        <v>1</v>
      </c>
      <c r="AG1317" s="78" t="s">
        <v>4653</v>
      </c>
      <c r="AH1317" t="b">
        <v>0</v>
      </c>
      <c r="AI1317" t="s">
        <v>4829</v>
      </c>
      <c r="AK1317" s="78" t="s">
        <v>4640</v>
      </c>
      <c r="AL1317" t="b">
        <v>0</v>
      </c>
      <c r="AM1317">
        <v>1</v>
      </c>
      <c r="AN1317" s="78" t="s">
        <v>4640</v>
      </c>
      <c r="AO1317" s="78" t="s">
        <v>4855</v>
      </c>
      <c r="AP1317" t="b">
        <v>0</v>
      </c>
      <c r="AQ1317" s="78" t="s">
        <v>4509</v>
      </c>
      <c r="AR1317" t="s">
        <v>1569</v>
      </c>
      <c r="AS1317">
        <v>0</v>
      </c>
      <c r="AT1317">
        <v>0</v>
      </c>
    </row>
    <row r="1318" spans="1:46" x14ac:dyDescent="0.45">
      <c r="A1318" s="62" t="s">
        <v>243</v>
      </c>
      <c r="B1318" s="62" t="s">
        <v>242</v>
      </c>
      <c r="C1318" s="63"/>
      <c r="D1318" s="64"/>
      <c r="E1318" s="65"/>
      <c r="F1318" s="66"/>
      <c r="G1318" s="63"/>
      <c r="H1318" s="67"/>
      <c r="I1318" s="68"/>
      <c r="J1318" s="68"/>
      <c r="K1318" s="32"/>
      <c r="L1318" s="75"/>
      <c r="M1318" s="75"/>
      <c r="N1318" s="70"/>
      <c r="O1318" t="s">
        <v>1567</v>
      </c>
      <c r="P1318" s="76">
        <v>44958.395868055559</v>
      </c>
      <c r="Q1318" t="s">
        <v>1594</v>
      </c>
      <c r="V1318" s="77" t="str">
        <f>HYPERLINK("https://pbs.twimg.com/profile_images/1563508734818586629/f9V9-80I_normal.jpg")</f>
        <v>https://pbs.twimg.com/profile_images/1563508734818586629/f9V9-80I_normal.jpg</v>
      </c>
      <c r="W1318" s="76">
        <v>44958.395868055559</v>
      </c>
      <c r="X1318" s="80">
        <v>44958</v>
      </c>
      <c r="Y1318" s="78" t="s">
        <v>2447</v>
      </c>
      <c r="Z1318" s="77" t="str">
        <f>HYPERLINK("https://twitter.com/jeonsleeve/status/1620716097774452736")</f>
        <v>https://twitter.com/jeonsleeve/status/1620716097774452736</v>
      </c>
      <c r="AC1318" s="78" t="s">
        <v>3462</v>
      </c>
      <c r="AD1318" s="78" t="s">
        <v>3461</v>
      </c>
      <c r="AE1318" t="b">
        <v>0</v>
      </c>
      <c r="AF1318">
        <v>1</v>
      </c>
      <c r="AG1318" s="78" t="s">
        <v>4639</v>
      </c>
      <c r="AH1318" t="b">
        <v>0</v>
      </c>
      <c r="AI1318" t="s">
        <v>4829</v>
      </c>
      <c r="AK1318" s="78" t="s">
        <v>4640</v>
      </c>
      <c r="AL1318" t="b">
        <v>0</v>
      </c>
      <c r="AM1318">
        <v>0</v>
      </c>
      <c r="AN1318" s="78" t="s">
        <v>4640</v>
      </c>
      <c r="AO1318" s="78" t="s">
        <v>4849</v>
      </c>
      <c r="AP1318" t="b">
        <v>0</v>
      </c>
      <c r="AQ1318" s="78" t="s">
        <v>3461</v>
      </c>
      <c r="AR1318" t="s">
        <v>179</v>
      </c>
      <c r="AS1318">
        <v>0</v>
      </c>
      <c r="AT1318">
        <v>0</v>
      </c>
    </row>
    <row r="1319" spans="1:46" x14ac:dyDescent="0.45">
      <c r="A1319" s="62" t="s">
        <v>244</v>
      </c>
      <c r="B1319" s="62" t="s">
        <v>1149</v>
      </c>
      <c r="C1319" s="63"/>
      <c r="D1319" s="64"/>
      <c r="E1319" s="65"/>
      <c r="F1319" s="66"/>
      <c r="G1319" s="63"/>
      <c r="H1319" s="67"/>
      <c r="I1319" s="68"/>
      <c r="J1319" s="68"/>
      <c r="K1319" s="32"/>
      <c r="L1319" s="75"/>
      <c r="M1319" s="75"/>
      <c r="N1319" s="70"/>
      <c r="O1319" t="s">
        <v>1568</v>
      </c>
      <c r="P1319" s="76">
        <v>44958.406377314815</v>
      </c>
      <c r="Q1319" t="s">
        <v>1595</v>
      </c>
      <c r="V1319" s="77" t="str">
        <f>HYPERLINK("https://pbs.twimg.com/profile_images/1570995168643260416/Q9m-J5oH_normal.jpg")</f>
        <v>https://pbs.twimg.com/profile_images/1570995168643260416/Q9m-J5oH_normal.jpg</v>
      </c>
      <c r="W1319" s="76">
        <v>44958.406377314815</v>
      </c>
      <c r="X1319" s="80">
        <v>44958</v>
      </c>
      <c r="Y1319" s="78" t="s">
        <v>2449</v>
      </c>
      <c r="Z1319" s="77" t="str">
        <f>HYPERLINK("https://twitter.com/cardcomicbeard/status/1620719905397153792")</f>
        <v>https://twitter.com/cardcomicbeard/status/1620719905397153792</v>
      </c>
      <c r="AC1319" s="78" t="s">
        <v>3464</v>
      </c>
      <c r="AD1319" s="78" t="s">
        <v>4510</v>
      </c>
      <c r="AE1319" t="b">
        <v>0</v>
      </c>
      <c r="AF1319">
        <v>1</v>
      </c>
      <c r="AG1319" s="78" t="s">
        <v>4654</v>
      </c>
      <c r="AH1319" t="b">
        <v>0</v>
      </c>
      <c r="AI1319" t="s">
        <v>4829</v>
      </c>
      <c r="AK1319" s="78" t="s">
        <v>4640</v>
      </c>
      <c r="AL1319" t="b">
        <v>0</v>
      </c>
      <c r="AM1319">
        <v>0</v>
      </c>
      <c r="AN1319" s="78" t="s">
        <v>4640</v>
      </c>
      <c r="AO1319" s="78" t="s">
        <v>4850</v>
      </c>
      <c r="AP1319" t="b">
        <v>0</v>
      </c>
      <c r="AQ1319" s="78" t="s">
        <v>4510</v>
      </c>
      <c r="AR1319" t="s">
        <v>179</v>
      </c>
      <c r="AS1319">
        <v>0</v>
      </c>
      <c r="AT1319">
        <v>0</v>
      </c>
    </row>
    <row r="1320" spans="1:46" x14ac:dyDescent="0.45">
      <c r="A1320" s="62" t="s">
        <v>244</v>
      </c>
      <c r="B1320" s="62" t="s">
        <v>1150</v>
      </c>
      <c r="C1320" s="63"/>
      <c r="D1320" s="64"/>
      <c r="E1320" s="65"/>
      <c r="F1320" s="66"/>
      <c r="G1320" s="63"/>
      <c r="H1320" s="67"/>
      <c r="I1320" s="68"/>
      <c r="J1320" s="68"/>
      <c r="K1320" s="32"/>
      <c r="L1320" s="75"/>
      <c r="M1320" s="75"/>
      <c r="N1320" s="70"/>
      <c r="O1320" t="s">
        <v>1567</v>
      </c>
      <c r="P1320" s="76">
        <v>44958.406377314815</v>
      </c>
      <c r="Q1320" t="s">
        <v>1595</v>
      </c>
      <c r="V1320" s="77" t="str">
        <f>HYPERLINK("https://pbs.twimg.com/profile_images/1570995168643260416/Q9m-J5oH_normal.jpg")</f>
        <v>https://pbs.twimg.com/profile_images/1570995168643260416/Q9m-J5oH_normal.jpg</v>
      </c>
      <c r="W1320" s="76">
        <v>44958.406377314815</v>
      </c>
      <c r="X1320" s="80">
        <v>44958</v>
      </c>
      <c r="Y1320" s="78" t="s">
        <v>2449</v>
      </c>
      <c r="Z1320" s="77" t="str">
        <f>HYPERLINK("https://twitter.com/cardcomicbeard/status/1620719905397153792")</f>
        <v>https://twitter.com/cardcomicbeard/status/1620719905397153792</v>
      </c>
      <c r="AC1320" s="78" t="s">
        <v>3464</v>
      </c>
      <c r="AD1320" s="78" t="s">
        <v>4510</v>
      </c>
      <c r="AE1320" t="b">
        <v>0</v>
      </c>
      <c r="AF1320">
        <v>1</v>
      </c>
      <c r="AG1320" s="78" t="s">
        <v>4654</v>
      </c>
      <c r="AH1320" t="b">
        <v>0</v>
      </c>
      <c r="AI1320" t="s">
        <v>4829</v>
      </c>
      <c r="AK1320" s="78" t="s">
        <v>4640</v>
      </c>
      <c r="AL1320" t="b">
        <v>0</v>
      </c>
      <c r="AM1320">
        <v>0</v>
      </c>
      <c r="AN1320" s="78" t="s">
        <v>4640</v>
      </c>
      <c r="AO1320" s="78" t="s">
        <v>4850</v>
      </c>
      <c r="AP1320" t="b">
        <v>0</v>
      </c>
      <c r="AQ1320" s="78" t="s">
        <v>4510</v>
      </c>
      <c r="AR1320" t="s">
        <v>179</v>
      </c>
      <c r="AS1320">
        <v>0</v>
      </c>
      <c r="AT1320">
        <v>0</v>
      </c>
    </row>
    <row r="1321" spans="1:46" x14ac:dyDescent="0.45">
      <c r="A1321" s="62" t="s">
        <v>244</v>
      </c>
      <c r="B1321" s="62" t="s">
        <v>242</v>
      </c>
      <c r="C1321" s="63"/>
      <c r="D1321" s="64"/>
      <c r="E1321" s="65"/>
      <c r="F1321" s="66"/>
      <c r="G1321" s="63"/>
      <c r="H1321" s="67"/>
      <c r="I1321" s="68"/>
      <c r="J1321" s="68"/>
      <c r="K1321" s="32"/>
      <c r="L1321" s="75"/>
      <c r="M1321" s="75"/>
      <c r="N1321" s="70"/>
      <c r="O1321" t="s">
        <v>1568</v>
      </c>
      <c r="P1321" s="76">
        <v>44958.406377314815</v>
      </c>
      <c r="Q1321" t="s">
        <v>1595</v>
      </c>
      <c r="V1321" s="77" t="str">
        <f>HYPERLINK("https://pbs.twimg.com/profile_images/1570995168643260416/Q9m-J5oH_normal.jpg")</f>
        <v>https://pbs.twimg.com/profile_images/1570995168643260416/Q9m-J5oH_normal.jpg</v>
      </c>
      <c r="W1321" s="76">
        <v>44958.406377314815</v>
      </c>
      <c r="X1321" s="80">
        <v>44958</v>
      </c>
      <c r="Y1321" s="78" t="s">
        <v>2449</v>
      </c>
      <c r="Z1321" s="77" t="str">
        <f>HYPERLINK("https://twitter.com/cardcomicbeard/status/1620719905397153792")</f>
        <v>https://twitter.com/cardcomicbeard/status/1620719905397153792</v>
      </c>
      <c r="AC1321" s="78" t="s">
        <v>3464</v>
      </c>
      <c r="AD1321" s="78" t="s">
        <v>4510</v>
      </c>
      <c r="AE1321" t="b">
        <v>0</v>
      </c>
      <c r="AF1321">
        <v>1</v>
      </c>
      <c r="AG1321" s="78" t="s">
        <v>4654</v>
      </c>
      <c r="AH1321" t="b">
        <v>0</v>
      </c>
      <c r="AI1321" t="s">
        <v>4829</v>
      </c>
      <c r="AK1321" s="78" t="s">
        <v>4640</v>
      </c>
      <c r="AL1321" t="b">
        <v>0</v>
      </c>
      <c r="AM1321">
        <v>0</v>
      </c>
      <c r="AN1321" s="78" t="s">
        <v>4640</v>
      </c>
      <c r="AO1321" s="78" t="s">
        <v>4850</v>
      </c>
      <c r="AP1321" t="b">
        <v>0</v>
      </c>
      <c r="AQ1321" s="78" t="s">
        <v>4510</v>
      </c>
      <c r="AR1321" t="s">
        <v>179</v>
      </c>
      <c r="AS1321">
        <v>0</v>
      </c>
      <c r="AT1321">
        <v>0</v>
      </c>
    </row>
    <row r="1322" spans="1:46" x14ac:dyDescent="0.45">
      <c r="A1322" s="62" t="s">
        <v>242</v>
      </c>
      <c r="B1322" s="62" t="s">
        <v>254</v>
      </c>
      <c r="C1322" s="63"/>
      <c r="D1322" s="64"/>
      <c r="E1322" s="65"/>
      <c r="F1322" s="66"/>
      <c r="G1322" s="63"/>
      <c r="H1322" s="67"/>
      <c r="I1322" s="68"/>
      <c r="J1322" s="68"/>
      <c r="K1322" s="32"/>
      <c r="L1322" s="75"/>
      <c r="M1322" s="75"/>
      <c r="N1322" s="70"/>
      <c r="O1322" t="s">
        <v>1567</v>
      </c>
      <c r="P1322" s="76">
        <v>44958.181238425925</v>
      </c>
      <c r="Q1322" t="s">
        <v>1602</v>
      </c>
      <c r="V1322" s="77" t="str">
        <f>HYPERLINK("https://pbs.twimg.com/profile_images/1614031605676253184/n4E7yeWV_normal.jpg")</f>
        <v>https://pbs.twimg.com/profile_images/1614031605676253184/n4E7yeWV_normal.jpg</v>
      </c>
      <c r="W1322" s="76">
        <v>44958.181238425925</v>
      </c>
      <c r="X1322" s="80">
        <v>44958</v>
      </c>
      <c r="Y1322" s="78" t="s">
        <v>2459</v>
      </c>
      <c r="Z1322" s="77" t="str">
        <f>HYPERLINK("https://twitter.com/walmart/status/1620638318403756032")</f>
        <v>https://twitter.com/walmart/status/1620638318403756032</v>
      </c>
      <c r="AC1322" s="78" t="s">
        <v>3474</v>
      </c>
      <c r="AD1322" s="78" t="s">
        <v>4512</v>
      </c>
      <c r="AE1322" t="b">
        <v>0</v>
      </c>
      <c r="AF1322">
        <v>1</v>
      </c>
      <c r="AG1322" s="78" t="s">
        <v>4656</v>
      </c>
      <c r="AH1322" t="b">
        <v>0</v>
      </c>
      <c r="AI1322" t="s">
        <v>4829</v>
      </c>
      <c r="AK1322" s="78" t="s">
        <v>4640</v>
      </c>
      <c r="AL1322" t="b">
        <v>0</v>
      </c>
      <c r="AM1322">
        <v>1</v>
      </c>
      <c r="AN1322" s="78" t="s">
        <v>4640</v>
      </c>
      <c r="AO1322" s="78" t="s">
        <v>4855</v>
      </c>
      <c r="AP1322" t="b">
        <v>0</v>
      </c>
      <c r="AQ1322" s="78" t="s">
        <v>4512</v>
      </c>
      <c r="AR1322" t="s">
        <v>1569</v>
      </c>
      <c r="AS1322">
        <v>0</v>
      </c>
      <c r="AT1322">
        <v>0</v>
      </c>
    </row>
    <row r="1323" spans="1:46" x14ac:dyDescent="0.45">
      <c r="A1323" s="62" t="s">
        <v>257</v>
      </c>
      <c r="B1323" s="62" t="s">
        <v>1153</v>
      </c>
      <c r="C1323" s="63"/>
      <c r="D1323" s="64"/>
      <c r="E1323" s="65"/>
      <c r="F1323" s="66"/>
      <c r="G1323" s="63"/>
      <c r="H1323" s="67"/>
      <c r="I1323" s="68"/>
      <c r="J1323" s="68"/>
      <c r="K1323" s="32"/>
      <c r="L1323" s="75"/>
      <c r="M1323" s="75"/>
      <c r="N1323" s="70"/>
      <c r="O1323" t="s">
        <v>1568</v>
      </c>
      <c r="P1323" s="76">
        <v>44958.460312499999</v>
      </c>
      <c r="Q1323" t="s">
        <v>1604</v>
      </c>
      <c r="V1323" s="77" t="str">
        <f>HYPERLINK("https://pbs.twimg.com/profile_images/1619428008619655169/QO52DsFb_normal.jpg")</f>
        <v>https://pbs.twimg.com/profile_images/1619428008619655169/QO52DsFb_normal.jpg</v>
      </c>
      <c r="W1323" s="76">
        <v>44958.460312499999</v>
      </c>
      <c r="X1323" s="80">
        <v>44958</v>
      </c>
      <c r="Y1323" s="78" t="s">
        <v>2463</v>
      </c>
      <c r="Z1323" s="77" t="str">
        <f>HYPERLINK("https://twitter.com/7lakeorenda/status/1620739449092214784")</f>
        <v>https://twitter.com/7lakeorenda/status/1620739449092214784</v>
      </c>
      <c r="AC1323" s="78" t="s">
        <v>3478</v>
      </c>
      <c r="AD1323" s="78" t="s">
        <v>4511</v>
      </c>
      <c r="AE1323" t="b">
        <v>0</v>
      </c>
      <c r="AF1323">
        <v>1</v>
      </c>
      <c r="AG1323" s="78" t="s">
        <v>4655</v>
      </c>
      <c r="AH1323" t="b">
        <v>0</v>
      </c>
      <c r="AI1323" t="s">
        <v>4829</v>
      </c>
      <c r="AK1323" s="78" t="s">
        <v>4640</v>
      </c>
      <c r="AL1323" t="b">
        <v>0</v>
      </c>
      <c r="AM1323">
        <v>0</v>
      </c>
      <c r="AN1323" s="78" t="s">
        <v>4640</v>
      </c>
      <c r="AO1323" s="78" t="s">
        <v>4852</v>
      </c>
      <c r="AP1323" t="b">
        <v>0</v>
      </c>
      <c r="AQ1323" s="78" t="s">
        <v>4511</v>
      </c>
      <c r="AR1323" t="s">
        <v>179</v>
      </c>
      <c r="AS1323">
        <v>0</v>
      </c>
      <c r="AT1323">
        <v>0</v>
      </c>
    </row>
    <row r="1324" spans="1:46" x14ac:dyDescent="0.45">
      <c r="A1324" s="62" t="s">
        <v>257</v>
      </c>
      <c r="B1324" s="62" t="s">
        <v>242</v>
      </c>
      <c r="C1324" s="63"/>
      <c r="D1324" s="64"/>
      <c r="E1324" s="65"/>
      <c r="F1324" s="66"/>
      <c r="G1324" s="63"/>
      <c r="H1324" s="67"/>
      <c r="I1324" s="68"/>
      <c r="J1324" s="68"/>
      <c r="K1324" s="32"/>
      <c r="L1324" s="75"/>
      <c r="M1324" s="75"/>
      <c r="N1324" s="70"/>
      <c r="O1324" t="s">
        <v>1568</v>
      </c>
      <c r="P1324" s="76">
        <v>44958.460312499999</v>
      </c>
      <c r="Q1324" t="s">
        <v>1604</v>
      </c>
      <c r="V1324" s="77" t="str">
        <f>HYPERLINK("https://pbs.twimg.com/profile_images/1619428008619655169/QO52DsFb_normal.jpg")</f>
        <v>https://pbs.twimg.com/profile_images/1619428008619655169/QO52DsFb_normal.jpg</v>
      </c>
      <c r="W1324" s="76">
        <v>44958.460312499999</v>
      </c>
      <c r="X1324" s="80">
        <v>44958</v>
      </c>
      <c r="Y1324" s="78" t="s">
        <v>2463</v>
      </c>
      <c r="Z1324" s="77" t="str">
        <f>HYPERLINK("https://twitter.com/7lakeorenda/status/1620739449092214784")</f>
        <v>https://twitter.com/7lakeorenda/status/1620739449092214784</v>
      </c>
      <c r="AC1324" s="78" t="s">
        <v>3478</v>
      </c>
      <c r="AD1324" s="78" t="s">
        <v>4511</v>
      </c>
      <c r="AE1324" t="b">
        <v>0</v>
      </c>
      <c r="AF1324">
        <v>1</v>
      </c>
      <c r="AG1324" s="78" t="s">
        <v>4655</v>
      </c>
      <c r="AH1324" t="b">
        <v>0</v>
      </c>
      <c r="AI1324" t="s">
        <v>4829</v>
      </c>
      <c r="AK1324" s="78" t="s">
        <v>4640</v>
      </c>
      <c r="AL1324" t="b">
        <v>0</v>
      </c>
      <c r="AM1324">
        <v>0</v>
      </c>
      <c r="AN1324" s="78" t="s">
        <v>4640</v>
      </c>
      <c r="AO1324" s="78" t="s">
        <v>4852</v>
      </c>
      <c r="AP1324" t="b">
        <v>0</v>
      </c>
      <c r="AQ1324" s="78" t="s">
        <v>4511</v>
      </c>
      <c r="AR1324" t="s">
        <v>179</v>
      </c>
      <c r="AS1324">
        <v>0</v>
      </c>
      <c r="AT1324">
        <v>0</v>
      </c>
    </row>
    <row r="1325" spans="1:46" x14ac:dyDescent="0.45">
      <c r="A1325" s="62" t="s">
        <v>257</v>
      </c>
      <c r="B1325" s="62" t="s">
        <v>1151</v>
      </c>
      <c r="C1325" s="63"/>
      <c r="D1325" s="64"/>
      <c r="E1325" s="65"/>
      <c r="F1325" s="66"/>
      <c r="G1325" s="63"/>
      <c r="H1325" s="67"/>
      <c r="I1325" s="68"/>
      <c r="J1325" s="68"/>
      <c r="K1325" s="32"/>
      <c r="L1325" s="75"/>
      <c r="M1325" s="75"/>
      <c r="N1325" s="70"/>
      <c r="O1325" t="s">
        <v>1567</v>
      </c>
      <c r="P1325" s="76">
        <v>44958.460312499999</v>
      </c>
      <c r="Q1325" t="s">
        <v>1604</v>
      </c>
      <c r="V1325" s="77" t="str">
        <f>HYPERLINK("https://pbs.twimg.com/profile_images/1619428008619655169/QO52DsFb_normal.jpg")</f>
        <v>https://pbs.twimg.com/profile_images/1619428008619655169/QO52DsFb_normal.jpg</v>
      </c>
      <c r="W1325" s="76">
        <v>44958.460312499999</v>
      </c>
      <c r="X1325" s="80">
        <v>44958</v>
      </c>
      <c r="Y1325" s="78" t="s">
        <v>2463</v>
      </c>
      <c r="Z1325" s="77" t="str">
        <f>HYPERLINK("https://twitter.com/7lakeorenda/status/1620739449092214784")</f>
        <v>https://twitter.com/7lakeorenda/status/1620739449092214784</v>
      </c>
      <c r="AC1325" s="78" t="s">
        <v>3478</v>
      </c>
      <c r="AD1325" s="78" t="s">
        <v>4511</v>
      </c>
      <c r="AE1325" t="b">
        <v>0</v>
      </c>
      <c r="AF1325">
        <v>1</v>
      </c>
      <c r="AG1325" s="78" t="s">
        <v>4655</v>
      </c>
      <c r="AH1325" t="b">
        <v>0</v>
      </c>
      <c r="AI1325" t="s">
        <v>4829</v>
      </c>
      <c r="AK1325" s="78" t="s">
        <v>4640</v>
      </c>
      <c r="AL1325" t="b">
        <v>0</v>
      </c>
      <c r="AM1325">
        <v>0</v>
      </c>
      <c r="AN1325" s="78" t="s">
        <v>4640</v>
      </c>
      <c r="AO1325" s="78" t="s">
        <v>4852</v>
      </c>
      <c r="AP1325" t="b">
        <v>0</v>
      </c>
      <c r="AQ1325" s="78" t="s">
        <v>4511</v>
      </c>
      <c r="AR1325" t="s">
        <v>179</v>
      </c>
      <c r="AS1325">
        <v>0</v>
      </c>
      <c r="AT1325">
        <v>0</v>
      </c>
    </row>
    <row r="1326" spans="1:46" x14ac:dyDescent="0.45">
      <c r="A1326" s="62" t="s">
        <v>262</v>
      </c>
      <c r="B1326" s="62" t="s">
        <v>1154</v>
      </c>
      <c r="C1326" s="63"/>
      <c r="D1326" s="64"/>
      <c r="E1326" s="65"/>
      <c r="F1326" s="66"/>
      <c r="G1326" s="63"/>
      <c r="H1326" s="67"/>
      <c r="I1326" s="68"/>
      <c r="J1326" s="68"/>
      <c r="K1326" s="32"/>
      <c r="L1326" s="75"/>
      <c r="M1326" s="75"/>
      <c r="N1326" s="70"/>
      <c r="O1326" t="s">
        <v>1567</v>
      </c>
      <c r="P1326" s="76">
        <v>44958.476574074077</v>
      </c>
      <c r="Q1326" t="s">
        <v>1608</v>
      </c>
      <c r="V1326" s="77" t="str">
        <f>HYPERLINK("https://pbs.twimg.com/profile_images/820739293761208324/sg-15WZg_normal.jpg")</f>
        <v>https://pbs.twimg.com/profile_images/820739293761208324/sg-15WZg_normal.jpg</v>
      </c>
      <c r="W1326" s="76">
        <v>44958.476574074077</v>
      </c>
      <c r="X1326" s="80">
        <v>44958</v>
      </c>
      <c r="Y1326" s="78" t="s">
        <v>2468</v>
      </c>
      <c r="Z1326" s="77" t="str">
        <f>HYPERLINK("https://twitter.com/garsea108/status/1620745342944743425")</f>
        <v>https://twitter.com/garsea108/status/1620745342944743425</v>
      </c>
      <c r="AC1326" s="78" t="s">
        <v>3483</v>
      </c>
      <c r="AD1326" s="78" t="s">
        <v>4513</v>
      </c>
      <c r="AE1326" t="b">
        <v>0</v>
      </c>
      <c r="AF1326">
        <v>1</v>
      </c>
      <c r="AG1326" s="78" t="s">
        <v>4657</v>
      </c>
      <c r="AH1326" t="b">
        <v>0</v>
      </c>
      <c r="AI1326" t="s">
        <v>4829</v>
      </c>
      <c r="AK1326" s="78" t="s">
        <v>4640</v>
      </c>
      <c r="AL1326" t="b">
        <v>0</v>
      </c>
      <c r="AM1326">
        <v>0</v>
      </c>
      <c r="AN1326" s="78" t="s">
        <v>4640</v>
      </c>
      <c r="AO1326" s="78" t="s">
        <v>4849</v>
      </c>
      <c r="AP1326" t="b">
        <v>0</v>
      </c>
      <c r="AQ1326" s="78" t="s">
        <v>4513</v>
      </c>
      <c r="AR1326" t="s">
        <v>179</v>
      </c>
      <c r="AS1326">
        <v>0</v>
      </c>
      <c r="AT1326">
        <v>0</v>
      </c>
    </row>
    <row r="1327" spans="1:46" x14ac:dyDescent="0.45">
      <c r="A1327" s="62" t="s">
        <v>262</v>
      </c>
      <c r="B1327" s="62" t="s">
        <v>242</v>
      </c>
      <c r="C1327" s="63"/>
      <c r="D1327" s="64"/>
      <c r="E1327" s="65"/>
      <c r="F1327" s="66"/>
      <c r="G1327" s="63"/>
      <c r="H1327" s="67"/>
      <c r="I1327" s="68"/>
      <c r="J1327" s="68"/>
      <c r="K1327" s="32"/>
      <c r="L1327" s="75"/>
      <c r="M1327" s="75"/>
      <c r="N1327" s="70"/>
      <c r="O1327" t="s">
        <v>1568</v>
      </c>
      <c r="P1327" s="76">
        <v>44958.476574074077</v>
      </c>
      <c r="Q1327" t="s">
        <v>1608</v>
      </c>
      <c r="V1327" s="77" t="str">
        <f>HYPERLINK("https://pbs.twimg.com/profile_images/820739293761208324/sg-15WZg_normal.jpg")</f>
        <v>https://pbs.twimg.com/profile_images/820739293761208324/sg-15WZg_normal.jpg</v>
      </c>
      <c r="W1327" s="76">
        <v>44958.476574074077</v>
      </c>
      <c r="X1327" s="80">
        <v>44958</v>
      </c>
      <c r="Y1327" s="78" t="s">
        <v>2468</v>
      </c>
      <c r="Z1327" s="77" t="str">
        <f>HYPERLINK("https://twitter.com/garsea108/status/1620745342944743425")</f>
        <v>https://twitter.com/garsea108/status/1620745342944743425</v>
      </c>
      <c r="AC1327" s="78" t="s">
        <v>3483</v>
      </c>
      <c r="AD1327" s="78" t="s">
        <v>4513</v>
      </c>
      <c r="AE1327" t="b">
        <v>0</v>
      </c>
      <c r="AF1327">
        <v>1</v>
      </c>
      <c r="AG1327" s="78" t="s">
        <v>4657</v>
      </c>
      <c r="AH1327" t="b">
        <v>0</v>
      </c>
      <c r="AI1327" t="s">
        <v>4829</v>
      </c>
      <c r="AK1327" s="78" t="s">
        <v>4640</v>
      </c>
      <c r="AL1327" t="b">
        <v>0</v>
      </c>
      <c r="AM1327">
        <v>0</v>
      </c>
      <c r="AN1327" s="78" t="s">
        <v>4640</v>
      </c>
      <c r="AO1327" s="78" t="s">
        <v>4849</v>
      </c>
      <c r="AP1327" t="b">
        <v>0</v>
      </c>
      <c r="AQ1327" s="78" t="s">
        <v>4513</v>
      </c>
      <c r="AR1327" t="s">
        <v>179</v>
      </c>
      <c r="AS1327">
        <v>0</v>
      </c>
      <c r="AT1327">
        <v>0</v>
      </c>
    </row>
    <row r="1328" spans="1:46" x14ac:dyDescent="0.45">
      <c r="A1328" s="62" t="s">
        <v>291</v>
      </c>
      <c r="B1328" s="62" t="s">
        <v>242</v>
      </c>
      <c r="C1328" s="63"/>
      <c r="D1328" s="64"/>
      <c r="E1328" s="65"/>
      <c r="F1328" s="66"/>
      <c r="G1328" s="63"/>
      <c r="H1328" s="67"/>
      <c r="I1328" s="68"/>
      <c r="J1328" s="68"/>
      <c r="K1328" s="32"/>
      <c r="L1328" s="75"/>
      <c r="M1328" s="75"/>
      <c r="N1328" s="70"/>
      <c r="O1328" t="s">
        <v>1568</v>
      </c>
      <c r="P1328" s="76">
        <v>44958.567256944443</v>
      </c>
      <c r="Q1328" t="s">
        <v>1635</v>
      </c>
      <c r="V1328" s="77" t="str">
        <f>HYPERLINK("https://pbs.twimg.com/profile_images/1605620021719334915/ZgR2r50U_normal.jpg")</f>
        <v>https://pbs.twimg.com/profile_images/1605620021719334915/ZgR2r50U_normal.jpg</v>
      </c>
      <c r="W1328" s="76">
        <v>44958.567256944443</v>
      </c>
      <c r="X1328" s="80">
        <v>44958</v>
      </c>
      <c r="Y1328" s="78" t="s">
        <v>2500</v>
      </c>
      <c r="Z1328" s="77" t="str">
        <f>HYPERLINK("https://twitter.com/manndowwn/status/1620778206067568643")</f>
        <v>https://twitter.com/manndowwn/status/1620778206067568643</v>
      </c>
      <c r="AC1328" s="78" t="s">
        <v>3515</v>
      </c>
      <c r="AE1328" t="b">
        <v>0</v>
      </c>
      <c r="AF1328">
        <v>1</v>
      </c>
      <c r="AG1328" s="78" t="s">
        <v>4640</v>
      </c>
      <c r="AH1328" t="b">
        <v>0</v>
      </c>
      <c r="AI1328" t="s">
        <v>4829</v>
      </c>
      <c r="AK1328" s="78" t="s">
        <v>4640</v>
      </c>
      <c r="AL1328" t="b">
        <v>0</v>
      </c>
      <c r="AM1328">
        <v>0</v>
      </c>
      <c r="AN1328" s="78" t="s">
        <v>4640</v>
      </c>
      <c r="AO1328" s="78" t="s">
        <v>4849</v>
      </c>
      <c r="AP1328" t="b">
        <v>0</v>
      </c>
      <c r="AQ1328" s="78" t="s">
        <v>3515</v>
      </c>
      <c r="AR1328" t="s">
        <v>179</v>
      </c>
      <c r="AS1328">
        <v>0</v>
      </c>
      <c r="AT1328">
        <v>0</v>
      </c>
    </row>
    <row r="1329" spans="1:46" x14ac:dyDescent="0.45">
      <c r="A1329" s="62" t="s">
        <v>298</v>
      </c>
      <c r="B1329" s="62" t="s">
        <v>1186</v>
      </c>
      <c r="C1329" s="63"/>
      <c r="D1329" s="64"/>
      <c r="E1329" s="65"/>
      <c r="F1329" s="66"/>
      <c r="G1329" s="63"/>
      <c r="H1329" s="67"/>
      <c r="I1329" s="68"/>
      <c r="J1329" s="68"/>
      <c r="K1329" s="32"/>
      <c r="L1329" s="75"/>
      <c r="M1329" s="75"/>
      <c r="N1329" s="70"/>
      <c r="O1329" t="s">
        <v>1567</v>
      </c>
      <c r="P1329" s="76">
        <v>44958.584050925929</v>
      </c>
      <c r="Q1329" t="s">
        <v>1641</v>
      </c>
      <c r="V1329" s="77" t="str">
        <f>HYPERLINK("https://pbs.twimg.com/profile_images/1561836711830663168/y_PpIZXD_normal.jpg")</f>
        <v>https://pbs.twimg.com/profile_images/1561836711830663168/y_PpIZXD_normal.jpg</v>
      </c>
      <c r="W1329" s="76">
        <v>44958.584050925929</v>
      </c>
      <c r="X1329" s="80">
        <v>44958</v>
      </c>
      <c r="Y1329" s="78" t="s">
        <v>2507</v>
      </c>
      <c r="Z1329" s="77" t="str">
        <f>HYPERLINK("https://twitter.com/bravocharlie322/status/1620784293135138818")</f>
        <v>https://twitter.com/bravocharlie322/status/1620784293135138818</v>
      </c>
      <c r="AC1329" s="78" t="s">
        <v>3522</v>
      </c>
      <c r="AD1329" s="78" t="s">
        <v>4518</v>
      </c>
      <c r="AE1329" t="b">
        <v>0</v>
      </c>
      <c r="AF1329">
        <v>1</v>
      </c>
      <c r="AG1329" s="78" t="s">
        <v>4668</v>
      </c>
      <c r="AH1329" t="b">
        <v>0</v>
      </c>
      <c r="AI1329" t="s">
        <v>4829</v>
      </c>
      <c r="AK1329" s="78" t="s">
        <v>4640</v>
      </c>
      <c r="AL1329" t="b">
        <v>0</v>
      </c>
      <c r="AM1329">
        <v>0</v>
      </c>
      <c r="AN1329" s="78" t="s">
        <v>4640</v>
      </c>
      <c r="AO1329" s="78" t="s">
        <v>4849</v>
      </c>
      <c r="AP1329" t="b">
        <v>0</v>
      </c>
      <c r="AQ1329" s="78" t="s">
        <v>4518</v>
      </c>
      <c r="AR1329" t="s">
        <v>179</v>
      </c>
      <c r="AS1329">
        <v>0</v>
      </c>
      <c r="AT1329">
        <v>0</v>
      </c>
    </row>
    <row r="1330" spans="1:46" x14ac:dyDescent="0.45">
      <c r="A1330" s="62" t="s">
        <v>298</v>
      </c>
      <c r="B1330" s="62" t="s">
        <v>242</v>
      </c>
      <c r="C1330" s="63"/>
      <c r="D1330" s="64"/>
      <c r="E1330" s="65"/>
      <c r="F1330" s="66"/>
      <c r="G1330" s="63"/>
      <c r="H1330" s="67"/>
      <c r="I1330" s="68"/>
      <c r="J1330" s="68"/>
      <c r="K1330" s="32"/>
      <c r="L1330" s="75"/>
      <c r="M1330" s="75"/>
      <c r="N1330" s="70"/>
      <c r="O1330" t="s">
        <v>1568</v>
      </c>
      <c r="P1330" s="76">
        <v>44958.584050925929</v>
      </c>
      <c r="Q1330" t="s">
        <v>1641</v>
      </c>
      <c r="V1330" s="77" t="str">
        <f>HYPERLINK("https://pbs.twimg.com/profile_images/1561836711830663168/y_PpIZXD_normal.jpg")</f>
        <v>https://pbs.twimg.com/profile_images/1561836711830663168/y_PpIZXD_normal.jpg</v>
      </c>
      <c r="W1330" s="76">
        <v>44958.584050925929</v>
      </c>
      <c r="X1330" s="80">
        <v>44958</v>
      </c>
      <c r="Y1330" s="78" t="s">
        <v>2507</v>
      </c>
      <c r="Z1330" s="77" t="str">
        <f>HYPERLINK("https://twitter.com/bravocharlie322/status/1620784293135138818")</f>
        <v>https://twitter.com/bravocharlie322/status/1620784293135138818</v>
      </c>
      <c r="AC1330" s="78" t="s">
        <v>3522</v>
      </c>
      <c r="AD1330" s="78" t="s">
        <v>4518</v>
      </c>
      <c r="AE1330" t="b">
        <v>0</v>
      </c>
      <c r="AF1330">
        <v>1</v>
      </c>
      <c r="AG1330" s="78" t="s">
        <v>4668</v>
      </c>
      <c r="AH1330" t="b">
        <v>0</v>
      </c>
      <c r="AI1330" t="s">
        <v>4829</v>
      </c>
      <c r="AK1330" s="78" t="s">
        <v>4640</v>
      </c>
      <c r="AL1330" t="b">
        <v>0</v>
      </c>
      <c r="AM1330">
        <v>0</v>
      </c>
      <c r="AN1330" s="78" t="s">
        <v>4640</v>
      </c>
      <c r="AO1330" s="78" t="s">
        <v>4849</v>
      </c>
      <c r="AP1330" t="b">
        <v>0</v>
      </c>
      <c r="AQ1330" s="78" t="s">
        <v>4518</v>
      </c>
      <c r="AR1330" t="s">
        <v>179</v>
      </c>
      <c r="AS1330">
        <v>0</v>
      </c>
      <c r="AT1330">
        <v>0</v>
      </c>
    </row>
    <row r="1331" spans="1:46" x14ac:dyDescent="0.45">
      <c r="A1331" s="62" t="s">
        <v>298</v>
      </c>
      <c r="B1331" s="62" t="s">
        <v>1181</v>
      </c>
      <c r="C1331" s="63"/>
      <c r="D1331" s="64"/>
      <c r="E1331" s="65"/>
      <c r="F1331" s="66"/>
      <c r="G1331" s="63"/>
      <c r="H1331" s="67"/>
      <c r="I1331" s="68"/>
      <c r="J1331" s="68"/>
      <c r="K1331" s="32"/>
      <c r="L1331" s="75"/>
      <c r="M1331" s="75"/>
      <c r="N1331" s="70"/>
      <c r="O1331" t="s">
        <v>1568</v>
      </c>
      <c r="P1331" s="76">
        <v>44958.584050925929</v>
      </c>
      <c r="Q1331" t="s">
        <v>1641</v>
      </c>
      <c r="V1331" s="77" t="str">
        <f>HYPERLINK("https://pbs.twimg.com/profile_images/1561836711830663168/y_PpIZXD_normal.jpg")</f>
        <v>https://pbs.twimg.com/profile_images/1561836711830663168/y_PpIZXD_normal.jpg</v>
      </c>
      <c r="W1331" s="76">
        <v>44958.584050925929</v>
      </c>
      <c r="X1331" s="80">
        <v>44958</v>
      </c>
      <c r="Y1331" s="78" t="s">
        <v>2507</v>
      </c>
      <c r="Z1331" s="77" t="str">
        <f>HYPERLINK("https://twitter.com/bravocharlie322/status/1620784293135138818")</f>
        <v>https://twitter.com/bravocharlie322/status/1620784293135138818</v>
      </c>
      <c r="AC1331" s="78" t="s">
        <v>3522</v>
      </c>
      <c r="AD1331" s="78" t="s">
        <v>4518</v>
      </c>
      <c r="AE1331" t="b">
        <v>0</v>
      </c>
      <c r="AF1331">
        <v>1</v>
      </c>
      <c r="AG1331" s="78" t="s">
        <v>4668</v>
      </c>
      <c r="AH1331" t="b">
        <v>0</v>
      </c>
      <c r="AI1331" t="s">
        <v>4829</v>
      </c>
      <c r="AK1331" s="78" t="s">
        <v>4640</v>
      </c>
      <c r="AL1331" t="b">
        <v>0</v>
      </c>
      <c r="AM1331">
        <v>0</v>
      </c>
      <c r="AN1331" s="78" t="s">
        <v>4640</v>
      </c>
      <c r="AO1331" s="78" t="s">
        <v>4849</v>
      </c>
      <c r="AP1331" t="b">
        <v>0</v>
      </c>
      <c r="AQ1331" s="78" t="s">
        <v>4518</v>
      </c>
      <c r="AR1331" t="s">
        <v>179</v>
      </c>
      <c r="AS1331">
        <v>0</v>
      </c>
      <c r="AT1331">
        <v>0</v>
      </c>
    </row>
    <row r="1332" spans="1:46" x14ac:dyDescent="0.45">
      <c r="A1332" s="62" t="s">
        <v>301</v>
      </c>
      <c r="B1332" s="62" t="s">
        <v>1187</v>
      </c>
      <c r="C1332" s="63"/>
      <c r="D1332" s="64"/>
      <c r="E1332" s="65"/>
      <c r="F1332" s="66"/>
      <c r="G1332" s="63"/>
      <c r="H1332" s="67"/>
      <c r="I1332" s="68"/>
      <c r="J1332" s="68"/>
      <c r="K1332" s="32"/>
      <c r="L1332" s="75"/>
      <c r="M1332" s="75"/>
      <c r="N1332" s="70"/>
      <c r="O1332" t="s">
        <v>1568</v>
      </c>
      <c r="P1332" s="76">
        <v>44958.594421296293</v>
      </c>
      <c r="Q1332" t="s">
        <v>1643</v>
      </c>
      <c r="V1332" s="77" t="str">
        <f>HYPERLINK("https://pbs.twimg.com/profile_images/1620568162776358913/hSiyPwOr_normal.jpg")</f>
        <v>https://pbs.twimg.com/profile_images/1620568162776358913/hSiyPwOr_normal.jpg</v>
      </c>
      <c r="W1332" s="76">
        <v>44958.594421296293</v>
      </c>
      <c r="X1332" s="80">
        <v>44958</v>
      </c>
      <c r="Y1332" s="78" t="s">
        <v>2510</v>
      </c>
      <c r="Z1332" s="77" t="str">
        <f>HYPERLINK("https://twitter.com/arielalts/status/1620788050627526657")</f>
        <v>https://twitter.com/arielalts/status/1620788050627526657</v>
      </c>
      <c r="AC1332" s="78" t="s">
        <v>3525</v>
      </c>
      <c r="AD1332" s="78" t="s">
        <v>4520</v>
      </c>
      <c r="AE1332" t="b">
        <v>0</v>
      </c>
      <c r="AF1332">
        <v>1</v>
      </c>
      <c r="AG1332" s="78" t="s">
        <v>4670</v>
      </c>
      <c r="AH1332" t="b">
        <v>0</v>
      </c>
      <c r="AI1332" t="s">
        <v>4829</v>
      </c>
      <c r="AK1332" s="78" t="s">
        <v>4640</v>
      </c>
      <c r="AL1332" t="b">
        <v>0</v>
      </c>
      <c r="AM1332">
        <v>0</v>
      </c>
      <c r="AN1332" s="78" t="s">
        <v>4640</v>
      </c>
      <c r="AO1332" s="78" t="s">
        <v>4851</v>
      </c>
      <c r="AP1332" t="b">
        <v>0</v>
      </c>
      <c r="AQ1332" s="78" t="s">
        <v>4520</v>
      </c>
      <c r="AR1332" t="s">
        <v>179</v>
      </c>
      <c r="AS1332">
        <v>0</v>
      </c>
      <c r="AT1332">
        <v>0</v>
      </c>
    </row>
    <row r="1333" spans="1:46" x14ac:dyDescent="0.45">
      <c r="A1333" s="62" t="s">
        <v>301</v>
      </c>
      <c r="B1333" s="62" t="s">
        <v>242</v>
      </c>
      <c r="C1333" s="63"/>
      <c r="D1333" s="64"/>
      <c r="E1333" s="65"/>
      <c r="F1333" s="66"/>
      <c r="G1333" s="63"/>
      <c r="H1333" s="67"/>
      <c r="I1333" s="68"/>
      <c r="J1333" s="68"/>
      <c r="K1333" s="32"/>
      <c r="L1333" s="75"/>
      <c r="M1333" s="75"/>
      <c r="N1333" s="70"/>
      <c r="O1333" t="s">
        <v>1568</v>
      </c>
      <c r="P1333" s="76">
        <v>44958.594421296293</v>
      </c>
      <c r="Q1333" t="s">
        <v>1643</v>
      </c>
      <c r="V1333" s="77" t="str">
        <f>HYPERLINK("https://pbs.twimg.com/profile_images/1620568162776358913/hSiyPwOr_normal.jpg")</f>
        <v>https://pbs.twimg.com/profile_images/1620568162776358913/hSiyPwOr_normal.jpg</v>
      </c>
      <c r="W1333" s="76">
        <v>44958.594421296293</v>
      </c>
      <c r="X1333" s="80">
        <v>44958</v>
      </c>
      <c r="Y1333" s="78" t="s">
        <v>2510</v>
      </c>
      <c r="Z1333" s="77" t="str">
        <f>HYPERLINK("https://twitter.com/arielalts/status/1620788050627526657")</f>
        <v>https://twitter.com/arielalts/status/1620788050627526657</v>
      </c>
      <c r="AC1333" s="78" t="s">
        <v>3525</v>
      </c>
      <c r="AD1333" s="78" t="s">
        <v>4520</v>
      </c>
      <c r="AE1333" t="b">
        <v>0</v>
      </c>
      <c r="AF1333">
        <v>1</v>
      </c>
      <c r="AG1333" s="78" t="s">
        <v>4670</v>
      </c>
      <c r="AH1333" t="b">
        <v>0</v>
      </c>
      <c r="AI1333" t="s">
        <v>4829</v>
      </c>
      <c r="AK1333" s="78" t="s">
        <v>4640</v>
      </c>
      <c r="AL1333" t="b">
        <v>0</v>
      </c>
      <c r="AM1333">
        <v>0</v>
      </c>
      <c r="AN1333" s="78" t="s">
        <v>4640</v>
      </c>
      <c r="AO1333" s="78" t="s">
        <v>4851</v>
      </c>
      <c r="AP1333" t="b">
        <v>0</v>
      </c>
      <c r="AQ1333" s="78" t="s">
        <v>4520</v>
      </c>
      <c r="AR1333" t="s">
        <v>179</v>
      </c>
      <c r="AS1333">
        <v>0</v>
      </c>
      <c r="AT1333">
        <v>0</v>
      </c>
    </row>
    <row r="1334" spans="1:46" x14ac:dyDescent="0.45">
      <c r="A1334" s="62" t="s">
        <v>301</v>
      </c>
      <c r="B1334" s="62" t="s">
        <v>1188</v>
      </c>
      <c r="C1334" s="63"/>
      <c r="D1334" s="64"/>
      <c r="E1334" s="65"/>
      <c r="F1334" s="66"/>
      <c r="G1334" s="63"/>
      <c r="H1334" s="67"/>
      <c r="I1334" s="68"/>
      <c r="J1334" s="68"/>
      <c r="K1334" s="32"/>
      <c r="L1334" s="75"/>
      <c r="M1334" s="75"/>
      <c r="N1334" s="70"/>
      <c r="O1334" t="s">
        <v>1568</v>
      </c>
      <c r="P1334" s="76">
        <v>44958.594421296293</v>
      </c>
      <c r="Q1334" t="s">
        <v>1643</v>
      </c>
      <c r="V1334" s="77" t="str">
        <f>HYPERLINK("https://pbs.twimg.com/profile_images/1620568162776358913/hSiyPwOr_normal.jpg")</f>
        <v>https://pbs.twimg.com/profile_images/1620568162776358913/hSiyPwOr_normal.jpg</v>
      </c>
      <c r="W1334" s="76">
        <v>44958.594421296293</v>
      </c>
      <c r="X1334" s="80">
        <v>44958</v>
      </c>
      <c r="Y1334" s="78" t="s">
        <v>2510</v>
      </c>
      <c r="Z1334" s="77" t="str">
        <f>HYPERLINK("https://twitter.com/arielalts/status/1620788050627526657")</f>
        <v>https://twitter.com/arielalts/status/1620788050627526657</v>
      </c>
      <c r="AC1334" s="78" t="s">
        <v>3525</v>
      </c>
      <c r="AD1334" s="78" t="s">
        <v>4520</v>
      </c>
      <c r="AE1334" t="b">
        <v>0</v>
      </c>
      <c r="AF1334">
        <v>1</v>
      </c>
      <c r="AG1334" s="78" t="s">
        <v>4670</v>
      </c>
      <c r="AH1334" t="b">
        <v>0</v>
      </c>
      <c r="AI1334" t="s">
        <v>4829</v>
      </c>
      <c r="AK1334" s="78" t="s">
        <v>4640</v>
      </c>
      <c r="AL1334" t="b">
        <v>0</v>
      </c>
      <c r="AM1334">
        <v>0</v>
      </c>
      <c r="AN1334" s="78" t="s">
        <v>4640</v>
      </c>
      <c r="AO1334" s="78" t="s">
        <v>4851</v>
      </c>
      <c r="AP1334" t="b">
        <v>0</v>
      </c>
      <c r="AQ1334" s="78" t="s">
        <v>4520</v>
      </c>
      <c r="AR1334" t="s">
        <v>179</v>
      </c>
      <c r="AS1334">
        <v>0</v>
      </c>
      <c r="AT1334">
        <v>0</v>
      </c>
    </row>
    <row r="1335" spans="1:46" x14ac:dyDescent="0.45">
      <c r="A1335" s="62" t="s">
        <v>301</v>
      </c>
      <c r="B1335" s="62" t="s">
        <v>1189</v>
      </c>
      <c r="C1335" s="63"/>
      <c r="D1335" s="64"/>
      <c r="E1335" s="65"/>
      <c r="F1335" s="66"/>
      <c r="G1335" s="63"/>
      <c r="H1335" s="67"/>
      <c r="I1335" s="68"/>
      <c r="J1335" s="68"/>
      <c r="K1335" s="32"/>
      <c r="L1335" s="75"/>
      <c r="M1335" s="75"/>
      <c r="N1335" s="70"/>
      <c r="O1335" t="s">
        <v>1568</v>
      </c>
      <c r="P1335" s="76">
        <v>44958.594421296293</v>
      </c>
      <c r="Q1335" t="s">
        <v>1643</v>
      </c>
      <c r="V1335" s="77" t="str">
        <f>HYPERLINK("https://pbs.twimg.com/profile_images/1620568162776358913/hSiyPwOr_normal.jpg")</f>
        <v>https://pbs.twimg.com/profile_images/1620568162776358913/hSiyPwOr_normal.jpg</v>
      </c>
      <c r="W1335" s="76">
        <v>44958.594421296293</v>
      </c>
      <c r="X1335" s="80">
        <v>44958</v>
      </c>
      <c r="Y1335" s="78" t="s">
        <v>2510</v>
      </c>
      <c r="Z1335" s="77" t="str">
        <f>HYPERLINK("https://twitter.com/arielalts/status/1620788050627526657")</f>
        <v>https://twitter.com/arielalts/status/1620788050627526657</v>
      </c>
      <c r="AC1335" s="78" t="s">
        <v>3525</v>
      </c>
      <c r="AD1335" s="78" t="s">
        <v>4520</v>
      </c>
      <c r="AE1335" t="b">
        <v>0</v>
      </c>
      <c r="AF1335">
        <v>1</v>
      </c>
      <c r="AG1335" s="78" t="s">
        <v>4670</v>
      </c>
      <c r="AH1335" t="b">
        <v>0</v>
      </c>
      <c r="AI1335" t="s">
        <v>4829</v>
      </c>
      <c r="AK1335" s="78" t="s">
        <v>4640</v>
      </c>
      <c r="AL1335" t="b">
        <v>0</v>
      </c>
      <c r="AM1335">
        <v>0</v>
      </c>
      <c r="AN1335" s="78" t="s">
        <v>4640</v>
      </c>
      <c r="AO1335" s="78" t="s">
        <v>4851</v>
      </c>
      <c r="AP1335" t="b">
        <v>0</v>
      </c>
      <c r="AQ1335" s="78" t="s">
        <v>4520</v>
      </c>
      <c r="AR1335" t="s">
        <v>179</v>
      </c>
      <c r="AS1335">
        <v>0</v>
      </c>
      <c r="AT1335">
        <v>0</v>
      </c>
    </row>
    <row r="1336" spans="1:46" x14ac:dyDescent="0.45">
      <c r="A1336" s="62" t="s">
        <v>301</v>
      </c>
      <c r="B1336" s="62" t="s">
        <v>1190</v>
      </c>
      <c r="C1336" s="63"/>
      <c r="D1336" s="64"/>
      <c r="E1336" s="65"/>
      <c r="F1336" s="66"/>
      <c r="G1336" s="63"/>
      <c r="H1336" s="67"/>
      <c r="I1336" s="68"/>
      <c r="J1336" s="68"/>
      <c r="K1336" s="32"/>
      <c r="L1336" s="75"/>
      <c r="M1336" s="75"/>
      <c r="N1336" s="70"/>
      <c r="O1336" t="s">
        <v>1568</v>
      </c>
      <c r="P1336" s="76">
        <v>44958.594421296293</v>
      </c>
      <c r="Q1336" t="s">
        <v>1643</v>
      </c>
      <c r="V1336" s="77" t="str">
        <f>HYPERLINK("https://pbs.twimg.com/profile_images/1620568162776358913/hSiyPwOr_normal.jpg")</f>
        <v>https://pbs.twimg.com/profile_images/1620568162776358913/hSiyPwOr_normal.jpg</v>
      </c>
      <c r="W1336" s="76">
        <v>44958.594421296293</v>
      </c>
      <c r="X1336" s="80">
        <v>44958</v>
      </c>
      <c r="Y1336" s="78" t="s">
        <v>2510</v>
      </c>
      <c r="Z1336" s="77" t="str">
        <f>HYPERLINK("https://twitter.com/arielalts/status/1620788050627526657")</f>
        <v>https://twitter.com/arielalts/status/1620788050627526657</v>
      </c>
      <c r="AC1336" s="78" t="s">
        <v>3525</v>
      </c>
      <c r="AD1336" s="78" t="s">
        <v>4520</v>
      </c>
      <c r="AE1336" t="b">
        <v>0</v>
      </c>
      <c r="AF1336">
        <v>1</v>
      </c>
      <c r="AG1336" s="78" t="s">
        <v>4670</v>
      </c>
      <c r="AH1336" t="b">
        <v>0</v>
      </c>
      <c r="AI1336" t="s">
        <v>4829</v>
      </c>
      <c r="AK1336" s="78" t="s">
        <v>4640</v>
      </c>
      <c r="AL1336" t="b">
        <v>0</v>
      </c>
      <c r="AM1336">
        <v>0</v>
      </c>
      <c r="AN1336" s="78" t="s">
        <v>4640</v>
      </c>
      <c r="AO1336" s="78" t="s">
        <v>4851</v>
      </c>
      <c r="AP1336" t="b">
        <v>0</v>
      </c>
      <c r="AQ1336" s="78" t="s">
        <v>4520</v>
      </c>
      <c r="AR1336" t="s">
        <v>179</v>
      </c>
      <c r="AS1336">
        <v>0</v>
      </c>
      <c r="AT1336">
        <v>0</v>
      </c>
    </row>
    <row r="1337" spans="1:46" x14ac:dyDescent="0.45">
      <c r="A1337" s="62" t="s">
        <v>301</v>
      </c>
      <c r="B1337" s="62" t="s">
        <v>1191</v>
      </c>
      <c r="C1337" s="63"/>
      <c r="D1337" s="64"/>
      <c r="E1337" s="65"/>
      <c r="F1337" s="66"/>
      <c r="G1337" s="63"/>
      <c r="H1337" s="67"/>
      <c r="I1337" s="68"/>
      <c r="J1337" s="68"/>
      <c r="K1337" s="32"/>
      <c r="L1337" s="75"/>
      <c r="M1337" s="75"/>
      <c r="N1337" s="70"/>
      <c r="O1337" t="s">
        <v>1568</v>
      </c>
      <c r="P1337" s="76">
        <v>44958.594421296293</v>
      </c>
      <c r="Q1337" t="s">
        <v>1643</v>
      </c>
      <c r="V1337" s="77" t="str">
        <f>HYPERLINK("https://pbs.twimg.com/profile_images/1620568162776358913/hSiyPwOr_normal.jpg")</f>
        <v>https://pbs.twimg.com/profile_images/1620568162776358913/hSiyPwOr_normal.jpg</v>
      </c>
      <c r="W1337" s="76">
        <v>44958.594421296293</v>
      </c>
      <c r="X1337" s="80">
        <v>44958</v>
      </c>
      <c r="Y1337" s="78" t="s">
        <v>2510</v>
      </c>
      <c r="Z1337" s="77" t="str">
        <f>HYPERLINK("https://twitter.com/arielalts/status/1620788050627526657")</f>
        <v>https://twitter.com/arielalts/status/1620788050627526657</v>
      </c>
      <c r="AC1337" s="78" t="s">
        <v>3525</v>
      </c>
      <c r="AD1337" s="78" t="s">
        <v>4520</v>
      </c>
      <c r="AE1337" t="b">
        <v>0</v>
      </c>
      <c r="AF1337">
        <v>1</v>
      </c>
      <c r="AG1337" s="78" t="s">
        <v>4670</v>
      </c>
      <c r="AH1337" t="b">
        <v>0</v>
      </c>
      <c r="AI1337" t="s">
        <v>4829</v>
      </c>
      <c r="AK1337" s="78" t="s">
        <v>4640</v>
      </c>
      <c r="AL1337" t="b">
        <v>0</v>
      </c>
      <c r="AM1337">
        <v>0</v>
      </c>
      <c r="AN1337" s="78" t="s">
        <v>4640</v>
      </c>
      <c r="AO1337" s="78" t="s">
        <v>4851</v>
      </c>
      <c r="AP1337" t="b">
        <v>0</v>
      </c>
      <c r="AQ1337" s="78" t="s">
        <v>4520</v>
      </c>
      <c r="AR1337" t="s">
        <v>179</v>
      </c>
      <c r="AS1337">
        <v>0</v>
      </c>
      <c r="AT1337">
        <v>0</v>
      </c>
    </row>
    <row r="1338" spans="1:46" x14ac:dyDescent="0.45">
      <c r="A1338" s="62" t="s">
        <v>301</v>
      </c>
      <c r="B1338" s="62" t="s">
        <v>1192</v>
      </c>
      <c r="C1338" s="63"/>
      <c r="D1338" s="64"/>
      <c r="E1338" s="65"/>
      <c r="F1338" s="66"/>
      <c r="G1338" s="63"/>
      <c r="H1338" s="67"/>
      <c r="I1338" s="68"/>
      <c r="J1338" s="68"/>
      <c r="K1338" s="32"/>
      <c r="L1338" s="75"/>
      <c r="M1338" s="75"/>
      <c r="N1338" s="70"/>
      <c r="O1338" t="s">
        <v>1568</v>
      </c>
      <c r="P1338" s="76">
        <v>44958.594421296293</v>
      </c>
      <c r="Q1338" t="s">
        <v>1643</v>
      </c>
      <c r="V1338" s="77" t="str">
        <f>HYPERLINK("https://pbs.twimg.com/profile_images/1620568162776358913/hSiyPwOr_normal.jpg")</f>
        <v>https://pbs.twimg.com/profile_images/1620568162776358913/hSiyPwOr_normal.jpg</v>
      </c>
      <c r="W1338" s="76">
        <v>44958.594421296293</v>
      </c>
      <c r="X1338" s="80">
        <v>44958</v>
      </c>
      <c r="Y1338" s="78" t="s">
        <v>2510</v>
      </c>
      <c r="Z1338" s="77" t="str">
        <f>HYPERLINK("https://twitter.com/arielalts/status/1620788050627526657")</f>
        <v>https://twitter.com/arielalts/status/1620788050627526657</v>
      </c>
      <c r="AC1338" s="78" t="s">
        <v>3525</v>
      </c>
      <c r="AD1338" s="78" t="s">
        <v>4520</v>
      </c>
      <c r="AE1338" t="b">
        <v>0</v>
      </c>
      <c r="AF1338">
        <v>1</v>
      </c>
      <c r="AG1338" s="78" t="s">
        <v>4670</v>
      </c>
      <c r="AH1338" t="b">
        <v>0</v>
      </c>
      <c r="AI1338" t="s">
        <v>4829</v>
      </c>
      <c r="AK1338" s="78" t="s">
        <v>4640</v>
      </c>
      <c r="AL1338" t="b">
        <v>0</v>
      </c>
      <c r="AM1338">
        <v>0</v>
      </c>
      <c r="AN1338" s="78" t="s">
        <v>4640</v>
      </c>
      <c r="AO1338" s="78" t="s">
        <v>4851</v>
      </c>
      <c r="AP1338" t="b">
        <v>0</v>
      </c>
      <c r="AQ1338" s="78" t="s">
        <v>4520</v>
      </c>
      <c r="AR1338" t="s">
        <v>179</v>
      </c>
      <c r="AS1338">
        <v>0</v>
      </c>
      <c r="AT1338">
        <v>0</v>
      </c>
    </row>
    <row r="1339" spans="1:46" x14ac:dyDescent="0.45">
      <c r="A1339" s="62" t="s">
        <v>301</v>
      </c>
      <c r="B1339" s="62" t="s">
        <v>1193</v>
      </c>
      <c r="C1339" s="63"/>
      <c r="D1339" s="64"/>
      <c r="E1339" s="65"/>
      <c r="F1339" s="66"/>
      <c r="G1339" s="63"/>
      <c r="H1339" s="67"/>
      <c r="I1339" s="68"/>
      <c r="J1339" s="68"/>
      <c r="K1339" s="32"/>
      <c r="L1339" s="75"/>
      <c r="M1339" s="75"/>
      <c r="N1339" s="70"/>
      <c r="O1339" t="s">
        <v>1568</v>
      </c>
      <c r="P1339" s="76">
        <v>44958.594421296293</v>
      </c>
      <c r="Q1339" t="s">
        <v>1643</v>
      </c>
      <c r="V1339" s="77" t="str">
        <f>HYPERLINK("https://pbs.twimg.com/profile_images/1620568162776358913/hSiyPwOr_normal.jpg")</f>
        <v>https://pbs.twimg.com/profile_images/1620568162776358913/hSiyPwOr_normal.jpg</v>
      </c>
      <c r="W1339" s="76">
        <v>44958.594421296293</v>
      </c>
      <c r="X1339" s="80">
        <v>44958</v>
      </c>
      <c r="Y1339" s="78" t="s">
        <v>2510</v>
      </c>
      <c r="Z1339" s="77" t="str">
        <f>HYPERLINK("https://twitter.com/arielalts/status/1620788050627526657")</f>
        <v>https://twitter.com/arielalts/status/1620788050627526657</v>
      </c>
      <c r="AC1339" s="78" t="s">
        <v>3525</v>
      </c>
      <c r="AD1339" s="78" t="s">
        <v>4520</v>
      </c>
      <c r="AE1339" t="b">
        <v>0</v>
      </c>
      <c r="AF1339">
        <v>1</v>
      </c>
      <c r="AG1339" s="78" t="s">
        <v>4670</v>
      </c>
      <c r="AH1339" t="b">
        <v>0</v>
      </c>
      <c r="AI1339" t="s">
        <v>4829</v>
      </c>
      <c r="AK1339" s="78" t="s">
        <v>4640</v>
      </c>
      <c r="AL1339" t="b">
        <v>0</v>
      </c>
      <c r="AM1339">
        <v>0</v>
      </c>
      <c r="AN1339" s="78" t="s">
        <v>4640</v>
      </c>
      <c r="AO1339" s="78" t="s">
        <v>4851</v>
      </c>
      <c r="AP1339" t="b">
        <v>0</v>
      </c>
      <c r="AQ1339" s="78" t="s">
        <v>4520</v>
      </c>
      <c r="AR1339" t="s">
        <v>179</v>
      </c>
      <c r="AS1339">
        <v>0</v>
      </c>
      <c r="AT1339">
        <v>0</v>
      </c>
    </row>
    <row r="1340" spans="1:46" x14ac:dyDescent="0.45">
      <c r="A1340" s="62" t="s">
        <v>301</v>
      </c>
      <c r="B1340" s="62" t="s">
        <v>1194</v>
      </c>
      <c r="C1340" s="63"/>
      <c r="D1340" s="64"/>
      <c r="E1340" s="65"/>
      <c r="F1340" s="66"/>
      <c r="G1340" s="63"/>
      <c r="H1340" s="67"/>
      <c r="I1340" s="68"/>
      <c r="J1340" s="68"/>
      <c r="K1340" s="32"/>
      <c r="L1340" s="75"/>
      <c r="M1340" s="75"/>
      <c r="N1340" s="70"/>
      <c r="O1340" t="s">
        <v>1568</v>
      </c>
      <c r="P1340" s="76">
        <v>44958.594421296293</v>
      </c>
      <c r="Q1340" t="s">
        <v>1643</v>
      </c>
      <c r="V1340" s="77" t="str">
        <f>HYPERLINK("https://pbs.twimg.com/profile_images/1620568162776358913/hSiyPwOr_normal.jpg")</f>
        <v>https://pbs.twimg.com/profile_images/1620568162776358913/hSiyPwOr_normal.jpg</v>
      </c>
      <c r="W1340" s="76">
        <v>44958.594421296293</v>
      </c>
      <c r="X1340" s="80">
        <v>44958</v>
      </c>
      <c r="Y1340" s="78" t="s">
        <v>2510</v>
      </c>
      <c r="Z1340" s="77" t="str">
        <f>HYPERLINK("https://twitter.com/arielalts/status/1620788050627526657")</f>
        <v>https://twitter.com/arielalts/status/1620788050627526657</v>
      </c>
      <c r="AC1340" s="78" t="s">
        <v>3525</v>
      </c>
      <c r="AD1340" s="78" t="s">
        <v>4520</v>
      </c>
      <c r="AE1340" t="b">
        <v>0</v>
      </c>
      <c r="AF1340">
        <v>1</v>
      </c>
      <c r="AG1340" s="78" t="s">
        <v>4670</v>
      </c>
      <c r="AH1340" t="b">
        <v>0</v>
      </c>
      <c r="AI1340" t="s">
        <v>4829</v>
      </c>
      <c r="AK1340" s="78" t="s">
        <v>4640</v>
      </c>
      <c r="AL1340" t="b">
        <v>0</v>
      </c>
      <c r="AM1340">
        <v>0</v>
      </c>
      <c r="AN1340" s="78" t="s">
        <v>4640</v>
      </c>
      <c r="AO1340" s="78" t="s">
        <v>4851</v>
      </c>
      <c r="AP1340" t="b">
        <v>0</v>
      </c>
      <c r="AQ1340" s="78" t="s">
        <v>4520</v>
      </c>
      <c r="AR1340" t="s">
        <v>179</v>
      </c>
      <c r="AS1340">
        <v>0</v>
      </c>
      <c r="AT1340">
        <v>0</v>
      </c>
    </row>
    <row r="1341" spans="1:46" x14ac:dyDescent="0.45">
      <c r="A1341" s="62" t="s">
        <v>301</v>
      </c>
      <c r="B1341" s="62" t="s">
        <v>1195</v>
      </c>
      <c r="C1341" s="63"/>
      <c r="D1341" s="64"/>
      <c r="E1341" s="65"/>
      <c r="F1341" s="66"/>
      <c r="G1341" s="63"/>
      <c r="H1341" s="67"/>
      <c r="I1341" s="68"/>
      <c r="J1341" s="68"/>
      <c r="K1341" s="32"/>
      <c r="L1341" s="75"/>
      <c r="M1341" s="75"/>
      <c r="N1341" s="70"/>
      <c r="O1341" t="s">
        <v>1568</v>
      </c>
      <c r="P1341" s="76">
        <v>44958.594421296293</v>
      </c>
      <c r="Q1341" t="s">
        <v>1643</v>
      </c>
      <c r="V1341" s="77" t="str">
        <f>HYPERLINK("https://pbs.twimg.com/profile_images/1620568162776358913/hSiyPwOr_normal.jpg")</f>
        <v>https://pbs.twimg.com/profile_images/1620568162776358913/hSiyPwOr_normal.jpg</v>
      </c>
      <c r="W1341" s="76">
        <v>44958.594421296293</v>
      </c>
      <c r="X1341" s="80">
        <v>44958</v>
      </c>
      <c r="Y1341" s="78" t="s">
        <v>2510</v>
      </c>
      <c r="Z1341" s="77" t="str">
        <f>HYPERLINK("https://twitter.com/arielalts/status/1620788050627526657")</f>
        <v>https://twitter.com/arielalts/status/1620788050627526657</v>
      </c>
      <c r="AC1341" s="78" t="s">
        <v>3525</v>
      </c>
      <c r="AD1341" s="78" t="s">
        <v>4520</v>
      </c>
      <c r="AE1341" t="b">
        <v>0</v>
      </c>
      <c r="AF1341">
        <v>1</v>
      </c>
      <c r="AG1341" s="78" t="s">
        <v>4670</v>
      </c>
      <c r="AH1341" t="b">
        <v>0</v>
      </c>
      <c r="AI1341" t="s">
        <v>4829</v>
      </c>
      <c r="AK1341" s="78" t="s">
        <v>4640</v>
      </c>
      <c r="AL1341" t="b">
        <v>0</v>
      </c>
      <c r="AM1341">
        <v>0</v>
      </c>
      <c r="AN1341" s="78" t="s">
        <v>4640</v>
      </c>
      <c r="AO1341" s="78" t="s">
        <v>4851</v>
      </c>
      <c r="AP1341" t="b">
        <v>0</v>
      </c>
      <c r="AQ1341" s="78" t="s">
        <v>4520</v>
      </c>
      <c r="AR1341" t="s">
        <v>179</v>
      </c>
      <c r="AS1341">
        <v>0</v>
      </c>
      <c r="AT1341">
        <v>0</v>
      </c>
    </row>
    <row r="1342" spans="1:46" x14ac:dyDescent="0.45">
      <c r="A1342" s="62" t="s">
        <v>301</v>
      </c>
      <c r="B1342" s="62" t="s">
        <v>1196</v>
      </c>
      <c r="C1342" s="63"/>
      <c r="D1342" s="64"/>
      <c r="E1342" s="65"/>
      <c r="F1342" s="66"/>
      <c r="G1342" s="63"/>
      <c r="H1342" s="67"/>
      <c r="I1342" s="68"/>
      <c r="J1342" s="68"/>
      <c r="K1342" s="32"/>
      <c r="L1342" s="75"/>
      <c r="M1342" s="75"/>
      <c r="N1342" s="70"/>
      <c r="O1342" t="s">
        <v>1568</v>
      </c>
      <c r="P1342" s="76">
        <v>44958.594421296293</v>
      </c>
      <c r="Q1342" t="s">
        <v>1643</v>
      </c>
      <c r="V1342" s="77" t="str">
        <f>HYPERLINK("https://pbs.twimg.com/profile_images/1620568162776358913/hSiyPwOr_normal.jpg")</f>
        <v>https://pbs.twimg.com/profile_images/1620568162776358913/hSiyPwOr_normal.jpg</v>
      </c>
      <c r="W1342" s="76">
        <v>44958.594421296293</v>
      </c>
      <c r="X1342" s="80">
        <v>44958</v>
      </c>
      <c r="Y1342" s="78" t="s">
        <v>2510</v>
      </c>
      <c r="Z1342" s="77" t="str">
        <f>HYPERLINK("https://twitter.com/arielalts/status/1620788050627526657")</f>
        <v>https://twitter.com/arielalts/status/1620788050627526657</v>
      </c>
      <c r="AC1342" s="78" t="s">
        <v>3525</v>
      </c>
      <c r="AD1342" s="78" t="s">
        <v>4520</v>
      </c>
      <c r="AE1342" t="b">
        <v>0</v>
      </c>
      <c r="AF1342">
        <v>1</v>
      </c>
      <c r="AG1342" s="78" t="s">
        <v>4670</v>
      </c>
      <c r="AH1342" t="b">
        <v>0</v>
      </c>
      <c r="AI1342" t="s">
        <v>4829</v>
      </c>
      <c r="AK1342" s="78" t="s">
        <v>4640</v>
      </c>
      <c r="AL1342" t="b">
        <v>0</v>
      </c>
      <c r="AM1342">
        <v>0</v>
      </c>
      <c r="AN1342" s="78" t="s">
        <v>4640</v>
      </c>
      <c r="AO1342" s="78" t="s">
        <v>4851</v>
      </c>
      <c r="AP1342" t="b">
        <v>0</v>
      </c>
      <c r="AQ1342" s="78" t="s">
        <v>4520</v>
      </c>
      <c r="AR1342" t="s">
        <v>179</v>
      </c>
      <c r="AS1342">
        <v>0</v>
      </c>
      <c r="AT1342">
        <v>0</v>
      </c>
    </row>
    <row r="1343" spans="1:46" x14ac:dyDescent="0.45">
      <c r="A1343" s="62" t="s">
        <v>301</v>
      </c>
      <c r="B1343" s="62" t="s">
        <v>1197</v>
      </c>
      <c r="C1343" s="63"/>
      <c r="D1343" s="64"/>
      <c r="E1343" s="65"/>
      <c r="F1343" s="66"/>
      <c r="G1343" s="63"/>
      <c r="H1343" s="67"/>
      <c r="I1343" s="68"/>
      <c r="J1343" s="68"/>
      <c r="K1343" s="32"/>
      <c r="L1343" s="75"/>
      <c r="M1343" s="75"/>
      <c r="N1343" s="70"/>
      <c r="O1343" t="s">
        <v>1568</v>
      </c>
      <c r="P1343" s="76">
        <v>44958.594421296293</v>
      </c>
      <c r="Q1343" t="s">
        <v>1643</v>
      </c>
      <c r="V1343" s="77" t="str">
        <f>HYPERLINK("https://pbs.twimg.com/profile_images/1620568162776358913/hSiyPwOr_normal.jpg")</f>
        <v>https://pbs.twimg.com/profile_images/1620568162776358913/hSiyPwOr_normal.jpg</v>
      </c>
      <c r="W1343" s="76">
        <v>44958.594421296293</v>
      </c>
      <c r="X1343" s="80">
        <v>44958</v>
      </c>
      <c r="Y1343" s="78" t="s">
        <v>2510</v>
      </c>
      <c r="Z1343" s="77" t="str">
        <f>HYPERLINK("https://twitter.com/arielalts/status/1620788050627526657")</f>
        <v>https://twitter.com/arielalts/status/1620788050627526657</v>
      </c>
      <c r="AC1343" s="78" t="s">
        <v>3525</v>
      </c>
      <c r="AD1343" s="78" t="s">
        <v>4520</v>
      </c>
      <c r="AE1343" t="b">
        <v>0</v>
      </c>
      <c r="AF1343">
        <v>1</v>
      </c>
      <c r="AG1343" s="78" t="s">
        <v>4670</v>
      </c>
      <c r="AH1343" t="b">
        <v>0</v>
      </c>
      <c r="AI1343" t="s">
        <v>4829</v>
      </c>
      <c r="AK1343" s="78" t="s">
        <v>4640</v>
      </c>
      <c r="AL1343" t="b">
        <v>0</v>
      </c>
      <c r="AM1343">
        <v>0</v>
      </c>
      <c r="AN1343" s="78" t="s">
        <v>4640</v>
      </c>
      <c r="AO1343" s="78" t="s">
        <v>4851</v>
      </c>
      <c r="AP1343" t="b">
        <v>0</v>
      </c>
      <c r="AQ1343" s="78" t="s">
        <v>4520</v>
      </c>
      <c r="AR1343" t="s">
        <v>179</v>
      </c>
      <c r="AS1343">
        <v>0</v>
      </c>
      <c r="AT1343">
        <v>0</v>
      </c>
    </row>
    <row r="1344" spans="1:46" x14ac:dyDescent="0.45">
      <c r="A1344" s="62" t="s">
        <v>305</v>
      </c>
      <c r="B1344" s="62" t="s">
        <v>242</v>
      </c>
      <c r="C1344" s="63"/>
      <c r="D1344" s="64"/>
      <c r="E1344" s="65"/>
      <c r="F1344" s="66"/>
      <c r="G1344" s="63"/>
      <c r="H1344" s="67"/>
      <c r="I1344" s="68"/>
      <c r="J1344" s="68"/>
      <c r="K1344" s="32"/>
      <c r="L1344" s="75"/>
      <c r="M1344" s="75"/>
      <c r="N1344" s="70"/>
      <c r="O1344" t="s">
        <v>1568</v>
      </c>
      <c r="P1344" s="76">
        <v>44958.600613425922</v>
      </c>
      <c r="Q1344" t="s">
        <v>1646</v>
      </c>
      <c r="V1344" s="77" t="str">
        <f>HYPERLINK("https://pbs.twimg.com/profile_images/1615003489838448642/3lwrVgwV_normal.jpg")</f>
        <v>https://pbs.twimg.com/profile_images/1615003489838448642/3lwrVgwV_normal.jpg</v>
      </c>
      <c r="W1344" s="76">
        <v>44958.600613425922</v>
      </c>
      <c r="X1344" s="80">
        <v>44958</v>
      </c>
      <c r="Y1344" s="78" t="s">
        <v>2514</v>
      </c>
      <c r="Z1344" s="77" t="str">
        <f>HYPERLINK("https://twitter.com/jsalt3028/status/1620790292587876352")</f>
        <v>https://twitter.com/jsalt3028/status/1620790292587876352</v>
      </c>
      <c r="AC1344" s="78" t="s">
        <v>3529</v>
      </c>
      <c r="AD1344" s="78" t="s">
        <v>4521</v>
      </c>
      <c r="AE1344" t="b">
        <v>0</v>
      </c>
      <c r="AF1344">
        <v>1</v>
      </c>
      <c r="AG1344" s="78" t="s">
        <v>4671</v>
      </c>
      <c r="AH1344" t="b">
        <v>0</v>
      </c>
      <c r="AI1344" t="s">
        <v>4829</v>
      </c>
      <c r="AK1344" s="78" t="s">
        <v>4640</v>
      </c>
      <c r="AL1344" t="b">
        <v>0</v>
      </c>
      <c r="AM1344">
        <v>0</v>
      </c>
      <c r="AN1344" s="78" t="s">
        <v>4640</v>
      </c>
      <c r="AO1344" s="78" t="s">
        <v>4850</v>
      </c>
      <c r="AP1344" t="b">
        <v>0</v>
      </c>
      <c r="AQ1344" s="78" t="s">
        <v>4521</v>
      </c>
      <c r="AR1344" t="s">
        <v>179</v>
      </c>
      <c r="AS1344">
        <v>0</v>
      </c>
      <c r="AT1344">
        <v>0</v>
      </c>
    </row>
    <row r="1345" spans="1:46" x14ac:dyDescent="0.45">
      <c r="A1345" s="62" t="s">
        <v>305</v>
      </c>
      <c r="B1345" s="62" t="s">
        <v>1200</v>
      </c>
      <c r="C1345" s="63"/>
      <c r="D1345" s="64"/>
      <c r="E1345" s="65"/>
      <c r="F1345" s="66"/>
      <c r="G1345" s="63"/>
      <c r="H1345" s="67"/>
      <c r="I1345" s="68"/>
      <c r="J1345" s="68"/>
      <c r="K1345" s="32"/>
      <c r="L1345" s="75"/>
      <c r="M1345" s="75"/>
      <c r="N1345" s="70"/>
      <c r="O1345" t="s">
        <v>1567</v>
      </c>
      <c r="P1345" s="76">
        <v>44958.600613425922</v>
      </c>
      <c r="Q1345" t="s">
        <v>1646</v>
      </c>
      <c r="V1345" s="77" t="str">
        <f>HYPERLINK("https://pbs.twimg.com/profile_images/1615003489838448642/3lwrVgwV_normal.jpg")</f>
        <v>https://pbs.twimg.com/profile_images/1615003489838448642/3lwrVgwV_normal.jpg</v>
      </c>
      <c r="W1345" s="76">
        <v>44958.600613425922</v>
      </c>
      <c r="X1345" s="80">
        <v>44958</v>
      </c>
      <c r="Y1345" s="78" t="s">
        <v>2514</v>
      </c>
      <c r="Z1345" s="77" t="str">
        <f>HYPERLINK("https://twitter.com/jsalt3028/status/1620790292587876352")</f>
        <v>https://twitter.com/jsalt3028/status/1620790292587876352</v>
      </c>
      <c r="AC1345" s="78" t="s">
        <v>3529</v>
      </c>
      <c r="AD1345" s="78" t="s">
        <v>4521</v>
      </c>
      <c r="AE1345" t="b">
        <v>0</v>
      </c>
      <c r="AF1345">
        <v>1</v>
      </c>
      <c r="AG1345" s="78" t="s">
        <v>4671</v>
      </c>
      <c r="AH1345" t="b">
        <v>0</v>
      </c>
      <c r="AI1345" t="s">
        <v>4829</v>
      </c>
      <c r="AK1345" s="78" t="s">
        <v>4640</v>
      </c>
      <c r="AL1345" t="b">
        <v>0</v>
      </c>
      <c r="AM1345">
        <v>0</v>
      </c>
      <c r="AN1345" s="78" t="s">
        <v>4640</v>
      </c>
      <c r="AO1345" s="78" t="s">
        <v>4850</v>
      </c>
      <c r="AP1345" t="b">
        <v>0</v>
      </c>
      <c r="AQ1345" s="78" t="s">
        <v>4521</v>
      </c>
      <c r="AR1345" t="s">
        <v>179</v>
      </c>
      <c r="AS1345">
        <v>0</v>
      </c>
      <c r="AT1345">
        <v>0</v>
      </c>
    </row>
    <row r="1346" spans="1:46" x14ac:dyDescent="0.45">
      <c r="A1346" s="62" t="s">
        <v>312</v>
      </c>
      <c r="B1346" s="62" t="s">
        <v>1198</v>
      </c>
      <c r="C1346" s="63"/>
      <c r="D1346" s="64"/>
      <c r="E1346" s="65"/>
      <c r="F1346" s="66"/>
      <c r="G1346" s="63"/>
      <c r="H1346" s="67"/>
      <c r="I1346" s="68"/>
      <c r="J1346" s="68"/>
      <c r="K1346" s="32"/>
      <c r="L1346" s="75"/>
      <c r="M1346" s="75"/>
      <c r="N1346" s="70"/>
      <c r="O1346" t="s">
        <v>1568</v>
      </c>
      <c r="P1346" s="76">
        <v>44958.608043981483</v>
      </c>
      <c r="Q1346" t="s">
        <v>1656</v>
      </c>
      <c r="V1346" s="77" t="str">
        <f>HYPERLINK("https://pbs.twimg.com/profile_images/1374166133041885188/UUHBdkLy_normal.jpg")</f>
        <v>https://pbs.twimg.com/profile_images/1374166133041885188/UUHBdkLy_normal.jpg</v>
      </c>
      <c r="W1346" s="76">
        <v>44958.608043981483</v>
      </c>
      <c r="X1346" s="80">
        <v>44958</v>
      </c>
      <c r="Y1346" s="78" t="s">
        <v>2525</v>
      </c>
      <c r="Z1346" s="77" t="str">
        <f>HYPERLINK("https://twitter.com/aseem1999/status/1620792988409421824")</f>
        <v>https://twitter.com/aseem1999/status/1620792988409421824</v>
      </c>
      <c r="AC1346" s="78" t="s">
        <v>3540</v>
      </c>
      <c r="AD1346" s="78" t="s">
        <v>3722</v>
      </c>
      <c r="AE1346" t="b">
        <v>0</v>
      </c>
      <c r="AF1346">
        <v>1</v>
      </c>
      <c r="AG1346" s="78" t="s">
        <v>4673</v>
      </c>
      <c r="AH1346" t="b">
        <v>0</v>
      </c>
      <c r="AI1346" t="s">
        <v>4829</v>
      </c>
      <c r="AK1346" s="78" t="s">
        <v>4640</v>
      </c>
      <c r="AL1346" t="b">
        <v>0</v>
      </c>
      <c r="AM1346">
        <v>0</v>
      </c>
      <c r="AN1346" s="78" t="s">
        <v>4640</v>
      </c>
      <c r="AO1346" s="78" t="s">
        <v>4849</v>
      </c>
      <c r="AP1346" t="b">
        <v>0</v>
      </c>
      <c r="AQ1346" s="78" t="s">
        <v>3722</v>
      </c>
      <c r="AR1346" t="s">
        <v>179</v>
      </c>
      <c r="AS1346">
        <v>0</v>
      </c>
      <c r="AT1346">
        <v>0</v>
      </c>
    </row>
    <row r="1347" spans="1:46" x14ac:dyDescent="0.45">
      <c r="A1347" s="62" t="s">
        <v>312</v>
      </c>
      <c r="B1347" s="62" t="s">
        <v>1181</v>
      </c>
      <c r="C1347" s="63"/>
      <c r="D1347" s="64"/>
      <c r="E1347" s="65"/>
      <c r="F1347" s="66"/>
      <c r="G1347" s="63"/>
      <c r="H1347" s="67"/>
      <c r="I1347" s="68"/>
      <c r="J1347" s="68"/>
      <c r="K1347" s="32"/>
      <c r="L1347" s="75"/>
      <c r="M1347" s="75"/>
      <c r="N1347" s="70"/>
      <c r="O1347" t="s">
        <v>1568</v>
      </c>
      <c r="P1347" s="76">
        <v>44958.608043981483</v>
      </c>
      <c r="Q1347" t="s">
        <v>1656</v>
      </c>
      <c r="V1347" s="77" t="str">
        <f>HYPERLINK("https://pbs.twimg.com/profile_images/1374166133041885188/UUHBdkLy_normal.jpg")</f>
        <v>https://pbs.twimg.com/profile_images/1374166133041885188/UUHBdkLy_normal.jpg</v>
      </c>
      <c r="W1347" s="76">
        <v>44958.608043981483</v>
      </c>
      <c r="X1347" s="80">
        <v>44958</v>
      </c>
      <c r="Y1347" s="78" t="s">
        <v>2525</v>
      </c>
      <c r="Z1347" s="77" t="str">
        <f>HYPERLINK("https://twitter.com/aseem1999/status/1620792988409421824")</f>
        <v>https://twitter.com/aseem1999/status/1620792988409421824</v>
      </c>
      <c r="AC1347" s="78" t="s">
        <v>3540</v>
      </c>
      <c r="AD1347" s="78" t="s">
        <v>3722</v>
      </c>
      <c r="AE1347" t="b">
        <v>0</v>
      </c>
      <c r="AF1347">
        <v>1</v>
      </c>
      <c r="AG1347" s="78" t="s">
        <v>4673</v>
      </c>
      <c r="AH1347" t="b">
        <v>0</v>
      </c>
      <c r="AI1347" t="s">
        <v>4829</v>
      </c>
      <c r="AK1347" s="78" t="s">
        <v>4640</v>
      </c>
      <c r="AL1347" t="b">
        <v>0</v>
      </c>
      <c r="AM1347">
        <v>0</v>
      </c>
      <c r="AN1347" s="78" t="s">
        <v>4640</v>
      </c>
      <c r="AO1347" s="78" t="s">
        <v>4849</v>
      </c>
      <c r="AP1347" t="b">
        <v>0</v>
      </c>
      <c r="AQ1347" s="78" t="s">
        <v>3722</v>
      </c>
      <c r="AR1347" t="s">
        <v>179</v>
      </c>
      <c r="AS1347">
        <v>0</v>
      </c>
      <c r="AT1347">
        <v>0</v>
      </c>
    </row>
    <row r="1348" spans="1:46" x14ac:dyDescent="0.45">
      <c r="A1348" s="62" t="s">
        <v>312</v>
      </c>
      <c r="B1348" s="62" t="s">
        <v>1199</v>
      </c>
      <c r="C1348" s="63"/>
      <c r="D1348" s="64"/>
      <c r="E1348" s="65"/>
      <c r="F1348" s="66"/>
      <c r="G1348" s="63"/>
      <c r="H1348" s="67"/>
      <c r="I1348" s="68"/>
      <c r="J1348" s="68"/>
      <c r="K1348" s="32"/>
      <c r="L1348" s="75"/>
      <c r="M1348" s="75"/>
      <c r="N1348" s="70"/>
      <c r="O1348" t="s">
        <v>1568</v>
      </c>
      <c r="P1348" s="76">
        <v>44958.608043981483</v>
      </c>
      <c r="Q1348" t="s">
        <v>1656</v>
      </c>
      <c r="V1348" s="77" t="str">
        <f>HYPERLINK("https://pbs.twimg.com/profile_images/1374166133041885188/UUHBdkLy_normal.jpg")</f>
        <v>https://pbs.twimg.com/profile_images/1374166133041885188/UUHBdkLy_normal.jpg</v>
      </c>
      <c r="W1348" s="76">
        <v>44958.608043981483</v>
      </c>
      <c r="X1348" s="80">
        <v>44958</v>
      </c>
      <c r="Y1348" s="78" t="s">
        <v>2525</v>
      </c>
      <c r="Z1348" s="77" t="str">
        <f>HYPERLINK("https://twitter.com/aseem1999/status/1620792988409421824")</f>
        <v>https://twitter.com/aseem1999/status/1620792988409421824</v>
      </c>
      <c r="AC1348" s="78" t="s">
        <v>3540</v>
      </c>
      <c r="AD1348" s="78" t="s">
        <v>3722</v>
      </c>
      <c r="AE1348" t="b">
        <v>0</v>
      </c>
      <c r="AF1348">
        <v>1</v>
      </c>
      <c r="AG1348" s="78" t="s">
        <v>4673</v>
      </c>
      <c r="AH1348" t="b">
        <v>0</v>
      </c>
      <c r="AI1348" t="s">
        <v>4829</v>
      </c>
      <c r="AK1348" s="78" t="s">
        <v>4640</v>
      </c>
      <c r="AL1348" t="b">
        <v>0</v>
      </c>
      <c r="AM1348">
        <v>0</v>
      </c>
      <c r="AN1348" s="78" t="s">
        <v>4640</v>
      </c>
      <c r="AO1348" s="78" t="s">
        <v>4849</v>
      </c>
      <c r="AP1348" t="b">
        <v>0</v>
      </c>
      <c r="AQ1348" s="78" t="s">
        <v>3722</v>
      </c>
      <c r="AR1348" t="s">
        <v>179</v>
      </c>
      <c r="AS1348">
        <v>0</v>
      </c>
      <c r="AT1348">
        <v>0</v>
      </c>
    </row>
    <row r="1349" spans="1:46" x14ac:dyDescent="0.45">
      <c r="A1349" s="62" t="s">
        <v>312</v>
      </c>
      <c r="B1349" s="62" t="s">
        <v>1185</v>
      </c>
      <c r="C1349" s="63"/>
      <c r="D1349" s="64"/>
      <c r="E1349" s="65"/>
      <c r="F1349" s="66"/>
      <c r="G1349" s="63"/>
      <c r="H1349" s="67"/>
      <c r="I1349" s="68"/>
      <c r="J1349" s="68"/>
      <c r="K1349" s="32"/>
      <c r="L1349" s="75"/>
      <c r="M1349" s="75"/>
      <c r="N1349" s="70"/>
      <c r="O1349" t="s">
        <v>1568</v>
      </c>
      <c r="P1349" s="76">
        <v>44958.608043981483</v>
      </c>
      <c r="Q1349" t="s">
        <v>1656</v>
      </c>
      <c r="V1349" s="77" t="str">
        <f>HYPERLINK("https://pbs.twimg.com/profile_images/1374166133041885188/UUHBdkLy_normal.jpg")</f>
        <v>https://pbs.twimg.com/profile_images/1374166133041885188/UUHBdkLy_normal.jpg</v>
      </c>
      <c r="W1349" s="76">
        <v>44958.608043981483</v>
      </c>
      <c r="X1349" s="80">
        <v>44958</v>
      </c>
      <c r="Y1349" s="78" t="s">
        <v>2525</v>
      </c>
      <c r="Z1349" s="77" t="str">
        <f>HYPERLINK("https://twitter.com/aseem1999/status/1620792988409421824")</f>
        <v>https://twitter.com/aseem1999/status/1620792988409421824</v>
      </c>
      <c r="AC1349" s="78" t="s">
        <v>3540</v>
      </c>
      <c r="AD1349" s="78" t="s">
        <v>3722</v>
      </c>
      <c r="AE1349" t="b">
        <v>0</v>
      </c>
      <c r="AF1349">
        <v>1</v>
      </c>
      <c r="AG1349" s="78" t="s">
        <v>4673</v>
      </c>
      <c r="AH1349" t="b">
        <v>0</v>
      </c>
      <c r="AI1349" t="s">
        <v>4829</v>
      </c>
      <c r="AK1349" s="78" t="s">
        <v>4640</v>
      </c>
      <c r="AL1349" t="b">
        <v>0</v>
      </c>
      <c r="AM1349">
        <v>0</v>
      </c>
      <c r="AN1349" s="78" t="s">
        <v>4640</v>
      </c>
      <c r="AO1349" s="78" t="s">
        <v>4849</v>
      </c>
      <c r="AP1349" t="b">
        <v>0</v>
      </c>
      <c r="AQ1349" s="78" t="s">
        <v>3722</v>
      </c>
      <c r="AR1349" t="s">
        <v>179</v>
      </c>
      <c r="AS1349">
        <v>0</v>
      </c>
      <c r="AT1349">
        <v>0</v>
      </c>
    </row>
    <row r="1350" spans="1:46" x14ac:dyDescent="0.45">
      <c r="A1350" s="62" t="s">
        <v>312</v>
      </c>
      <c r="B1350" s="62" t="s">
        <v>242</v>
      </c>
      <c r="C1350" s="63"/>
      <c r="D1350" s="64"/>
      <c r="E1350" s="65"/>
      <c r="F1350" s="66"/>
      <c r="G1350" s="63"/>
      <c r="H1350" s="67"/>
      <c r="I1350" s="68"/>
      <c r="J1350" s="68"/>
      <c r="K1350" s="32"/>
      <c r="L1350" s="75"/>
      <c r="M1350" s="75"/>
      <c r="N1350" s="70"/>
      <c r="O1350" t="s">
        <v>1568</v>
      </c>
      <c r="P1350" s="76">
        <v>44958.608043981483</v>
      </c>
      <c r="Q1350" t="s">
        <v>1656</v>
      </c>
      <c r="V1350" s="77" t="str">
        <f>HYPERLINK("https://pbs.twimg.com/profile_images/1374166133041885188/UUHBdkLy_normal.jpg")</f>
        <v>https://pbs.twimg.com/profile_images/1374166133041885188/UUHBdkLy_normal.jpg</v>
      </c>
      <c r="W1350" s="76">
        <v>44958.608043981483</v>
      </c>
      <c r="X1350" s="80">
        <v>44958</v>
      </c>
      <c r="Y1350" s="78" t="s">
        <v>2525</v>
      </c>
      <c r="Z1350" s="77" t="str">
        <f>HYPERLINK("https://twitter.com/aseem1999/status/1620792988409421824")</f>
        <v>https://twitter.com/aseem1999/status/1620792988409421824</v>
      </c>
      <c r="AC1350" s="78" t="s">
        <v>3540</v>
      </c>
      <c r="AD1350" s="78" t="s">
        <v>3722</v>
      </c>
      <c r="AE1350" t="b">
        <v>0</v>
      </c>
      <c r="AF1350">
        <v>1</v>
      </c>
      <c r="AG1350" s="78" t="s">
        <v>4673</v>
      </c>
      <c r="AH1350" t="b">
        <v>0</v>
      </c>
      <c r="AI1350" t="s">
        <v>4829</v>
      </c>
      <c r="AK1350" s="78" t="s">
        <v>4640</v>
      </c>
      <c r="AL1350" t="b">
        <v>0</v>
      </c>
      <c r="AM1350">
        <v>0</v>
      </c>
      <c r="AN1350" s="78" t="s">
        <v>4640</v>
      </c>
      <c r="AO1350" s="78" t="s">
        <v>4849</v>
      </c>
      <c r="AP1350" t="b">
        <v>0</v>
      </c>
      <c r="AQ1350" s="78" t="s">
        <v>3722</v>
      </c>
      <c r="AR1350" t="s">
        <v>179</v>
      </c>
      <c r="AS1350">
        <v>0</v>
      </c>
      <c r="AT1350">
        <v>0</v>
      </c>
    </row>
    <row r="1351" spans="1:46" x14ac:dyDescent="0.45">
      <c r="A1351" s="62" t="s">
        <v>312</v>
      </c>
      <c r="B1351" s="62" t="s">
        <v>379</v>
      </c>
      <c r="C1351" s="63"/>
      <c r="D1351" s="64"/>
      <c r="E1351" s="65"/>
      <c r="F1351" s="66"/>
      <c r="G1351" s="63"/>
      <c r="H1351" s="67"/>
      <c r="I1351" s="68"/>
      <c r="J1351" s="68"/>
      <c r="K1351" s="32"/>
      <c r="L1351" s="75"/>
      <c r="M1351" s="75"/>
      <c r="N1351" s="70"/>
      <c r="O1351" t="s">
        <v>1567</v>
      </c>
      <c r="P1351" s="76">
        <v>44958.608043981483</v>
      </c>
      <c r="Q1351" t="s">
        <v>1656</v>
      </c>
      <c r="V1351" s="77" t="str">
        <f>HYPERLINK("https://pbs.twimg.com/profile_images/1374166133041885188/UUHBdkLy_normal.jpg")</f>
        <v>https://pbs.twimg.com/profile_images/1374166133041885188/UUHBdkLy_normal.jpg</v>
      </c>
      <c r="W1351" s="76">
        <v>44958.608043981483</v>
      </c>
      <c r="X1351" s="80">
        <v>44958</v>
      </c>
      <c r="Y1351" s="78" t="s">
        <v>2525</v>
      </c>
      <c r="Z1351" s="77" t="str">
        <f>HYPERLINK("https://twitter.com/aseem1999/status/1620792988409421824")</f>
        <v>https://twitter.com/aseem1999/status/1620792988409421824</v>
      </c>
      <c r="AC1351" s="78" t="s">
        <v>3540</v>
      </c>
      <c r="AD1351" s="78" t="s">
        <v>3722</v>
      </c>
      <c r="AE1351" t="b">
        <v>0</v>
      </c>
      <c r="AF1351">
        <v>1</v>
      </c>
      <c r="AG1351" s="78" t="s">
        <v>4673</v>
      </c>
      <c r="AH1351" t="b">
        <v>0</v>
      </c>
      <c r="AI1351" t="s">
        <v>4829</v>
      </c>
      <c r="AK1351" s="78" t="s">
        <v>4640</v>
      </c>
      <c r="AL1351" t="b">
        <v>0</v>
      </c>
      <c r="AM1351">
        <v>0</v>
      </c>
      <c r="AN1351" s="78" t="s">
        <v>4640</v>
      </c>
      <c r="AO1351" s="78" t="s">
        <v>4849</v>
      </c>
      <c r="AP1351" t="b">
        <v>0</v>
      </c>
      <c r="AQ1351" s="78" t="s">
        <v>3722</v>
      </c>
      <c r="AR1351" t="s">
        <v>179</v>
      </c>
      <c r="AS1351">
        <v>0</v>
      </c>
      <c r="AT1351">
        <v>0</v>
      </c>
    </row>
    <row r="1352" spans="1:46" x14ac:dyDescent="0.45">
      <c r="A1352" s="62" t="s">
        <v>319</v>
      </c>
      <c r="B1352" s="62" t="s">
        <v>1210</v>
      </c>
      <c r="C1352" s="63"/>
      <c r="D1352" s="64"/>
      <c r="E1352" s="65"/>
      <c r="F1352" s="66"/>
      <c r="G1352" s="63"/>
      <c r="H1352" s="67"/>
      <c r="I1352" s="68"/>
      <c r="J1352" s="68"/>
      <c r="K1352" s="32"/>
      <c r="L1352" s="75"/>
      <c r="M1352" s="75"/>
      <c r="N1352" s="70"/>
      <c r="O1352" t="s">
        <v>1567</v>
      </c>
      <c r="P1352" s="76">
        <v>44958.619490740741</v>
      </c>
      <c r="Q1352" t="s">
        <v>1662</v>
      </c>
      <c r="V1352" s="77" t="str">
        <f>HYPERLINK("https://pbs.twimg.com/profile_images/1606115837122863105/YzOR8VLj_normal.jpg")</f>
        <v>https://pbs.twimg.com/profile_images/1606115837122863105/YzOR8VLj_normal.jpg</v>
      </c>
      <c r="W1352" s="76">
        <v>44958.619490740741</v>
      </c>
      <c r="X1352" s="80">
        <v>44958</v>
      </c>
      <c r="Y1352" s="78" t="s">
        <v>2532</v>
      </c>
      <c r="Z1352" s="77" t="str">
        <f>HYPERLINK("https://twitter.com/godlovesohio/status/1620797133132808192")</f>
        <v>https://twitter.com/godlovesohio/status/1620797133132808192</v>
      </c>
      <c r="AC1352" s="78" t="s">
        <v>3548</v>
      </c>
      <c r="AD1352" s="78" t="s">
        <v>4525</v>
      </c>
      <c r="AE1352" t="b">
        <v>0</v>
      </c>
      <c r="AF1352">
        <v>1</v>
      </c>
      <c r="AG1352" s="78" t="s">
        <v>4675</v>
      </c>
      <c r="AH1352" t="b">
        <v>0</v>
      </c>
      <c r="AI1352" t="s">
        <v>4829</v>
      </c>
      <c r="AK1352" s="78" t="s">
        <v>4640</v>
      </c>
      <c r="AL1352" t="b">
        <v>0</v>
      </c>
      <c r="AM1352">
        <v>0</v>
      </c>
      <c r="AN1352" s="78" t="s">
        <v>4640</v>
      </c>
      <c r="AO1352" s="78" t="s">
        <v>4850</v>
      </c>
      <c r="AP1352" t="b">
        <v>0</v>
      </c>
      <c r="AQ1352" s="78" t="s">
        <v>4525</v>
      </c>
      <c r="AR1352" t="s">
        <v>179</v>
      </c>
      <c r="AS1352">
        <v>0</v>
      </c>
      <c r="AT1352">
        <v>0</v>
      </c>
    </row>
    <row r="1353" spans="1:46" x14ac:dyDescent="0.45">
      <c r="A1353" s="62" t="s">
        <v>319</v>
      </c>
      <c r="B1353" s="62" t="s">
        <v>242</v>
      </c>
      <c r="C1353" s="63"/>
      <c r="D1353" s="64"/>
      <c r="E1353" s="65"/>
      <c r="F1353" s="66"/>
      <c r="G1353" s="63"/>
      <c r="H1353" s="67"/>
      <c r="I1353" s="68"/>
      <c r="J1353" s="68"/>
      <c r="K1353" s="32"/>
      <c r="L1353" s="75"/>
      <c r="M1353" s="75"/>
      <c r="N1353" s="70"/>
      <c r="O1353" t="s">
        <v>1568</v>
      </c>
      <c r="P1353" s="76">
        <v>44958.619490740741</v>
      </c>
      <c r="Q1353" t="s">
        <v>1662</v>
      </c>
      <c r="V1353" s="77" t="str">
        <f>HYPERLINK("https://pbs.twimg.com/profile_images/1606115837122863105/YzOR8VLj_normal.jpg")</f>
        <v>https://pbs.twimg.com/profile_images/1606115837122863105/YzOR8VLj_normal.jpg</v>
      </c>
      <c r="W1353" s="76">
        <v>44958.619490740741</v>
      </c>
      <c r="X1353" s="80">
        <v>44958</v>
      </c>
      <c r="Y1353" s="78" t="s">
        <v>2532</v>
      </c>
      <c r="Z1353" s="77" t="str">
        <f>HYPERLINK("https://twitter.com/godlovesohio/status/1620797133132808192")</f>
        <v>https://twitter.com/godlovesohio/status/1620797133132808192</v>
      </c>
      <c r="AC1353" s="78" t="s">
        <v>3548</v>
      </c>
      <c r="AD1353" s="78" t="s">
        <v>4525</v>
      </c>
      <c r="AE1353" t="b">
        <v>0</v>
      </c>
      <c r="AF1353">
        <v>1</v>
      </c>
      <c r="AG1353" s="78" t="s">
        <v>4675</v>
      </c>
      <c r="AH1353" t="b">
        <v>0</v>
      </c>
      <c r="AI1353" t="s">
        <v>4829</v>
      </c>
      <c r="AK1353" s="78" t="s">
        <v>4640</v>
      </c>
      <c r="AL1353" t="b">
        <v>0</v>
      </c>
      <c r="AM1353">
        <v>0</v>
      </c>
      <c r="AN1353" s="78" t="s">
        <v>4640</v>
      </c>
      <c r="AO1353" s="78" t="s">
        <v>4850</v>
      </c>
      <c r="AP1353" t="b">
        <v>0</v>
      </c>
      <c r="AQ1353" s="78" t="s">
        <v>4525</v>
      </c>
      <c r="AR1353" t="s">
        <v>179</v>
      </c>
      <c r="AS1353">
        <v>0</v>
      </c>
      <c r="AT1353">
        <v>0</v>
      </c>
    </row>
    <row r="1354" spans="1:46" x14ac:dyDescent="0.45">
      <c r="A1354" s="62" t="s">
        <v>330</v>
      </c>
      <c r="B1354" s="62" t="s">
        <v>1220</v>
      </c>
      <c r="C1354" s="63"/>
      <c r="D1354" s="64"/>
      <c r="E1354" s="65"/>
      <c r="F1354" s="66"/>
      <c r="G1354" s="63"/>
      <c r="H1354" s="67"/>
      <c r="I1354" s="68"/>
      <c r="J1354" s="68"/>
      <c r="K1354" s="32"/>
      <c r="L1354" s="75"/>
      <c r="M1354" s="75"/>
      <c r="N1354" s="70"/>
      <c r="O1354" t="s">
        <v>1567</v>
      </c>
      <c r="P1354" s="76">
        <v>44958.641631944447</v>
      </c>
      <c r="Q1354" t="s">
        <v>1677</v>
      </c>
      <c r="V1354" s="77" t="str">
        <f>HYPERLINK("https://pbs.twimg.com/profile_images/1393092037306638336/PYrE5-o5_normal.jpg")</f>
        <v>https://pbs.twimg.com/profile_images/1393092037306638336/PYrE5-o5_normal.jpg</v>
      </c>
      <c r="W1354" s="76">
        <v>44958.641631944447</v>
      </c>
      <c r="X1354" s="80">
        <v>44958</v>
      </c>
      <c r="Y1354" s="78" t="s">
        <v>2550</v>
      </c>
      <c r="Z1354" s="77" t="str">
        <f>HYPERLINK("https://twitter.com/jackkav08431165/status/1620805156538576896")</f>
        <v>https://twitter.com/jackkav08431165/status/1620805156538576896</v>
      </c>
      <c r="AC1354" s="78" t="s">
        <v>3567</v>
      </c>
      <c r="AD1354" s="78" t="s">
        <v>4528</v>
      </c>
      <c r="AE1354" t="b">
        <v>0</v>
      </c>
      <c r="AF1354">
        <v>1</v>
      </c>
      <c r="AG1354" s="78" t="s">
        <v>4679</v>
      </c>
      <c r="AH1354" t="b">
        <v>0</v>
      </c>
      <c r="AI1354" t="s">
        <v>4829</v>
      </c>
      <c r="AK1354" s="78" t="s">
        <v>4640</v>
      </c>
      <c r="AL1354" t="b">
        <v>0</v>
      </c>
      <c r="AM1354">
        <v>0</v>
      </c>
      <c r="AN1354" s="78" t="s">
        <v>4640</v>
      </c>
      <c r="AO1354" s="78" t="s">
        <v>4851</v>
      </c>
      <c r="AP1354" t="b">
        <v>0</v>
      </c>
      <c r="AQ1354" s="78" t="s">
        <v>4528</v>
      </c>
      <c r="AR1354" t="s">
        <v>179</v>
      </c>
      <c r="AS1354">
        <v>0</v>
      </c>
      <c r="AT1354">
        <v>0</v>
      </c>
    </row>
    <row r="1355" spans="1:46" x14ac:dyDescent="0.45">
      <c r="A1355" s="62" t="s">
        <v>330</v>
      </c>
      <c r="B1355" s="62" t="s">
        <v>242</v>
      </c>
      <c r="C1355" s="63"/>
      <c r="D1355" s="64"/>
      <c r="E1355" s="65"/>
      <c r="F1355" s="66"/>
      <c r="G1355" s="63"/>
      <c r="H1355" s="67"/>
      <c r="I1355" s="68"/>
      <c r="J1355" s="68"/>
      <c r="K1355" s="32"/>
      <c r="L1355" s="75"/>
      <c r="M1355" s="75"/>
      <c r="N1355" s="70"/>
      <c r="O1355" t="s">
        <v>1568</v>
      </c>
      <c r="P1355" s="76">
        <v>44958.641631944447</v>
      </c>
      <c r="Q1355" t="s">
        <v>1677</v>
      </c>
      <c r="V1355" s="77" t="str">
        <f>HYPERLINK("https://pbs.twimg.com/profile_images/1393092037306638336/PYrE5-o5_normal.jpg")</f>
        <v>https://pbs.twimg.com/profile_images/1393092037306638336/PYrE5-o5_normal.jpg</v>
      </c>
      <c r="W1355" s="76">
        <v>44958.641631944447</v>
      </c>
      <c r="X1355" s="80">
        <v>44958</v>
      </c>
      <c r="Y1355" s="78" t="s">
        <v>2550</v>
      </c>
      <c r="Z1355" s="77" t="str">
        <f>HYPERLINK("https://twitter.com/jackkav08431165/status/1620805156538576896")</f>
        <v>https://twitter.com/jackkav08431165/status/1620805156538576896</v>
      </c>
      <c r="AC1355" s="78" t="s">
        <v>3567</v>
      </c>
      <c r="AD1355" s="78" t="s">
        <v>4528</v>
      </c>
      <c r="AE1355" t="b">
        <v>0</v>
      </c>
      <c r="AF1355">
        <v>1</v>
      </c>
      <c r="AG1355" s="78" t="s">
        <v>4679</v>
      </c>
      <c r="AH1355" t="b">
        <v>0</v>
      </c>
      <c r="AI1355" t="s">
        <v>4829</v>
      </c>
      <c r="AK1355" s="78" t="s">
        <v>4640</v>
      </c>
      <c r="AL1355" t="b">
        <v>0</v>
      </c>
      <c r="AM1355">
        <v>0</v>
      </c>
      <c r="AN1355" s="78" t="s">
        <v>4640</v>
      </c>
      <c r="AO1355" s="78" t="s">
        <v>4851</v>
      </c>
      <c r="AP1355" t="b">
        <v>0</v>
      </c>
      <c r="AQ1355" s="78" t="s">
        <v>4528</v>
      </c>
      <c r="AR1355" t="s">
        <v>179</v>
      </c>
      <c r="AS1355">
        <v>0</v>
      </c>
      <c r="AT1355">
        <v>0</v>
      </c>
    </row>
    <row r="1356" spans="1:46" x14ac:dyDescent="0.45">
      <c r="A1356" s="62" t="s">
        <v>335</v>
      </c>
      <c r="B1356" s="62" t="s">
        <v>1226</v>
      </c>
      <c r="C1356" s="63"/>
      <c r="D1356" s="64"/>
      <c r="E1356" s="65"/>
      <c r="F1356" s="66"/>
      <c r="G1356" s="63"/>
      <c r="H1356" s="67"/>
      <c r="I1356" s="68"/>
      <c r="J1356" s="68"/>
      <c r="K1356" s="32"/>
      <c r="L1356" s="75"/>
      <c r="M1356" s="75"/>
      <c r="N1356" s="70"/>
      <c r="O1356" t="s">
        <v>1567</v>
      </c>
      <c r="P1356" s="76">
        <v>44958.64607638889</v>
      </c>
      <c r="Q1356" t="s">
        <v>1681</v>
      </c>
      <c r="V1356" s="77" t="str">
        <f>HYPERLINK("https://pbs.twimg.com/profile_images/1524813643409498112/G6TOyL_e_normal.png")</f>
        <v>https://pbs.twimg.com/profile_images/1524813643409498112/G6TOyL_e_normal.png</v>
      </c>
      <c r="W1356" s="76">
        <v>44958.64607638889</v>
      </c>
      <c r="X1356" s="80">
        <v>44958</v>
      </c>
      <c r="Y1356" s="78" t="s">
        <v>2555</v>
      </c>
      <c r="Z1356" s="77" t="str">
        <f>HYPERLINK("https://twitter.com/zearned/status/1620806769470754819")</f>
        <v>https://twitter.com/zearned/status/1620806769470754819</v>
      </c>
      <c r="AC1356" s="78" t="s">
        <v>3572</v>
      </c>
      <c r="AD1356" s="78" t="s">
        <v>4530</v>
      </c>
      <c r="AE1356" t="b">
        <v>0</v>
      </c>
      <c r="AF1356">
        <v>1</v>
      </c>
      <c r="AG1356" s="78" t="s">
        <v>4681</v>
      </c>
      <c r="AH1356" t="b">
        <v>0</v>
      </c>
      <c r="AI1356" t="s">
        <v>4829</v>
      </c>
      <c r="AK1356" s="78" t="s">
        <v>4640</v>
      </c>
      <c r="AL1356" t="b">
        <v>0</v>
      </c>
      <c r="AM1356">
        <v>0</v>
      </c>
      <c r="AN1356" s="78" t="s">
        <v>4640</v>
      </c>
      <c r="AO1356" s="78" t="s">
        <v>4849</v>
      </c>
      <c r="AP1356" t="b">
        <v>0</v>
      </c>
      <c r="AQ1356" s="78" t="s">
        <v>4530</v>
      </c>
      <c r="AR1356" t="s">
        <v>179</v>
      </c>
      <c r="AS1356">
        <v>0</v>
      </c>
      <c r="AT1356">
        <v>0</v>
      </c>
    </row>
    <row r="1357" spans="1:46" x14ac:dyDescent="0.45">
      <c r="A1357" s="62" t="s">
        <v>335</v>
      </c>
      <c r="B1357" s="62" t="s">
        <v>242</v>
      </c>
      <c r="C1357" s="63"/>
      <c r="D1357" s="64"/>
      <c r="E1357" s="65"/>
      <c r="F1357" s="66"/>
      <c r="G1357" s="63"/>
      <c r="H1357" s="67"/>
      <c r="I1357" s="68"/>
      <c r="J1357" s="68"/>
      <c r="K1357" s="32"/>
      <c r="L1357" s="75"/>
      <c r="M1357" s="75"/>
      <c r="N1357" s="70"/>
      <c r="O1357" t="s">
        <v>1568</v>
      </c>
      <c r="P1357" s="76">
        <v>44958.64607638889</v>
      </c>
      <c r="Q1357" t="s">
        <v>1681</v>
      </c>
      <c r="V1357" s="77" t="str">
        <f>HYPERLINK("https://pbs.twimg.com/profile_images/1524813643409498112/G6TOyL_e_normal.png")</f>
        <v>https://pbs.twimg.com/profile_images/1524813643409498112/G6TOyL_e_normal.png</v>
      </c>
      <c r="W1357" s="76">
        <v>44958.64607638889</v>
      </c>
      <c r="X1357" s="80">
        <v>44958</v>
      </c>
      <c r="Y1357" s="78" t="s">
        <v>2555</v>
      </c>
      <c r="Z1357" s="77" t="str">
        <f>HYPERLINK("https://twitter.com/zearned/status/1620806769470754819")</f>
        <v>https://twitter.com/zearned/status/1620806769470754819</v>
      </c>
      <c r="AC1357" s="78" t="s">
        <v>3572</v>
      </c>
      <c r="AD1357" s="78" t="s">
        <v>4530</v>
      </c>
      <c r="AE1357" t="b">
        <v>0</v>
      </c>
      <c r="AF1357">
        <v>1</v>
      </c>
      <c r="AG1357" s="78" t="s">
        <v>4681</v>
      </c>
      <c r="AH1357" t="b">
        <v>0</v>
      </c>
      <c r="AI1357" t="s">
        <v>4829</v>
      </c>
      <c r="AK1357" s="78" t="s">
        <v>4640</v>
      </c>
      <c r="AL1357" t="b">
        <v>0</v>
      </c>
      <c r="AM1357">
        <v>0</v>
      </c>
      <c r="AN1357" s="78" t="s">
        <v>4640</v>
      </c>
      <c r="AO1357" s="78" t="s">
        <v>4849</v>
      </c>
      <c r="AP1357" t="b">
        <v>0</v>
      </c>
      <c r="AQ1357" s="78" t="s">
        <v>4530</v>
      </c>
      <c r="AR1357" t="s">
        <v>179</v>
      </c>
      <c r="AS1357">
        <v>0</v>
      </c>
      <c r="AT1357">
        <v>0</v>
      </c>
    </row>
    <row r="1358" spans="1:46" x14ac:dyDescent="0.45">
      <c r="A1358" s="62" t="s">
        <v>336</v>
      </c>
      <c r="B1358" s="62" t="s">
        <v>1227</v>
      </c>
      <c r="C1358" s="63"/>
      <c r="D1358" s="64"/>
      <c r="E1358" s="65"/>
      <c r="F1358" s="66"/>
      <c r="G1358" s="63"/>
      <c r="H1358" s="67"/>
      <c r="I1358" s="68"/>
      <c r="J1358" s="68"/>
      <c r="K1358" s="32"/>
      <c r="L1358" s="75"/>
      <c r="M1358" s="75"/>
      <c r="N1358" s="70"/>
      <c r="O1358" t="s">
        <v>1567</v>
      </c>
      <c r="P1358" s="76">
        <v>44958.646319444444</v>
      </c>
      <c r="Q1358" t="s">
        <v>1682</v>
      </c>
      <c r="U1358" s="77" t="str">
        <f>HYPERLINK("https://pbs.twimg.com/media/Fn5DNHfWQAEl8uI.jpg")</f>
        <v>https://pbs.twimg.com/media/Fn5DNHfWQAEl8uI.jpg</v>
      </c>
      <c r="V1358" s="77" t="str">
        <f>HYPERLINK("https://pbs.twimg.com/media/Fn5DNHfWQAEl8uI.jpg")</f>
        <v>https://pbs.twimg.com/media/Fn5DNHfWQAEl8uI.jpg</v>
      </c>
      <c r="W1358" s="76">
        <v>44958.646319444444</v>
      </c>
      <c r="X1358" s="80">
        <v>44958</v>
      </c>
      <c r="Y1358" s="78" t="s">
        <v>2556</v>
      </c>
      <c r="Z1358" s="77" t="str">
        <f>HYPERLINK("https://twitter.com/afqirmourad/status/1620806857215598593")</f>
        <v>https://twitter.com/afqirmourad/status/1620806857215598593</v>
      </c>
      <c r="AC1358" s="78" t="s">
        <v>3573</v>
      </c>
      <c r="AD1358" s="78" t="s">
        <v>4531</v>
      </c>
      <c r="AE1358" t="b">
        <v>0</v>
      </c>
      <c r="AF1358">
        <v>1</v>
      </c>
      <c r="AG1358" s="78" t="s">
        <v>4682</v>
      </c>
      <c r="AH1358" t="b">
        <v>0</v>
      </c>
      <c r="AI1358" t="s">
        <v>4829</v>
      </c>
      <c r="AK1358" s="78" t="s">
        <v>4640</v>
      </c>
      <c r="AL1358" t="b">
        <v>0</v>
      </c>
      <c r="AM1358">
        <v>0</v>
      </c>
      <c r="AN1358" s="78" t="s">
        <v>4640</v>
      </c>
      <c r="AO1358" s="78" t="s">
        <v>4851</v>
      </c>
      <c r="AP1358" t="b">
        <v>0</v>
      </c>
      <c r="AQ1358" s="78" t="s">
        <v>4531</v>
      </c>
      <c r="AR1358" t="s">
        <v>179</v>
      </c>
      <c r="AS1358">
        <v>0</v>
      </c>
      <c r="AT1358">
        <v>0</v>
      </c>
    </row>
    <row r="1359" spans="1:46" x14ac:dyDescent="0.45">
      <c r="A1359" s="62" t="s">
        <v>336</v>
      </c>
      <c r="B1359" s="62" t="s">
        <v>242</v>
      </c>
      <c r="C1359" s="63"/>
      <c r="D1359" s="64"/>
      <c r="E1359" s="65"/>
      <c r="F1359" s="66"/>
      <c r="G1359" s="63"/>
      <c r="H1359" s="67"/>
      <c r="I1359" s="68"/>
      <c r="J1359" s="68"/>
      <c r="K1359" s="32"/>
      <c r="L1359" s="75"/>
      <c r="M1359" s="75"/>
      <c r="N1359" s="70"/>
      <c r="O1359" t="s">
        <v>1568</v>
      </c>
      <c r="P1359" s="76">
        <v>44958.646319444444</v>
      </c>
      <c r="Q1359" t="s">
        <v>1682</v>
      </c>
      <c r="U1359" s="77" t="str">
        <f>HYPERLINK("https://pbs.twimg.com/media/Fn5DNHfWQAEl8uI.jpg")</f>
        <v>https://pbs.twimg.com/media/Fn5DNHfWQAEl8uI.jpg</v>
      </c>
      <c r="V1359" s="77" t="str">
        <f>HYPERLINK("https://pbs.twimg.com/media/Fn5DNHfWQAEl8uI.jpg")</f>
        <v>https://pbs.twimg.com/media/Fn5DNHfWQAEl8uI.jpg</v>
      </c>
      <c r="W1359" s="76">
        <v>44958.646319444444</v>
      </c>
      <c r="X1359" s="80">
        <v>44958</v>
      </c>
      <c r="Y1359" s="78" t="s">
        <v>2556</v>
      </c>
      <c r="Z1359" s="77" t="str">
        <f>HYPERLINK("https://twitter.com/afqirmourad/status/1620806857215598593")</f>
        <v>https://twitter.com/afqirmourad/status/1620806857215598593</v>
      </c>
      <c r="AC1359" s="78" t="s">
        <v>3573</v>
      </c>
      <c r="AD1359" s="78" t="s">
        <v>4531</v>
      </c>
      <c r="AE1359" t="b">
        <v>0</v>
      </c>
      <c r="AF1359">
        <v>1</v>
      </c>
      <c r="AG1359" s="78" t="s">
        <v>4682</v>
      </c>
      <c r="AH1359" t="b">
        <v>0</v>
      </c>
      <c r="AI1359" t="s">
        <v>4829</v>
      </c>
      <c r="AK1359" s="78" t="s">
        <v>4640</v>
      </c>
      <c r="AL1359" t="b">
        <v>0</v>
      </c>
      <c r="AM1359">
        <v>0</v>
      </c>
      <c r="AN1359" s="78" t="s">
        <v>4640</v>
      </c>
      <c r="AO1359" s="78" t="s">
        <v>4851</v>
      </c>
      <c r="AP1359" t="b">
        <v>0</v>
      </c>
      <c r="AQ1359" s="78" t="s">
        <v>4531</v>
      </c>
      <c r="AR1359" t="s">
        <v>179</v>
      </c>
      <c r="AS1359">
        <v>0</v>
      </c>
      <c r="AT1359">
        <v>0</v>
      </c>
    </row>
    <row r="1360" spans="1:46" x14ac:dyDescent="0.45">
      <c r="A1360" s="62" t="s">
        <v>343</v>
      </c>
      <c r="B1360" s="62" t="s">
        <v>242</v>
      </c>
      <c r="C1360" s="63"/>
      <c r="D1360" s="64"/>
      <c r="E1360" s="65"/>
      <c r="F1360" s="66"/>
      <c r="G1360" s="63"/>
      <c r="H1360" s="67"/>
      <c r="I1360" s="68"/>
      <c r="J1360" s="68"/>
      <c r="K1360" s="32"/>
      <c r="L1360" s="75"/>
      <c r="M1360" s="75"/>
      <c r="N1360" s="70"/>
      <c r="O1360" t="s">
        <v>1568</v>
      </c>
      <c r="P1360" s="76">
        <v>44958.660902777781</v>
      </c>
      <c r="Q1360" t="s">
        <v>1688</v>
      </c>
      <c r="V1360" s="77" t="str">
        <f>HYPERLINK("https://pbs.twimg.com/profile_images/1407081297445543942/0slpKaNV_normal.jpg")</f>
        <v>https://pbs.twimg.com/profile_images/1407081297445543942/0slpKaNV_normal.jpg</v>
      </c>
      <c r="W1360" s="76">
        <v>44958.660902777781</v>
      </c>
      <c r="X1360" s="80">
        <v>44958</v>
      </c>
      <c r="Y1360" s="78" t="s">
        <v>2564</v>
      </c>
      <c r="Z1360" s="77" t="str">
        <f>HYPERLINK("https://twitter.com/hexx81735504/status/1620812142059610114")</f>
        <v>https://twitter.com/hexx81735504/status/1620812142059610114</v>
      </c>
      <c r="AC1360" s="78" t="s">
        <v>3581</v>
      </c>
      <c r="AD1360" s="78" t="s">
        <v>3615</v>
      </c>
      <c r="AE1360" t="b">
        <v>0</v>
      </c>
      <c r="AF1360">
        <v>1</v>
      </c>
      <c r="AG1360" s="78" t="s">
        <v>4684</v>
      </c>
      <c r="AH1360" t="b">
        <v>0</v>
      </c>
      <c r="AI1360" t="s">
        <v>4829</v>
      </c>
      <c r="AK1360" s="78" t="s">
        <v>4640</v>
      </c>
      <c r="AL1360" t="b">
        <v>0</v>
      </c>
      <c r="AM1360">
        <v>0</v>
      </c>
      <c r="AN1360" s="78" t="s">
        <v>4640</v>
      </c>
      <c r="AO1360" s="78" t="s">
        <v>4850</v>
      </c>
      <c r="AP1360" t="b">
        <v>0</v>
      </c>
      <c r="AQ1360" s="78" t="s">
        <v>3615</v>
      </c>
      <c r="AR1360" t="s">
        <v>179</v>
      </c>
      <c r="AS1360">
        <v>0</v>
      </c>
      <c r="AT1360">
        <v>0</v>
      </c>
    </row>
    <row r="1361" spans="1:54" x14ac:dyDescent="0.45">
      <c r="A1361" s="62" t="s">
        <v>343</v>
      </c>
      <c r="B1361" s="62" t="s">
        <v>373</v>
      </c>
      <c r="C1361" s="63"/>
      <c r="D1361" s="64"/>
      <c r="E1361" s="65"/>
      <c r="F1361" s="66"/>
      <c r="G1361" s="63"/>
      <c r="H1361" s="67"/>
      <c r="I1361" s="68"/>
      <c r="J1361" s="68"/>
      <c r="K1361" s="32"/>
      <c r="L1361" s="75"/>
      <c r="M1361" s="75"/>
      <c r="N1361" s="70"/>
      <c r="O1361" t="s">
        <v>1568</v>
      </c>
      <c r="P1361" s="76">
        <v>44958.660902777781</v>
      </c>
      <c r="Q1361" t="s">
        <v>1688</v>
      </c>
      <c r="V1361" s="77" t="str">
        <f>HYPERLINK("https://pbs.twimg.com/profile_images/1407081297445543942/0slpKaNV_normal.jpg")</f>
        <v>https://pbs.twimg.com/profile_images/1407081297445543942/0slpKaNV_normal.jpg</v>
      </c>
      <c r="W1361" s="76">
        <v>44958.660902777781</v>
      </c>
      <c r="X1361" s="80">
        <v>44958</v>
      </c>
      <c r="Y1361" s="78" t="s">
        <v>2564</v>
      </c>
      <c r="Z1361" s="77" t="str">
        <f>HYPERLINK("https://twitter.com/hexx81735504/status/1620812142059610114")</f>
        <v>https://twitter.com/hexx81735504/status/1620812142059610114</v>
      </c>
      <c r="AC1361" s="78" t="s">
        <v>3581</v>
      </c>
      <c r="AD1361" s="78" t="s">
        <v>3615</v>
      </c>
      <c r="AE1361" t="b">
        <v>0</v>
      </c>
      <c r="AF1361">
        <v>1</v>
      </c>
      <c r="AG1361" s="78" t="s">
        <v>4684</v>
      </c>
      <c r="AH1361" t="b">
        <v>0</v>
      </c>
      <c r="AI1361" t="s">
        <v>4829</v>
      </c>
      <c r="AK1361" s="78" t="s">
        <v>4640</v>
      </c>
      <c r="AL1361" t="b">
        <v>0</v>
      </c>
      <c r="AM1361">
        <v>0</v>
      </c>
      <c r="AN1361" s="78" t="s">
        <v>4640</v>
      </c>
      <c r="AO1361" s="78" t="s">
        <v>4850</v>
      </c>
      <c r="AP1361" t="b">
        <v>0</v>
      </c>
      <c r="AQ1361" s="78" t="s">
        <v>3615</v>
      </c>
      <c r="AR1361" t="s">
        <v>179</v>
      </c>
      <c r="AS1361">
        <v>0</v>
      </c>
      <c r="AT1361">
        <v>0</v>
      </c>
    </row>
    <row r="1362" spans="1:54" x14ac:dyDescent="0.45">
      <c r="A1362" s="62" t="s">
        <v>343</v>
      </c>
      <c r="B1362" s="62" t="s">
        <v>372</v>
      </c>
      <c r="C1362" s="63"/>
      <c r="D1362" s="64"/>
      <c r="E1362" s="65"/>
      <c r="F1362" s="66"/>
      <c r="G1362" s="63"/>
      <c r="H1362" s="67"/>
      <c r="I1362" s="68"/>
      <c r="J1362" s="68"/>
      <c r="K1362" s="32"/>
      <c r="L1362" s="75"/>
      <c r="M1362" s="75"/>
      <c r="N1362" s="70"/>
      <c r="O1362" t="s">
        <v>1567</v>
      </c>
      <c r="P1362" s="76">
        <v>44958.660902777781</v>
      </c>
      <c r="Q1362" t="s">
        <v>1688</v>
      </c>
      <c r="V1362" s="77" t="str">
        <f>HYPERLINK("https://pbs.twimg.com/profile_images/1407081297445543942/0slpKaNV_normal.jpg")</f>
        <v>https://pbs.twimg.com/profile_images/1407081297445543942/0slpKaNV_normal.jpg</v>
      </c>
      <c r="W1362" s="76">
        <v>44958.660902777781</v>
      </c>
      <c r="X1362" s="80">
        <v>44958</v>
      </c>
      <c r="Y1362" s="78" t="s">
        <v>2564</v>
      </c>
      <c r="Z1362" s="77" t="str">
        <f>HYPERLINK("https://twitter.com/hexx81735504/status/1620812142059610114")</f>
        <v>https://twitter.com/hexx81735504/status/1620812142059610114</v>
      </c>
      <c r="AC1362" s="78" t="s">
        <v>3581</v>
      </c>
      <c r="AD1362" s="78" t="s">
        <v>3615</v>
      </c>
      <c r="AE1362" t="b">
        <v>0</v>
      </c>
      <c r="AF1362">
        <v>1</v>
      </c>
      <c r="AG1362" s="78" t="s">
        <v>4684</v>
      </c>
      <c r="AH1362" t="b">
        <v>0</v>
      </c>
      <c r="AI1362" t="s">
        <v>4829</v>
      </c>
      <c r="AK1362" s="78" t="s">
        <v>4640</v>
      </c>
      <c r="AL1362" t="b">
        <v>0</v>
      </c>
      <c r="AM1362">
        <v>0</v>
      </c>
      <c r="AN1362" s="78" t="s">
        <v>4640</v>
      </c>
      <c r="AO1362" s="78" t="s">
        <v>4850</v>
      </c>
      <c r="AP1362" t="b">
        <v>0</v>
      </c>
      <c r="AQ1362" s="78" t="s">
        <v>3615</v>
      </c>
      <c r="AR1362" t="s">
        <v>179</v>
      </c>
      <c r="AS1362">
        <v>0</v>
      </c>
      <c r="AT1362">
        <v>0</v>
      </c>
    </row>
    <row r="1363" spans="1:54" x14ac:dyDescent="0.45">
      <c r="A1363" s="62" t="s">
        <v>351</v>
      </c>
      <c r="B1363" s="62" t="s">
        <v>1230</v>
      </c>
      <c r="C1363" s="63"/>
      <c r="D1363" s="64"/>
      <c r="E1363" s="65"/>
      <c r="F1363" s="66"/>
      <c r="G1363" s="63"/>
      <c r="H1363" s="67"/>
      <c r="I1363" s="68"/>
      <c r="J1363" s="68"/>
      <c r="K1363" s="32"/>
      <c r="L1363" s="75"/>
      <c r="M1363" s="75"/>
      <c r="N1363" s="70"/>
      <c r="O1363" t="s">
        <v>1568</v>
      </c>
      <c r="P1363" s="76">
        <v>44958.670787037037</v>
      </c>
      <c r="Q1363" t="s">
        <v>1694</v>
      </c>
      <c r="V1363" s="77" t="str">
        <f>HYPERLINK("https://pbs.twimg.com/profile_images/1619834845013614592/xcpjSk06_normal.jpg")</f>
        <v>https://pbs.twimg.com/profile_images/1619834845013614592/xcpjSk06_normal.jpg</v>
      </c>
      <c r="W1363" s="76">
        <v>44958.670787037037</v>
      </c>
      <c r="X1363" s="80">
        <v>44958</v>
      </c>
      <c r="Y1363" s="78" t="s">
        <v>2572</v>
      </c>
      <c r="Z1363" s="77" t="str">
        <f>HYPERLINK("https://twitter.com/rh_account/status/1620815725689737216")</f>
        <v>https://twitter.com/rh_account/status/1620815725689737216</v>
      </c>
      <c r="AC1363" s="78" t="s">
        <v>3589</v>
      </c>
      <c r="AD1363" s="78" t="s">
        <v>4473</v>
      </c>
      <c r="AE1363" t="b">
        <v>0</v>
      </c>
      <c r="AF1363">
        <v>1</v>
      </c>
      <c r="AG1363" s="78" t="s">
        <v>4639</v>
      </c>
      <c r="AH1363" t="b">
        <v>0</v>
      </c>
      <c r="AI1363" t="s">
        <v>4829</v>
      </c>
      <c r="AK1363" s="78" t="s">
        <v>4640</v>
      </c>
      <c r="AL1363" t="b">
        <v>0</v>
      </c>
      <c r="AM1363">
        <v>0</v>
      </c>
      <c r="AN1363" s="78" t="s">
        <v>4640</v>
      </c>
      <c r="AO1363" s="78" t="s">
        <v>4850</v>
      </c>
      <c r="AP1363" t="b">
        <v>0</v>
      </c>
      <c r="AQ1363" s="78" t="s">
        <v>4473</v>
      </c>
      <c r="AR1363" t="s">
        <v>179</v>
      </c>
      <c r="AS1363">
        <v>0</v>
      </c>
      <c r="AT1363">
        <v>0</v>
      </c>
    </row>
    <row r="1364" spans="1:54" x14ac:dyDescent="0.45">
      <c r="A1364" s="62" t="s">
        <v>351</v>
      </c>
      <c r="B1364" s="62" t="s">
        <v>242</v>
      </c>
      <c r="C1364" s="63"/>
      <c r="D1364" s="64"/>
      <c r="E1364" s="65"/>
      <c r="F1364" s="66"/>
      <c r="G1364" s="63"/>
      <c r="H1364" s="67"/>
      <c r="I1364" s="68"/>
      <c r="J1364" s="68"/>
      <c r="K1364" s="32"/>
      <c r="L1364" s="75"/>
      <c r="M1364" s="75"/>
      <c r="N1364" s="70"/>
      <c r="O1364" t="s">
        <v>1567</v>
      </c>
      <c r="P1364" s="76">
        <v>44958.670787037037</v>
      </c>
      <c r="Q1364" t="s">
        <v>1694</v>
      </c>
      <c r="V1364" s="77" t="str">
        <f>HYPERLINK("https://pbs.twimg.com/profile_images/1619834845013614592/xcpjSk06_normal.jpg")</f>
        <v>https://pbs.twimg.com/profile_images/1619834845013614592/xcpjSk06_normal.jpg</v>
      </c>
      <c r="W1364" s="76">
        <v>44958.670787037037</v>
      </c>
      <c r="X1364" s="80">
        <v>44958</v>
      </c>
      <c r="Y1364" s="78" t="s">
        <v>2572</v>
      </c>
      <c r="Z1364" s="77" t="str">
        <f>HYPERLINK("https://twitter.com/rh_account/status/1620815725689737216")</f>
        <v>https://twitter.com/rh_account/status/1620815725689737216</v>
      </c>
      <c r="AC1364" s="78" t="s">
        <v>3589</v>
      </c>
      <c r="AD1364" s="78" t="s">
        <v>4473</v>
      </c>
      <c r="AE1364" t="b">
        <v>0</v>
      </c>
      <c r="AF1364">
        <v>1</v>
      </c>
      <c r="AG1364" s="78" t="s">
        <v>4639</v>
      </c>
      <c r="AH1364" t="b">
        <v>0</v>
      </c>
      <c r="AI1364" t="s">
        <v>4829</v>
      </c>
      <c r="AK1364" s="78" t="s">
        <v>4640</v>
      </c>
      <c r="AL1364" t="b">
        <v>0</v>
      </c>
      <c r="AM1364">
        <v>0</v>
      </c>
      <c r="AN1364" s="78" t="s">
        <v>4640</v>
      </c>
      <c r="AO1364" s="78" t="s">
        <v>4850</v>
      </c>
      <c r="AP1364" t="b">
        <v>0</v>
      </c>
      <c r="AQ1364" s="78" t="s">
        <v>4473</v>
      </c>
      <c r="AR1364" t="s">
        <v>179</v>
      </c>
      <c r="AS1364">
        <v>0</v>
      </c>
      <c r="AT1364">
        <v>0</v>
      </c>
    </row>
    <row r="1365" spans="1:54" x14ac:dyDescent="0.45">
      <c r="A1365" s="62" t="s">
        <v>352</v>
      </c>
      <c r="B1365" s="62" t="s">
        <v>1230</v>
      </c>
      <c r="C1365" s="63"/>
      <c r="D1365" s="64"/>
      <c r="E1365" s="65"/>
      <c r="F1365" s="66"/>
      <c r="G1365" s="63"/>
      <c r="H1365" s="67"/>
      <c r="I1365" s="68"/>
      <c r="J1365" s="68"/>
      <c r="K1365" s="32"/>
      <c r="L1365" s="75"/>
      <c r="M1365" s="75"/>
      <c r="N1365" s="70"/>
      <c r="O1365" t="s">
        <v>1568</v>
      </c>
      <c r="P1365" s="76">
        <v>44958.671631944446</v>
      </c>
      <c r="Q1365" t="s">
        <v>1695</v>
      </c>
      <c r="V1365" s="77" t="str">
        <f>HYPERLINK("https://pbs.twimg.com/profile_images/1620659703238754304/OkOpg5Cj_normal.jpg")</f>
        <v>https://pbs.twimg.com/profile_images/1620659703238754304/OkOpg5Cj_normal.jpg</v>
      </c>
      <c r="W1365" s="76">
        <v>44958.671631944446</v>
      </c>
      <c r="X1365" s="80">
        <v>44958</v>
      </c>
      <c r="Y1365" s="78" t="s">
        <v>2573</v>
      </c>
      <c r="Z1365" s="77" t="str">
        <f>HYPERLINK("https://twitter.com/alottabs_/status/1620816031190241281")</f>
        <v>https://twitter.com/alottabs_/status/1620816031190241281</v>
      </c>
      <c r="AC1365" s="78" t="s">
        <v>3590</v>
      </c>
      <c r="AD1365" s="78" t="s">
        <v>4473</v>
      </c>
      <c r="AE1365" t="b">
        <v>0</v>
      </c>
      <c r="AF1365">
        <v>1</v>
      </c>
      <c r="AG1365" s="78" t="s">
        <v>4639</v>
      </c>
      <c r="AH1365" t="b">
        <v>0</v>
      </c>
      <c r="AI1365" t="s">
        <v>4829</v>
      </c>
      <c r="AK1365" s="78" t="s">
        <v>4640</v>
      </c>
      <c r="AL1365" t="b">
        <v>0</v>
      </c>
      <c r="AM1365">
        <v>0</v>
      </c>
      <c r="AN1365" s="78" t="s">
        <v>4640</v>
      </c>
      <c r="AO1365" s="78" t="s">
        <v>4850</v>
      </c>
      <c r="AP1365" t="b">
        <v>0</v>
      </c>
      <c r="AQ1365" s="78" t="s">
        <v>4473</v>
      </c>
      <c r="AR1365" t="s">
        <v>179</v>
      </c>
      <c r="AS1365">
        <v>0</v>
      </c>
      <c r="AT1365">
        <v>0</v>
      </c>
    </row>
    <row r="1366" spans="1:54" x14ac:dyDescent="0.45">
      <c r="A1366" s="62" t="s">
        <v>352</v>
      </c>
      <c r="B1366" s="62" t="s">
        <v>242</v>
      </c>
      <c r="C1366" s="63"/>
      <c r="D1366" s="64"/>
      <c r="E1366" s="65"/>
      <c r="F1366" s="66"/>
      <c r="G1366" s="63"/>
      <c r="H1366" s="67"/>
      <c r="I1366" s="68"/>
      <c r="J1366" s="68"/>
      <c r="K1366" s="32"/>
      <c r="L1366" s="75"/>
      <c r="M1366" s="75"/>
      <c r="N1366" s="70"/>
      <c r="O1366" t="s">
        <v>1567</v>
      </c>
      <c r="P1366" s="76">
        <v>44958.671631944446</v>
      </c>
      <c r="Q1366" t="s">
        <v>1695</v>
      </c>
      <c r="V1366" s="77" t="str">
        <f>HYPERLINK("https://pbs.twimg.com/profile_images/1620659703238754304/OkOpg5Cj_normal.jpg")</f>
        <v>https://pbs.twimg.com/profile_images/1620659703238754304/OkOpg5Cj_normal.jpg</v>
      </c>
      <c r="W1366" s="76">
        <v>44958.671631944446</v>
      </c>
      <c r="X1366" s="80">
        <v>44958</v>
      </c>
      <c r="Y1366" s="78" t="s">
        <v>2573</v>
      </c>
      <c r="Z1366" s="77" t="str">
        <f>HYPERLINK("https://twitter.com/alottabs_/status/1620816031190241281")</f>
        <v>https://twitter.com/alottabs_/status/1620816031190241281</v>
      </c>
      <c r="AC1366" s="78" t="s">
        <v>3590</v>
      </c>
      <c r="AD1366" s="78" t="s">
        <v>4473</v>
      </c>
      <c r="AE1366" t="b">
        <v>0</v>
      </c>
      <c r="AF1366">
        <v>1</v>
      </c>
      <c r="AG1366" s="78" t="s">
        <v>4639</v>
      </c>
      <c r="AH1366" t="b">
        <v>0</v>
      </c>
      <c r="AI1366" t="s">
        <v>4829</v>
      </c>
      <c r="AK1366" s="78" t="s">
        <v>4640</v>
      </c>
      <c r="AL1366" t="b">
        <v>0</v>
      </c>
      <c r="AM1366">
        <v>0</v>
      </c>
      <c r="AN1366" s="78" t="s">
        <v>4640</v>
      </c>
      <c r="AO1366" s="78" t="s">
        <v>4850</v>
      </c>
      <c r="AP1366" t="b">
        <v>0</v>
      </c>
      <c r="AQ1366" s="78" t="s">
        <v>4473</v>
      </c>
      <c r="AR1366" t="s">
        <v>179</v>
      </c>
      <c r="AS1366">
        <v>0</v>
      </c>
      <c r="AT1366">
        <v>0</v>
      </c>
    </row>
    <row r="1367" spans="1:54" x14ac:dyDescent="0.45">
      <c r="A1367" s="62" t="s">
        <v>354</v>
      </c>
      <c r="B1367" s="62" t="s">
        <v>1200</v>
      </c>
      <c r="C1367" s="63"/>
      <c r="D1367" s="64"/>
      <c r="E1367" s="65"/>
      <c r="F1367" s="66"/>
      <c r="G1367" s="63"/>
      <c r="H1367" s="67"/>
      <c r="I1367" s="68"/>
      <c r="J1367" s="68"/>
      <c r="K1367" s="32"/>
      <c r="L1367" s="75"/>
      <c r="M1367" s="75"/>
      <c r="N1367" s="70"/>
      <c r="O1367" t="s">
        <v>1568</v>
      </c>
      <c r="P1367" s="76">
        <v>44958.671909722223</v>
      </c>
      <c r="Q1367" t="s">
        <v>1697</v>
      </c>
      <c r="U1367" s="77" t="str">
        <f>HYPERLINK("https://pbs.twimg.com/media/Fn5LrnJXEAI66S8.jpg")</f>
        <v>https://pbs.twimg.com/media/Fn5LrnJXEAI66S8.jpg</v>
      </c>
      <c r="V1367" s="77" t="str">
        <f>HYPERLINK("https://pbs.twimg.com/media/Fn5LrnJXEAI66S8.jpg")</f>
        <v>https://pbs.twimg.com/media/Fn5LrnJXEAI66S8.jpg</v>
      </c>
      <c r="W1367" s="76">
        <v>44958.671909722223</v>
      </c>
      <c r="X1367" s="80">
        <v>44958</v>
      </c>
      <c r="Y1367" s="78" t="s">
        <v>2575</v>
      </c>
      <c r="Z1367" s="77" t="str">
        <f>HYPERLINK("https://twitter.com/christopherjmu6/status/1620816131064987648")</f>
        <v>https://twitter.com/christopherjmu6/status/1620816131064987648</v>
      </c>
      <c r="AC1367" s="78" t="s">
        <v>3592</v>
      </c>
      <c r="AE1367" t="b">
        <v>0</v>
      </c>
      <c r="AF1367">
        <v>1</v>
      </c>
      <c r="AG1367" s="78" t="s">
        <v>4639</v>
      </c>
      <c r="AH1367" t="b">
        <v>0</v>
      </c>
      <c r="AI1367" t="s">
        <v>4829</v>
      </c>
      <c r="AK1367" s="78" t="s">
        <v>4640</v>
      </c>
      <c r="AL1367" t="b">
        <v>0</v>
      </c>
      <c r="AM1367">
        <v>0</v>
      </c>
      <c r="AN1367" s="78" t="s">
        <v>4640</v>
      </c>
      <c r="AO1367" s="78" t="s">
        <v>4850</v>
      </c>
      <c r="AP1367" t="b">
        <v>0</v>
      </c>
      <c r="AQ1367" s="78" t="s">
        <v>3592</v>
      </c>
      <c r="AR1367" t="s">
        <v>179</v>
      </c>
      <c r="AS1367">
        <v>0</v>
      </c>
      <c r="AT1367">
        <v>0</v>
      </c>
      <c r="AU1367" t="s">
        <v>4880</v>
      </c>
      <c r="AV1367" t="s">
        <v>4899</v>
      </c>
      <c r="AW1367" t="s">
        <v>4901</v>
      </c>
      <c r="AX1367" t="s">
        <v>4909</v>
      </c>
      <c r="AY1367" t="s">
        <v>4934</v>
      </c>
      <c r="AZ1367" t="s">
        <v>4959</v>
      </c>
      <c r="BA1367" t="s">
        <v>4975</v>
      </c>
      <c r="BB1367" s="77" t="str">
        <f>HYPERLINK("https://api.twitter.com/1.1/geo/id/00696a56e1f9f443.json")</f>
        <v>https://api.twitter.com/1.1/geo/id/00696a56e1f9f443.json</v>
      </c>
    </row>
    <row r="1368" spans="1:54" x14ac:dyDescent="0.45">
      <c r="A1368" s="62" t="s">
        <v>354</v>
      </c>
      <c r="B1368" s="62" t="s">
        <v>1203</v>
      </c>
      <c r="C1368" s="63"/>
      <c r="D1368" s="64"/>
      <c r="E1368" s="65"/>
      <c r="F1368" s="66"/>
      <c r="G1368" s="63"/>
      <c r="H1368" s="67"/>
      <c r="I1368" s="68"/>
      <c r="J1368" s="68"/>
      <c r="K1368" s="32"/>
      <c r="L1368" s="75"/>
      <c r="M1368" s="75"/>
      <c r="N1368" s="70"/>
      <c r="O1368" t="s">
        <v>1568</v>
      </c>
      <c r="P1368" s="76">
        <v>44958.671909722223</v>
      </c>
      <c r="Q1368" t="s">
        <v>1697</v>
      </c>
      <c r="U1368" s="77" t="str">
        <f>HYPERLINK("https://pbs.twimg.com/media/Fn5LrnJXEAI66S8.jpg")</f>
        <v>https://pbs.twimg.com/media/Fn5LrnJXEAI66S8.jpg</v>
      </c>
      <c r="V1368" s="77" t="str">
        <f>HYPERLINK("https://pbs.twimg.com/media/Fn5LrnJXEAI66S8.jpg")</f>
        <v>https://pbs.twimg.com/media/Fn5LrnJXEAI66S8.jpg</v>
      </c>
      <c r="W1368" s="76">
        <v>44958.671909722223</v>
      </c>
      <c r="X1368" s="80">
        <v>44958</v>
      </c>
      <c r="Y1368" s="78" t="s">
        <v>2575</v>
      </c>
      <c r="Z1368" s="77" t="str">
        <f>HYPERLINK("https://twitter.com/christopherjmu6/status/1620816131064987648")</f>
        <v>https://twitter.com/christopherjmu6/status/1620816131064987648</v>
      </c>
      <c r="AC1368" s="78" t="s">
        <v>3592</v>
      </c>
      <c r="AE1368" t="b">
        <v>0</v>
      </c>
      <c r="AF1368">
        <v>1</v>
      </c>
      <c r="AG1368" s="78" t="s">
        <v>4639</v>
      </c>
      <c r="AH1368" t="b">
        <v>0</v>
      </c>
      <c r="AI1368" t="s">
        <v>4829</v>
      </c>
      <c r="AK1368" s="78" t="s">
        <v>4640</v>
      </c>
      <c r="AL1368" t="b">
        <v>0</v>
      </c>
      <c r="AM1368">
        <v>0</v>
      </c>
      <c r="AN1368" s="78" t="s">
        <v>4640</v>
      </c>
      <c r="AO1368" s="78" t="s">
        <v>4850</v>
      </c>
      <c r="AP1368" t="b">
        <v>0</v>
      </c>
      <c r="AQ1368" s="78" t="s">
        <v>3592</v>
      </c>
      <c r="AR1368" t="s">
        <v>179</v>
      </c>
      <c r="AS1368">
        <v>0</v>
      </c>
      <c r="AT1368">
        <v>0</v>
      </c>
      <c r="AU1368" t="s">
        <v>4880</v>
      </c>
      <c r="AV1368" t="s">
        <v>4899</v>
      </c>
      <c r="AW1368" t="s">
        <v>4901</v>
      </c>
      <c r="AX1368" t="s">
        <v>4909</v>
      </c>
      <c r="AY1368" t="s">
        <v>4934</v>
      </c>
      <c r="AZ1368" t="s">
        <v>4959</v>
      </c>
      <c r="BA1368" t="s">
        <v>4975</v>
      </c>
      <c r="BB1368" s="77" t="str">
        <f>HYPERLINK("https://api.twitter.com/1.1/geo/id/00696a56e1f9f443.json")</f>
        <v>https://api.twitter.com/1.1/geo/id/00696a56e1f9f443.json</v>
      </c>
    </row>
    <row r="1369" spans="1:54" x14ac:dyDescent="0.45">
      <c r="A1369" s="62" t="s">
        <v>354</v>
      </c>
      <c r="B1369" s="62" t="s">
        <v>1111</v>
      </c>
      <c r="C1369" s="63"/>
      <c r="D1369" s="64"/>
      <c r="E1369" s="65"/>
      <c r="F1369" s="66"/>
      <c r="G1369" s="63"/>
      <c r="H1369" s="67"/>
      <c r="I1369" s="68"/>
      <c r="J1369" s="68"/>
      <c r="K1369" s="32"/>
      <c r="L1369" s="75"/>
      <c r="M1369" s="75"/>
      <c r="N1369" s="70"/>
      <c r="O1369" t="s">
        <v>1568</v>
      </c>
      <c r="P1369" s="76">
        <v>44958.671909722223</v>
      </c>
      <c r="Q1369" t="s">
        <v>1697</v>
      </c>
      <c r="U1369" s="77" t="str">
        <f>HYPERLINK("https://pbs.twimg.com/media/Fn5LrnJXEAI66S8.jpg")</f>
        <v>https://pbs.twimg.com/media/Fn5LrnJXEAI66S8.jpg</v>
      </c>
      <c r="V1369" s="77" t="str">
        <f>HYPERLINK("https://pbs.twimg.com/media/Fn5LrnJXEAI66S8.jpg")</f>
        <v>https://pbs.twimg.com/media/Fn5LrnJXEAI66S8.jpg</v>
      </c>
      <c r="W1369" s="76">
        <v>44958.671909722223</v>
      </c>
      <c r="X1369" s="80">
        <v>44958</v>
      </c>
      <c r="Y1369" s="78" t="s">
        <v>2575</v>
      </c>
      <c r="Z1369" s="77" t="str">
        <f>HYPERLINK("https://twitter.com/christopherjmu6/status/1620816131064987648")</f>
        <v>https://twitter.com/christopherjmu6/status/1620816131064987648</v>
      </c>
      <c r="AC1369" s="78" t="s">
        <v>3592</v>
      </c>
      <c r="AE1369" t="b">
        <v>0</v>
      </c>
      <c r="AF1369">
        <v>1</v>
      </c>
      <c r="AG1369" s="78" t="s">
        <v>4639</v>
      </c>
      <c r="AH1369" t="b">
        <v>0</v>
      </c>
      <c r="AI1369" t="s">
        <v>4829</v>
      </c>
      <c r="AK1369" s="78" t="s">
        <v>4640</v>
      </c>
      <c r="AL1369" t="b">
        <v>0</v>
      </c>
      <c r="AM1369">
        <v>0</v>
      </c>
      <c r="AN1369" s="78" t="s">
        <v>4640</v>
      </c>
      <c r="AO1369" s="78" t="s">
        <v>4850</v>
      </c>
      <c r="AP1369" t="b">
        <v>0</v>
      </c>
      <c r="AQ1369" s="78" t="s">
        <v>3592</v>
      </c>
      <c r="AR1369" t="s">
        <v>179</v>
      </c>
      <c r="AS1369">
        <v>0</v>
      </c>
      <c r="AT1369">
        <v>0</v>
      </c>
      <c r="AU1369" t="s">
        <v>4880</v>
      </c>
      <c r="AV1369" t="s">
        <v>4899</v>
      </c>
      <c r="AW1369" t="s">
        <v>4901</v>
      </c>
      <c r="AX1369" t="s">
        <v>4909</v>
      </c>
      <c r="AY1369" t="s">
        <v>4934</v>
      </c>
      <c r="AZ1369" t="s">
        <v>4959</v>
      </c>
      <c r="BA1369" t="s">
        <v>4975</v>
      </c>
      <c r="BB1369" s="77" t="str">
        <f>HYPERLINK("https://api.twitter.com/1.1/geo/id/00696a56e1f9f443.json")</f>
        <v>https://api.twitter.com/1.1/geo/id/00696a56e1f9f443.json</v>
      </c>
    </row>
    <row r="1370" spans="1:54" x14ac:dyDescent="0.45">
      <c r="A1370" s="62" t="s">
        <v>354</v>
      </c>
      <c r="B1370" s="62" t="s">
        <v>242</v>
      </c>
      <c r="C1370" s="63"/>
      <c r="D1370" s="64"/>
      <c r="E1370" s="65"/>
      <c r="F1370" s="66"/>
      <c r="G1370" s="63"/>
      <c r="H1370" s="67"/>
      <c r="I1370" s="68"/>
      <c r="J1370" s="68"/>
      <c r="K1370" s="32"/>
      <c r="L1370" s="75"/>
      <c r="M1370" s="75"/>
      <c r="N1370" s="70"/>
      <c r="O1370" t="s">
        <v>1567</v>
      </c>
      <c r="P1370" s="76">
        <v>44958.671909722223</v>
      </c>
      <c r="Q1370" t="s">
        <v>1697</v>
      </c>
      <c r="U1370" s="77" t="str">
        <f>HYPERLINK("https://pbs.twimg.com/media/Fn5LrnJXEAI66S8.jpg")</f>
        <v>https://pbs.twimg.com/media/Fn5LrnJXEAI66S8.jpg</v>
      </c>
      <c r="V1370" s="77" t="str">
        <f>HYPERLINK("https://pbs.twimg.com/media/Fn5LrnJXEAI66S8.jpg")</f>
        <v>https://pbs.twimg.com/media/Fn5LrnJXEAI66S8.jpg</v>
      </c>
      <c r="W1370" s="76">
        <v>44958.671909722223</v>
      </c>
      <c r="X1370" s="80">
        <v>44958</v>
      </c>
      <c r="Y1370" s="78" t="s">
        <v>2575</v>
      </c>
      <c r="Z1370" s="77" t="str">
        <f>HYPERLINK("https://twitter.com/christopherjmu6/status/1620816131064987648")</f>
        <v>https://twitter.com/christopherjmu6/status/1620816131064987648</v>
      </c>
      <c r="AC1370" s="78" t="s">
        <v>3592</v>
      </c>
      <c r="AE1370" t="b">
        <v>0</v>
      </c>
      <c r="AF1370">
        <v>1</v>
      </c>
      <c r="AG1370" s="78" t="s">
        <v>4639</v>
      </c>
      <c r="AH1370" t="b">
        <v>0</v>
      </c>
      <c r="AI1370" t="s">
        <v>4829</v>
      </c>
      <c r="AK1370" s="78" t="s">
        <v>4640</v>
      </c>
      <c r="AL1370" t="b">
        <v>0</v>
      </c>
      <c r="AM1370">
        <v>0</v>
      </c>
      <c r="AN1370" s="78" t="s">
        <v>4640</v>
      </c>
      <c r="AO1370" s="78" t="s">
        <v>4850</v>
      </c>
      <c r="AP1370" t="b">
        <v>0</v>
      </c>
      <c r="AQ1370" s="78" t="s">
        <v>3592</v>
      </c>
      <c r="AR1370" t="s">
        <v>179</v>
      </c>
      <c r="AS1370">
        <v>0</v>
      </c>
      <c r="AT1370">
        <v>0</v>
      </c>
      <c r="AU1370" t="s">
        <v>4880</v>
      </c>
      <c r="AV1370" t="s">
        <v>4899</v>
      </c>
      <c r="AW1370" t="s">
        <v>4901</v>
      </c>
      <c r="AX1370" t="s">
        <v>4909</v>
      </c>
      <c r="AY1370" t="s">
        <v>4934</v>
      </c>
      <c r="AZ1370" t="s">
        <v>4959</v>
      </c>
      <c r="BA1370" t="s">
        <v>4975</v>
      </c>
      <c r="BB1370" s="77" t="str">
        <f>HYPERLINK("https://api.twitter.com/1.1/geo/id/00696a56e1f9f443.json")</f>
        <v>https://api.twitter.com/1.1/geo/id/00696a56e1f9f443.json</v>
      </c>
    </row>
    <row r="1371" spans="1:54" x14ac:dyDescent="0.45">
      <c r="A1371" s="62" t="s">
        <v>242</v>
      </c>
      <c r="B1371" s="62" t="s">
        <v>371</v>
      </c>
      <c r="C1371" s="63"/>
      <c r="D1371" s="64"/>
      <c r="E1371" s="65"/>
      <c r="F1371" s="66"/>
      <c r="G1371" s="63"/>
      <c r="H1371" s="67"/>
      <c r="I1371" s="68"/>
      <c r="J1371" s="68"/>
      <c r="K1371" s="32"/>
      <c r="L1371" s="75"/>
      <c r="M1371" s="75"/>
      <c r="N1371" s="70"/>
      <c r="O1371" t="s">
        <v>1567</v>
      </c>
      <c r="P1371" s="76">
        <v>44958.684837962966</v>
      </c>
      <c r="Q1371" t="s">
        <v>1711</v>
      </c>
      <c r="V1371" s="77" t="str">
        <f>HYPERLINK("https://pbs.twimg.com/profile_images/1614031605676253184/n4E7yeWV_normal.jpg")</f>
        <v>https://pbs.twimg.com/profile_images/1614031605676253184/n4E7yeWV_normal.jpg</v>
      </c>
      <c r="W1371" s="76">
        <v>44958.684837962966</v>
      </c>
      <c r="X1371" s="80">
        <v>44958</v>
      </c>
      <c r="Y1371" s="78" t="s">
        <v>2594</v>
      </c>
      <c r="Z1371" s="77" t="str">
        <f>HYPERLINK("https://twitter.com/walmart/status/1620820815431307272")</f>
        <v>https://twitter.com/walmart/status/1620820815431307272</v>
      </c>
      <c r="AC1371" s="78" t="s">
        <v>3611</v>
      </c>
      <c r="AD1371" s="78" t="s">
        <v>4533</v>
      </c>
      <c r="AE1371" t="b">
        <v>0</v>
      </c>
      <c r="AF1371">
        <v>1</v>
      </c>
      <c r="AG1371" s="78" t="s">
        <v>4685</v>
      </c>
      <c r="AH1371" t="b">
        <v>0</v>
      </c>
      <c r="AI1371" t="s">
        <v>4829</v>
      </c>
      <c r="AK1371" s="78" t="s">
        <v>4640</v>
      </c>
      <c r="AL1371" t="b">
        <v>0</v>
      </c>
      <c r="AM1371">
        <v>1</v>
      </c>
      <c r="AN1371" s="78" t="s">
        <v>4640</v>
      </c>
      <c r="AO1371" s="78" t="s">
        <v>4855</v>
      </c>
      <c r="AP1371" t="b">
        <v>0</v>
      </c>
      <c r="AQ1371" s="78" t="s">
        <v>4533</v>
      </c>
      <c r="AR1371" t="s">
        <v>1569</v>
      </c>
      <c r="AS1371">
        <v>0</v>
      </c>
      <c r="AT1371">
        <v>0</v>
      </c>
    </row>
    <row r="1372" spans="1:54" x14ac:dyDescent="0.45">
      <c r="A1372" s="62" t="s">
        <v>371</v>
      </c>
      <c r="B1372" s="62" t="s">
        <v>242</v>
      </c>
      <c r="C1372" s="63"/>
      <c r="D1372" s="64"/>
      <c r="E1372" s="65"/>
      <c r="F1372" s="66"/>
      <c r="G1372" s="63"/>
      <c r="H1372" s="67"/>
      <c r="I1372" s="68"/>
      <c r="J1372" s="68"/>
      <c r="K1372" s="32"/>
      <c r="L1372" s="75"/>
      <c r="M1372" s="75"/>
      <c r="N1372" s="70"/>
      <c r="O1372" t="s">
        <v>1567</v>
      </c>
      <c r="P1372" s="76">
        <v>44958.686157407406</v>
      </c>
      <c r="Q1372" t="s">
        <v>1712</v>
      </c>
      <c r="V1372" s="77" t="str">
        <f>HYPERLINK("https://pbs.twimg.com/profile_images/1607204304007331841/gXLDx_I4_normal.jpg")</f>
        <v>https://pbs.twimg.com/profile_images/1607204304007331841/gXLDx_I4_normal.jpg</v>
      </c>
      <c r="W1372" s="76">
        <v>44958.686157407406</v>
      </c>
      <c r="X1372" s="80">
        <v>44958</v>
      </c>
      <c r="Y1372" s="78" t="s">
        <v>2595</v>
      </c>
      <c r="Z1372" s="77" t="str">
        <f>HYPERLINK("https://twitter.com/kyprobassangler/status/1620821295054163984")</f>
        <v>https://twitter.com/kyprobassangler/status/1620821295054163984</v>
      </c>
      <c r="AC1372" s="78" t="s">
        <v>3612</v>
      </c>
      <c r="AD1372" s="78" t="s">
        <v>3611</v>
      </c>
      <c r="AE1372" t="b">
        <v>0</v>
      </c>
      <c r="AF1372">
        <v>1</v>
      </c>
      <c r="AG1372" s="78" t="s">
        <v>4639</v>
      </c>
      <c r="AH1372" t="b">
        <v>0</v>
      </c>
      <c r="AI1372" t="s">
        <v>4829</v>
      </c>
      <c r="AK1372" s="78" t="s">
        <v>4640</v>
      </c>
      <c r="AL1372" t="b">
        <v>0</v>
      </c>
      <c r="AM1372">
        <v>1</v>
      </c>
      <c r="AN1372" s="78" t="s">
        <v>4640</v>
      </c>
      <c r="AO1372" s="78" t="s">
        <v>4849</v>
      </c>
      <c r="AP1372" t="b">
        <v>0</v>
      </c>
      <c r="AQ1372" s="78" t="s">
        <v>3611</v>
      </c>
      <c r="AR1372" t="s">
        <v>179</v>
      </c>
      <c r="AS1372">
        <v>0</v>
      </c>
      <c r="AT1372">
        <v>0</v>
      </c>
    </row>
    <row r="1373" spans="1:54" x14ac:dyDescent="0.45">
      <c r="A1373" s="62" t="s">
        <v>378</v>
      </c>
      <c r="B1373" s="62" t="s">
        <v>1198</v>
      </c>
      <c r="C1373" s="63"/>
      <c r="D1373" s="64"/>
      <c r="E1373" s="65"/>
      <c r="F1373" s="66"/>
      <c r="G1373" s="63"/>
      <c r="H1373" s="67"/>
      <c r="I1373" s="68"/>
      <c r="J1373" s="68"/>
      <c r="K1373" s="32"/>
      <c r="L1373" s="75"/>
      <c r="M1373" s="75"/>
      <c r="N1373" s="70"/>
      <c r="O1373" t="s">
        <v>1568</v>
      </c>
      <c r="P1373" s="76">
        <v>44958.642476851855</v>
      </c>
      <c r="Q1373" t="s">
        <v>1717</v>
      </c>
      <c r="V1373" s="77" t="str">
        <f>HYPERLINK("https://pbs.twimg.com/profile_images/1585808997214752769/W5UxQ_ij_normal.jpg")</f>
        <v>https://pbs.twimg.com/profile_images/1585808997214752769/W5UxQ_ij_normal.jpg</v>
      </c>
      <c r="W1373" s="76">
        <v>44958.642476851855</v>
      </c>
      <c r="X1373" s="80">
        <v>44958</v>
      </c>
      <c r="Y1373" s="78" t="s">
        <v>2604</v>
      </c>
      <c r="Z1373" s="77" t="str">
        <f>HYPERLINK("https://twitter.com/missbeaux/status/1620805462764720128")</f>
        <v>https://twitter.com/missbeaux/status/1620805462764720128</v>
      </c>
      <c r="AC1373" s="78" t="s">
        <v>3621</v>
      </c>
      <c r="AD1373" s="78" t="s">
        <v>3722</v>
      </c>
      <c r="AE1373" t="b">
        <v>0</v>
      </c>
      <c r="AF1373">
        <v>1</v>
      </c>
      <c r="AG1373" s="78" t="s">
        <v>4673</v>
      </c>
      <c r="AH1373" t="b">
        <v>0</v>
      </c>
      <c r="AI1373" t="s">
        <v>4829</v>
      </c>
      <c r="AK1373" s="78" t="s">
        <v>4640</v>
      </c>
      <c r="AL1373" t="b">
        <v>0</v>
      </c>
      <c r="AM1373">
        <v>0</v>
      </c>
      <c r="AN1373" s="78" t="s">
        <v>4640</v>
      </c>
      <c r="AO1373" s="78" t="s">
        <v>4849</v>
      </c>
      <c r="AP1373" t="b">
        <v>0</v>
      </c>
      <c r="AQ1373" s="78" t="s">
        <v>3722</v>
      </c>
      <c r="AR1373" t="s">
        <v>179</v>
      </c>
      <c r="AS1373">
        <v>0</v>
      </c>
      <c r="AT1373">
        <v>0</v>
      </c>
    </row>
    <row r="1374" spans="1:54" x14ac:dyDescent="0.45">
      <c r="A1374" s="62" t="s">
        <v>378</v>
      </c>
      <c r="B1374" s="62" t="s">
        <v>1181</v>
      </c>
      <c r="C1374" s="63"/>
      <c r="D1374" s="64"/>
      <c r="E1374" s="65"/>
      <c r="F1374" s="66"/>
      <c r="G1374" s="63"/>
      <c r="H1374" s="67"/>
      <c r="I1374" s="68"/>
      <c r="J1374" s="68"/>
      <c r="K1374" s="32"/>
      <c r="L1374" s="75"/>
      <c r="M1374" s="75"/>
      <c r="N1374" s="70"/>
      <c r="O1374" t="s">
        <v>1568</v>
      </c>
      <c r="P1374" s="76">
        <v>44958.642476851855</v>
      </c>
      <c r="Q1374" t="s">
        <v>1717</v>
      </c>
      <c r="V1374" s="77" t="str">
        <f>HYPERLINK("https://pbs.twimg.com/profile_images/1585808997214752769/W5UxQ_ij_normal.jpg")</f>
        <v>https://pbs.twimg.com/profile_images/1585808997214752769/W5UxQ_ij_normal.jpg</v>
      </c>
      <c r="W1374" s="76">
        <v>44958.642476851855</v>
      </c>
      <c r="X1374" s="80">
        <v>44958</v>
      </c>
      <c r="Y1374" s="78" t="s">
        <v>2604</v>
      </c>
      <c r="Z1374" s="77" t="str">
        <f>HYPERLINK("https://twitter.com/missbeaux/status/1620805462764720128")</f>
        <v>https://twitter.com/missbeaux/status/1620805462764720128</v>
      </c>
      <c r="AC1374" s="78" t="s">
        <v>3621</v>
      </c>
      <c r="AD1374" s="78" t="s">
        <v>3722</v>
      </c>
      <c r="AE1374" t="b">
        <v>0</v>
      </c>
      <c r="AF1374">
        <v>1</v>
      </c>
      <c r="AG1374" s="78" t="s">
        <v>4673</v>
      </c>
      <c r="AH1374" t="b">
        <v>0</v>
      </c>
      <c r="AI1374" t="s">
        <v>4829</v>
      </c>
      <c r="AK1374" s="78" t="s">
        <v>4640</v>
      </c>
      <c r="AL1374" t="b">
        <v>0</v>
      </c>
      <c r="AM1374">
        <v>0</v>
      </c>
      <c r="AN1374" s="78" t="s">
        <v>4640</v>
      </c>
      <c r="AO1374" s="78" t="s">
        <v>4849</v>
      </c>
      <c r="AP1374" t="b">
        <v>0</v>
      </c>
      <c r="AQ1374" s="78" t="s">
        <v>3722</v>
      </c>
      <c r="AR1374" t="s">
        <v>179</v>
      </c>
      <c r="AS1374">
        <v>0</v>
      </c>
      <c r="AT1374">
        <v>0</v>
      </c>
    </row>
    <row r="1375" spans="1:54" x14ac:dyDescent="0.45">
      <c r="A1375" s="62" t="s">
        <v>378</v>
      </c>
      <c r="B1375" s="62" t="s">
        <v>1199</v>
      </c>
      <c r="C1375" s="63"/>
      <c r="D1375" s="64"/>
      <c r="E1375" s="65"/>
      <c r="F1375" s="66"/>
      <c r="G1375" s="63"/>
      <c r="H1375" s="67"/>
      <c r="I1375" s="68"/>
      <c r="J1375" s="68"/>
      <c r="K1375" s="32"/>
      <c r="L1375" s="75"/>
      <c r="M1375" s="75"/>
      <c r="N1375" s="70"/>
      <c r="O1375" t="s">
        <v>1568</v>
      </c>
      <c r="P1375" s="76">
        <v>44958.642476851855</v>
      </c>
      <c r="Q1375" t="s">
        <v>1717</v>
      </c>
      <c r="V1375" s="77" t="str">
        <f>HYPERLINK("https://pbs.twimg.com/profile_images/1585808997214752769/W5UxQ_ij_normal.jpg")</f>
        <v>https://pbs.twimg.com/profile_images/1585808997214752769/W5UxQ_ij_normal.jpg</v>
      </c>
      <c r="W1375" s="76">
        <v>44958.642476851855</v>
      </c>
      <c r="X1375" s="80">
        <v>44958</v>
      </c>
      <c r="Y1375" s="78" t="s">
        <v>2604</v>
      </c>
      <c r="Z1375" s="77" t="str">
        <f>HYPERLINK("https://twitter.com/missbeaux/status/1620805462764720128")</f>
        <v>https://twitter.com/missbeaux/status/1620805462764720128</v>
      </c>
      <c r="AC1375" s="78" t="s">
        <v>3621</v>
      </c>
      <c r="AD1375" s="78" t="s">
        <v>3722</v>
      </c>
      <c r="AE1375" t="b">
        <v>0</v>
      </c>
      <c r="AF1375">
        <v>1</v>
      </c>
      <c r="AG1375" s="78" t="s">
        <v>4673</v>
      </c>
      <c r="AH1375" t="b">
        <v>0</v>
      </c>
      <c r="AI1375" t="s">
        <v>4829</v>
      </c>
      <c r="AK1375" s="78" t="s">
        <v>4640</v>
      </c>
      <c r="AL1375" t="b">
        <v>0</v>
      </c>
      <c r="AM1375">
        <v>0</v>
      </c>
      <c r="AN1375" s="78" t="s">
        <v>4640</v>
      </c>
      <c r="AO1375" s="78" t="s">
        <v>4849</v>
      </c>
      <c r="AP1375" t="b">
        <v>0</v>
      </c>
      <c r="AQ1375" s="78" t="s">
        <v>3722</v>
      </c>
      <c r="AR1375" t="s">
        <v>179</v>
      </c>
      <c r="AS1375">
        <v>0</v>
      </c>
      <c r="AT1375">
        <v>0</v>
      </c>
    </row>
    <row r="1376" spans="1:54" x14ac:dyDescent="0.45">
      <c r="A1376" s="62" t="s">
        <v>378</v>
      </c>
      <c r="B1376" s="62" t="s">
        <v>1185</v>
      </c>
      <c r="C1376" s="63"/>
      <c r="D1376" s="64"/>
      <c r="E1376" s="65"/>
      <c r="F1376" s="66"/>
      <c r="G1376" s="63"/>
      <c r="H1376" s="67"/>
      <c r="I1376" s="68"/>
      <c r="J1376" s="68"/>
      <c r="K1376" s="32"/>
      <c r="L1376" s="75"/>
      <c r="M1376" s="75"/>
      <c r="N1376" s="70"/>
      <c r="O1376" t="s">
        <v>1568</v>
      </c>
      <c r="P1376" s="76">
        <v>44958.642476851855</v>
      </c>
      <c r="Q1376" t="s">
        <v>1717</v>
      </c>
      <c r="V1376" s="77" t="str">
        <f>HYPERLINK("https://pbs.twimg.com/profile_images/1585808997214752769/W5UxQ_ij_normal.jpg")</f>
        <v>https://pbs.twimg.com/profile_images/1585808997214752769/W5UxQ_ij_normal.jpg</v>
      </c>
      <c r="W1376" s="76">
        <v>44958.642476851855</v>
      </c>
      <c r="X1376" s="80">
        <v>44958</v>
      </c>
      <c r="Y1376" s="78" t="s">
        <v>2604</v>
      </c>
      <c r="Z1376" s="77" t="str">
        <f>HYPERLINK("https://twitter.com/missbeaux/status/1620805462764720128")</f>
        <v>https://twitter.com/missbeaux/status/1620805462764720128</v>
      </c>
      <c r="AC1376" s="78" t="s">
        <v>3621</v>
      </c>
      <c r="AD1376" s="78" t="s">
        <v>3722</v>
      </c>
      <c r="AE1376" t="b">
        <v>0</v>
      </c>
      <c r="AF1376">
        <v>1</v>
      </c>
      <c r="AG1376" s="78" t="s">
        <v>4673</v>
      </c>
      <c r="AH1376" t="b">
        <v>0</v>
      </c>
      <c r="AI1376" t="s">
        <v>4829</v>
      </c>
      <c r="AK1376" s="78" t="s">
        <v>4640</v>
      </c>
      <c r="AL1376" t="b">
        <v>0</v>
      </c>
      <c r="AM1376">
        <v>0</v>
      </c>
      <c r="AN1376" s="78" t="s">
        <v>4640</v>
      </c>
      <c r="AO1376" s="78" t="s">
        <v>4849</v>
      </c>
      <c r="AP1376" t="b">
        <v>0</v>
      </c>
      <c r="AQ1376" s="78" t="s">
        <v>3722</v>
      </c>
      <c r="AR1376" t="s">
        <v>179</v>
      </c>
      <c r="AS1376">
        <v>0</v>
      </c>
      <c r="AT1376">
        <v>0</v>
      </c>
    </row>
    <row r="1377" spans="1:46" x14ac:dyDescent="0.45">
      <c r="A1377" s="62" t="s">
        <v>378</v>
      </c>
      <c r="B1377" s="62" t="s">
        <v>242</v>
      </c>
      <c r="C1377" s="63"/>
      <c r="D1377" s="64"/>
      <c r="E1377" s="65"/>
      <c r="F1377" s="66"/>
      <c r="G1377" s="63"/>
      <c r="H1377" s="67"/>
      <c r="I1377" s="68"/>
      <c r="J1377" s="68"/>
      <c r="K1377" s="32"/>
      <c r="L1377" s="75"/>
      <c r="M1377" s="75"/>
      <c r="N1377" s="70"/>
      <c r="O1377" t="s">
        <v>1568</v>
      </c>
      <c r="P1377" s="76">
        <v>44958.642476851855</v>
      </c>
      <c r="Q1377" t="s">
        <v>1717</v>
      </c>
      <c r="V1377" s="77" t="str">
        <f>HYPERLINK("https://pbs.twimg.com/profile_images/1585808997214752769/W5UxQ_ij_normal.jpg")</f>
        <v>https://pbs.twimg.com/profile_images/1585808997214752769/W5UxQ_ij_normal.jpg</v>
      </c>
      <c r="W1377" s="76">
        <v>44958.642476851855</v>
      </c>
      <c r="X1377" s="80">
        <v>44958</v>
      </c>
      <c r="Y1377" s="78" t="s">
        <v>2604</v>
      </c>
      <c r="Z1377" s="77" t="str">
        <f>HYPERLINK("https://twitter.com/missbeaux/status/1620805462764720128")</f>
        <v>https://twitter.com/missbeaux/status/1620805462764720128</v>
      </c>
      <c r="AC1377" s="78" t="s">
        <v>3621</v>
      </c>
      <c r="AD1377" s="78" t="s">
        <v>3722</v>
      </c>
      <c r="AE1377" t="b">
        <v>0</v>
      </c>
      <c r="AF1377">
        <v>1</v>
      </c>
      <c r="AG1377" s="78" t="s">
        <v>4673</v>
      </c>
      <c r="AH1377" t="b">
        <v>0</v>
      </c>
      <c r="AI1377" t="s">
        <v>4829</v>
      </c>
      <c r="AK1377" s="78" t="s">
        <v>4640</v>
      </c>
      <c r="AL1377" t="b">
        <v>0</v>
      </c>
      <c r="AM1377">
        <v>0</v>
      </c>
      <c r="AN1377" s="78" t="s">
        <v>4640</v>
      </c>
      <c r="AO1377" s="78" t="s">
        <v>4849</v>
      </c>
      <c r="AP1377" t="b">
        <v>0</v>
      </c>
      <c r="AQ1377" s="78" t="s">
        <v>3722</v>
      </c>
      <c r="AR1377" t="s">
        <v>179</v>
      </c>
      <c r="AS1377">
        <v>0</v>
      </c>
      <c r="AT1377">
        <v>0</v>
      </c>
    </row>
    <row r="1378" spans="1:46" x14ac:dyDescent="0.45">
      <c r="A1378" s="62" t="s">
        <v>378</v>
      </c>
      <c r="B1378" s="62" t="s">
        <v>379</v>
      </c>
      <c r="C1378" s="63"/>
      <c r="D1378" s="64"/>
      <c r="E1378" s="65"/>
      <c r="F1378" s="66"/>
      <c r="G1378" s="63"/>
      <c r="H1378" s="67"/>
      <c r="I1378" s="68"/>
      <c r="J1378" s="68"/>
      <c r="K1378" s="32"/>
      <c r="L1378" s="75"/>
      <c r="M1378" s="75"/>
      <c r="N1378" s="70"/>
      <c r="O1378" t="s">
        <v>1567</v>
      </c>
      <c r="P1378" s="76">
        <v>44958.642476851855</v>
      </c>
      <c r="Q1378" t="s">
        <v>1717</v>
      </c>
      <c r="V1378" s="77" t="str">
        <f>HYPERLINK("https://pbs.twimg.com/profile_images/1585808997214752769/W5UxQ_ij_normal.jpg")</f>
        <v>https://pbs.twimg.com/profile_images/1585808997214752769/W5UxQ_ij_normal.jpg</v>
      </c>
      <c r="W1378" s="76">
        <v>44958.642476851855</v>
      </c>
      <c r="X1378" s="80">
        <v>44958</v>
      </c>
      <c r="Y1378" s="78" t="s">
        <v>2604</v>
      </c>
      <c r="Z1378" s="77" t="str">
        <f>HYPERLINK("https://twitter.com/missbeaux/status/1620805462764720128")</f>
        <v>https://twitter.com/missbeaux/status/1620805462764720128</v>
      </c>
      <c r="AC1378" s="78" t="s">
        <v>3621</v>
      </c>
      <c r="AD1378" s="78" t="s">
        <v>3722</v>
      </c>
      <c r="AE1378" t="b">
        <v>0</v>
      </c>
      <c r="AF1378">
        <v>1</v>
      </c>
      <c r="AG1378" s="78" t="s">
        <v>4673</v>
      </c>
      <c r="AH1378" t="b">
        <v>0</v>
      </c>
      <c r="AI1378" t="s">
        <v>4829</v>
      </c>
      <c r="AK1378" s="78" t="s">
        <v>4640</v>
      </c>
      <c r="AL1378" t="b">
        <v>0</v>
      </c>
      <c r="AM1378">
        <v>0</v>
      </c>
      <c r="AN1378" s="78" t="s">
        <v>4640</v>
      </c>
      <c r="AO1378" s="78" t="s">
        <v>4849</v>
      </c>
      <c r="AP1378" t="b">
        <v>0</v>
      </c>
      <c r="AQ1378" s="78" t="s">
        <v>3722</v>
      </c>
      <c r="AR1378" t="s">
        <v>179</v>
      </c>
      <c r="AS1378">
        <v>0</v>
      </c>
      <c r="AT1378">
        <v>0</v>
      </c>
    </row>
    <row r="1379" spans="1:46" x14ac:dyDescent="0.45">
      <c r="A1379" s="62" t="s">
        <v>379</v>
      </c>
      <c r="B1379" s="62" t="s">
        <v>378</v>
      </c>
      <c r="C1379" s="63"/>
      <c r="D1379" s="64"/>
      <c r="E1379" s="65"/>
      <c r="F1379" s="66"/>
      <c r="G1379" s="63"/>
      <c r="H1379" s="67"/>
      <c r="I1379" s="68"/>
      <c r="J1379" s="68"/>
      <c r="K1379" s="32"/>
      <c r="L1379" s="75"/>
      <c r="M1379" s="75"/>
      <c r="N1379" s="70"/>
      <c r="O1379" t="s">
        <v>1567</v>
      </c>
      <c r="P1379" s="76">
        <v>44958.64329861111</v>
      </c>
      <c r="Q1379" t="s">
        <v>1718</v>
      </c>
      <c r="V1379" s="77" t="str">
        <f>HYPERLINK("https://pbs.twimg.com/profile_images/1525158976240902146/uJv1fZch_normal.jpg")</f>
        <v>https://pbs.twimg.com/profile_images/1525158976240902146/uJv1fZch_normal.jpg</v>
      </c>
      <c r="W1379" s="76">
        <v>44958.64329861111</v>
      </c>
      <c r="X1379" s="80">
        <v>44958</v>
      </c>
      <c r="Y1379" s="78" t="s">
        <v>2605</v>
      </c>
      <c r="Z1379" s="77" t="str">
        <f>HYPERLINK("https://twitter.com/iiiitsandrea/status/1620805762615496707")</f>
        <v>https://twitter.com/iiiitsandrea/status/1620805762615496707</v>
      </c>
      <c r="AC1379" s="78" t="s">
        <v>3622</v>
      </c>
      <c r="AD1379" s="78" t="s">
        <v>3621</v>
      </c>
      <c r="AE1379" t="b">
        <v>0</v>
      </c>
      <c r="AF1379">
        <v>1</v>
      </c>
      <c r="AG1379" s="78" t="s">
        <v>4687</v>
      </c>
      <c r="AH1379" t="b">
        <v>0</v>
      </c>
      <c r="AI1379" t="s">
        <v>4829</v>
      </c>
      <c r="AK1379" s="78" t="s">
        <v>4640</v>
      </c>
      <c r="AL1379" t="b">
        <v>0</v>
      </c>
      <c r="AM1379">
        <v>0</v>
      </c>
      <c r="AN1379" s="78" t="s">
        <v>4640</v>
      </c>
      <c r="AO1379" s="78" t="s">
        <v>4851</v>
      </c>
      <c r="AP1379" t="b">
        <v>0</v>
      </c>
      <c r="AQ1379" s="78" t="s">
        <v>3621</v>
      </c>
      <c r="AR1379" t="s">
        <v>179</v>
      </c>
      <c r="AS1379">
        <v>0</v>
      </c>
      <c r="AT1379">
        <v>0</v>
      </c>
    </row>
    <row r="1380" spans="1:46" x14ac:dyDescent="0.45">
      <c r="A1380" s="62" t="s">
        <v>379</v>
      </c>
      <c r="B1380" s="62" t="s">
        <v>1255</v>
      </c>
      <c r="C1380" s="63"/>
      <c r="D1380" s="64"/>
      <c r="E1380" s="65"/>
      <c r="F1380" s="66"/>
      <c r="G1380" s="63"/>
      <c r="H1380" s="67"/>
      <c r="I1380" s="68"/>
      <c r="J1380" s="68"/>
      <c r="K1380" s="32"/>
      <c r="L1380" s="75"/>
      <c r="M1380" s="75"/>
      <c r="N1380" s="70"/>
      <c r="O1380" t="s">
        <v>1568</v>
      </c>
      <c r="P1380" s="76">
        <v>44958.69023148148</v>
      </c>
      <c r="Q1380" t="s">
        <v>1722</v>
      </c>
      <c r="V1380" s="77" t="str">
        <f>HYPERLINK("https://pbs.twimg.com/profile_images/1525158976240902146/uJv1fZch_normal.jpg")</f>
        <v>https://pbs.twimg.com/profile_images/1525158976240902146/uJv1fZch_normal.jpg</v>
      </c>
      <c r="W1380" s="76">
        <v>44958.69023148148</v>
      </c>
      <c r="X1380" s="80">
        <v>44958</v>
      </c>
      <c r="Y1380" s="78" t="s">
        <v>2611</v>
      </c>
      <c r="Z1380" s="77" t="str">
        <f>HYPERLINK("https://twitter.com/iiiitsandrea/status/1620822769620623367")</f>
        <v>https://twitter.com/iiiitsandrea/status/1620822769620623367</v>
      </c>
      <c r="AC1380" s="78" t="s">
        <v>3628</v>
      </c>
      <c r="AD1380" s="78" t="s">
        <v>3629</v>
      </c>
      <c r="AE1380" t="b">
        <v>0</v>
      </c>
      <c r="AF1380">
        <v>1</v>
      </c>
      <c r="AG1380" s="78" t="s">
        <v>4688</v>
      </c>
      <c r="AH1380" t="b">
        <v>0</v>
      </c>
      <c r="AI1380" t="s">
        <v>4829</v>
      </c>
      <c r="AK1380" s="78" t="s">
        <v>4640</v>
      </c>
      <c r="AL1380" t="b">
        <v>0</v>
      </c>
      <c r="AM1380">
        <v>0</v>
      </c>
      <c r="AN1380" s="78" t="s">
        <v>4640</v>
      </c>
      <c r="AO1380" s="78" t="s">
        <v>4849</v>
      </c>
      <c r="AP1380" t="b">
        <v>0</v>
      </c>
      <c r="AQ1380" s="78" t="s">
        <v>3629</v>
      </c>
      <c r="AR1380" t="s">
        <v>179</v>
      </c>
      <c r="AS1380">
        <v>0</v>
      </c>
      <c r="AT1380">
        <v>0</v>
      </c>
    </row>
    <row r="1381" spans="1:46" x14ac:dyDescent="0.45">
      <c r="A1381" s="62" t="s">
        <v>379</v>
      </c>
      <c r="B1381" s="62" t="s">
        <v>384</v>
      </c>
      <c r="C1381" s="63"/>
      <c r="D1381" s="64"/>
      <c r="E1381" s="65"/>
      <c r="F1381" s="66"/>
      <c r="G1381" s="63"/>
      <c r="H1381" s="67"/>
      <c r="I1381" s="68"/>
      <c r="J1381" s="68"/>
      <c r="K1381" s="32"/>
      <c r="L1381" s="75"/>
      <c r="M1381" s="75"/>
      <c r="N1381" s="70"/>
      <c r="O1381" t="s">
        <v>1567</v>
      </c>
      <c r="P1381" s="76">
        <v>44958.69023148148</v>
      </c>
      <c r="Q1381" t="s">
        <v>1722</v>
      </c>
      <c r="V1381" s="77" t="str">
        <f>HYPERLINK("https://pbs.twimg.com/profile_images/1525158976240902146/uJv1fZch_normal.jpg")</f>
        <v>https://pbs.twimg.com/profile_images/1525158976240902146/uJv1fZch_normal.jpg</v>
      </c>
      <c r="W1381" s="76">
        <v>44958.69023148148</v>
      </c>
      <c r="X1381" s="80">
        <v>44958</v>
      </c>
      <c r="Y1381" s="78" t="s">
        <v>2611</v>
      </c>
      <c r="Z1381" s="77" t="str">
        <f>HYPERLINK("https://twitter.com/iiiitsandrea/status/1620822769620623367")</f>
        <v>https://twitter.com/iiiitsandrea/status/1620822769620623367</v>
      </c>
      <c r="AC1381" s="78" t="s">
        <v>3628</v>
      </c>
      <c r="AD1381" s="78" t="s">
        <v>3629</v>
      </c>
      <c r="AE1381" t="b">
        <v>0</v>
      </c>
      <c r="AF1381">
        <v>1</v>
      </c>
      <c r="AG1381" s="78" t="s">
        <v>4688</v>
      </c>
      <c r="AH1381" t="b">
        <v>0</v>
      </c>
      <c r="AI1381" t="s">
        <v>4829</v>
      </c>
      <c r="AK1381" s="78" t="s">
        <v>4640</v>
      </c>
      <c r="AL1381" t="b">
        <v>0</v>
      </c>
      <c r="AM1381">
        <v>0</v>
      </c>
      <c r="AN1381" s="78" t="s">
        <v>4640</v>
      </c>
      <c r="AO1381" s="78" t="s">
        <v>4849</v>
      </c>
      <c r="AP1381" t="b">
        <v>0</v>
      </c>
      <c r="AQ1381" s="78" t="s">
        <v>3629</v>
      </c>
      <c r="AR1381" t="s">
        <v>179</v>
      </c>
      <c r="AS1381">
        <v>0</v>
      </c>
      <c r="AT1381">
        <v>0</v>
      </c>
    </row>
    <row r="1382" spans="1:46" x14ac:dyDescent="0.45">
      <c r="A1382" s="62" t="s">
        <v>384</v>
      </c>
      <c r="B1382" s="62" t="s">
        <v>1198</v>
      </c>
      <c r="C1382" s="63"/>
      <c r="D1382" s="64"/>
      <c r="E1382" s="65"/>
      <c r="F1382" s="66"/>
      <c r="G1382" s="63"/>
      <c r="H1382" s="67"/>
      <c r="I1382" s="68"/>
      <c r="J1382" s="68"/>
      <c r="K1382" s="32"/>
      <c r="L1382" s="75"/>
      <c r="M1382" s="75"/>
      <c r="N1382" s="70"/>
      <c r="O1382" t="s">
        <v>1568</v>
      </c>
      <c r="P1382" s="76">
        <v>44958.67523148148</v>
      </c>
      <c r="Q1382" t="s">
        <v>1723</v>
      </c>
      <c r="V1382" s="77" t="str">
        <f>HYPERLINK("https://pbs.twimg.com/profile_images/696502600078852096/xwgwH3JI_normal.jpg")</f>
        <v>https://pbs.twimg.com/profile_images/696502600078852096/xwgwH3JI_normal.jpg</v>
      </c>
      <c r="W1382" s="76">
        <v>44958.67523148148</v>
      </c>
      <c r="X1382" s="80">
        <v>44958</v>
      </c>
      <c r="Y1382" s="78" t="s">
        <v>2612</v>
      </c>
      <c r="Z1382" s="77" t="str">
        <f>HYPERLINK("https://twitter.com/themarkening/status/1620817335912402946")</f>
        <v>https://twitter.com/themarkening/status/1620817335912402946</v>
      </c>
      <c r="AC1382" s="78" t="s">
        <v>3629</v>
      </c>
      <c r="AD1382" s="78" t="s">
        <v>3722</v>
      </c>
      <c r="AE1382" t="b">
        <v>0</v>
      </c>
      <c r="AF1382">
        <v>1</v>
      </c>
      <c r="AG1382" s="78" t="s">
        <v>4673</v>
      </c>
      <c r="AH1382" t="b">
        <v>0</v>
      </c>
      <c r="AI1382" t="s">
        <v>4829</v>
      </c>
      <c r="AK1382" s="78" t="s">
        <v>4640</v>
      </c>
      <c r="AL1382" t="b">
        <v>0</v>
      </c>
      <c r="AM1382">
        <v>0</v>
      </c>
      <c r="AN1382" s="78" t="s">
        <v>4640</v>
      </c>
      <c r="AO1382" s="78" t="s">
        <v>4851</v>
      </c>
      <c r="AP1382" t="b">
        <v>0</v>
      </c>
      <c r="AQ1382" s="78" t="s">
        <v>3722</v>
      </c>
      <c r="AR1382" t="s">
        <v>179</v>
      </c>
      <c r="AS1382">
        <v>0</v>
      </c>
      <c r="AT1382">
        <v>0</v>
      </c>
    </row>
    <row r="1383" spans="1:46" x14ac:dyDescent="0.45">
      <c r="A1383" s="62" t="s">
        <v>384</v>
      </c>
      <c r="B1383" s="62" t="s">
        <v>1181</v>
      </c>
      <c r="C1383" s="63"/>
      <c r="D1383" s="64"/>
      <c r="E1383" s="65"/>
      <c r="F1383" s="66"/>
      <c r="G1383" s="63"/>
      <c r="H1383" s="67"/>
      <c r="I1383" s="68"/>
      <c r="J1383" s="68"/>
      <c r="K1383" s="32"/>
      <c r="L1383" s="75"/>
      <c r="M1383" s="75"/>
      <c r="N1383" s="70"/>
      <c r="O1383" t="s">
        <v>1568</v>
      </c>
      <c r="P1383" s="76">
        <v>44958.67523148148</v>
      </c>
      <c r="Q1383" t="s">
        <v>1723</v>
      </c>
      <c r="V1383" s="77" t="str">
        <f>HYPERLINK("https://pbs.twimg.com/profile_images/696502600078852096/xwgwH3JI_normal.jpg")</f>
        <v>https://pbs.twimg.com/profile_images/696502600078852096/xwgwH3JI_normal.jpg</v>
      </c>
      <c r="W1383" s="76">
        <v>44958.67523148148</v>
      </c>
      <c r="X1383" s="80">
        <v>44958</v>
      </c>
      <c r="Y1383" s="78" t="s">
        <v>2612</v>
      </c>
      <c r="Z1383" s="77" t="str">
        <f>HYPERLINK("https://twitter.com/themarkening/status/1620817335912402946")</f>
        <v>https://twitter.com/themarkening/status/1620817335912402946</v>
      </c>
      <c r="AC1383" s="78" t="s">
        <v>3629</v>
      </c>
      <c r="AD1383" s="78" t="s">
        <v>3722</v>
      </c>
      <c r="AE1383" t="b">
        <v>0</v>
      </c>
      <c r="AF1383">
        <v>1</v>
      </c>
      <c r="AG1383" s="78" t="s">
        <v>4673</v>
      </c>
      <c r="AH1383" t="b">
        <v>0</v>
      </c>
      <c r="AI1383" t="s">
        <v>4829</v>
      </c>
      <c r="AK1383" s="78" t="s">
        <v>4640</v>
      </c>
      <c r="AL1383" t="b">
        <v>0</v>
      </c>
      <c r="AM1383">
        <v>0</v>
      </c>
      <c r="AN1383" s="78" t="s">
        <v>4640</v>
      </c>
      <c r="AO1383" s="78" t="s">
        <v>4851</v>
      </c>
      <c r="AP1383" t="b">
        <v>0</v>
      </c>
      <c r="AQ1383" s="78" t="s">
        <v>3722</v>
      </c>
      <c r="AR1383" t="s">
        <v>179</v>
      </c>
      <c r="AS1383">
        <v>0</v>
      </c>
      <c r="AT1383">
        <v>0</v>
      </c>
    </row>
    <row r="1384" spans="1:46" x14ac:dyDescent="0.45">
      <c r="A1384" s="62" t="s">
        <v>384</v>
      </c>
      <c r="B1384" s="62" t="s">
        <v>1199</v>
      </c>
      <c r="C1384" s="63"/>
      <c r="D1384" s="64"/>
      <c r="E1384" s="65"/>
      <c r="F1384" s="66"/>
      <c r="G1384" s="63"/>
      <c r="H1384" s="67"/>
      <c r="I1384" s="68"/>
      <c r="J1384" s="68"/>
      <c r="K1384" s="32"/>
      <c r="L1384" s="75"/>
      <c r="M1384" s="75"/>
      <c r="N1384" s="70"/>
      <c r="O1384" t="s">
        <v>1568</v>
      </c>
      <c r="P1384" s="76">
        <v>44958.67523148148</v>
      </c>
      <c r="Q1384" t="s">
        <v>1723</v>
      </c>
      <c r="V1384" s="77" t="str">
        <f>HYPERLINK("https://pbs.twimg.com/profile_images/696502600078852096/xwgwH3JI_normal.jpg")</f>
        <v>https://pbs.twimg.com/profile_images/696502600078852096/xwgwH3JI_normal.jpg</v>
      </c>
      <c r="W1384" s="76">
        <v>44958.67523148148</v>
      </c>
      <c r="X1384" s="80">
        <v>44958</v>
      </c>
      <c r="Y1384" s="78" t="s">
        <v>2612</v>
      </c>
      <c r="Z1384" s="77" t="str">
        <f>HYPERLINK("https://twitter.com/themarkening/status/1620817335912402946")</f>
        <v>https://twitter.com/themarkening/status/1620817335912402946</v>
      </c>
      <c r="AC1384" s="78" t="s">
        <v>3629</v>
      </c>
      <c r="AD1384" s="78" t="s">
        <v>3722</v>
      </c>
      <c r="AE1384" t="b">
        <v>0</v>
      </c>
      <c r="AF1384">
        <v>1</v>
      </c>
      <c r="AG1384" s="78" t="s">
        <v>4673</v>
      </c>
      <c r="AH1384" t="b">
        <v>0</v>
      </c>
      <c r="AI1384" t="s">
        <v>4829</v>
      </c>
      <c r="AK1384" s="78" t="s">
        <v>4640</v>
      </c>
      <c r="AL1384" t="b">
        <v>0</v>
      </c>
      <c r="AM1384">
        <v>0</v>
      </c>
      <c r="AN1384" s="78" t="s">
        <v>4640</v>
      </c>
      <c r="AO1384" s="78" t="s">
        <v>4851</v>
      </c>
      <c r="AP1384" t="b">
        <v>0</v>
      </c>
      <c r="AQ1384" s="78" t="s">
        <v>3722</v>
      </c>
      <c r="AR1384" t="s">
        <v>179</v>
      </c>
      <c r="AS1384">
        <v>0</v>
      </c>
      <c r="AT1384">
        <v>0</v>
      </c>
    </row>
    <row r="1385" spans="1:46" x14ac:dyDescent="0.45">
      <c r="A1385" s="62" t="s">
        <v>384</v>
      </c>
      <c r="B1385" s="62" t="s">
        <v>1185</v>
      </c>
      <c r="C1385" s="63"/>
      <c r="D1385" s="64"/>
      <c r="E1385" s="65"/>
      <c r="F1385" s="66"/>
      <c r="G1385" s="63"/>
      <c r="H1385" s="67"/>
      <c r="I1385" s="68"/>
      <c r="J1385" s="68"/>
      <c r="K1385" s="32"/>
      <c r="L1385" s="75"/>
      <c r="M1385" s="75"/>
      <c r="N1385" s="70"/>
      <c r="O1385" t="s">
        <v>1568</v>
      </c>
      <c r="P1385" s="76">
        <v>44958.67523148148</v>
      </c>
      <c r="Q1385" t="s">
        <v>1723</v>
      </c>
      <c r="V1385" s="77" t="str">
        <f>HYPERLINK("https://pbs.twimg.com/profile_images/696502600078852096/xwgwH3JI_normal.jpg")</f>
        <v>https://pbs.twimg.com/profile_images/696502600078852096/xwgwH3JI_normal.jpg</v>
      </c>
      <c r="W1385" s="76">
        <v>44958.67523148148</v>
      </c>
      <c r="X1385" s="80">
        <v>44958</v>
      </c>
      <c r="Y1385" s="78" t="s">
        <v>2612</v>
      </c>
      <c r="Z1385" s="77" t="str">
        <f>HYPERLINK("https://twitter.com/themarkening/status/1620817335912402946")</f>
        <v>https://twitter.com/themarkening/status/1620817335912402946</v>
      </c>
      <c r="AC1385" s="78" t="s">
        <v>3629</v>
      </c>
      <c r="AD1385" s="78" t="s">
        <v>3722</v>
      </c>
      <c r="AE1385" t="b">
        <v>0</v>
      </c>
      <c r="AF1385">
        <v>1</v>
      </c>
      <c r="AG1385" s="78" t="s">
        <v>4673</v>
      </c>
      <c r="AH1385" t="b">
        <v>0</v>
      </c>
      <c r="AI1385" t="s">
        <v>4829</v>
      </c>
      <c r="AK1385" s="78" t="s">
        <v>4640</v>
      </c>
      <c r="AL1385" t="b">
        <v>0</v>
      </c>
      <c r="AM1385">
        <v>0</v>
      </c>
      <c r="AN1385" s="78" t="s">
        <v>4640</v>
      </c>
      <c r="AO1385" s="78" t="s">
        <v>4851</v>
      </c>
      <c r="AP1385" t="b">
        <v>0</v>
      </c>
      <c r="AQ1385" s="78" t="s">
        <v>3722</v>
      </c>
      <c r="AR1385" t="s">
        <v>179</v>
      </c>
      <c r="AS1385">
        <v>0</v>
      </c>
      <c r="AT1385">
        <v>0</v>
      </c>
    </row>
    <row r="1386" spans="1:46" x14ac:dyDescent="0.45">
      <c r="A1386" s="62" t="s">
        <v>384</v>
      </c>
      <c r="B1386" s="62" t="s">
        <v>242</v>
      </c>
      <c r="C1386" s="63"/>
      <c r="D1386" s="64"/>
      <c r="E1386" s="65"/>
      <c r="F1386" s="66"/>
      <c r="G1386" s="63"/>
      <c r="H1386" s="67"/>
      <c r="I1386" s="68"/>
      <c r="J1386" s="68"/>
      <c r="K1386" s="32"/>
      <c r="L1386" s="75"/>
      <c r="M1386" s="75"/>
      <c r="N1386" s="70"/>
      <c r="O1386" t="s">
        <v>1568</v>
      </c>
      <c r="P1386" s="76">
        <v>44958.67523148148</v>
      </c>
      <c r="Q1386" t="s">
        <v>1723</v>
      </c>
      <c r="V1386" s="77" t="str">
        <f>HYPERLINK("https://pbs.twimg.com/profile_images/696502600078852096/xwgwH3JI_normal.jpg")</f>
        <v>https://pbs.twimg.com/profile_images/696502600078852096/xwgwH3JI_normal.jpg</v>
      </c>
      <c r="W1386" s="76">
        <v>44958.67523148148</v>
      </c>
      <c r="X1386" s="80">
        <v>44958</v>
      </c>
      <c r="Y1386" s="78" t="s">
        <v>2612</v>
      </c>
      <c r="Z1386" s="77" t="str">
        <f>HYPERLINK("https://twitter.com/themarkening/status/1620817335912402946")</f>
        <v>https://twitter.com/themarkening/status/1620817335912402946</v>
      </c>
      <c r="AC1386" s="78" t="s">
        <v>3629</v>
      </c>
      <c r="AD1386" s="78" t="s">
        <v>3722</v>
      </c>
      <c r="AE1386" t="b">
        <v>0</v>
      </c>
      <c r="AF1386">
        <v>1</v>
      </c>
      <c r="AG1386" s="78" t="s">
        <v>4673</v>
      </c>
      <c r="AH1386" t="b">
        <v>0</v>
      </c>
      <c r="AI1386" t="s">
        <v>4829</v>
      </c>
      <c r="AK1386" s="78" t="s">
        <v>4640</v>
      </c>
      <c r="AL1386" t="b">
        <v>0</v>
      </c>
      <c r="AM1386">
        <v>0</v>
      </c>
      <c r="AN1386" s="78" t="s">
        <v>4640</v>
      </c>
      <c r="AO1386" s="78" t="s">
        <v>4851</v>
      </c>
      <c r="AP1386" t="b">
        <v>0</v>
      </c>
      <c r="AQ1386" s="78" t="s">
        <v>3722</v>
      </c>
      <c r="AR1386" t="s">
        <v>179</v>
      </c>
      <c r="AS1386">
        <v>0</v>
      </c>
      <c r="AT1386">
        <v>0</v>
      </c>
    </row>
    <row r="1387" spans="1:46" x14ac:dyDescent="0.45">
      <c r="A1387" s="62" t="s">
        <v>384</v>
      </c>
      <c r="B1387" s="62" t="s">
        <v>379</v>
      </c>
      <c r="C1387" s="63"/>
      <c r="D1387" s="64"/>
      <c r="E1387" s="65"/>
      <c r="F1387" s="66"/>
      <c r="G1387" s="63"/>
      <c r="H1387" s="67"/>
      <c r="I1387" s="68"/>
      <c r="J1387" s="68"/>
      <c r="K1387" s="32"/>
      <c r="L1387" s="75"/>
      <c r="M1387" s="75"/>
      <c r="N1387" s="70"/>
      <c r="O1387" t="s">
        <v>1567</v>
      </c>
      <c r="P1387" s="76">
        <v>44958.67523148148</v>
      </c>
      <c r="Q1387" t="s">
        <v>1723</v>
      </c>
      <c r="V1387" s="77" t="str">
        <f>HYPERLINK("https://pbs.twimg.com/profile_images/696502600078852096/xwgwH3JI_normal.jpg")</f>
        <v>https://pbs.twimg.com/profile_images/696502600078852096/xwgwH3JI_normal.jpg</v>
      </c>
      <c r="W1387" s="76">
        <v>44958.67523148148</v>
      </c>
      <c r="X1387" s="80">
        <v>44958</v>
      </c>
      <c r="Y1387" s="78" t="s">
        <v>2612</v>
      </c>
      <c r="Z1387" s="77" t="str">
        <f>HYPERLINK("https://twitter.com/themarkening/status/1620817335912402946")</f>
        <v>https://twitter.com/themarkening/status/1620817335912402946</v>
      </c>
      <c r="AC1387" s="78" t="s">
        <v>3629</v>
      </c>
      <c r="AD1387" s="78" t="s">
        <v>3722</v>
      </c>
      <c r="AE1387" t="b">
        <v>0</v>
      </c>
      <c r="AF1387">
        <v>1</v>
      </c>
      <c r="AG1387" s="78" t="s">
        <v>4673</v>
      </c>
      <c r="AH1387" t="b">
        <v>0</v>
      </c>
      <c r="AI1387" t="s">
        <v>4829</v>
      </c>
      <c r="AK1387" s="78" t="s">
        <v>4640</v>
      </c>
      <c r="AL1387" t="b">
        <v>0</v>
      </c>
      <c r="AM1387">
        <v>0</v>
      </c>
      <c r="AN1387" s="78" t="s">
        <v>4640</v>
      </c>
      <c r="AO1387" s="78" t="s">
        <v>4851</v>
      </c>
      <c r="AP1387" t="b">
        <v>0</v>
      </c>
      <c r="AQ1387" s="78" t="s">
        <v>3722</v>
      </c>
      <c r="AR1387" t="s">
        <v>179</v>
      </c>
      <c r="AS1387">
        <v>0</v>
      </c>
      <c r="AT1387">
        <v>0</v>
      </c>
    </row>
    <row r="1388" spans="1:46" x14ac:dyDescent="0.45">
      <c r="A1388" s="62" t="s">
        <v>402</v>
      </c>
      <c r="B1388" s="62" t="s">
        <v>242</v>
      </c>
      <c r="C1388" s="63"/>
      <c r="D1388" s="64"/>
      <c r="E1388" s="65"/>
      <c r="F1388" s="66"/>
      <c r="G1388" s="63"/>
      <c r="H1388" s="67"/>
      <c r="I1388" s="68"/>
      <c r="J1388" s="68"/>
      <c r="K1388" s="32"/>
      <c r="L1388" s="75"/>
      <c r="M1388" s="75"/>
      <c r="N1388" s="70"/>
      <c r="O1388" t="s">
        <v>1568</v>
      </c>
      <c r="P1388" s="76">
        <v>44958.705868055556</v>
      </c>
      <c r="Q1388" t="s">
        <v>1731</v>
      </c>
      <c r="V1388" s="77" t="str">
        <f>HYPERLINK("https://pbs.twimg.com/profile_images/1561784864394944514/cU7IhWh6_normal.jpg")</f>
        <v>https://pbs.twimg.com/profile_images/1561784864394944514/cU7IhWh6_normal.jpg</v>
      </c>
      <c r="W1388" s="76">
        <v>44958.705868055556</v>
      </c>
      <c r="X1388" s="80">
        <v>44958</v>
      </c>
      <c r="Y1388" s="78" t="s">
        <v>2630</v>
      </c>
      <c r="Z1388" s="77" t="str">
        <f>HYPERLINK("https://twitter.com/onemodrankk/status/1620828435668168704")</f>
        <v>https://twitter.com/onemodrankk/status/1620828435668168704</v>
      </c>
      <c r="AC1388" s="78" t="s">
        <v>3647</v>
      </c>
      <c r="AE1388" t="b">
        <v>0</v>
      </c>
      <c r="AF1388">
        <v>1</v>
      </c>
      <c r="AG1388" s="78" t="s">
        <v>4640</v>
      </c>
      <c r="AH1388" t="b">
        <v>0</v>
      </c>
      <c r="AI1388" t="s">
        <v>4829</v>
      </c>
      <c r="AK1388" s="78" t="s">
        <v>4640</v>
      </c>
      <c r="AL1388" t="b">
        <v>0</v>
      </c>
      <c r="AM1388">
        <v>0</v>
      </c>
      <c r="AN1388" s="78" t="s">
        <v>4640</v>
      </c>
      <c r="AO1388" s="78" t="s">
        <v>4849</v>
      </c>
      <c r="AP1388" t="b">
        <v>0</v>
      </c>
      <c r="AQ1388" s="78" t="s">
        <v>3647</v>
      </c>
      <c r="AR1388" t="s">
        <v>179</v>
      </c>
      <c r="AS1388">
        <v>0</v>
      </c>
      <c r="AT1388">
        <v>0</v>
      </c>
    </row>
    <row r="1389" spans="1:46" x14ac:dyDescent="0.45">
      <c r="A1389" s="62" t="s">
        <v>423</v>
      </c>
      <c r="B1389" s="62" t="s">
        <v>1230</v>
      </c>
      <c r="C1389" s="63"/>
      <c r="D1389" s="64"/>
      <c r="E1389" s="65"/>
      <c r="F1389" s="66"/>
      <c r="G1389" s="63"/>
      <c r="H1389" s="67"/>
      <c r="I1389" s="68"/>
      <c r="J1389" s="68"/>
      <c r="K1389" s="32"/>
      <c r="L1389" s="75"/>
      <c r="M1389" s="75"/>
      <c r="N1389" s="70"/>
      <c r="O1389" t="s">
        <v>1568</v>
      </c>
      <c r="P1389" s="76">
        <v>44958.678391203706</v>
      </c>
      <c r="Q1389" t="s">
        <v>1739</v>
      </c>
      <c r="V1389" s="77" t="str">
        <f>HYPERLINK("https://pbs.twimg.com/profile_images/1573845467221430274/CafbQREI_normal.jpg")</f>
        <v>https://pbs.twimg.com/profile_images/1573845467221430274/CafbQREI_normal.jpg</v>
      </c>
      <c r="W1389" s="76">
        <v>44958.678391203706</v>
      </c>
      <c r="X1389" s="80">
        <v>44958</v>
      </c>
      <c r="Y1389" s="78" t="s">
        <v>2580</v>
      </c>
      <c r="Z1389" s="77" t="str">
        <f>HYPERLINK("https://twitter.com/qtea_piez/status/1620818478361092098")</f>
        <v>https://twitter.com/qtea_piez/status/1620818478361092098</v>
      </c>
      <c r="AC1389" s="78" t="s">
        <v>3669</v>
      </c>
      <c r="AD1389" s="78" t="s">
        <v>4473</v>
      </c>
      <c r="AE1389" t="b">
        <v>0</v>
      </c>
      <c r="AF1389">
        <v>1</v>
      </c>
      <c r="AG1389" s="78" t="s">
        <v>4639</v>
      </c>
      <c r="AH1389" t="b">
        <v>0</v>
      </c>
      <c r="AI1389" t="s">
        <v>4829</v>
      </c>
      <c r="AK1389" s="78" t="s">
        <v>4640</v>
      </c>
      <c r="AL1389" t="b">
        <v>0</v>
      </c>
      <c r="AM1389">
        <v>0</v>
      </c>
      <c r="AN1389" s="78" t="s">
        <v>4640</v>
      </c>
      <c r="AO1389" s="78" t="s">
        <v>4850</v>
      </c>
      <c r="AP1389" t="b">
        <v>0</v>
      </c>
      <c r="AQ1389" s="78" t="s">
        <v>4473</v>
      </c>
      <c r="AR1389" t="s">
        <v>179</v>
      </c>
      <c r="AS1389">
        <v>0</v>
      </c>
      <c r="AT1389">
        <v>0</v>
      </c>
    </row>
    <row r="1390" spans="1:46" x14ac:dyDescent="0.45">
      <c r="A1390" s="62" t="s">
        <v>423</v>
      </c>
      <c r="B1390" s="62" t="s">
        <v>242</v>
      </c>
      <c r="C1390" s="63"/>
      <c r="D1390" s="64"/>
      <c r="E1390" s="65"/>
      <c r="F1390" s="66"/>
      <c r="G1390" s="63"/>
      <c r="H1390" s="67"/>
      <c r="I1390" s="68"/>
      <c r="J1390" s="68"/>
      <c r="K1390" s="32"/>
      <c r="L1390" s="75"/>
      <c r="M1390" s="75"/>
      <c r="N1390" s="70"/>
      <c r="O1390" t="s">
        <v>1567</v>
      </c>
      <c r="P1390" s="76">
        <v>44958.678391203706</v>
      </c>
      <c r="Q1390" t="s">
        <v>1739</v>
      </c>
      <c r="V1390" s="77" t="str">
        <f>HYPERLINK("https://pbs.twimg.com/profile_images/1573845467221430274/CafbQREI_normal.jpg")</f>
        <v>https://pbs.twimg.com/profile_images/1573845467221430274/CafbQREI_normal.jpg</v>
      </c>
      <c r="W1390" s="76">
        <v>44958.678391203706</v>
      </c>
      <c r="X1390" s="80">
        <v>44958</v>
      </c>
      <c r="Y1390" s="78" t="s">
        <v>2580</v>
      </c>
      <c r="Z1390" s="77" t="str">
        <f>HYPERLINK("https://twitter.com/qtea_piez/status/1620818478361092098")</f>
        <v>https://twitter.com/qtea_piez/status/1620818478361092098</v>
      </c>
      <c r="AC1390" s="78" t="s">
        <v>3669</v>
      </c>
      <c r="AD1390" s="78" t="s">
        <v>4473</v>
      </c>
      <c r="AE1390" t="b">
        <v>0</v>
      </c>
      <c r="AF1390">
        <v>1</v>
      </c>
      <c r="AG1390" s="78" t="s">
        <v>4639</v>
      </c>
      <c r="AH1390" t="b">
        <v>0</v>
      </c>
      <c r="AI1390" t="s">
        <v>4829</v>
      </c>
      <c r="AK1390" s="78" t="s">
        <v>4640</v>
      </c>
      <c r="AL1390" t="b">
        <v>0</v>
      </c>
      <c r="AM1390">
        <v>0</v>
      </c>
      <c r="AN1390" s="78" t="s">
        <v>4640</v>
      </c>
      <c r="AO1390" s="78" t="s">
        <v>4850</v>
      </c>
      <c r="AP1390" t="b">
        <v>0</v>
      </c>
      <c r="AQ1390" s="78" t="s">
        <v>4473</v>
      </c>
      <c r="AR1390" t="s">
        <v>179</v>
      </c>
      <c r="AS1390">
        <v>0</v>
      </c>
      <c r="AT1390">
        <v>0</v>
      </c>
    </row>
    <row r="1391" spans="1:46" x14ac:dyDescent="0.45">
      <c r="A1391" s="62" t="s">
        <v>423</v>
      </c>
      <c r="B1391" s="62" t="s">
        <v>1230</v>
      </c>
      <c r="C1391" s="63"/>
      <c r="D1391" s="64"/>
      <c r="E1391" s="65"/>
      <c r="F1391" s="66"/>
      <c r="G1391" s="63"/>
      <c r="H1391" s="67"/>
      <c r="I1391" s="68"/>
      <c r="J1391" s="68"/>
      <c r="K1391" s="32"/>
      <c r="L1391" s="75"/>
      <c r="M1391" s="75"/>
      <c r="N1391" s="70"/>
      <c r="O1391" t="s">
        <v>1568</v>
      </c>
      <c r="P1391" s="76">
        <v>44958.711759259262</v>
      </c>
      <c r="Q1391" t="s">
        <v>1740</v>
      </c>
      <c r="V1391" s="77" t="str">
        <f>HYPERLINK("https://pbs.twimg.com/profile_images/1573845467221430274/CafbQREI_normal.jpg")</f>
        <v>https://pbs.twimg.com/profile_images/1573845467221430274/CafbQREI_normal.jpg</v>
      </c>
      <c r="W1391" s="76">
        <v>44958.711759259262</v>
      </c>
      <c r="X1391" s="80">
        <v>44958</v>
      </c>
      <c r="Y1391" s="78" t="s">
        <v>2652</v>
      </c>
      <c r="Z1391" s="77" t="str">
        <f>HYPERLINK("https://twitter.com/qtea_piez/status/1620830572322131970")</f>
        <v>https://twitter.com/qtea_piez/status/1620830572322131970</v>
      </c>
      <c r="AC1391" s="78" t="s">
        <v>3670</v>
      </c>
      <c r="AD1391" s="78" t="s">
        <v>3964</v>
      </c>
      <c r="AE1391" t="b">
        <v>0</v>
      </c>
      <c r="AF1391">
        <v>1</v>
      </c>
      <c r="AG1391" s="78" t="s">
        <v>4690</v>
      </c>
      <c r="AH1391" t="b">
        <v>0</v>
      </c>
      <c r="AI1391" t="s">
        <v>4829</v>
      </c>
      <c r="AK1391" s="78" t="s">
        <v>4640</v>
      </c>
      <c r="AL1391" t="b">
        <v>0</v>
      </c>
      <c r="AM1391">
        <v>0</v>
      </c>
      <c r="AN1391" s="78" t="s">
        <v>4640</v>
      </c>
      <c r="AO1391" s="78" t="s">
        <v>4850</v>
      </c>
      <c r="AP1391" t="b">
        <v>0</v>
      </c>
      <c r="AQ1391" s="78" t="s">
        <v>3964</v>
      </c>
      <c r="AR1391" t="s">
        <v>179</v>
      </c>
      <c r="AS1391">
        <v>0</v>
      </c>
      <c r="AT1391">
        <v>0</v>
      </c>
    </row>
    <row r="1392" spans="1:46" x14ac:dyDescent="0.45">
      <c r="A1392" s="62" t="s">
        <v>423</v>
      </c>
      <c r="B1392" s="62" t="s">
        <v>242</v>
      </c>
      <c r="C1392" s="63"/>
      <c r="D1392" s="64"/>
      <c r="E1392" s="65"/>
      <c r="F1392" s="66"/>
      <c r="G1392" s="63"/>
      <c r="H1392" s="67"/>
      <c r="I1392" s="68"/>
      <c r="J1392" s="68"/>
      <c r="K1392" s="32"/>
      <c r="L1392" s="75"/>
      <c r="M1392" s="75"/>
      <c r="N1392" s="70"/>
      <c r="O1392" t="s">
        <v>1568</v>
      </c>
      <c r="P1392" s="76">
        <v>44958.711759259262</v>
      </c>
      <c r="Q1392" t="s">
        <v>1740</v>
      </c>
      <c r="V1392" s="77" t="str">
        <f>HYPERLINK("https://pbs.twimg.com/profile_images/1573845467221430274/CafbQREI_normal.jpg")</f>
        <v>https://pbs.twimg.com/profile_images/1573845467221430274/CafbQREI_normal.jpg</v>
      </c>
      <c r="W1392" s="76">
        <v>44958.711759259262</v>
      </c>
      <c r="X1392" s="80">
        <v>44958</v>
      </c>
      <c r="Y1392" s="78" t="s">
        <v>2652</v>
      </c>
      <c r="Z1392" s="77" t="str">
        <f>HYPERLINK("https://twitter.com/qtea_piez/status/1620830572322131970")</f>
        <v>https://twitter.com/qtea_piez/status/1620830572322131970</v>
      </c>
      <c r="AC1392" s="78" t="s">
        <v>3670</v>
      </c>
      <c r="AD1392" s="78" t="s">
        <v>3964</v>
      </c>
      <c r="AE1392" t="b">
        <v>0</v>
      </c>
      <c r="AF1392">
        <v>1</v>
      </c>
      <c r="AG1392" s="78" t="s">
        <v>4690</v>
      </c>
      <c r="AH1392" t="b">
        <v>0</v>
      </c>
      <c r="AI1392" t="s">
        <v>4829</v>
      </c>
      <c r="AK1392" s="78" t="s">
        <v>4640</v>
      </c>
      <c r="AL1392" t="b">
        <v>0</v>
      </c>
      <c r="AM1392">
        <v>0</v>
      </c>
      <c r="AN1392" s="78" t="s">
        <v>4640</v>
      </c>
      <c r="AO1392" s="78" t="s">
        <v>4850</v>
      </c>
      <c r="AP1392" t="b">
        <v>0</v>
      </c>
      <c r="AQ1392" s="78" t="s">
        <v>3964</v>
      </c>
      <c r="AR1392" t="s">
        <v>179</v>
      </c>
      <c r="AS1392">
        <v>0</v>
      </c>
      <c r="AT1392">
        <v>0</v>
      </c>
    </row>
    <row r="1393" spans="1:46" x14ac:dyDescent="0.45">
      <c r="A1393" s="62" t="s">
        <v>423</v>
      </c>
      <c r="B1393" s="62" t="s">
        <v>696</v>
      </c>
      <c r="C1393" s="63"/>
      <c r="D1393" s="64"/>
      <c r="E1393" s="65"/>
      <c r="F1393" s="66"/>
      <c r="G1393" s="63"/>
      <c r="H1393" s="67"/>
      <c r="I1393" s="68"/>
      <c r="J1393" s="68"/>
      <c r="K1393" s="32"/>
      <c r="L1393" s="75"/>
      <c r="M1393" s="75"/>
      <c r="N1393" s="70"/>
      <c r="O1393" t="s">
        <v>1567</v>
      </c>
      <c r="P1393" s="76">
        <v>44958.711759259262</v>
      </c>
      <c r="Q1393" t="s">
        <v>1740</v>
      </c>
      <c r="V1393" s="77" t="str">
        <f>HYPERLINK("https://pbs.twimg.com/profile_images/1573845467221430274/CafbQREI_normal.jpg")</f>
        <v>https://pbs.twimg.com/profile_images/1573845467221430274/CafbQREI_normal.jpg</v>
      </c>
      <c r="W1393" s="76">
        <v>44958.711759259262</v>
      </c>
      <c r="X1393" s="80">
        <v>44958</v>
      </c>
      <c r="Y1393" s="78" t="s">
        <v>2652</v>
      </c>
      <c r="Z1393" s="77" t="str">
        <f>HYPERLINK("https://twitter.com/qtea_piez/status/1620830572322131970")</f>
        <v>https://twitter.com/qtea_piez/status/1620830572322131970</v>
      </c>
      <c r="AC1393" s="78" t="s">
        <v>3670</v>
      </c>
      <c r="AD1393" s="78" t="s">
        <v>3964</v>
      </c>
      <c r="AE1393" t="b">
        <v>0</v>
      </c>
      <c r="AF1393">
        <v>1</v>
      </c>
      <c r="AG1393" s="78" t="s">
        <v>4690</v>
      </c>
      <c r="AH1393" t="b">
        <v>0</v>
      </c>
      <c r="AI1393" t="s">
        <v>4829</v>
      </c>
      <c r="AK1393" s="78" t="s">
        <v>4640</v>
      </c>
      <c r="AL1393" t="b">
        <v>0</v>
      </c>
      <c r="AM1393">
        <v>0</v>
      </c>
      <c r="AN1393" s="78" t="s">
        <v>4640</v>
      </c>
      <c r="AO1393" s="78" t="s">
        <v>4850</v>
      </c>
      <c r="AP1393" t="b">
        <v>0</v>
      </c>
      <c r="AQ1393" s="78" t="s">
        <v>3964</v>
      </c>
      <c r="AR1393" t="s">
        <v>179</v>
      </c>
      <c r="AS1393">
        <v>0</v>
      </c>
      <c r="AT1393">
        <v>0</v>
      </c>
    </row>
    <row r="1394" spans="1:46" x14ac:dyDescent="0.45">
      <c r="A1394" s="62" t="s">
        <v>469</v>
      </c>
      <c r="B1394" s="62" t="s">
        <v>1198</v>
      </c>
      <c r="C1394" s="63"/>
      <c r="D1394" s="64"/>
      <c r="E1394" s="65"/>
      <c r="F1394" s="66"/>
      <c r="G1394" s="63"/>
      <c r="H1394" s="67"/>
      <c r="I1394" s="68"/>
      <c r="J1394" s="68"/>
      <c r="K1394" s="32"/>
      <c r="L1394" s="75"/>
      <c r="M1394" s="75"/>
      <c r="N1394" s="70"/>
      <c r="O1394" t="s">
        <v>1568</v>
      </c>
      <c r="P1394" s="76">
        <v>44958.620868055557</v>
      </c>
      <c r="Q1394" t="s">
        <v>1762</v>
      </c>
      <c r="V1394" s="77" t="str">
        <f>HYPERLINK("https://pbs.twimg.com/profile_images/1541651073810649088/KW4pJW1V_normal.jpg")</f>
        <v>https://pbs.twimg.com/profile_images/1541651073810649088/KW4pJW1V_normal.jpg</v>
      </c>
      <c r="W1394" s="76">
        <v>44958.620868055557</v>
      </c>
      <c r="X1394" s="80">
        <v>44958</v>
      </c>
      <c r="Y1394" s="78" t="s">
        <v>2702</v>
      </c>
      <c r="Z1394" s="77" t="str">
        <f>HYPERLINK("https://twitter.com/orenmeetsworld/status/1620797631667798018")</f>
        <v>https://twitter.com/orenmeetsworld/status/1620797631667798018</v>
      </c>
      <c r="AC1394" s="78" t="s">
        <v>3720</v>
      </c>
      <c r="AD1394" s="78" t="s">
        <v>3722</v>
      </c>
      <c r="AE1394" t="b">
        <v>0</v>
      </c>
      <c r="AF1394">
        <v>1</v>
      </c>
      <c r="AG1394" s="78" t="s">
        <v>4673</v>
      </c>
      <c r="AH1394" t="b">
        <v>0</v>
      </c>
      <c r="AI1394" t="s">
        <v>4829</v>
      </c>
      <c r="AK1394" s="78" t="s">
        <v>4640</v>
      </c>
      <c r="AL1394" t="b">
        <v>0</v>
      </c>
      <c r="AM1394">
        <v>0</v>
      </c>
      <c r="AN1394" s="78" t="s">
        <v>4640</v>
      </c>
      <c r="AO1394" s="78" t="s">
        <v>4849</v>
      </c>
      <c r="AP1394" t="b">
        <v>0</v>
      </c>
      <c r="AQ1394" s="78" t="s">
        <v>3722</v>
      </c>
      <c r="AR1394" t="s">
        <v>179</v>
      </c>
      <c r="AS1394">
        <v>0</v>
      </c>
      <c r="AT1394">
        <v>0</v>
      </c>
    </row>
    <row r="1395" spans="1:46" x14ac:dyDescent="0.45">
      <c r="A1395" s="62" t="s">
        <v>469</v>
      </c>
      <c r="B1395" s="62" t="s">
        <v>1198</v>
      </c>
      <c r="C1395" s="63"/>
      <c r="D1395" s="64"/>
      <c r="E1395" s="65"/>
      <c r="F1395" s="66"/>
      <c r="G1395" s="63"/>
      <c r="H1395" s="67"/>
      <c r="I1395" s="68"/>
      <c r="J1395" s="68"/>
      <c r="K1395" s="32"/>
      <c r="L1395" s="75"/>
      <c r="M1395" s="75"/>
      <c r="N1395" s="70"/>
      <c r="O1395" t="s">
        <v>1568</v>
      </c>
      <c r="P1395" s="76">
        <v>44958.625810185185</v>
      </c>
      <c r="Q1395" t="s">
        <v>1763</v>
      </c>
      <c r="V1395" s="77" t="str">
        <f>HYPERLINK("https://pbs.twimg.com/profile_images/1541651073810649088/KW4pJW1V_normal.jpg")</f>
        <v>https://pbs.twimg.com/profile_images/1541651073810649088/KW4pJW1V_normal.jpg</v>
      </c>
      <c r="W1395" s="76">
        <v>44958.625810185185</v>
      </c>
      <c r="X1395" s="80">
        <v>44958</v>
      </c>
      <c r="Y1395" s="78" t="s">
        <v>2703</v>
      </c>
      <c r="Z1395" s="77" t="str">
        <f>HYPERLINK("https://twitter.com/orenmeetsworld/status/1620799424640483328")</f>
        <v>https://twitter.com/orenmeetsworld/status/1620799424640483328</v>
      </c>
      <c r="AC1395" s="78" t="s">
        <v>3721</v>
      </c>
      <c r="AD1395" s="78" t="s">
        <v>3723</v>
      </c>
      <c r="AE1395" t="b">
        <v>0</v>
      </c>
      <c r="AF1395">
        <v>1</v>
      </c>
      <c r="AG1395" s="78" t="s">
        <v>4673</v>
      </c>
      <c r="AH1395" t="b">
        <v>0</v>
      </c>
      <c r="AI1395" t="s">
        <v>4829</v>
      </c>
      <c r="AK1395" s="78" t="s">
        <v>4640</v>
      </c>
      <c r="AL1395" t="b">
        <v>0</v>
      </c>
      <c r="AM1395">
        <v>0</v>
      </c>
      <c r="AN1395" s="78" t="s">
        <v>4640</v>
      </c>
      <c r="AO1395" s="78" t="s">
        <v>4849</v>
      </c>
      <c r="AP1395" t="b">
        <v>0</v>
      </c>
      <c r="AQ1395" s="78" t="s">
        <v>3723</v>
      </c>
      <c r="AR1395" t="s">
        <v>179</v>
      </c>
      <c r="AS1395">
        <v>0</v>
      </c>
      <c r="AT1395">
        <v>0</v>
      </c>
    </row>
    <row r="1396" spans="1:46" x14ac:dyDescent="0.45">
      <c r="A1396" s="62" t="s">
        <v>379</v>
      </c>
      <c r="B1396" s="62" t="s">
        <v>1198</v>
      </c>
      <c r="C1396" s="63"/>
      <c r="D1396" s="64"/>
      <c r="E1396" s="65"/>
      <c r="F1396" s="66"/>
      <c r="G1396" s="63"/>
      <c r="H1396" s="67"/>
      <c r="I1396" s="68"/>
      <c r="J1396" s="68"/>
      <c r="K1396" s="32"/>
      <c r="L1396" s="75"/>
      <c r="M1396" s="75"/>
      <c r="N1396" s="70"/>
      <c r="O1396" t="s">
        <v>1568</v>
      </c>
      <c r="P1396" s="76">
        <v>44958.64329861111</v>
      </c>
      <c r="Q1396" t="s">
        <v>1718</v>
      </c>
      <c r="V1396" s="77" t="str">
        <f>HYPERLINK("https://pbs.twimg.com/profile_images/1525158976240902146/uJv1fZch_normal.jpg")</f>
        <v>https://pbs.twimg.com/profile_images/1525158976240902146/uJv1fZch_normal.jpg</v>
      </c>
      <c r="W1396" s="76">
        <v>44958.64329861111</v>
      </c>
      <c r="X1396" s="80">
        <v>44958</v>
      </c>
      <c r="Y1396" s="78" t="s">
        <v>2605</v>
      </c>
      <c r="Z1396" s="77" t="str">
        <f>HYPERLINK("https://twitter.com/iiiitsandrea/status/1620805762615496707")</f>
        <v>https://twitter.com/iiiitsandrea/status/1620805762615496707</v>
      </c>
      <c r="AC1396" s="78" t="s">
        <v>3622</v>
      </c>
      <c r="AD1396" s="78" t="s">
        <v>3621</v>
      </c>
      <c r="AE1396" t="b">
        <v>0</v>
      </c>
      <c r="AF1396">
        <v>1</v>
      </c>
      <c r="AG1396" s="78" t="s">
        <v>4687</v>
      </c>
      <c r="AH1396" t="b">
        <v>0</v>
      </c>
      <c r="AI1396" t="s">
        <v>4829</v>
      </c>
      <c r="AK1396" s="78" t="s">
        <v>4640</v>
      </c>
      <c r="AL1396" t="b">
        <v>0</v>
      </c>
      <c r="AM1396">
        <v>0</v>
      </c>
      <c r="AN1396" s="78" t="s">
        <v>4640</v>
      </c>
      <c r="AO1396" s="78" t="s">
        <v>4851</v>
      </c>
      <c r="AP1396" t="b">
        <v>0</v>
      </c>
      <c r="AQ1396" s="78" t="s">
        <v>3621</v>
      </c>
      <c r="AR1396" t="s">
        <v>179</v>
      </c>
      <c r="AS1396">
        <v>0</v>
      </c>
      <c r="AT1396">
        <v>0</v>
      </c>
    </row>
    <row r="1397" spans="1:46" x14ac:dyDescent="0.45">
      <c r="A1397" s="62" t="s">
        <v>379</v>
      </c>
      <c r="B1397" s="62" t="s">
        <v>1198</v>
      </c>
      <c r="C1397" s="63"/>
      <c r="D1397" s="64"/>
      <c r="E1397" s="65"/>
      <c r="F1397" s="66"/>
      <c r="G1397" s="63"/>
      <c r="H1397" s="67"/>
      <c r="I1397" s="68"/>
      <c r="J1397" s="68"/>
      <c r="K1397" s="32"/>
      <c r="L1397" s="75"/>
      <c r="M1397" s="75"/>
      <c r="N1397" s="70"/>
      <c r="O1397" t="s">
        <v>1568</v>
      </c>
      <c r="P1397" s="76">
        <v>44958.69023148148</v>
      </c>
      <c r="Q1397" t="s">
        <v>1722</v>
      </c>
      <c r="V1397" s="77" t="str">
        <f>HYPERLINK("https://pbs.twimg.com/profile_images/1525158976240902146/uJv1fZch_normal.jpg")</f>
        <v>https://pbs.twimg.com/profile_images/1525158976240902146/uJv1fZch_normal.jpg</v>
      </c>
      <c r="W1397" s="76">
        <v>44958.69023148148</v>
      </c>
      <c r="X1397" s="80">
        <v>44958</v>
      </c>
      <c r="Y1397" s="78" t="s">
        <v>2611</v>
      </c>
      <c r="Z1397" s="77" t="str">
        <f>HYPERLINK("https://twitter.com/iiiitsandrea/status/1620822769620623367")</f>
        <v>https://twitter.com/iiiitsandrea/status/1620822769620623367</v>
      </c>
      <c r="AC1397" s="78" t="s">
        <v>3628</v>
      </c>
      <c r="AD1397" s="78" t="s">
        <v>3629</v>
      </c>
      <c r="AE1397" t="b">
        <v>0</v>
      </c>
      <c r="AF1397">
        <v>1</v>
      </c>
      <c r="AG1397" s="78" t="s">
        <v>4688</v>
      </c>
      <c r="AH1397" t="b">
        <v>0</v>
      </c>
      <c r="AI1397" t="s">
        <v>4829</v>
      </c>
      <c r="AK1397" s="78" t="s">
        <v>4640</v>
      </c>
      <c r="AL1397" t="b">
        <v>0</v>
      </c>
      <c r="AM1397">
        <v>0</v>
      </c>
      <c r="AN1397" s="78" t="s">
        <v>4640</v>
      </c>
      <c r="AO1397" s="78" t="s">
        <v>4849</v>
      </c>
      <c r="AP1397" t="b">
        <v>0</v>
      </c>
      <c r="AQ1397" s="78" t="s">
        <v>3629</v>
      </c>
      <c r="AR1397" t="s">
        <v>179</v>
      </c>
      <c r="AS1397">
        <v>0</v>
      </c>
      <c r="AT1397">
        <v>0</v>
      </c>
    </row>
    <row r="1398" spans="1:46" x14ac:dyDescent="0.45">
      <c r="A1398" s="62" t="s">
        <v>467</v>
      </c>
      <c r="B1398" s="62" t="s">
        <v>1198</v>
      </c>
      <c r="C1398" s="63"/>
      <c r="D1398" s="64"/>
      <c r="E1398" s="65"/>
      <c r="F1398" s="66"/>
      <c r="G1398" s="63"/>
      <c r="H1398" s="67"/>
      <c r="I1398" s="68"/>
      <c r="J1398" s="68"/>
      <c r="K1398" s="32"/>
      <c r="L1398" s="75"/>
      <c r="M1398" s="75"/>
      <c r="N1398" s="70"/>
      <c r="O1398" t="s">
        <v>1568</v>
      </c>
      <c r="P1398" s="76">
        <v>44958.643553240741</v>
      </c>
      <c r="Q1398" t="s">
        <v>1766</v>
      </c>
      <c r="V1398" s="77" t="str">
        <f>HYPERLINK("https://pbs.twimg.com/profile_images/864984124989341696/HMP_gk-x_normal.jpg")</f>
        <v>https://pbs.twimg.com/profile_images/864984124989341696/HMP_gk-x_normal.jpg</v>
      </c>
      <c r="W1398" s="76">
        <v>44958.643553240741</v>
      </c>
      <c r="X1398" s="80">
        <v>44958</v>
      </c>
      <c r="Y1398" s="78" t="s">
        <v>2707</v>
      </c>
      <c r="Z1398" s="77" t="str">
        <f>HYPERLINK("https://twitter.com/jasonstarr/status/1620805853287964673")</f>
        <v>https://twitter.com/jasonstarr/status/1620805853287964673</v>
      </c>
      <c r="AC1398" s="78" t="s">
        <v>3725</v>
      </c>
      <c r="AD1398" s="78" t="s">
        <v>3721</v>
      </c>
      <c r="AE1398" t="b">
        <v>0</v>
      </c>
      <c r="AF1398">
        <v>1</v>
      </c>
      <c r="AG1398" s="78" t="s">
        <v>4697</v>
      </c>
      <c r="AH1398" t="b">
        <v>0</v>
      </c>
      <c r="AI1398" t="s">
        <v>4829</v>
      </c>
      <c r="AK1398" s="78" t="s">
        <v>4640</v>
      </c>
      <c r="AL1398" t="b">
        <v>0</v>
      </c>
      <c r="AM1398">
        <v>0</v>
      </c>
      <c r="AN1398" s="78" t="s">
        <v>4640</v>
      </c>
      <c r="AO1398" s="78" t="s">
        <v>4851</v>
      </c>
      <c r="AP1398" t="b">
        <v>0</v>
      </c>
      <c r="AQ1398" s="78" t="s">
        <v>3721</v>
      </c>
      <c r="AR1398" t="s">
        <v>179</v>
      </c>
      <c r="AS1398">
        <v>0</v>
      </c>
      <c r="AT1398">
        <v>0</v>
      </c>
    </row>
    <row r="1399" spans="1:46" x14ac:dyDescent="0.45">
      <c r="A1399" s="62" t="s">
        <v>469</v>
      </c>
      <c r="B1399" s="62" t="s">
        <v>1181</v>
      </c>
      <c r="C1399" s="63"/>
      <c r="D1399" s="64"/>
      <c r="E1399" s="65"/>
      <c r="F1399" s="66"/>
      <c r="G1399" s="63"/>
      <c r="H1399" s="67"/>
      <c r="I1399" s="68"/>
      <c r="J1399" s="68"/>
      <c r="K1399" s="32"/>
      <c r="L1399" s="75"/>
      <c r="M1399" s="75"/>
      <c r="N1399" s="70"/>
      <c r="O1399" t="s">
        <v>1568</v>
      </c>
      <c r="P1399" s="76">
        <v>44958.620868055557</v>
      </c>
      <c r="Q1399" t="s">
        <v>1762</v>
      </c>
      <c r="V1399" s="77" t="str">
        <f>HYPERLINK("https://pbs.twimg.com/profile_images/1541651073810649088/KW4pJW1V_normal.jpg")</f>
        <v>https://pbs.twimg.com/profile_images/1541651073810649088/KW4pJW1V_normal.jpg</v>
      </c>
      <c r="W1399" s="76">
        <v>44958.620868055557</v>
      </c>
      <c r="X1399" s="80">
        <v>44958</v>
      </c>
      <c r="Y1399" s="78" t="s">
        <v>2702</v>
      </c>
      <c r="Z1399" s="77" t="str">
        <f>HYPERLINK("https://twitter.com/orenmeetsworld/status/1620797631667798018")</f>
        <v>https://twitter.com/orenmeetsworld/status/1620797631667798018</v>
      </c>
      <c r="AC1399" s="78" t="s">
        <v>3720</v>
      </c>
      <c r="AD1399" s="78" t="s">
        <v>3722</v>
      </c>
      <c r="AE1399" t="b">
        <v>0</v>
      </c>
      <c r="AF1399">
        <v>1</v>
      </c>
      <c r="AG1399" s="78" t="s">
        <v>4673</v>
      </c>
      <c r="AH1399" t="b">
        <v>0</v>
      </c>
      <c r="AI1399" t="s">
        <v>4829</v>
      </c>
      <c r="AK1399" s="78" t="s">
        <v>4640</v>
      </c>
      <c r="AL1399" t="b">
        <v>0</v>
      </c>
      <c r="AM1399">
        <v>0</v>
      </c>
      <c r="AN1399" s="78" t="s">
        <v>4640</v>
      </c>
      <c r="AO1399" s="78" t="s">
        <v>4849</v>
      </c>
      <c r="AP1399" t="b">
        <v>0</v>
      </c>
      <c r="AQ1399" s="78" t="s">
        <v>3722</v>
      </c>
      <c r="AR1399" t="s">
        <v>179</v>
      </c>
      <c r="AS1399">
        <v>0</v>
      </c>
      <c r="AT1399">
        <v>0</v>
      </c>
    </row>
    <row r="1400" spans="1:46" x14ac:dyDescent="0.45">
      <c r="A1400" s="62" t="s">
        <v>469</v>
      </c>
      <c r="B1400" s="62" t="s">
        <v>1199</v>
      </c>
      <c r="C1400" s="63"/>
      <c r="D1400" s="64"/>
      <c r="E1400" s="65"/>
      <c r="F1400" s="66"/>
      <c r="G1400" s="63"/>
      <c r="H1400" s="67"/>
      <c r="I1400" s="68"/>
      <c r="J1400" s="68"/>
      <c r="K1400" s="32"/>
      <c r="L1400" s="75"/>
      <c r="M1400" s="75"/>
      <c r="N1400" s="70"/>
      <c r="O1400" t="s">
        <v>1568</v>
      </c>
      <c r="P1400" s="76">
        <v>44958.620868055557</v>
      </c>
      <c r="Q1400" t="s">
        <v>1762</v>
      </c>
      <c r="V1400" s="77" t="str">
        <f>HYPERLINK("https://pbs.twimg.com/profile_images/1541651073810649088/KW4pJW1V_normal.jpg")</f>
        <v>https://pbs.twimg.com/profile_images/1541651073810649088/KW4pJW1V_normal.jpg</v>
      </c>
      <c r="W1400" s="76">
        <v>44958.620868055557</v>
      </c>
      <c r="X1400" s="80">
        <v>44958</v>
      </c>
      <c r="Y1400" s="78" t="s">
        <v>2702</v>
      </c>
      <c r="Z1400" s="77" t="str">
        <f>HYPERLINK("https://twitter.com/orenmeetsworld/status/1620797631667798018")</f>
        <v>https://twitter.com/orenmeetsworld/status/1620797631667798018</v>
      </c>
      <c r="AC1400" s="78" t="s">
        <v>3720</v>
      </c>
      <c r="AD1400" s="78" t="s">
        <v>3722</v>
      </c>
      <c r="AE1400" t="b">
        <v>0</v>
      </c>
      <c r="AF1400">
        <v>1</v>
      </c>
      <c r="AG1400" s="78" t="s">
        <v>4673</v>
      </c>
      <c r="AH1400" t="b">
        <v>0</v>
      </c>
      <c r="AI1400" t="s">
        <v>4829</v>
      </c>
      <c r="AK1400" s="78" t="s">
        <v>4640</v>
      </c>
      <c r="AL1400" t="b">
        <v>0</v>
      </c>
      <c r="AM1400">
        <v>0</v>
      </c>
      <c r="AN1400" s="78" t="s">
        <v>4640</v>
      </c>
      <c r="AO1400" s="78" t="s">
        <v>4849</v>
      </c>
      <c r="AP1400" t="b">
        <v>0</v>
      </c>
      <c r="AQ1400" s="78" t="s">
        <v>3722</v>
      </c>
      <c r="AR1400" t="s">
        <v>179</v>
      </c>
      <c r="AS1400">
        <v>0</v>
      </c>
      <c r="AT1400">
        <v>0</v>
      </c>
    </row>
    <row r="1401" spans="1:46" x14ac:dyDescent="0.45">
      <c r="A1401" s="62" t="s">
        <v>469</v>
      </c>
      <c r="B1401" s="62" t="s">
        <v>1185</v>
      </c>
      <c r="C1401" s="63"/>
      <c r="D1401" s="64"/>
      <c r="E1401" s="65"/>
      <c r="F1401" s="66"/>
      <c r="G1401" s="63"/>
      <c r="H1401" s="67"/>
      <c r="I1401" s="68"/>
      <c r="J1401" s="68"/>
      <c r="K1401" s="32"/>
      <c r="L1401" s="75"/>
      <c r="M1401" s="75"/>
      <c r="N1401" s="70"/>
      <c r="O1401" t="s">
        <v>1568</v>
      </c>
      <c r="P1401" s="76">
        <v>44958.620868055557</v>
      </c>
      <c r="Q1401" t="s">
        <v>1762</v>
      </c>
      <c r="V1401" s="77" t="str">
        <f>HYPERLINK("https://pbs.twimg.com/profile_images/1541651073810649088/KW4pJW1V_normal.jpg")</f>
        <v>https://pbs.twimg.com/profile_images/1541651073810649088/KW4pJW1V_normal.jpg</v>
      </c>
      <c r="W1401" s="76">
        <v>44958.620868055557</v>
      </c>
      <c r="X1401" s="80">
        <v>44958</v>
      </c>
      <c r="Y1401" s="78" t="s">
        <v>2702</v>
      </c>
      <c r="Z1401" s="77" t="str">
        <f>HYPERLINK("https://twitter.com/orenmeetsworld/status/1620797631667798018")</f>
        <v>https://twitter.com/orenmeetsworld/status/1620797631667798018</v>
      </c>
      <c r="AC1401" s="78" t="s">
        <v>3720</v>
      </c>
      <c r="AD1401" s="78" t="s">
        <v>3722</v>
      </c>
      <c r="AE1401" t="b">
        <v>0</v>
      </c>
      <c r="AF1401">
        <v>1</v>
      </c>
      <c r="AG1401" s="78" t="s">
        <v>4673</v>
      </c>
      <c r="AH1401" t="b">
        <v>0</v>
      </c>
      <c r="AI1401" t="s">
        <v>4829</v>
      </c>
      <c r="AK1401" s="78" t="s">
        <v>4640</v>
      </c>
      <c r="AL1401" t="b">
        <v>0</v>
      </c>
      <c r="AM1401">
        <v>0</v>
      </c>
      <c r="AN1401" s="78" t="s">
        <v>4640</v>
      </c>
      <c r="AO1401" s="78" t="s">
        <v>4849</v>
      </c>
      <c r="AP1401" t="b">
        <v>0</v>
      </c>
      <c r="AQ1401" s="78" t="s">
        <v>3722</v>
      </c>
      <c r="AR1401" t="s">
        <v>179</v>
      </c>
      <c r="AS1401">
        <v>0</v>
      </c>
      <c r="AT1401">
        <v>0</v>
      </c>
    </row>
    <row r="1402" spans="1:46" x14ac:dyDescent="0.45">
      <c r="A1402" s="62" t="s">
        <v>469</v>
      </c>
      <c r="B1402" s="62" t="s">
        <v>242</v>
      </c>
      <c r="C1402" s="63"/>
      <c r="D1402" s="64"/>
      <c r="E1402" s="65"/>
      <c r="F1402" s="66"/>
      <c r="G1402" s="63"/>
      <c r="H1402" s="67"/>
      <c r="I1402" s="68"/>
      <c r="J1402" s="68"/>
      <c r="K1402" s="32"/>
      <c r="L1402" s="75"/>
      <c r="M1402" s="75"/>
      <c r="N1402" s="70"/>
      <c r="O1402" t="s">
        <v>1568</v>
      </c>
      <c r="P1402" s="76">
        <v>44958.620868055557</v>
      </c>
      <c r="Q1402" t="s">
        <v>1762</v>
      </c>
      <c r="V1402" s="77" t="str">
        <f>HYPERLINK("https://pbs.twimg.com/profile_images/1541651073810649088/KW4pJW1V_normal.jpg")</f>
        <v>https://pbs.twimg.com/profile_images/1541651073810649088/KW4pJW1V_normal.jpg</v>
      </c>
      <c r="W1402" s="76">
        <v>44958.620868055557</v>
      </c>
      <c r="X1402" s="80">
        <v>44958</v>
      </c>
      <c r="Y1402" s="78" t="s">
        <v>2702</v>
      </c>
      <c r="Z1402" s="77" t="str">
        <f>HYPERLINK("https://twitter.com/orenmeetsworld/status/1620797631667798018")</f>
        <v>https://twitter.com/orenmeetsworld/status/1620797631667798018</v>
      </c>
      <c r="AC1402" s="78" t="s">
        <v>3720</v>
      </c>
      <c r="AD1402" s="78" t="s">
        <v>3722</v>
      </c>
      <c r="AE1402" t="b">
        <v>0</v>
      </c>
      <c r="AF1402">
        <v>1</v>
      </c>
      <c r="AG1402" s="78" t="s">
        <v>4673</v>
      </c>
      <c r="AH1402" t="b">
        <v>0</v>
      </c>
      <c r="AI1402" t="s">
        <v>4829</v>
      </c>
      <c r="AK1402" s="78" t="s">
        <v>4640</v>
      </c>
      <c r="AL1402" t="b">
        <v>0</v>
      </c>
      <c r="AM1402">
        <v>0</v>
      </c>
      <c r="AN1402" s="78" t="s">
        <v>4640</v>
      </c>
      <c r="AO1402" s="78" t="s">
        <v>4849</v>
      </c>
      <c r="AP1402" t="b">
        <v>0</v>
      </c>
      <c r="AQ1402" s="78" t="s">
        <v>3722</v>
      </c>
      <c r="AR1402" t="s">
        <v>179</v>
      </c>
      <c r="AS1402">
        <v>0</v>
      </c>
      <c r="AT1402">
        <v>0</v>
      </c>
    </row>
    <row r="1403" spans="1:46" x14ac:dyDescent="0.45">
      <c r="A1403" s="62" t="s">
        <v>469</v>
      </c>
      <c r="B1403" s="62" t="s">
        <v>379</v>
      </c>
      <c r="C1403" s="63"/>
      <c r="D1403" s="64"/>
      <c r="E1403" s="65"/>
      <c r="F1403" s="66"/>
      <c r="G1403" s="63"/>
      <c r="H1403" s="67"/>
      <c r="I1403" s="68"/>
      <c r="J1403" s="68"/>
      <c r="K1403" s="32"/>
      <c r="L1403" s="75"/>
      <c r="M1403" s="75"/>
      <c r="N1403" s="70"/>
      <c r="O1403" t="s">
        <v>1567</v>
      </c>
      <c r="P1403" s="76">
        <v>44958.620868055557</v>
      </c>
      <c r="Q1403" t="s">
        <v>1762</v>
      </c>
      <c r="V1403" s="77" t="str">
        <f>HYPERLINK("https://pbs.twimg.com/profile_images/1541651073810649088/KW4pJW1V_normal.jpg")</f>
        <v>https://pbs.twimg.com/profile_images/1541651073810649088/KW4pJW1V_normal.jpg</v>
      </c>
      <c r="W1403" s="76">
        <v>44958.620868055557</v>
      </c>
      <c r="X1403" s="80">
        <v>44958</v>
      </c>
      <c r="Y1403" s="78" t="s">
        <v>2702</v>
      </c>
      <c r="Z1403" s="77" t="str">
        <f>HYPERLINK("https://twitter.com/orenmeetsworld/status/1620797631667798018")</f>
        <v>https://twitter.com/orenmeetsworld/status/1620797631667798018</v>
      </c>
      <c r="AC1403" s="78" t="s">
        <v>3720</v>
      </c>
      <c r="AD1403" s="78" t="s">
        <v>3722</v>
      </c>
      <c r="AE1403" t="b">
        <v>0</v>
      </c>
      <c r="AF1403">
        <v>1</v>
      </c>
      <c r="AG1403" s="78" t="s">
        <v>4673</v>
      </c>
      <c r="AH1403" t="b">
        <v>0</v>
      </c>
      <c r="AI1403" t="s">
        <v>4829</v>
      </c>
      <c r="AK1403" s="78" t="s">
        <v>4640</v>
      </c>
      <c r="AL1403" t="b">
        <v>0</v>
      </c>
      <c r="AM1403">
        <v>0</v>
      </c>
      <c r="AN1403" s="78" t="s">
        <v>4640</v>
      </c>
      <c r="AO1403" s="78" t="s">
        <v>4849</v>
      </c>
      <c r="AP1403" t="b">
        <v>0</v>
      </c>
      <c r="AQ1403" s="78" t="s">
        <v>3722</v>
      </c>
      <c r="AR1403" t="s">
        <v>179</v>
      </c>
      <c r="AS1403">
        <v>0</v>
      </c>
      <c r="AT1403">
        <v>0</v>
      </c>
    </row>
    <row r="1404" spans="1:46" x14ac:dyDescent="0.45">
      <c r="A1404" s="62" t="s">
        <v>469</v>
      </c>
      <c r="B1404" s="62" t="s">
        <v>1181</v>
      </c>
      <c r="C1404" s="63"/>
      <c r="D1404" s="64"/>
      <c r="E1404" s="65"/>
      <c r="F1404" s="66"/>
      <c r="G1404" s="63"/>
      <c r="H1404" s="67"/>
      <c r="I1404" s="68"/>
      <c r="J1404" s="68"/>
      <c r="K1404" s="32"/>
      <c r="L1404" s="75"/>
      <c r="M1404" s="75"/>
      <c r="N1404" s="70"/>
      <c r="O1404" t="s">
        <v>1568</v>
      </c>
      <c r="P1404" s="76">
        <v>44958.625810185185</v>
      </c>
      <c r="Q1404" t="s">
        <v>1763</v>
      </c>
      <c r="V1404" s="77" t="str">
        <f>HYPERLINK("https://pbs.twimg.com/profile_images/1541651073810649088/KW4pJW1V_normal.jpg")</f>
        <v>https://pbs.twimg.com/profile_images/1541651073810649088/KW4pJW1V_normal.jpg</v>
      </c>
      <c r="W1404" s="76">
        <v>44958.625810185185</v>
      </c>
      <c r="X1404" s="80">
        <v>44958</v>
      </c>
      <c r="Y1404" s="78" t="s">
        <v>2703</v>
      </c>
      <c r="Z1404" s="77" t="str">
        <f>HYPERLINK("https://twitter.com/orenmeetsworld/status/1620799424640483328")</f>
        <v>https://twitter.com/orenmeetsworld/status/1620799424640483328</v>
      </c>
      <c r="AC1404" s="78" t="s">
        <v>3721</v>
      </c>
      <c r="AD1404" s="78" t="s">
        <v>3723</v>
      </c>
      <c r="AE1404" t="b">
        <v>0</v>
      </c>
      <c r="AF1404">
        <v>1</v>
      </c>
      <c r="AG1404" s="78" t="s">
        <v>4673</v>
      </c>
      <c r="AH1404" t="b">
        <v>0</v>
      </c>
      <c r="AI1404" t="s">
        <v>4829</v>
      </c>
      <c r="AK1404" s="78" t="s">
        <v>4640</v>
      </c>
      <c r="AL1404" t="b">
        <v>0</v>
      </c>
      <c r="AM1404">
        <v>0</v>
      </c>
      <c r="AN1404" s="78" t="s">
        <v>4640</v>
      </c>
      <c r="AO1404" s="78" t="s">
        <v>4849</v>
      </c>
      <c r="AP1404" t="b">
        <v>0</v>
      </c>
      <c r="AQ1404" s="78" t="s">
        <v>3723</v>
      </c>
      <c r="AR1404" t="s">
        <v>179</v>
      </c>
      <c r="AS1404">
        <v>0</v>
      </c>
      <c r="AT1404">
        <v>0</v>
      </c>
    </row>
    <row r="1405" spans="1:46" x14ac:dyDescent="0.45">
      <c r="A1405" s="62" t="s">
        <v>469</v>
      </c>
      <c r="B1405" s="62" t="s">
        <v>1199</v>
      </c>
      <c r="C1405" s="63"/>
      <c r="D1405" s="64"/>
      <c r="E1405" s="65"/>
      <c r="F1405" s="66"/>
      <c r="G1405" s="63"/>
      <c r="H1405" s="67"/>
      <c r="I1405" s="68"/>
      <c r="J1405" s="68"/>
      <c r="K1405" s="32"/>
      <c r="L1405" s="75"/>
      <c r="M1405" s="75"/>
      <c r="N1405" s="70"/>
      <c r="O1405" t="s">
        <v>1568</v>
      </c>
      <c r="P1405" s="76">
        <v>44958.625810185185</v>
      </c>
      <c r="Q1405" t="s">
        <v>1763</v>
      </c>
      <c r="V1405" s="77" t="str">
        <f>HYPERLINK("https://pbs.twimg.com/profile_images/1541651073810649088/KW4pJW1V_normal.jpg")</f>
        <v>https://pbs.twimg.com/profile_images/1541651073810649088/KW4pJW1V_normal.jpg</v>
      </c>
      <c r="W1405" s="76">
        <v>44958.625810185185</v>
      </c>
      <c r="X1405" s="80">
        <v>44958</v>
      </c>
      <c r="Y1405" s="78" t="s">
        <v>2703</v>
      </c>
      <c r="Z1405" s="77" t="str">
        <f>HYPERLINK("https://twitter.com/orenmeetsworld/status/1620799424640483328")</f>
        <v>https://twitter.com/orenmeetsworld/status/1620799424640483328</v>
      </c>
      <c r="AC1405" s="78" t="s">
        <v>3721</v>
      </c>
      <c r="AD1405" s="78" t="s">
        <v>3723</v>
      </c>
      <c r="AE1405" t="b">
        <v>0</v>
      </c>
      <c r="AF1405">
        <v>1</v>
      </c>
      <c r="AG1405" s="78" t="s">
        <v>4673</v>
      </c>
      <c r="AH1405" t="b">
        <v>0</v>
      </c>
      <c r="AI1405" t="s">
        <v>4829</v>
      </c>
      <c r="AK1405" s="78" t="s">
        <v>4640</v>
      </c>
      <c r="AL1405" t="b">
        <v>0</v>
      </c>
      <c r="AM1405">
        <v>0</v>
      </c>
      <c r="AN1405" s="78" t="s">
        <v>4640</v>
      </c>
      <c r="AO1405" s="78" t="s">
        <v>4849</v>
      </c>
      <c r="AP1405" t="b">
        <v>0</v>
      </c>
      <c r="AQ1405" s="78" t="s">
        <v>3723</v>
      </c>
      <c r="AR1405" t="s">
        <v>179</v>
      </c>
      <c r="AS1405">
        <v>0</v>
      </c>
      <c r="AT1405">
        <v>0</v>
      </c>
    </row>
    <row r="1406" spans="1:46" x14ac:dyDescent="0.45">
      <c r="A1406" s="62" t="s">
        <v>469</v>
      </c>
      <c r="B1406" s="62" t="s">
        <v>1185</v>
      </c>
      <c r="C1406" s="63"/>
      <c r="D1406" s="64"/>
      <c r="E1406" s="65"/>
      <c r="F1406" s="66"/>
      <c r="G1406" s="63"/>
      <c r="H1406" s="67"/>
      <c r="I1406" s="68"/>
      <c r="J1406" s="68"/>
      <c r="K1406" s="32"/>
      <c r="L1406" s="75"/>
      <c r="M1406" s="75"/>
      <c r="N1406" s="70"/>
      <c r="O1406" t="s">
        <v>1568</v>
      </c>
      <c r="P1406" s="76">
        <v>44958.625810185185</v>
      </c>
      <c r="Q1406" t="s">
        <v>1763</v>
      </c>
      <c r="V1406" s="77" t="str">
        <f>HYPERLINK("https://pbs.twimg.com/profile_images/1541651073810649088/KW4pJW1V_normal.jpg")</f>
        <v>https://pbs.twimg.com/profile_images/1541651073810649088/KW4pJW1V_normal.jpg</v>
      </c>
      <c r="W1406" s="76">
        <v>44958.625810185185</v>
      </c>
      <c r="X1406" s="80">
        <v>44958</v>
      </c>
      <c r="Y1406" s="78" t="s">
        <v>2703</v>
      </c>
      <c r="Z1406" s="77" t="str">
        <f>HYPERLINK("https://twitter.com/orenmeetsworld/status/1620799424640483328")</f>
        <v>https://twitter.com/orenmeetsworld/status/1620799424640483328</v>
      </c>
      <c r="AC1406" s="78" t="s">
        <v>3721</v>
      </c>
      <c r="AD1406" s="78" t="s">
        <v>3723</v>
      </c>
      <c r="AE1406" t="b">
        <v>0</v>
      </c>
      <c r="AF1406">
        <v>1</v>
      </c>
      <c r="AG1406" s="78" t="s">
        <v>4673</v>
      </c>
      <c r="AH1406" t="b">
        <v>0</v>
      </c>
      <c r="AI1406" t="s">
        <v>4829</v>
      </c>
      <c r="AK1406" s="78" t="s">
        <v>4640</v>
      </c>
      <c r="AL1406" t="b">
        <v>0</v>
      </c>
      <c r="AM1406">
        <v>0</v>
      </c>
      <c r="AN1406" s="78" t="s">
        <v>4640</v>
      </c>
      <c r="AO1406" s="78" t="s">
        <v>4849</v>
      </c>
      <c r="AP1406" t="b">
        <v>0</v>
      </c>
      <c r="AQ1406" s="78" t="s">
        <v>3723</v>
      </c>
      <c r="AR1406" t="s">
        <v>179</v>
      </c>
      <c r="AS1406">
        <v>0</v>
      </c>
      <c r="AT1406">
        <v>0</v>
      </c>
    </row>
    <row r="1407" spans="1:46" x14ac:dyDescent="0.45">
      <c r="A1407" s="62" t="s">
        <v>469</v>
      </c>
      <c r="B1407" s="62" t="s">
        <v>242</v>
      </c>
      <c r="C1407" s="63"/>
      <c r="D1407" s="64"/>
      <c r="E1407" s="65"/>
      <c r="F1407" s="66"/>
      <c r="G1407" s="63"/>
      <c r="H1407" s="67"/>
      <c r="I1407" s="68"/>
      <c r="J1407" s="68"/>
      <c r="K1407" s="32"/>
      <c r="L1407" s="75"/>
      <c r="M1407" s="75"/>
      <c r="N1407" s="70"/>
      <c r="O1407" t="s">
        <v>1568</v>
      </c>
      <c r="P1407" s="76">
        <v>44958.625810185185</v>
      </c>
      <c r="Q1407" t="s">
        <v>1763</v>
      </c>
      <c r="V1407" s="77" t="str">
        <f>HYPERLINK("https://pbs.twimg.com/profile_images/1541651073810649088/KW4pJW1V_normal.jpg")</f>
        <v>https://pbs.twimg.com/profile_images/1541651073810649088/KW4pJW1V_normal.jpg</v>
      </c>
      <c r="W1407" s="76">
        <v>44958.625810185185</v>
      </c>
      <c r="X1407" s="80">
        <v>44958</v>
      </c>
      <c r="Y1407" s="78" t="s">
        <v>2703</v>
      </c>
      <c r="Z1407" s="77" t="str">
        <f>HYPERLINK("https://twitter.com/orenmeetsworld/status/1620799424640483328")</f>
        <v>https://twitter.com/orenmeetsworld/status/1620799424640483328</v>
      </c>
      <c r="AC1407" s="78" t="s">
        <v>3721</v>
      </c>
      <c r="AD1407" s="78" t="s">
        <v>3723</v>
      </c>
      <c r="AE1407" t="b">
        <v>0</v>
      </c>
      <c r="AF1407">
        <v>1</v>
      </c>
      <c r="AG1407" s="78" t="s">
        <v>4673</v>
      </c>
      <c r="AH1407" t="b">
        <v>0</v>
      </c>
      <c r="AI1407" t="s">
        <v>4829</v>
      </c>
      <c r="AK1407" s="78" t="s">
        <v>4640</v>
      </c>
      <c r="AL1407" t="b">
        <v>0</v>
      </c>
      <c r="AM1407">
        <v>0</v>
      </c>
      <c r="AN1407" s="78" t="s">
        <v>4640</v>
      </c>
      <c r="AO1407" s="78" t="s">
        <v>4849</v>
      </c>
      <c r="AP1407" t="b">
        <v>0</v>
      </c>
      <c r="AQ1407" s="78" t="s">
        <v>3723</v>
      </c>
      <c r="AR1407" t="s">
        <v>179</v>
      </c>
      <c r="AS1407">
        <v>0</v>
      </c>
      <c r="AT1407">
        <v>0</v>
      </c>
    </row>
    <row r="1408" spans="1:46" x14ac:dyDescent="0.45">
      <c r="A1408" s="62" t="s">
        <v>469</v>
      </c>
      <c r="B1408" s="62" t="s">
        <v>379</v>
      </c>
      <c r="C1408" s="63"/>
      <c r="D1408" s="64"/>
      <c r="E1408" s="65"/>
      <c r="F1408" s="66"/>
      <c r="G1408" s="63"/>
      <c r="H1408" s="67"/>
      <c r="I1408" s="68"/>
      <c r="J1408" s="68"/>
      <c r="K1408" s="32"/>
      <c r="L1408" s="75"/>
      <c r="M1408" s="75"/>
      <c r="N1408" s="70"/>
      <c r="O1408" t="s">
        <v>1567</v>
      </c>
      <c r="P1408" s="76">
        <v>44958.625810185185</v>
      </c>
      <c r="Q1408" t="s">
        <v>1763</v>
      </c>
      <c r="V1408" s="77" t="str">
        <f>HYPERLINK("https://pbs.twimg.com/profile_images/1541651073810649088/KW4pJW1V_normal.jpg")</f>
        <v>https://pbs.twimg.com/profile_images/1541651073810649088/KW4pJW1V_normal.jpg</v>
      </c>
      <c r="W1408" s="76">
        <v>44958.625810185185</v>
      </c>
      <c r="X1408" s="80">
        <v>44958</v>
      </c>
      <c r="Y1408" s="78" t="s">
        <v>2703</v>
      </c>
      <c r="Z1408" s="77" t="str">
        <f>HYPERLINK("https://twitter.com/orenmeetsworld/status/1620799424640483328")</f>
        <v>https://twitter.com/orenmeetsworld/status/1620799424640483328</v>
      </c>
      <c r="AC1408" s="78" t="s">
        <v>3721</v>
      </c>
      <c r="AD1408" s="78" t="s">
        <v>3723</v>
      </c>
      <c r="AE1408" t="b">
        <v>0</v>
      </c>
      <c r="AF1408">
        <v>1</v>
      </c>
      <c r="AG1408" s="78" t="s">
        <v>4673</v>
      </c>
      <c r="AH1408" t="b">
        <v>0</v>
      </c>
      <c r="AI1408" t="s">
        <v>4829</v>
      </c>
      <c r="AK1408" s="78" t="s">
        <v>4640</v>
      </c>
      <c r="AL1408" t="b">
        <v>0</v>
      </c>
      <c r="AM1408">
        <v>0</v>
      </c>
      <c r="AN1408" s="78" t="s">
        <v>4640</v>
      </c>
      <c r="AO1408" s="78" t="s">
        <v>4849</v>
      </c>
      <c r="AP1408" t="b">
        <v>0</v>
      </c>
      <c r="AQ1408" s="78" t="s">
        <v>3723</v>
      </c>
      <c r="AR1408" t="s">
        <v>179</v>
      </c>
      <c r="AS1408">
        <v>0</v>
      </c>
      <c r="AT1408">
        <v>0</v>
      </c>
    </row>
    <row r="1409" spans="1:46" x14ac:dyDescent="0.45">
      <c r="A1409" s="62" t="s">
        <v>467</v>
      </c>
      <c r="B1409" s="62" t="s">
        <v>469</v>
      </c>
      <c r="C1409" s="63"/>
      <c r="D1409" s="64"/>
      <c r="E1409" s="65"/>
      <c r="F1409" s="66"/>
      <c r="G1409" s="63"/>
      <c r="H1409" s="67"/>
      <c r="I1409" s="68"/>
      <c r="J1409" s="68"/>
      <c r="K1409" s="32"/>
      <c r="L1409" s="75"/>
      <c r="M1409" s="75"/>
      <c r="N1409" s="70"/>
      <c r="O1409" t="s">
        <v>1567</v>
      </c>
      <c r="P1409" s="76">
        <v>44958.643553240741</v>
      </c>
      <c r="Q1409" t="s">
        <v>1766</v>
      </c>
      <c r="V1409" s="77" t="str">
        <f>HYPERLINK("https://pbs.twimg.com/profile_images/864984124989341696/HMP_gk-x_normal.jpg")</f>
        <v>https://pbs.twimg.com/profile_images/864984124989341696/HMP_gk-x_normal.jpg</v>
      </c>
      <c r="W1409" s="76">
        <v>44958.643553240741</v>
      </c>
      <c r="X1409" s="80">
        <v>44958</v>
      </c>
      <c r="Y1409" s="78" t="s">
        <v>2707</v>
      </c>
      <c r="Z1409" s="77" t="str">
        <f>HYPERLINK("https://twitter.com/jasonstarr/status/1620805853287964673")</f>
        <v>https://twitter.com/jasonstarr/status/1620805853287964673</v>
      </c>
      <c r="AC1409" s="78" t="s">
        <v>3725</v>
      </c>
      <c r="AD1409" s="78" t="s">
        <v>3721</v>
      </c>
      <c r="AE1409" t="b">
        <v>0</v>
      </c>
      <c r="AF1409">
        <v>1</v>
      </c>
      <c r="AG1409" s="78" t="s">
        <v>4697</v>
      </c>
      <c r="AH1409" t="b">
        <v>0</v>
      </c>
      <c r="AI1409" t="s">
        <v>4829</v>
      </c>
      <c r="AK1409" s="78" t="s">
        <v>4640</v>
      </c>
      <c r="AL1409" t="b">
        <v>0</v>
      </c>
      <c r="AM1409">
        <v>0</v>
      </c>
      <c r="AN1409" s="78" t="s">
        <v>4640</v>
      </c>
      <c r="AO1409" s="78" t="s">
        <v>4851</v>
      </c>
      <c r="AP1409" t="b">
        <v>0</v>
      </c>
      <c r="AQ1409" s="78" t="s">
        <v>3721</v>
      </c>
      <c r="AR1409" t="s">
        <v>179</v>
      </c>
      <c r="AS1409">
        <v>0</v>
      </c>
      <c r="AT1409">
        <v>0</v>
      </c>
    </row>
    <row r="1410" spans="1:46" x14ac:dyDescent="0.45">
      <c r="A1410" s="62" t="s">
        <v>379</v>
      </c>
      <c r="B1410" s="62" t="s">
        <v>1181</v>
      </c>
      <c r="C1410" s="63"/>
      <c r="D1410" s="64"/>
      <c r="E1410" s="65"/>
      <c r="F1410" s="66"/>
      <c r="G1410" s="63"/>
      <c r="H1410" s="67"/>
      <c r="I1410" s="68"/>
      <c r="J1410" s="68"/>
      <c r="K1410" s="32"/>
      <c r="L1410" s="75"/>
      <c r="M1410" s="75"/>
      <c r="N1410" s="70"/>
      <c r="O1410" t="s">
        <v>1568</v>
      </c>
      <c r="P1410" s="76">
        <v>44958.64329861111</v>
      </c>
      <c r="Q1410" t="s">
        <v>1718</v>
      </c>
      <c r="V1410" s="77" t="str">
        <f>HYPERLINK("https://pbs.twimg.com/profile_images/1525158976240902146/uJv1fZch_normal.jpg")</f>
        <v>https://pbs.twimg.com/profile_images/1525158976240902146/uJv1fZch_normal.jpg</v>
      </c>
      <c r="W1410" s="76">
        <v>44958.64329861111</v>
      </c>
      <c r="X1410" s="80">
        <v>44958</v>
      </c>
      <c r="Y1410" s="78" t="s">
        <v>2605</v>
      </c>
      <c r="Z1410" s="77" t="str">
        <f>HYPERLINK("https://twitter.com/iiiitsandrea/status/1620805762615496707")</f>
        <v>https://twitter.com/iiiitsandrea/status/1620805762615496707</v>
      </c>
      <c r="AC1410" s="78" t="s">
        <v>3622</v>
      </c>
      <c r="AD1410" s="78" t="s">
        <v>3621</v>
      </c>
      <c r="AE1410" t="b">
        <v>0</v>
      </c>
      <c r="AF1410">
        <v>1</v>
      </c>
      <c r="AG1410" s="78" t="s">
        <v>4687</v>
      </c>
      <c r="AH1410" t="b">
        <v>0</v>
      </c>
      <c r="AI1410" t="s">
        <v>4829</v>
      </c>
      <c r="AK1410" s="78" t="s">
        <v>4640</v>
      </c>
      <c r="AL1410" t="b">
        <v>0</v>
      </c>
      <c r="AM1410">
        <v>0</v>
      </c>
      <c r="AN1410" s="78" t="s">
        <v>4640</v>
      </c>
      <c r="AO1410" s="78" t="s">
        <v>4851</v>
      </c>
      <c r="AP1410" t="b">
        <v>0</v>
      </c>
      <c r="AQ1410" s="78" t="s">
        <v>3621</v>
      </c>
      <c r="AR1410" t="s">
        <v>179</v>
      </c>
      <c r="AS1410">
        <v>0</v>
      </c>
      <c r="AT1410">
        <v>0</v>
      </c>
    </row>
    <row r="1411" spans="1:46" x14ac:dyDescent="0.45">
      <c r="A1411" s="62" t="s">
        <v>379</v>
      </c>
      <c r="B1411" s="62" t="s">
        <v>1199</v>
      </c>
      <c r="C1411" s="63"/>
      <c r="D1411" s="64"/>
      <c r="E1411" s="65"/>
      <c r="F1411" s="66"/>
      <c r="G1411" s="63"/>
      <c r="H1411" s="67"/>
      <c r="I1411" s="68"/>
      <c r="J1411" s="68"/>
      <c r="K1411" s="32"/>
      <c r="L1411" s="75"/>
      <c r="M1411" s="75"/>
      <c r="N1411" s="70"/>
      <c r="O1411" t="s">
        <v>1568</v>
      </c>
      <c r="P1411" s="76">
        <v>44958.64329861111</v>
      </c>
      <c r="Q1411" t="s">
        <v>1718</v>
      </c>
      <c r="V1411" s="77" t="str">
        <f>HYPERLINK("https://pbs.twimg.com/profile_images/1525158976240902146/uJv1fZch_normal.jpg")</f>
        <v>https://pbs.twimg.com/profile_images/1525158976240902146/uJv1fZch_normal.jpg</v>
      </c>
      <c r="W1411" s="76">
        <v>44958.64329861111</v>
      </c>
      <c r="X1411" s="80">
        <v>44958</v>
      </c>
      <c r="Y1411" s="78" t="s">
        <v>2605</v>
      </c>
      <c r="Z1411" s="77" t="str">
        <f>HYPERLINK("https://twitter.com/iiiitsandrea/status/1620805762615496707")</f>
        <v>https://twitter.com/iiiitsandrea/status/1620805762615496707</v>
      </c>
      <c r="AC1411" s="78" t="s">
        <v>3622</v>
      </c>
      <c r="AD1411" s="78" t="s">
        <v>3621</v>
      </c>
      <c r="AE1411" t="b">
        <v>0</v>
      </c>
      <c r="AF1411">
        <v>1</v>
      </c>
      <c r="AG1411" s="78" t="s">
        <v>4687</v>
      </c>
      <c r="AH1411" t="b">
        <v>0</v>
      </c>
      <c r="AI1411" t="s">
        <v>4829</v>
      </c>
      <c r="AK1411" s="78" t="s">
        <v>4640</v>
      </c>
      <c r="AL1411" t="b">
        <v>0</v>
      </c>
      <c r="AM1411">
        <v>0</v>
      </c>
      <c r="AN1411" s="78" t="s">
        <v>4640</v>
      </c>
      <c r="AO1411" s="78" t="s">
        <v>4851</v>
      </c>
      <c r="AP1411" t="b">
        <v>0</v>
      </c>
      <c r="AQ1411" s="78" t="s">
        <v>3621</v>
      </c>
      <c r="AR1411" t="s">
        <v>179</v>
      </c>
      <c r="AS1411">
        <v>0</v>
      </c>
      <c r="AT1411">
        <v>0</v>
      </c>
    </row>
    <row r="1412" spans="1:46" x14ac:dyDescent="0.45">
      <c r="A1412" s="62" t="s">
        <v>379</v>
      </c>
      <c r="B1412" s="62" t="s">
        <v>1185</v>
      </c>
      <c r="C1412" s="63"/>
      <c r="D1412" s="64"/>
      <c r="E1412" s="65"/>
      <c r="F1412" s="66"/>
      <c r="G1412" s="63"/>
      <c r="H1412" s="67"/>
      <c r="I1412" s="68"/>
      <c r="J1412" s="68"/>
      <c r="K1412" s="32"/>
      <c r="L1412" s="75"/>
      <c r="M1412" s="75"/>
      <c r="N1412" s="70"/>
      <c r="O1412" t="s">
        <v>1568</v>
      </c>
      <c r="P1412" s="76">
        <v>44958.64329861111</v>
      </c>
      <c r="Q1412" t="s">
        <v>1718</v>
      </c>
      <c r="V1412" s="77" t="str">
        <f>HYPERLINK("https://pbs.twimg.com/profile_images/1525158976240902146/uJv1fZch_normal.jpg")</f>
        <v>https://pbs.twimg.com/profile_images/1525158976240902146/uJv1fZch_normal.jpg</v>
      </c>
      <c r="W1412" s="76">
        <v>44958.64329861111</v>
      </c>
      <c r="X1412" s="80">
        <v>44958</v>
      </c>
      <c r="Y1412" s="78" t="s">
        <v>2605</v>
      </c>
      <c r="Z1412" s="77" t="str">
        <f>HYPERLINK("https://twitter.com/iiiitsandrea/status/1620805762615496707")</f>
        <v>https://twitter.com/iiiitsandrea/status/1620805762615496707</v>
      </c>
      <c r="AC1412" s="78" t="s">
        <v>3622</v>
      </c>
      <c r="AD1412" s="78" t="s">
        <v>3621</v>
      </c>
      <c r="AE1412" t="b">
        <v>0</v>
      </c>
      <c r="AF1412">
        <v>1</v>
      </c>
      <c r="AG1412" s="78" t="s">
        <v>4687</v>
      </c>
      <c r="AH1412" t="b">
        <v>0</v>
      </c>
      <c r="AI1412" t="s">
        <v>4829</v>
      </c>
      <c r="AK1412" s="78" t="s">
        <v>4640</v>
      </c>
      <c r="AL1412" t="b">
        <v>0</v>
      </c>
      <c r="AM1412">
        <v>0</v>
      </c>
      <c r="AN1412" s="78" t="s">
        <v>4640</v>
      </c>
      <c r="AO1412" s="78" t="s">
        <v>4851</v>
      </c>
      <c r="AP1412" t="b">
        <v>0</v>
      </c>
      <c r="AQ1412" s="78" t="s">
        <v>3621</v>
      </c>
      <c r="AR1412" t="s">
        <v>179</v>
      </c>
      <c r="AS1412">
        <v>0</v>
      </c>
      <c r="AT1412">
        <v>0</v>
      </c>
    </row>
    <row r="1413" spans="1:46" x14ac:dyDescent="0.45">
      <c r="A1413" s="62" t="s">
        <v>379</v>
      </c>
      <c r="B1413" s="62" t="s">
        <v>242</v>
      </c>
      <c r="C1413" s="63"/>
      <c r="D1413" s="64"/>
      <c r="E1413" s="65"/>
      <c r="F1413" s="66"/>
      <c r="G1413" s="63"/>
      <c r="H1413" s="67"/>
      <c r="I1413" s="68"/>
      <c r="J1413" s="68"/>
      <c r="K1413" s="32"/>
      <c r="L1413" s="75"/>
      <c r="M1413" s="75"/>
      <c r="N1413" s="70"/>
      <c r="O1413" t="s">
        <v>1568</v>
      </c>
      <c r="P1413" s="76">
        <v>44958.64329861111</v>
      </c>
      <c r="Q1413" t="s">
        <v>1718</v>
      </c>
      <c r="V1413" s="77" t="str">
        <f>HYPERLINK("https://pbs.twimg.com/profile_images/1525158976240902146/uJv1fZch_normal.jpg")</f>
        <v>https://pbs.twimg.com/profile_images/1525158976240902146/uJv1fZch_normal.jpg</v>
      </c>
      <c r="W1413" s="76">
        <v>44958.64329861111</v>
      </c>
      <c r="X1413" s="80">
        <v>44958</v>
      </c>
      <c r="Y1413" s="78" t="s">
        <v>2605</v>
      </c>
      <c r="Z1413" s="77" t="str">
        <f>HYPERLINK("https://twitter.com/iiiitsandrea/status/1620805762615496707")</f>
        <v>https://twitter.com/iiiitsandrea/status/1620805762615496707</v>
      </c>
      <c r="AC1413" s="78" t="s">
        <v>3622</v>
      </c>
      <c r="AD1413" s="78" t="s">
        <v>3621</v>
      </c>
      <c r="AE1413" t="b">
        <v>0</v>
      </c>
      <c r="AF1413">
        <v>1</v>
      </c>
      <c r="AG1413" s="78" t="s">
        <v>4687</v>
      </c>
      <c r="AH1413" t="b">
        <v>0</v>
      </c>
      <c r="AI1413" t="s">
        <v>4829</v>
      </c>
      <c r="AK1413" s="78" t="s">
        <v>4640</v>
      </c>
      <c r="AL1413" t="b">
        <v>0</v>
      </c>
      <c r="AM1413">
        <v>0</v>
      </c>
      <c r="AN1413" s="78" t="s">
        <v>4640</v>
      </c>
      <c r="AO1413" s="78" t="s">
        <v>4851</v>
      </c>
      <c r="AP1413" t="b">
        <v>0</v>
      </c>
      <c r="AQ1413" s="78" t="s">
        <v>3621</v>
      </c>
      <c r="AR1413" t="s">
        <v>179</v>
      </c>
      <c r="AS1413">
        <v>0</v>
      </c>
      <c r="AT1413">
        <v>0</v>
      </c>
    </row>
    <row r="1414" spans="1:46" x14ac:dyDescent="0.45">
      <c r="A1414" s="62" t="s">
        <v>379</v>
      </c>
      <c r="B1414" s="62" t="s">
        <v>1181</v>
      </c>
      <c r="C1414" s="63"/>
      <c r="D1414" s="64"/>
      <c r="E1414" s="65"/>
      <c r="F1414" s="66"/>
      <c r="G1414" s="63"/>
      <c r="H1414" s="67"/>
      <c r="I1414" s="68"/>
      <c r="J1414" s="68"/>
      <c r="K1414" s="32"/>
      <c r="L1414" s="75"/>
      <c r="M1414" s="75"/>
      <c r="N1414" s="70"/>
      <c r="O1414" t="s">
        <v>1568</v>
      </c>
      <c r="P1414" s="76">
        <v>44958.69023148148</v>
      </c>
      <c r="Q1414" t="s">
        <v>1722</v>
      </c>
      <c r="V1414" s="77" t="str">
        <f>HYPERLINK("https://pbs.twimg.com/profile_images/1525158976240902146/uJv1fZch_normal.jpg")</f>
        <v>https://pbs.twimg.com/profile_images/1525158976240902146/uJv1fZch_normal.jpg</v>
      </c>
      <c r="W1414" s="76">
        <v>44958.69023148148</v>
      </c>
      <c r="X1414" s="80">
        <v>44958</v>
      </c>
      <c r="Y1414" s="78" t="s">
        <v>2611</v>
      </c>
      <c r="Z1414" s="77" t="str">
        <f>HYPERLINK("https://twitter.com/iiiitsandrea/status/1620822769620623367")</f>
        <v>https://twitter.com/iiiitsandrea/status/1620822769620623367</v>
      </c>
      <c r="AC1414" s="78" t="s">
        <v>3628</v>
      </c>
      <c r="AD1414" s="78" t="s">
        <v>3629</v>
      </c>
      <c r="AE1414" t="b">
        <v>0</v>
      </c>
      <c r="AF1414">
        <v>1</v>
      </c>
      <c r="AG1414" s="78" t="s">
        <v>4688</v>
      </c>
      <c r="AH1414" t="b">
        <v>0</v>
      </c>
      <c r="AI1414" t="s">
        <v>4829</v>
      </c>
      <c r="AK1414" s="78" t="s">
        <v>4640</v>
      </c>
      <c r="AL1414" t="b">
        <v>0</v>
      </c>
      <c r="AM1414">
        <v>0</v>
      </c>
      <c r="AN1414" s="78" t="s">
        <v>4640</v>
      </c>
      <c r="AO1414" s="78" t="s">
        <v>4849</v>
      </c>
      <c r="AP1414" t="b">
        <v>0</v>
      </c>
      <c r="AQ1414" s="78" t="s">
        <v>3629</v>
      </c>
      <c r="AR1414" t="s">
        <v>179</v>
      </c>
      <c r="AS1414">
        <v>0</v>
      </c>
      <c r="AT1414">
        <v>0</v>
      </c>
    </row>
    <row r="1415" spans="1:46" x14ac:dyDescent="0.45">
      <c r="A1415" s="62" t="s">
        <v>379</v>
      </c>
      <c r="B1415" s="62" t="s">
        <v>1199</v>
      </c>
      <c r="C1415" s="63"/>
      <c r="D1415" s="64"/>
      <c r="E1415" s="65"/>
      <c r="F1415" s="66"/>
      <c r="G1415" s="63"/>
      <c r="H1415" s="67"/>
      <c r="I1415" s="68"/>
      <c r="J1415" s="68"/>
      <c r="K1415" s="32"/>
      <c r="L1415" s="75"/>
      <c r="M1415" s="75"/>
      <c r="N1415" s="70"/>
      <c r="O1415" t="s">
        <v>1568</v>
      </c>
      <c r="P1415" s="76">
        <v>44958.69023148148</v>
      </c>
      <c r="Q1415" t="s">
        <v>1722</v>
      </c>
      <c r="V1415" s="77" t="str">
        <f>HYPERLINK("https://pbs.twimg.com/profile_images/1525158976240902146/uJv1fZch_normal.jpg")</f>
        <v>https://pbs.twimg.com/profile_images/1525158976240902146/uJv1fZch_normal.jpg</v>
      </c>
      <c r="W1415" s="76">
        <v>44958.69023148148</v>
      </c>
      <c r="X1415" s="80">
        <v>44958</v>
      </c>
      <c r="Y1415" s="78" t="s">
        <v>2611</v>
      </c>
      <c r="Z1415" s="77" t="str">
        <f>HYPERLINK("https://twitter.com/iiiitsandrea/status/1620822769620623367")</f>
        <v>https://twitter.com/iiiitsandrea/status/1620822769620623367</v>
      </c>
      <c r="AC1415" s="78" t="s">
        <v>3628</v>
      </c>
      <c r="AD1415" s="78" t="s">
        <v>3629</v>
      </c>
      <c r="AE1415" t="b">
        <v>0</v>
      </c>
      <c r="AF1415">
        <v>1</v>
      </c>
      <c r="AG1415" s="78" t="s">
        <v>4688</v>
      </c>
      <c r="AH1415" t="b">
        <v>0</v>
      </c>
      <c r="AI1415" t="s">
        <v>4829</v>
      </c>
      <c r="AK1415" s="78" t="s">
        <v>4640</v>
      </c>
      <c r="AL1415" t="b">
        <v>0</v>
      </c>
      <c r="AM1415">
        <v>0</v>
      </c>
      <c r="AN1415" s="78" t="s">
        <v>4640</v>
      </c>
      <c r="AO1415" s="78" t="s">
        <v>4849</v>
      </c>
      <c r="AP1415" t="b">
        <v>0</v>
      </c>
      <c r="AQ1415" s="78" t="s">
        <v>3629</v>
      </c>
      <c r="AR1415" t="s">
        <v>179</v>
      </c>
      <c r="AS1415">
        <v>0</v>
      </c>
      <c r="AT1415">
        <v>0</v>
      </c>
    </row>
    <row r="1416" spans="1:46" x14ac:dyDescent="0.45">
      <c r="A1416" s="62" t="s">
        <v>379</v>
      </c>
      <c r="B1416" s="62" t="s">
        <v>1185</v>
      </c>
      <c r="C1416" s="63"/>
      <c r="D1416" s="64"/>
      <c r="E1416" s="65"/>
      <c r="F1416" s="66"/>
      <c r="G1416" s="63"/>
      <c r="H1416" s="67"/>
      <c r="I1416" s="68"/>
      <c r="J1416" s="68"/>
      <c r="K1416" s="32"/>
      <c r="L1416" s="75"/>
      <c r="M1416" s="75"/>
      <c r="N1416" s="70"/>
      <c r="O1416" t="s">
        <v>1568</v>
      </c>
      <c r="P1416" s="76">
        <v>44958.69023148148</v>
      </c>
      <c r="Q1416" t="s">
        <v>1722</v>
      </c>
      <c r="V1416" s="77" t="str">
        <f>HYPERLINK("https://pbs.twimg.com/profile_images/1525158976240902146/uJv1fZch_normal.jpg")</f>
        <v>https://pbs.twimg.com/profile_images/1525158976240902146/uJv1fZch_normal.jpg</v>
      </c>
      <c r="W1416" s="76">
        <v>44958.69023148148</v>
      </c>
      <c r="X1416" s="80">
        <v>44958</v>
      </c>
      <c r="Y1416" s="78" t="s">
        <v>2611</v>
      </c>
      <c r="Z1416" s="77" t="str">
        <f>HYPERLINK("https://twitter.com/iiiitsandrea/status/1620822769620623367")</f>
        <v>https://twitter.com/iiiitsandrea/status/1620822769620623367</v>
      </c>
      <c r="AC1416" s="78" t="s">
        <v>3628</v>
      </c>
      <c r="AD1416" s="78" t="s">
        <v>3629</v>
      </c>
      <c r="AE1416" t="b">
        <v>0</v>
      </c>
      <c r="AF1416">
        <v>1</v>
      </c>
      <c r="AG1416" s="78" t="s">
        <v>4688</v>
      </c>
      <c r="AH1416" t="b">
        <v>0</v>
      </c>
      <c r="AI1416" t="s">
        <v>4829</v>
      </c>
      <c r="AK1416" s="78" t="s">
        <v>4640</v>
      </c>
      <c r="AL1416" t="b">
        <v>0</v>
      </c>
      <c r="AM1416">
        <v>0</v>
      </c>
      <c r="AN1416" s="78" t="s">
        <v>4640</v>
      </c>
      <c r="AO1416" s="78" t="s">
        <v>4849</v>
      </c>
      <c r="AP1416" t="b">
        <v>0</v>
      </c>
      <c r="AQ1416" s="78" t="s">
        <v>3629</v>
      </c>
      <c r="AR1416" t="s">
        <v>179</v>
      </c>
      <c r="AS1416">
        <v>0</v>
      </c>
      <c r="AT1416">
        <v>0</v>
      </c>
    </row>
    <row r="1417" spans="1:46" x14ac:dyDescent="0.45">
      <c r="A1417" s="62" t="s">
        <v>379</v>
      </c>
      <c r="B1417" s="62" t="s">
        <v>242</v>
      </c>
      <c r="C1417" s="63"/>
      <c r="D1417" s="64"/>
      <c r="E1417" s="65"/>
      <c r="F1417" s="66"/>
      <c r="G1417" s="63"/>
      <c r="H1417" s="67"/>
      <c r="I1417" s="68"/>
      <c r="J1417" s="68"/>
      <c r="K1417" s="32"/>
      <c r="L1417" s="75"/>
      <c r="M1417" s="75"/>
      <c r="N1417" s="70"/>
      <c r="O1417" t="s">
        <v>1568</v>
      </c>
      <c r="P1417" s="76">
        <v>44958.69023148148</v>
      </c>
      <c r="Q1417" t="s">
        <v>1722</v>
      </c>
      <c r="V1417" s="77" t="str">
        <f>HYPERLINK("https://pbs.twimg.com/profile_images/1525158976240902146/uJv1fZch_normal.jpg")</f>
        <v>https://pbs.twimg.com/profile_images/1525158976240902146/uJv1fZch_normal.jpg</v>
      </c>
      <c r="W1417" s="76">
        <v>44958.69023148148</v>
      </c>
      <c r="X1417" s="80">
        <v>44958</v>
      </c>
      <c r="Y1417" s="78" t="s">
        <v>2611</v>
      </c>
      <c r="Z1417" s="77" t="str">
        <f>HYPERLINK("https://twitter.com/iiiitsandrea/status/1620822769620623367")</f>
        <v>https://twitter.com/iiiitsandrea/status/1620822769620623367</v>
      </c>
      <c r="AC1417" s="78" t="s">
        <v>3628</v>
      </c>
      <c r="AD1417" s="78" t="s">
        <v>3629</v>
      </c>
      <c r="AE1417" t="b">
        <v>0</v>
      </c>
      <c r="AF1417">
        <v>1</v>
      </c>
      <c r="AG1417" s="78" t="s">
        <v>4688</v>
      </c>
      <c r="AH1417" t="b">
        <v>0</v>
      </c>
      <c r="AI1417" t="s">
        <v>4829</v>
      </c>
      <c r="AK1417" s="78" t="s">
        <v>4640</v>
      </c>
      <c r="AL1417" t="b">
        <v>0</v>
      </c>
      <c r="AM1417">
        <v>0</v>
      </c>
      <c r="AN1417" s="78" t="s">
        <v>4640</v>
      </c>
      <c r="AO1417" s="78" t="s">
        <v>4849</v>
      </c>
      <c r="AP1417" t="b">
        <v>0</v>
      </c>
      <c r="AQ1417" s="78" t="s">
        <v>3629</v>
      </c>
      <c r="AR1417" t="s">
        <v>179</v>
      </c>
      <c r="AS1417">
        <v>0</v>
      </c>
      <c r="AT1417">
        <v>0</v>
      </c>
    </row>
    <row r="1418" spans="1:46" x14ac:dyDescent="0.45">
      <c r="A1418" s="62" t="s">
        <v>467</v>
      </c>
      <c r="B1418" s="62" t="s">
        <v>379</v>
      </c>
      <c r="C1418" s="63"/>
      <c r="D1418" s="64"/>
      <c r="E1418" s="65"/>
      <c r="F1418" s="66"/>
      <c r="G1418" s="63"/>
      <c r="H1418" s="67"/>
      <c r="I1418" s="68"/>
      <c r="J1418" s="68"/>
      <c r="K1418" s="32"/>
      <c r="L1418" s="75"/>
      <c r="M1418" s="75"/>
      <c r="N1418" s="70"/>
      <c r="O1418" t="s">
        <v>1568</v>
      </c>
      <c r="P1418" s="76">
        <v>44958.643553240741</v>
      </c>
      <c r="Q1418" t="s">
        <v>1766</v>
      </c>
      <c r="V1418" s="77" t="str">
        <f>HYPERLINK("https://pbs.twimg.com/profile_images/864984124989341696/HMP_gk-x_normal.jpg")</f>
        <v>https://pbs.twimg.com/profile_images/864984124989341696/HMP_gk-x_normal.jpg</v>
      </c>
      <c r="W1418" s="76">
        <v>44958.643553240741</v>
      </c>
      <c r="X1418" s="80">
        <v>44958</v>
      </c>
      <c r="Y1418" s="78" t="s">
        <v>2707</v>
      </c>
      <c r="Z1418" s="77" t="str">
        <f>HYPERLINK("https://twitter.com/jasonstarr/status/1620805853287964673")</f>
        <v>https://twitter.com/jasonstarr/status/1620805853287964673</v>
      </c>
      <c r="AC1418" s="78" t="s">
        <v>3725</v>
      </c>
      <c r="AD1418" s="78" t="s">
        <v>3721</v>
      </c>
      <c r="AE1418" t="b">
        <v>0</v>
      </c>
      <c r="AF1418">
        <v>1</v>
      </c>
      <c r="AG1418" s="78" t="s">
        <v>4697</v>
      </c>
      <c r="AH1418" t="b">
        <v>0</v>
      </c>
      <c r="AI1418" t="s">
        <v>4829</v>
      </c>
      <c r="AK1418" s="78" t="s">
        <v>4640</v>
      </c>
      <c r="AL1418" t="b">
        <v>0</v>
      </c>
      <c r="AM1418">
        <v>0</v>
      </c>
      <c r="AN1418" s="78" t="s">
        <v>4640</v>
      </c>
      <c r="AO1418" s="78" t="s">
        <v>4851</v>
      </c>
      <c r="AP1418" t="b">
        <v>0</v>
      </c>
      <c r="AQ1418" s="78" t="s">
        <v>3721</v>
      </c>
      <c r="AR1418" t="s">
        <v>179</v>
      </c>
      <c r="AS1418">
        <v>0</v>
      </c>
      <c r="AT1418">
        <v>0</v>
      </c>
    </row>
    <row r="1419" spans="1:46" x14ac:dyDescent="0.45">
      <c r="A1419" s="62" t="s">
        <v>467</v>
      </c>
      <c r="B1419" s="62" t="s">
        <v>1181</v>
      </c>
      <c r="C1419" s="63"/>
      <c r="D1419" s="64"/>
      <c r="E1419" s="65"/>
      <c r="F1419" s="66"/>
      <c r="G1419" s="63"/>
      <c r="H1419" s="67"/>
      <c r="I1419" s="68"/>
      <c r="J1419" s="68"/>
      <c r="K1419" s="32"/>
      <c r="L1419" s="75"/>
      <c r="M1419" s="75"/>
      <c r="N1419" s="70"/>
      <c r="O1419" t="s">
        <v>1568</v>
      </c>
      <c r="P1419" s="76">
        <v>44958.643553240741</v>
      </c>
      <c r="Q1419" t="s">
        <v>1766</v>
      </c>
      <c r="V1419" s="77" t="str">
        <f>HYPERLINK("https://pbs.twimg.com/profile_images/864984124989341696/HMP_gk-x_normal.jpg")</f>
        <v>https://pbs.twimg.com/profile_images/864984124989341696/HMP_gk-x_normal.jpg</v>
      </c>
      <c r="W1419" s="76">
        <v>44958.643553240741</v>
      </c>
      <c r="X1419" s="80">
        <v>44958</v>
      </c>
      <c r="Y1419" s="78" t="s">
        <v>2707</v>
      </c>
      <c r="Z1419" s="77" t="str">
        <f>HYPERLINK("https://twitter.com/jasonstarr/status/1620805853287964673")</f>
        <v>https://twitter.com/jasonstarr/status/1620805853287964673</v>
      </c>
      <c r="AC1419" s="78" t="s">
        <v>3725</v>
      </c>
      <c r="AD1419" s="78" t="s">
        <v>3721</v>
      </c>
      <c r="AE1419" t="b">
        <v>0</v>
      </c>
      <c r="AF1419">
        <v>1</v>
      </c>
      <c r="AG1419" s="78" t="s">
        <v>4697</v>
      </c>
      <c r="AH1419" t="b">
        <v>0</v>
      </c>
      <c r="AI1419" t="s">
        <v>4829</v>
      </c>
      <c r="AK1419" s="78" t="s">
        <v>4640</v>
      </c>
      <c r="AL1419" t="b">
        <v>0</v>
      </c>
      <c r="AM1419">
        <v>0</v>
      </c>
      <c r="AN1419" s="78" t="s">
        <v>4640</v>
      </c>
      <c r="AO1419" s="78" t="s">
        <v>4851</v>
      </c>
      <c r="AP1419" t="b">
        <v>0</v>
      </c>
      <c r="AQ1419" s="78" t="s">
        <v>3721</v>
      </c>
      <c r="AR1419" t="s">
        <v>179</v>
      </c>
      <c r="AS1419">
        <v>0</v>
      </c>
      <c r="AT1419">
        <v>0</v>
      </c>
    </row>
    <row r="1420" spans="1:46" x14ac:dyDescent="0.45">
      <c r="A1420" s="62" t="s">
        <v>467</v>
      </c>
      <c r="B1420" s="62" t="s">
        <v>1199</v>
      </c>
      <c r="C1420" s="63"/>
      <c r="D1420" s="64"/>
      <c r="E1420" s="65"/>
      <c r="F1420" s="66"/>
      <c r="G1420" s="63"/>
      <c r="H1420" s="67"/>
      <c r="I1420" s="68"/>
      <c r="J1420" s="68"/>
      <c r="K1420" s="32"/>
      <c r="L1420" s="75"/>
      <c r="M1420" s="75"/>
      <c r="N1420" s="70"/>
      <c r="O1420" t="s">
        <v>1568</v>
      </c>
      <c r="P1420" s="76">
        <v>44958.643553240741</v>
      </c>
      <c r="Q1420" t="s">
        <v>1766</v>
      </c>
      <c r="V1420" s="77" t="str">
        <f>HYPERLINK("https://pbs.twimg.com/profile_images/864984124989341696/HMP_gk-x_normal.jpg")</f>
        <v>https://pbs.twimg.com/profile_images/864984124989341696/HMP_gk-x_normal.jpg</v>
      </c>
      <c r="W1420" s="76">
        <v>44958.643553240741</v>
      </c>
      <c r="X1420" s="80">
        <v>44958</v>
      </c>
      <c r="Y1420" s="78" t="s">
        <v>2707</v>
      </c>
      <c r="Z1420" s="77" t="str">
        <f>HYPERLINK("https://twitter.com/jasonstarr/status/1620805853287964673")</f>
        <v>https://twitter.com/jasonstarr/status/1620805853287964673</v>
      </c>
      <c r="AC1420" s="78" t="s">
        <v>3725</v>
      </c>
      <c r="AD1420" s="78" t="s">
        <v>3721</v>
      </c>
      <c r="AE1420" t="b">
        <v>0</v>
      </c>
      <c r="AF1420">
        <v>1</v>
      </c>
      <c r="AG1420" s="78" t="s">
        <v>4697</v>
      </c>
      <c r="AH1420" t="b">
        <v>0</v>
      </c>
      <c r="AI1420" t="s">
        <v>4829</v>
      </c>
      <c r="AK1420" s="78" t="s">
        <v>4640</v>
      </c>
      <c r="AL1420" t="b">
        <v>0</v>
      </c>
      <c r="AM1420">
        <v>0</v>
      </c>
      <c r="AN1420" s="78" t="s">
        <v>4640</v>
      </c>
      <c r="AO1420" s="78" t="s">
        <v>4851</v>
      </c>
      <c r="AP1420" t="b">
        <v>0</v>
      </c>
      <c r="AQ1420" s="78" t="s">
        <v>3721</v>
      </c>
      <c r="AR1420" t="s">
        <v>179</v>
      </c>
      <c r="AS1420">
        <v>0</v>
      </c>
      <c r="AT1420">
        <v>0</v>
      </c>
    </row>
    <row r="1421" spans="1:46" x14ac:dyDescent="0.45">
      <c r="A1421" s="62" t="s">
        <v>467</v>
      </c>
      <c r="B1421" s="62" t="s">
        <v>1185</v>
      </c>
      <c r="C1421" s="63"/>
      <c r="D1421" s="64"/>
      <c r="E1421" s="65"/>
      <c r="F1421" s="66"/>
      <c r="G1421" s="63"/>
      <c r="H1421" s="67"/>
      <c r="I1421" s="68"/>
      <c r="J1421" s="68"/>
      <c r="K1421" s="32"/>
      <c r="L1421" s="75"/>
      <c r="M1421" s="75"/>
      <c r="N1421" s="70"/>
      <c r="O1421" t="s">
        <v>1568</v>
      </c>
      <c r="P1421" s="76">
        <v>44958.643553240741</v>
      </c>
      <c r="Q1421" t="s">
        <v>1766</v>
      </c>
      <c r="V1421" s="77" t="str">
        <f>HYPERLINK("https://pbs.twimg.com/profile_images/864984124989341696/HMP_gk-x_normal.jpg")</f>
        <v>https://pbs.twimg.com/profile_images/864984124989341696/HMP_gk-x_normal.jpg</v>
      </c>
      <c r="W1421" s="76">
        <v>44958.643553240741</v>
      </c>
      <c r="X1421" s="80">
        <v>44958</v>
      </c>
      <c r="Y1421" s="78" t="s">
        <v>2707</v>
      </c>
      <c r="Z1421" s="77" t="str">
        <f>HYPERLINK("https://twitter.com/jasonstarr/status/1620805853287964673")</f>
        <v>https://twitter.com/jasonstarr/status/1620805853287964673</v>
      </c>
      <c r="AC1421" s="78" t="s">
        <v>3725</v>
      </c>
      <c r="AD1421" s="78" t="s">
        <v>3721</v>
      </c>
      <c r="AE1421" t="b">
        <v>0</v>
      </c>
      <c r="AF1421">
        <v>1</v>
      </c>
      <c r="AG1421" s="78" t="s">
        <v>4697</v>
      </c>
      <c r="AH1421" t="b">
        <v>0</v>
      </c>
      <c r="AI1421" t="s">
        <v>4829</v>
      </c>
      <c r="AK1421" s="78" t="s">
        <v>4640</v>
      </c>
      <c r="AL1421" t="b">
        <v>0</v>
      </c>
      <c r="AM1421">
        <v>0</v>
      </c>
      <c r="AN1421" s="78" t="s">
        <v>4640</v>
      </c>
      <c r="AO1421" s="78" t="s">
        <v>4851</v>
      </c>
      <c r="AP1421" t="b">
        <v>0</v>
      </c>
      <c r="AQ1421" s="78" t="s">
        <v>3721</v>
      </c>
      <c r="AR1421" t="s">
        <v>179</v>
      </c>
      <c r="AS1421">
        <v>0</v>
      </c>
      <c r="AT1421">
        <v>0</v>
      </c>
    </row>
    <row r="1422" spans="1:46" x14ac:dyDescent="0.45">
      <c r="A1422" s="62" t="s">
        <v>467</v>
      </c>
      <c r="B1422" s="62" t="s">
        <v>242</v>
      </c>
      <c r="C1422" s="63"/>
      <c r="D1422" s="64"/>
      <c r="E1422" s="65"/>
      <c r="F1422" s="66"/>
      <c r="G1422" s="63"/>
      <c r="H1422" s="67"/>
      <c r="I1422" s="68"/>
      <c r="J1422" s="68"/>
      <c r="K1422" s="32"/>
      <c r="L1422" s="75"/>
      <c r="M1422" s="75"/>
      <c r="N1422" s="70"/>
      <c r="O1422" t="s">
        <v>1568</v>
      </c>
      <c r="P1422" s="76">
        <v>44958.643553240741</v>
      </c>
      <c r="Q1422" t="s">
        <v>1766</v>
      </c>
      <c r="V1422" s="77" t="str">
        <f>HYPERLINK("https://pbs.twimg.com/profile_images/864984124989341696/HMP_gk-x_normal.jpg")</f>
        <v>https://pbs.twimg.com/profile_images/864984124989341696/HMP_gk-x_normal.jpg</v>
      </c>
      <c r="W1422" s="76">
        <v>44958.643553240741</v>
      </c>
      <c r="X1422" s="80">
        <v>44958</v>
      </c>
      <c r="Y1422" s="78" t="s">
        <v>2707</v>
      </c>
      <c r="Z1422" s="77" t="str">
        <f>HYPERLINK("https://twitter.com/jasonstarr/status/1620805853287964673")</f>
        <v>https://twitter.com/jasonstarr/status/1620805853287964673</v>
      </c>
      <c r="AC1422" s="78" t="s">
        <v>3725</v>
      </c>
      <c r="AD1422" s="78" t="s">
        <v>3721</v>
      </c>
      <c r="AE1422" t="b">
        <v>0</v>
      </c>
      <c r="AF1422">
        <v>1</v>
      </c>
      <c r="AG1422" s="78" t="s">
        <v>4697</v>
      </c>
      <c r="AH1422" t="b">
        <v>0</v>
      </c>
      <c r="AI1422" t="s">
        <v>4829</v>
      </c>
      <c r="AK1422" s="78" t="s">
        <v>4640</v>
      </c>
      <c r="AL1422" t="b">
        <v>0</v>
      </c>
      <c r="AM1422">
        <v>0</v>
      </c>
      <c r="AN1422" s="78" t="s">
        <v>4640</v>
      </c>
      <c r="AO1422" s="78" t="s">
        <v>4851</v>
      </c>
      <c r="AP1422" t="b">
        <v>0</v>
      </c>
      <c r="AQ1422" s="78" t="s">
        <v>3721</v>
      </c>
      <c r="AR1422" t="s">
        <v>179</v>
      </c>
      <c r="AS1422">
        <v>0</v>
      </c>
      <c r="AT1422">
        <v>0</v>
      </c>
    </row>
    <row r="1423" spans="1:46" x14ac:dyDescent="0.45">
      <c r="A1423" s="62" t="s">
        <v>472</v>
      </c>
      <c r="B1423" s="62" t="s">
        <v>471</v>
      </c>
      <c r="C1423" s="63"/>
      <c r="D1423" s="64"/>
      <c r="E1423" s="65"/>
      <c r="F1423" s="66"/>
      <c r="G1423" s="63"/>
      <c r="H1423" s="67"/>
      <c r="I1423" s="68"/>
      <c r="J1423" s="68"/>
      <c r="K1423" s="32"/>
      <c r="L1423" s="75"/>
      <c r="M1423" s="75"/>
      <c r="N1423" s="70"/>
      <c r="O1423" t="s">
        <v>1567</v>
      </c>
      <c r="P1423" s="76">
        <v>44958.736805555556</v>
      </c>
      <c r="Q1423" t="s">
        <v>1769</v>
      </c>
      <c r="V1423" s="77" t="str">
        <f>HYPERLINK("https://pbs.twimg.com/profile_images/1611406026259193856/3ne9TQn3_normal.jpg")</f>
        <v>https://pbs.twimg.com/profile_images/1611406026259193856/3ne9TQn3_normal.jpg</v>
      </c>
      <c r="W1423" s="76">
        <v>44958.736805555556</v>
      </c>
      <c r="X1423" s="80">
        <v>44958</v>
      </c>
      <c r="Y1423" s="78" t="s">
        <v>2710</v>
      </c>
      <c r="Z1423" s="77" t="str">
        <f>HYPERLINK("https://twitter.com/lostkimber/status/1620839646883352576")</f>
        <v>https://twitter.com/lostkimber/status/1620839646883352576</v>
      </c>
      <c r="AC1423" s="78" t="s">
        <v>3728</v>
      </c>
      <c r="AD1423" s="78" t="s">
        <v>3727</v>
      </c>
      <c r="AE1423" t="b">
        <v>0</v>
      </c>
      <c r="AF1423">
        <v>1</v>
      </c>
      <c r="AG1423" s="78" t="s">
        <v>4699</v>
      </c>
      <c r="AH1423" t="b">
        <v>0</v>
      </c>
      <c r="AI1423" t="s">
        <v>4829</v>
      </c>
      <c r="AK1423" s="78" t="s">
        <v>4640</v>
      </c>
      <c r="AL1423" t="b">
        <v>0</v>
      </c>
      <c r="AM1423">
        <v>0</v>
      </c>
      <c r="AN1423" s="78" t="s">
        <v>4640</v>
      </c>
      <c r="AO1423" s="78" t="s">
        <v>4849</v>
      </c>
      <c r="AP1423" t="b">
        <v>0</v>
      </c>
      <c r="AQ1423" s="78" t="s">
        <v>3727</v>
      </c>
      <c r="AR1423" t="s">
        <v>179</v>
      </c>
      <c r="AS1423">
        <v>0</v>
      </c>
      <c r="AT1423">
        <v>0</v>
      </c>
    </row>
    <row r="1424" spans="1:46" x14ac:dyDescent="0.45">
      <c r="A1424" s="62" t="s">
        <v>472</v>
      </c>
      <c r="B1424" s="62" t="s">
        <v>242</v>
      </c>
      <c r="C1424" s="63"/>
      <c r="D1424" s="64"/>
      <c r="E1424" s="65"/>
      <c r="F1424" s="66"/>
      <c r="G1424" s="63"/>
      <c r="H1424" s="67"/>
      <c r="I1424" s="68"/>
      <c r="J1424" s="68"/>
      <c r="K1424" s="32"/>
      <c r="L1424" s="75"/>
      <c r="M1424" s="75"/>
      <c r="N1424" s="70"/>
      <c r="O1424" t="s">
        <v>1568</v>
      </c>
      <c r="P1424" s="76">
        <v>44958.736805555556</v>
      </c>
      <c r="Q1424" t="s">
        <v>1769</v>
      </c>
      <c r="V1424" s="77" t="str">
        <f>HYPERLINK("https://pbs.twimg.com/profile_images/1611406026259193856/3ne9TQn3_normal.jpg")</f>
        <v>https://pbs.twimg.com/profile_images/1611406026259193856/3ne9TQn3_normal.jpg</v>
      </c>
      <c r="W1424" s="76">
        <v>44958.736805555556</v>
      </c>
      <c r="X1424" s="80">
        <v>44958</v>
      </c>
      <c r="Y1424" s="78" t="s">
        <v>2710</v>
      </c>
      <c r="Z1424" s="77" t="str">
        <f>HYPERLINK("https://twitter.com/lostkimber/status/1620839646883352576")</f>
        <v>https://twitter.com/lostkimber/status/1620839646883352576</v>
      </c>
      <c r="AC1424" s="78" t="s">
        <v>3728</v>
      </c>
      <c r="AD1424" s="78" t="s">
        <v>3727</v>
      </c>
      <c r="AE1424" t="b">
        <v>0</v>
      </c>
      <c r="AF1424">
        <v>1</v>
      </c>
      <c r="AG1424" s="78" t="s">
        <v>4699</v>
      </c>
      <c r="AH1424" t="b">
        <v>0</v>
      </c>
      <c r="AI1424" t="s">
        <v>4829</v>
      </c>
      <c r="AK1424" s="78" t="s">
        <v>4640</v>
      </c>
      <c r="AL1424" t="b">
        <v>0</v>
      </c>
      <c r="AM1424">
        <v>0</v>
      </c>
      <c r="AN1424" s="78" t="s">
        <v>4640</v>
      </c>
      <c r="AO1424" s="78" t="s">
        <v>4849</v>
      </c>
      <c r="AP1424" t="b">
        <v>0</v>
      </c>
      <c r="AQ1424" s="78" t="s">
        <v>3727</v>
      </c>
      <c r="AR1424" t="s">
        <v>179</v>
      </c>
      <c r="AS1424">
        <v>0</v>
      </c>
      <c r="AT1424">
        <v>0</v>
      </c>
    </row>
    <row r="1425" spans="1:46" x14ac:dyDescent="0.45">
      <c r="A1425" s="62" t="s">
        <v>472</v>
      </c>
      <c r="B1425" s="62" t="s">
        <v>1275</v>
      </c>
      <c r="C1425" s="63"/>
      <c r="D1425" s="64"/>
      <c r="E1425" s="65"/>
      <c r="F1425" s="66"/>
      <c r="G1425" s="63"/>
      <c r="H1425" s="67"/>
      <c r="I1425" s="68"/>
      <c r="J1425" s="68"/>
      <c r="K1425" s="32"/>
      <c r="L1425" s="75"/>
      <c r="M1425" s="75"/>
      <c r="N1425" s="70"/>
      <c r="O1425" t="s">
        <v>1568</v>
      </c>
      <c r="P1425" s="76">
        <v>44958.736805555556</v>
      </c>
      <c r="Q1425" t="s">
        <v>1769</v>
      </c>
      <c r="V1425" s="77" t="str">
        <f>HYPERLINK("https://pbs.twimg.com/profile_images/1611406026259193856/3ne9TQn3_normal.jpg")</f>
        <v>https://pbs.twimg.com/profile_images/1611406026259193856/3ne9TQn3_normal.jpg</v>
      </c>
      <c r="W1425" s="76">
        <v>44958.736805555556</v>
      </c>
      <c r="X1425" s="80">
        <v>44958</v>
      </c>
      <c r="Y1425" s="78" t="s">
        <v>2710</v>
      </c>
      <c r="Z1425" s="77" t="str">
        <f>HYPERLINK("https://twitter.com/lostkimber/status/1620839646883352576")</f>
        <v>https://twitter.com/lostkimber/status/1620839646883352576</v>
      </c>
      <c r="AC1425" s="78" t="s">
        <v>3728</v>
      </c>
      <c r="AD1425" s="78" t="s">
        <v>3727</v>
      </c>
      <c r="AE1425" t="b">
        <v>0</v>
      </c>
      <c r="AF1425">
        <v>1</v>
      </c>
      <c r="AG1425" s="78" t="s">
        <v>4699</v>
      </c>
      <c r="AH1425" t="b">
        <v>0</v>
      </c>
      <c r="AI1425" t="s">
        <v>4829</v>
      </c>
      <c r="AK1425" s="78" t="s">
        <v>4640</v>
      </c>
      <c r="AL1425" t="b">
        <v>0</v>
      </c>
      <c r="AM1425">
        <v>0</v>
      </c>
      <c r="AN1425" s="78" t="s">
        <v>4640</v>
      </c>
      <c r="AO1425" s="78" t="s">
        <v>4849</v>
      </c>
      <c r="AP1425" t="b">
        <v>0</v>
      </c>
      <c r="AQ1425" s="78" t="s">
        <v>3727</v>
      </c>
      <c r="AR1425" t="s">
        <v>179</v>
      </c>
      <c r="AS1425">
        <v>0</v>
      </c>
      <c r="AT1425">
        <v>0</v>
      </c>
    </row>
    <row r="1426" spans="1:46" x14ac:dyDescent="0.45">
      <c r="A1426" s="62" t="s">
        <v>512</v>
      </c>
      <c r="B1426" s="62" t="s">
        <v>242</v>
      </c>
      <c r="C1426" s="63"/>
      <c r="D1426" s="64"/>
      <c r="E1426" s="65"/>
      <c r="F1426" s="66"/>
      <c r="G1426" s="63"/>
      <c r="H1426" s="67"/>
      <c r="I1426" s="68"/>
      <c r="J1426" s="68"/>
      <c r="K1426" s="32"/>
      <c r="L1426" s="75"/>
      <c r="M1426" s="75"/>
      <c r="N1426" s="70"/>
      <c r="O1426" t="s">
        <v>1568</v>
      </c>
      <c r="P1426" s="76">
        <v>44958.765115740738</v>
      </c>
      <c r="Q1426" t="s">
        <v>1792</v>
      </c>
      <c r="V1426" s="77" t="str">
        <f>HYPERLINK("https://pbs.twimg.com/profile_images/1576370656341630977/ESWeHNtQ_normal.jpg")</f>
        <v>https://pbs.twimg.com/profile_images/1576370656341630977/ESWeHNtQ_normal.jpg</v>
      </c>
      <c r="W1426" s="76">
        <v>44958.765115740738</v>
      </c>
      <c r="X1426" s="80">
        <v>44958</v>
      </c>
      <c r="Y1426" s="78" t="s">
        <v>2752</v>
      </c>
      <c r="Z1426" s="77" t="str">
        <f>HYPERLINK("https://twitter.com/stosspott/status/1620849905651814401")</f>
        <v>https://twitter.com/stosspott/status/1620849905651814401</v>
      </c>
      <c r="AC1426" s="78" t="s">
        <v>3771</v>
      </c>
      <c r="AE1426" t="b">
        <v>0</v>
      </c>
      <c r="AF1426">
        <v>1</v>
      </c>
      <c r="AG1426" s="78" t="s">
        <v>4640</v>
      </c>
      <c r="AH1426" t="b">
        <v>0</v>
      </c>
      <c r="AI1426" t="s">
        <v>4829</v>
      </c>
      <c r="AK1426" s="78" t="s">
        <v>4640</v>
      </c>
      <c r="AL1426" t="b">
        <v>0</v>
      </c>
      <c r="AM1426">
        <v>0</v>
      </c>
      <c r="AN1426" s="78" t="s">
        <v>4640</v>
      </c>
      <c r="AO1426" s="78" t="s">
        <v>4850</v>
      </c>
      <c r="AP1426" t="b">
        <v>0</v>
      </c>
      <c r="AQ1426" s="78" t="s">
        <v>3771</v>
      </c>
      <c r="AR1426" t="s">
        <v>179</v>
      </c>
      <c r="AS1426">
        <v>0</v>
      </c>
      <c r="AT1426">
        <v>0</v>
      </c>
    </row>
    <row r="1427" spans="1:46" x14ac:dyDescent="0.45">
      <c r="A1427" s="62" t="s">
        <v>520</v>
      </c>
      <c r="B1427" s="62" t="s">
        <v>242</v>
      </c>
      <c r="C1427" s="63"/>
      <c r="D1427" s="64"/>
      <c r="E1427" s="65"/>
      <c r="F1427" s="66"/>
      <c r="G1427" s="63"/>
      <c r="H1427" s="67"/>
      <c r="I1427" s="68"/>
      <c r="J1427" s="68"/>
      <c r="K1427" s="32"/>
      <c r="L1427" s="75"/>
      <c r="M1427" s="75"/>
      <c r="N1427" s="70"/>
      <c r="O1427" t="s">
        <v>1567</v>
      </c>
      <c r="P1427" s="76">
        <v>44958.77584490741</v>
      </c>
      <c r="Q1427" t="s">
        <v>1798</v>
      </c>
      <c r="V1427" s="77" t="str">
        <f>HYPERLINK("https://pbs.twimg.com/profile_images/1325165872818782211/GTlTd24K_normal.jpg")</f>
        <v>https://pbs.twimg.com/profile_images/1325165872818782211/GTlTd24K_normal.jpg</v>
      </c>
      <c r="W1427" s="76">
        <v>44958.77584490741</v>
      </c>
      <c r="X1427" s="80">
        <v>44958</v>
      </c>
      <c r="Y1427" s="78" t="s">
        <v>2761</v>
      </c>
      <c r="Z1427" s="77" t="str">
        <f>HYPERLINK("https://twitter.com/artistaesoto/status/1620853795021541377")</f>
        <v>https://twitter.com/artistaesoto/status/1620853795021541377</v>
      </c>
      <c r="AC1427" s="78" t="s">
        <v>3780</v>
      </c>
      <c r="AD1427" s="78" t="s">
        <v>4498</v>
      </c>
      <c r="AE1427" t="b">
        <v>0</v>
      </c>
      <c r="AF1427">
        <v>1</v>
      </c>
      <c r="AG1427" s="78" t="s">
        <v>4639</v>
      </c>
      <c r="AH1427" t="b">
        <v>0</v>
      </c>
      <c r="AI1427" t="s">
        <v>4829</v>
      </c>
      <c r="AK1427" s="78" t="s">
        <v>4640</v>
      </c>
      <c r="AL1427" t="b">
        <v>0</v>
      </c>
      <c r="AM1427">
        <v>0</v>
      </c>
      <c r="AN1427" s="78" t="s">
        <v>4640</v>
      </c>
      <c r="AO1427" s="78" t="s">
        <v>4850</v>
      </c>
      <c r="AP1427" t="b">
        <v>0</v>
      </c>
      <c r="AQ1427" s="78" t="s">
        <v>4498</v>
      </c>
      <c r="AR1427" t="s">
        <v>179</v>
      </c>
      <c r="AS1427">
        <v>0</v>
      </c>
      <c r="AT1427">
        <v>0</v>
      </c>
    </row>
    <row r="1428" spans="1:46" x14ac:dyDescent="0.45">
      <c r="A1428" s="62" t="s">
        <v>242</v>
      </c>
      <c r="B1428" s="62" t="s">
        <v>524</v>
      </c>
      <c r="C1428" s="63"/>
      <c r="D1428" s="64"/>
      <c r="E1428" s="65"/>
      <c r="F1428" s="66"/>
      <c r="G1428" s="63"/>
      <c r="H1428" s="67"/>
      <c r="I1428" s="68"/>
      <c r="J1428" s="68"/>
      <c r="K1428" s="32"/>
      <c r="L1428" s="75"/>
      <c r="M1428" s="75"/>
      <c r="N1428" s="70"/>
      <c r="O1428" t="s">
        <v>1567</v>
      </c>
      <c r="P1428" s="76">
        <v>44958.649606481478</v>
      </c>
      <c r="Q1428" t="s">
        <v>1800</v>
      </c>
      <c r="V1428" s="77" t="str">
        <f>HYPERLINK("https://pbs.twimg.com/profile_images/1614031605676253184/n4E7yeWV_normal.jpg")</f>
        <v>https://pbs.twimg.com/profile_images/1614031605676253184/n4E7yeWV_normal.jpg</v>
      </c>
      <c r="W1428" s="76">
        <v>44958.649606481478</v>
      </c>
      <c r="X1428" s="80">
        <v>44958</v>
      </c>
      <c r="Y1428" s="78" t="s">
        <v>2765</v>
      </c>
      <c r="Z1428" s="77" t="str">
        <f>HYPERLINK("https://twitter.com/walmart/status/1620808049119137794")</f>
        <v>https://twitter.com/walmart/status/1620808049119137794</v>
      </c>
      <c r="AC1428" s="78" t="s">
        <v>3784</v>
      </c>
      <c r="AD1428" s="78" t="s">
        <v>4546</v>
      </c>
      <c r="AE1428" t="b">
        <v>0</v>
      </c>
      <c r="AF1428">
        <v>1</v>
      </c>
      <c r="AG1428" s="78" t="s">
        <v>4712</v>
      </c>
      <c r="AH1428" t="b">
        <v>0</v>
      </c>
      <c r="AI1428" t="s">
        <v>4829</v>
      </c>
      <c r="AK1428" s="78" t="s">
        <v>4640</v>
      </c>
      <c r="AL1428" t="b">
        <v>0</v>
      </c>
      <c r="AM1428">
        <v>1</v>
      </c>
      <c r="AN1428" s="78" t="s">
        <v>4640</v>
      </c>
      <c r="AO1428" s="78" t="s">
        <v>4855</v>
      </c>
      <c r="AP1428" t="b">
        <v>0</v>
      </c>
      <c r="AQ1428" s="78" t="s">
        <v>4546</v>
      </c>
      <c r="AR1428" t="s">
        <v>1569</v>
      </c>
      <c r="AS1428">
        <v>0</v>
      </c>
      <c r="AT1428">
        <v>0</v>
      </c>
    </row>
    <row r="1429" spans="1:46" x14ac:dyDescent="0.45">
      <c r="A1429" s="62" t="s">
        <v>528</v>
      </c>
      <c r="B1429" s="62" t="s">
        <v>1296</v>
      </c>
      <c r="C1429" s="63"/>
      <c r="D1429" s="64"/>
      <c r="E1429" s="65"/>
      <c r="F1429" s="66"/>
      <c r="G1429" s="63"/>
      <c r="H1429" s="67"/>
      <c r="I1429" s="68"/>
      <c r="J1429" s="68"/>
      <c r="K1429" s="32"/>
      <c r="L1429" s="75"/>
      <c r="M1429" s="75"/>
      <c r="N1429" s="70"/>
      <c r="O1429" t="s">
        <v>1567</v>
      </c>
      <c r="P1429" s="76">
        <v>44958.708379629628</v>
      </c>
      <c r="Q1429" t="s">
        <v>1801</v>
      </c>
      <c r="U1429" s="77" t="str">
        <f>HYPERLINK("https://pbs.twimg.com/media/Fn5Xs0CXkA4UY4f.jpg")</f>
        <v>https://pbs.twimg.com/media/Fn5Xs0CXkA4UY4f.jpg</v>
      </c>
      <c r="V1429" s="77" t="str">
        <f>HYPERLINK("https://pbs.twimg.com/media/Fn5Xs0CXkA4UY4f.jpg")</f>
        <v>https://pbs.twimg.com/media/Fn5Xs0CXkA4UY4f.jpg</v>
      </c>
      <c r="W1429" s="76">
        <v>44958.708379629628</v>
      </c>
      <c r="X1429" s="80">
        <v>44958</v>
      </c>
      <c r="Y1429" s="78" t="s">
        <v>2770</v>
      </c>
      <c r="Z1429" s="77" t="str">
        <f>HYPERLINK("https://twitter.com/bb_legs/status/1620829346465476609")</f>
        <v>https://twitter.com/bb_legs/status/1620829346465476609</v>
      </c>
      <c r="AC1429" s="78" t="s">
        <v>3789</v>
      </c>
      <c r="AD1429" s="78" t="s">
        <v>4547</v>
      </c>
      <c r="AE1429" t="b">
        <v>0</v>
      </c>
      <c r="AF1429">
        <v>1</v>
      </c>
      <c r="AG1429" s="78" t="s">
        <v>4713</v>
      </c>
      <c r="AH1429" t="b">
        <v>0</v>
      </c>
      <c r="AI1429" t="s">
        <v>4829</v>
      </c>
      <c r="AK1429" s="78" t="s">
        <v>4640</v>
      </c>
      <c r="AL1429" t="b">
        <v>0</v>
      </c>
      <c r="AM1429">
        <v>0</v>
      </c>
      <c r="AN1429" s="78" t="s">
        <v>4640</v>
      </c>
      <c r="AO1429" s="78" t="s">
        <v>4849</v>
      </c>
      <c r="AP1429" t="b">
        <v>0</v>
      </c>
      <c r="AQ1429" s="78" t="s">
        <v>4547</v>
      </c>
      <c r="AR1429" t="s">
        <v>179</v>
      </c>
      <c r="AS1429">
        <v>0</v>
      </c>
      <c r="AT1429">
        <v>0</v>
      </c>
    </row>
    <row r="1430" spans="1:46" x14ac:dyDescent="0.45">
      <c r="A1430" s="62" t="s">
        <v>528</v>
      </c>
      <c r="B1430" s="62" t="s">
        <v>242</v>
      </c>
      <c r="C1430" s="63"/>
      <c r="D1430" s="64"/>
      <c r="E1430" s="65"/>
      <c r="F1430" s="66"/>
      <c r="G1430" s="63"/>
      <c r="H1430" s="67"/>
      <c r="I1430" s="68"/>
      <c r="J1430" s="68"/>
      <c r="K1430" s="32"/>
      <c r="L1430" s="75"/>
      <c r="M1430" s="75"/>
      <c r="N1430" s="70"/>
      <c r="O1430" t="s">
        <v>1568</v>
      </c>
      <c r="P1430" s="76">
        <v>44958.708379629628</v>
      </c>
      <c r="Q1430" t="s">
        <v>1801</v>
      </c>
      <c r="U1430" s="77" t="str">
        <f>HYPERLINK("https://pbs.twimg.com/media/Fn5Xs0CXkA4UY4f.jpg")</f>
        <v>https://pbs.twimg.com/media/Fn5Xs0CXkA4UY4f.jpg</v>
      </c>
      <c r="V1430" s="77" t="str">
        <f>HYPERLINK("https://pbs.twimg.com/media/Fn5Xs0CXkA4UY4f.jpg")</f>
        <v>https://pbs.twimg.com/media/Fn5Xs0CXkA4UY4f.jpg</v>
      </c>
      <c r="W1430" s="76">
        <v>44958.708379629628</v>
      </c>
      <c r="X1430" s="80">
        <v>44958</v>
      </c>
      <c r="Y1430" s="78" t="s">
        <v>2770</v>
      </c>
      <c r="Z1430" s="77" t="str">
        <f>HYPERLINK("https://twitter.com/bb_legs/status/1620829346465476609")</f>
        <v>https://twitter.com/bb_legs/status/1620829346465476609</v>
      </c>
      <c r="AC1430" s="78" t="s">
        <v>3789</v>
      </c>
      <c r="AD1430" s="78" t="s">
        <v>4547</v>
      </c>
      <c r="AE1430" t="b">
        <v>0</v>
      </c>
      <c r="AF1430">
        <v>1</v>
      </c>
      <c r="AG1430" s="78" t="s">
        <v>4713</v>
      </c>
      <c r="AH1430" t="b">
        <v>0</v>
      </c>
      <c r="AI1430" t="s">
        <v>4829</v>
      </c>
      <c r="AK1430" s="78" t="s">
        <v>4640</v>
      </c>
      <c r="AL1430" t="b">
        <v>0</v>
      </c>
      <c r="AM1430">
        <v>0</v>
      </c>
      <c r="AN1430" s="78" t="s">
        <v>4640</v>
      </c>
      <c r="AO1430" s="78" t="s">
        <v>4849</v>
      </c>
      <c r="AP1430" t="b">
        <v>0</v>
      </c>
      <c r="AQ1430" s="78" t="s">
        <v>4547</v>
      </c>
      <c r="AR1430" t="s">
        <v>179</v>
      </c>
      <c r="AS1430">
        <v>0</v>
      </c>
      <c r="AT1430">
        <v>0</v>
      </c>
    </row>
    <row r="1431" spans="1:46" x14ac:dyDescent="0.45">
      <c r="A1431" s="62" t="s">
        <v>528</v>
      </c>
      <c r="B1431" s="62" t="s">
        <v>1297</v>
      </c>
      <c r="C1431" s="63"/>
      <c r="D1431" s="64"/>
      <c r="E1431" s="65"/>
      <c r="F1431" s="66"/>
      <c r="G1431" s="63"/>
      <c r="H1431" s="67"/>
      <c r="I1431" s="68"/>
      <c r="J1431" s="68"/>
      <c r="K1431" s="32"/>
      <c r="L1431" s="75"/>
      <c r="M1431" s="75"/>
      <c r="N1431" s="70"/>
      <c r="O1431" t="s">
        <v>1568</v>
      </c>
      <c r="P1431" s="76">
        <v>44958.708379629628</v>
      </c>
      <c r="Q1431" t="s">
        <v>1801</v>
      </c>
      <c r="U1431" s="77" t="str">
        <f>HYPERLINK("https://pbs.twimg.com/media/Fn5Xs0CXkA4UY4f.jpg")</f>
        <v>https://pbs.twimg.com/media/Fn5Xs0CXkA4UY4f.jpg</v>
      </c>
      <c r="V1431" s="77" t="str">
        <f>HYPERLINK("https://pbs.twimg.com/media/Fn5Xs0CXkA4UY4f.jpg")</f>
        <v>https://pbs.twimg.com/media/Fn5Xs0CXkA4UY4f.jpg</v>
      </c>
      <c r="W1431" s="76">
        <v>44958.708379629628</v>
      </c>
      <c r="X1431" s="80">
        <v>44958</v>
      </c>
      <c r="Y1431" s="78" t="s">
        <v>2770</v>
      </c>
      <c r="Z1431" s="77" t="str">
        <f>HYPERLINK("https://twitter.com/bb_legs/status/1620829346465476609")</f>
        <v>https://twitter.com/bb_legs/status/1620829346465476609</v>
      </c>
      <c r="AC1431" s="78" t="s">
        <v>3789</v>
      </c>
      <c r="AD1431" s="78" t="s">
        <v>4547</v>
      </c>
      <c r="AE1431" t="b">
        <v>0</v>
      </c>
      <c r="AF1431">
        <v>1</v>
      </c>
      <c r="AG1431" s="78" t="s">
        <v>4713</v>
      </c>
      <c r="AH1431" t="b">
        <v>0</v>
      </c>
      <c r="AI1431" t="s">
        <v>4829</v>
      </c>
      <c r="AK1431" s="78" t="s">
        <v>4640</v>
      </c>
      <c r="AL1431" t="b">
        <v>0</v>
      </c>
      <c r="AM1431">
        <v>0</v>
      </c>
      <c r="AN1431" s="78" t="s">
        <v>4640</v>
      </c>
      <c r="AO1431" s="78" t="s">
        <v>4849</v>
      </c>
      <c r="AP1431" t="b">
        <v>0</v>
      </c>
      <c r="AQ1431" s="78" t="s">
        <v>4547</v>
      </c>
      <c r="AR1431" t="s">
        <v>179</v>
      </c>
      <c r="AS1431">
        <v>0</v>
      </c>
      <c r="AT1431">
        <v>0</v>
      </c>
    </row>
    <row r="1432" spans="1:46" x14ac:dyDescent="0.45">
      <c r="A1432" s="62" t="s">
        <v>531</v>
      </c>
      <c r="B1432" s="62" t="s">
        <v>1230</v>
      </c>
      <c r="C1432" s="63"/>
      <c r="D1432" s="64"/>
      <c r="E1432" s="65"/>
      <c r="F1432" s="66"/>
      <c r="G1432" s="63"/>
      <c r="H1432" s="67"/>
      <c r="I1432" s="68"/>
      <c r="J1432" s="68"/>
      <c r="K1432" s="32"/>
      <c r="L1432" s="75"/>
      <c r="M1432" s="75"/>
      <c r="N1432" s="70"/>
      <c r="O1432" t="s">
        <v>1568</v>
      </c>
      <c r="P1432" s="76">
        <v>44958.782858796294</v>
      </c>
      <c r="Q1432" t="s">
        <v>1803</v>
      </c>
      <c r="V1432" s="77" t="str">
        <f>HYPERLINK("https://pbs.twimg.com/profile_images/1541751670891319296/QLVwOWR7_normal.jpg")</f>
        <v>https://pbs.twimg.com/profile_images/1541751670891319296/QLVwOWR7_normal.jpg</v>
      </c>
      <c r="W1432" s="76">
        <v>44958.782858796294</v>
      </c>
      <c r="X1432" s="80">
        <v>44958</v>
      </c>
      <c r="Y1432" s="78" t="s">
        <v>2773</v>
      </c>
      <c r="Z1432" s="77" t="str">
        <f>HYPERLINK("https://twitter.com/cristian_merigo/status/1620856338698862613")</f>
        <v>https://twitter.com/cristian_merigo/status/1620856338698862613</v>
      </c>
      <c r="AC1432" s="78" t="s">
        <v>3792</v>
      </c>
      <c r="AD1432" s="78" t="s">
        <v>4473</v>
      </c>
      <c r="AE1432" t="b">
        <v>0</v>
      </c>
      <c r="AF1432">
        <v>1</v>
      </c>
      <c r="AG1432" s="78" t="s">
        <v>4639</v>
      </c>
      <c r="AH1432" t="b">
        <v>0</v>
      </c>
      <c r="AI1432" t="s">
        <v>4829</v>
      </c>
      <c r="AK1432" s="78" t="s">
        <v>4640</v>
      </c>
      <c r="AL1432" t="b">
        <v>0</v>
      </c>
      <c r="AM1432">
        <v>0</v>
      </c>
      <c r="AN1432" s="78" t="s">
        <v>4640</v>
      </c>
      <c r="AO1432" s="78" t="s">
        <v>4849</v>
      </c>
      <c r="AP1432" t="b">
        <v>0</v>
      </c>
      <c r="AQ1432" s="78" t="s">
        <v>4473</v>
      </c>
      <c r="AR1432" t="s">
        <v>179</v>
      </c>
      <c r="AS1432">
        <v>0</v>
      </c>
      <c r="AT1432">
        <v>0</v>
      </c>
    </row>
    <row r="1433" spans="1:46" x14ac:dyDescent="0.45">
      <c r="A1433" s="62" t="s">
        <v>531</v>
      </c>
      <c r="B1433" s="62" t="s">
        <v>242</v>
      </c>
      <c r="C1433" s="63"/>
      <c r="D1433" s="64"/>
      <c r="E1433" s="65"/>
      <c r="F1433" s="66"/>
      <c r="G1433" s="63"/>
      <c r="H1433" s="67"/>
      <c r="I1433" s="68"/>
      <c r="J1433" s="68"/>
      <c r="K1433" s="32"/>
      <c r="L1433" s="75"/>
      <c r="M1433" s="75"/>
      <c r="N1433" s="70"/>
      <c r="O1433" t="s">
        <v>1567</v>
      </c>
      <c r="P1433" s="76">
        <v>44958.782858796294</v>
      </c>
      <c r="Q1433" t="s">
        <v>1803</v>
      </c>
      <c r="V1433" s="77" t="str">
        <f>HYPERLINK("https://pbs.twimg.com/profile_images/1541751670891319296/QLVwOWR7_normal.jpg")</f>
        <v>https://pbs.twimg.com/profile_images/1541751670891319296/QLVwOWR7_normal.jpg</v>
      </c>
      <c r="W1433" s="76">
        <v>44958.782858796294</v>
      </c>
      <c r="X1433" s="80">
        <v>44958</v>
      </c>
      <c r="Y1433" s="78" t="s">
        <v>2773</v>
      </c>
      <c r="Z1433" s="77" t="str">
        <f>HYPERLINK("https://twitter.com/cristian_merigo/status/1620856338698862613")</f>
        <v>https://twitter.com/cristian_merigo/status/1620856338698862613</v>
      </c>
      <c r="AC1433" s="78" t="s">
        <v>3792</v>
      </c>
      <c r="AD1433" s="78" t="s">
        <v>4473</v>
      </c>
      <c r="AE1433" t="b">
        <v>0</v>
      </c>
      <c r="AF1433">
        <v>1</v>
      </c>
      <c r="AG1433" s="78" t="s">
        <v>4639</v>
      </c>
      <c r="AH1433" t="b">
        <v>0</v>
      </c>
      <c r="AI1433" t="s">
        <v>4829</v>
      </c>
      <c r="AK1433" s="78" t="s">
        <v>4640</v>
      </c>
      <c r="AL1433" t="b">
        <v>0</v>
      </c>
      <c r="AM1433">
        <v>0</v>
      </c>
      <c r="AN1433" s="78" t="s">
        <v>4640</v>
      </c>
      <c r="AO1433" s="78" t="s">
        <v>4849</v>
      </c>
      <c r="AP1433" t="b">
        <v>0</v>
      </c>
      <c r="AQ1433" s="78" t="s">
        <v>4473</v>
      </c>
      <c r="AR1433" t="s">
        <v>179</v>
      </c>
      <c r="AS1433">
        <v>0</v>
      </c>
      <c r="AT1433">
        <v>0</v>
      </c>
    </row>
    <row r="1434" spans="1:46" x14ac:dyDescent="0.45">
      <c r="A1434" s="62" t="s">
        <v>605</v>
      </c>
      <c r="B1434" s="62" t="s">
        <v>604</v>
      </c>
      <c r="C1434" s="63"/>
      <c r="D1434" s="64"/>
      <c r="E1434" s="65"/>
      <c r="F1434" s="66"/>
      <c r="G1434" s="63"/>
      <c r="H1434" s="67"/>
      <c r="I1434" s="68"/>
      <c r="J1434" s="68"/>
      <c r="K1434" s="32"/>
      <c r="L1434" s="75"/>
      <c r="M1434" s="75"/>
      <c r="N1434" s="70"/>
      <c r="O1434" t="s">
        <v>1568</v>
      </c>
      <c r="P1434" s="76">
        <v>44958.51525462963</v>
      </c>
      <c r="Q1434" t="s">
        <v>1820</v>
      </c>
      <c r="V1434" s="77" t="str">
        <f>HYPERLINK("https://pbs.twimg.com/profile_images/1618634674275852297/zP5bgJ5g_normal.jpg")</f>
        <v>https://pbs.twimg.com/profile_images/1618634674275852297/zP5bgJ5g_normal.jpg</v>
      </c>
      <c r="W1434" s="76">
        <v>44958.51525462963</v>
      </c>
      <c r="X1434" s="80">
        <v>44958</v>
      </c>
      <c r="Y1434" s="78" t="s">
        <v>2804</v>
      </c>
      <c r="Z1434" s="77" t="str">
        <f>HYPERLINK("https://twitter.com/dramasimmy/status/1620759359528763395")</f>
        <v>https://twitter.com/dramasimmy/status/1620759359528763395</v>
      </c>
      <c r="AC1434" s="78" t="s">
        <v>3867</v>
      </c>
      <c r="AD1434" s="78" t="s">
        <v>3865</v>
      </c>
      <c r="AE1434" t="b">
        <v>0</v>
      </c>
      <c r="AF1434">
        <v>1</v>
      </c>
      <c r="AG1434" s="78" t="s">
        <v>4718</v>
      </c>
      <c r="AH1434" t="b">
        <v>0</v>
      </c>
      <c r="AI1434" t="s">
        <v>4829</v>
      </c>
      <c r="AK1434" s="78" t="s">
        <v>4640</v>
      </c>
      <c r="AL1434" t="b">
        <v>0</v>
      </c>
      <c r="AM1434">
        <v>0</v>
      </c>
      <c r="AN1434" s="78" t="s">
        <v>4640</v>
      </c>
      <c r="AO1434" s="78" t="s">
        <v>4851</v>
      </c>
      <c r="AP1434" t="b">
        <v>0</v>
      </c>
      <c r="AQ1434" s="78" t="s">
        <v>3865</v>
      </c>
      <c r="AR1434" t="s">
        <v>179</v>
      </c>
      <c r="AS1434">
        <v>0</v>
      </c>
      <c r="AT1434">
        <v>0</v>
      </c>
    </row>
    <row r="1435" spans="1:46" x14ac:dyDescent="0.45">
      <c r="A1435" s="62" t="s">
        <v>605</v>
      </c>
      <c r="B1435" s="62" t="s">
        <v>604</v>
      </c>
      <c r="C1435" s="63"/>
      <c r="D1435" s="64"/>
      <c r="E1435" s="65"/>
      <c r="F1435" s="66"/>
      <c r="G1435" s="63"/>
      <c r="H1435" s="67"/>
      <c r="I1435" s="68"/>
      <c r="J1435" s="68"/>
      <c r="K1435" s="32"/>
      <c r="L1435" s="75"/>
      <c r="M1435" s="75"/>
      <c r="N1435" s="70"/>
      <c r="O1435" t="s">
        <v>1568</v>
      </c>
      <c r="P1435" s="76">
        <v>44958.80976851852</v>
      </c>
      <c r="Q1435" t="s">
        <v>1822</v>
      </c>
      <c r="U1435" s="77" t="str">
        <f>HYPERLINK("https://pbs.twimg.com/tweet_video_thumb/Fn55HIAXEBEJnAC.jpg")</f>
        <v>https://pbs.twimg.com/tweet_video_thumb/Fn55HIAXEBEJnAC.jpg</v>
      </c>
      <c r="V1435" s="77" t="str">
        <f>HYPERLINK("https://pbs.twimg.com/tweet_video_thumb/Fn55HIAXEBEJnAC.jpg")</f>
        <v>https://pbs.twimg.com/tweet_video_thumb/Fn55HIAXEBEJnAC.jpg</v>
      </c>
      <c r="W1435" s="76">
        <v>44958.80976851852</v>
      </c>
      <c r="X1435" s="80">
        <v>44958</v>
      </c>
      <c r="Y1435" s="78" t="s">
        <v>2806</v>
      </c>
      <c r="Z1435" s="77" t="str">
        <f>HYPERLINK("https://twitter.com/dramasimmy/status/1620866089554182145")</f>
        <v>https://twitter.com/dramasimmy/status/1620866089554182145</v>
      </c>
      <c r="AC1435" s="78" t="s">
        <v>3869</v>
      </c>
      <c r="AD1435" s="78" t="s">
        <v>4552</v>
      </c>
      <c r="AE1435" t="b">
        <v>0</v>
      </c>
      <c r="AF1435">
        <v>1</v>
      </c>
      <c r="AG1435" s="78" t="s">
        <v>4718</v>
      </c>
      <c r="AH1435" t="b">
        <v>0</v>
      </c>
      <c r="AI1435" t="s">
        <v>4829</v>
      </c>
      <c r="AK1435" s="78" t="s">
        <v>4640</v>
      </c>
      <c r="AL1435" t="b">
        <v>0</v>
      </c>
      <c r="AM1435">
        <v>0</v>
      </c>
      <c r="AN1435" s="78" t="s">
        <v>4640</v>
      </c>
      <c r="AO1435" s="78" t="s">
        <v>4851</v>
      </c>
      <c r="AP1435" t="b">
        <v>0</v>
      </c>
      <c r="AQ1435" s="78" t="s">
        <v>4552</v>
      </c>
      <c r="AR1435" t="s">
        <v>179</v>
      </c>
      <c r="AS1435">
        <v>0</v>
      </c>
      <c r="AT1435">
        <v>0</v>
      </c>
    </row>
    <row r="1436" spans="1:46" x14ac:dyDescent="0.45">
      <c r="A1436" s="62" t="s">
        <v>605</v>
      </c>
      <c r="B1436" s="62" t="s">
        <v>603</v>
      </c>
      <c r="C1436" s="63"/>
      <c r="D1436" s="64"/>
      <c r="E1436" s="65"/>
      <c r="F1436" s="66"/>
      <c r="G1436" s="63"/>
      <c r="H1436" s="67"/>
      <c r="I1436" s="68"/>
      <c r="J1436" s="68"/>
      <c r="K1436" s="32"/>
      <c r="L1436" s="75"/>
      <c r="M1436" s="75"/>
      <c r="N1436" s="70"/>
      <c r="O1436" t="s">
        <v>1567</v>
      </c>
      <c r="P1436" s="76">
        <v>44958.51525462963</v>
      </c>
      <c r="Q1436" t="s">
        <v>1820</v>
      </c>
      <c r="V1436" s="77" t="str">
        <f>HYPERLINK("https://pbs.twimg.com/profile_images/1618634674275852297/zP5bgJ5g_normal.jpg")</f>
        <v>https://pbs.twimg.com/profile_images/1618634674275852297/zP5bgJ5g_normal.jpg</v>
      </c>
      <c r="W1436" s="76">
        <v>44958.51525462963</v>
      </c>
      <c r="X1436" s="80">
        <v>44958</v>
      </c>
      <c r="Y1436" s="78" t="s">
        <v>2804</v>
      </c>
      <c r="Z1436" s="77" t="str">
        <f>HYPERLINK("https://twitter.com/dramasimmy/status/1620759359528763395")</f>
        <v>https://twitter.com/dramasimmy/status/1620759359528763395</v>
      </c>
      <c r="AC1436" s="78" t="s">
        <v>3867</v>
      </c>
      <c r="AD1436" s="78" t="s">
        <v>3865</v>
      </c>
      <c r="AE1436" t="b">
        <v>0</v>
      </c>
      <c r="AF1436">
        <v>1</v>
      </c>
      <c r="AG1436" s="78" t="s">
        <v>4718</v>
      </c>
      <c r="AH1436" t="b">
        <v>0</v>
      </c>
      <c r="AI1436" t="s">
        <v>4829</v>
      </c>
      <c r="AK1436" s="78" t="s">
        <v>4640</v>
      </c>
      <c r="AL1436" t="b">
        <v>0</v>
      </c>
      <c r="AM1436">
        <v>0</v>
      </c>
      <c r="AN1436" s="78" t="s">
        <v>4640</v>
      </c>
      <c r="AO1436" s="78" t="s">
        <v>4851</v>
      </c>
      <c r="AP1436" t="b">
        <v>0</v>
      </c>
      <c r="AQ1436" s="78" t="s">
        <v>3865</v>
      </c>
      <c r="AR1436" t="s">
        <v>179</v>
      </c>
      <c r="AS1436">
        <v>0</v>
      </c>
      <c r="AT1436">
        <v>0</v>
      </c>
    </row>
    <row r="1437" spans="1:46" x14ac:dyDescent="0.45">
      <c r="A1437" s="62" t="s">
        <v>605</v>
      </c>
      <c r="B1437" s="62" t="s">
        <v>603</v>
      </c>
      <c r="C1437" s="63"/>
      <c r="D1437" s="64"/>
      <c r="E1437" s="65"/>
      <c r="F1437" s="66"/>
      <c r="G1437" s="63"/>
      <c r="H1437" s="67"/>
      <c r="I1437" s="68"/>
      <c r="J1437" s="68"/>
      <c r="K1437" s="32"/>
      <c r="L1437" s="75"/>
      <c r="M1437" s="75"/>
      <c r="N1437" s="70"/>
      <c r="O1437" t="s">
        <v>1567</v>
      </c>
      <c r="P1437" s="76">
        <v>44958.80976851852</v>
      </c>
      <c r="Q1437" t="s">
        <v>1822</v>
      </c>
      <c r="U1437" s="77" t="str">
        <f>HYPERLINK("https://pbs.twimg.com/tweet_video_thumb/Fn55HIAXEBEJnAC.jpg")</f>
        <v>https://pbs.twimg.com/tweet_video_thumb/Fn55HIAXEBEJnAC.jpg</v>
      </c>
      <c r="V1437" s="77" t="str">
        <f>HYPERLINK("https://pbs.twimg.com/tweet_video_thumb/Fn55HIAXEBEJnAC.jpg")</f>
        <v>https://pbs.twimg.com/tweet_video_thumb/Fn55HIAXEBEJnAC.jpg</v>
      </c>
      <c r="W1437" s="76">
        <v>44958.80976851852</v>
      </c>
      <c r="X1437" s="80">
        <v>44958</v>
      </c>
      <c r="Y1437" s="78" t="s">
        <v>2806</v>
      </c>
      <c r="Z1437" s="77" t="str">
        <f>HYPERLINK("https://twitter.com/dramasimmy/status/1620866089554182145")</f>
        <v>https://twitter.com/dramasimmy/status/1620866089554182145</v>
      </c>
      <c r="AC1437" s="78" t="s">
        <v>3869</v>
      </c>
      <c r="AD1437" s="78" t="s">
        <v>4552</v>
      </c>
      <c r="AE1437" t="b">
        <v>0</v>
      </c>
      <c r="AF1437">
        <v>1</v>
      </c>
      <c r="AG1437" s="78" t="s">
        <v>4718</v>
      </c>
      <c r="AH1437" t="b">
        <v>0</v>
      </c>
      <c r="AI1437" t="s">
        <v>4829</v>
      </c>
      <c r="AK1437" s="78" t="s">
        <v>4640</v>
      </c>
      <c r="AL1437" t="b">
        <v>0</v>
      </c>
      <c r="AM1437">
        <v>0</v>
      </c>
      <c r="AN1437" s="78" t="s">
        <v>4640</v>
      </c>
      <c r="AO1437" s="78" t="s">
        <v>4851</v>
      </c>
      <c r="AP1437" t="b">
        <v>0</v>
      </c>
      <c r="AQ1437" s="78" t="s">
        <v>4552</v>
      </c>
      <c r="AR1437" t="s">
        <v>179</v>
      </c>
      <c r="AS1437">
        <v>0</v>
      </c>
      <c r="AT1437">
        <v>0</v>
      </c>
    </row>
    <row r="1438" spans="1:46" x14ac:dyDescent="0.45">
      <c r="A1438" s="62" t="s">
        <v>605</v>
      </c>
      <c r="B1438" s="62" t="s">
        <v>242</v>
      </c>
      <c r="C1438" s="63"/>
      <c r="D1438" s="64"/>
      <c r="E1438" s="65"/>
      <c r="F1438" s="66"/>
      <c r="G1438" s="63"/>
      <c r="H1438" s="67"/>
      <c r="I1438" s="68"/>
      <c r="J1438" s="68"/>
      <c r="K1438" s="32"/>
      <c r="L1438" s="75"/>
      <c r="M1438" s="75"/>
      <c r="N1438" s="70"/>
      <c r="O1438" t="s">
        <v>1568</v>
      </c>
      <c r="P1438" s="76">
        <v>44958.51525462963</v>
      </c>
      <c r="Q1438" t="s">
        <v>1820</v>
      </c>
      <c r="V1438" s="77" t="str">
        <f>HYPERLINK("https://pbs.twimg.com/profile_images/1618634674275852297/zP5bgJ5g_normal.jpg")</f>
        <v>https://pbs.twimg.com/profile_images/1618634674275852297/zP5bgJ5g_normal.jpg</v>
      </c>
      <c r="W1438" s="76">
        <v>44958.51525462963</v>
      </c>
      <c r="X1438" s="80">
        <v>44958</v>
      </c>
      <c r="Y1438" s="78" t="s">
        <v>2804</v>
      </c>
      <c r="Z1438" s="77" t="str">
        <f>HYPERLINK("https://twitter.com/dramasimmy/status/1620759359528763395")</f>
        <v>https://twitter.com/dramasimmy/status/1620759359528763395</v>
      </c>
      <c r="AC1438" s="78" t="s">
        <v>3867</v>
      </c>
      <c r="AD1438" s="78" t="s">
        <v>3865</v>
      </c>
      <c r="AE1438" t="b">
        <v>0</v>
      </c>
      <c r="AF1438">
        <v>1</v>
      </c>
      <c r="AG1438" s="78" t="s">
        <v>4718</v>
      </c>
      <c r="AH1438" t="b">
        <v>0</v>
      </c>
      <c r="AI1438" t="s">
        <v>4829</v>
      </c>
      <c r="AK1438" s="78" t="s">
        <v>4640</v>
      </c>
      <c r="AL1438" t="b">
        <v>0</v>
      </c>
      <c r="AM1438">
        <v>0</v>
      </c>
      <c r="AN1438" s="78" t="s">
        <v>4640</v>
      </c>
      <c r="AO1438" s="78" t="s">
        <v>4851</v>
      </c>
      <c r="AP1438" t="b">
        <v>0</v>
      </c>
      <c r="AQ1438" s="78" t="s">
        <v>3865</v>
      </c>
      <c r="AR1438" t="s">
        <v>179</v>
      </c>
      <c r="AS1438">
        <v>0</v>
      </c>
      <c r="AT1438">
        <v>0</v>
      </c>
    </row>
    <row r="1439" spans="1:46" x14ac:dyDescent="0.45">
      <c r="A1439" s="62" t="s">
        <v>605</v>
      </c>
      <c r="B1439" s="62" t="s">
        <v>242</v>
      </c>
      <c r="C1439" s="63"/>
      <c r="D1439" s="64"/>
      <c r="E1439" s="65"/>
      <c r="F1439" s="66"/>
      <c r="G1439" s="63"/>
      <c r="H1439" s="67"/>
      <c r="I1439" s="68"/>
      <c r="J1439" s="68"/>
      <c r="K1439" s="32"/>
      <c r="L1439" s="75"/>
      <c r="M1439" s="75"/>
      <c r="N1439" s="70"/>
      <c r="O1439" t="s">
        <v>1568</v>
      </c>
      <c r="P1439" s="76">
        <v>44958.80976851852</v>
      </c>
      <c r="Q1439" t="s">
        <v>1822</v>
      </c>
      <c r="U1439" s="77" t="str">
        <f>HYPERLINK("https://pbs.twimg.com/tweet_video_thumb/Fn55HIAXEBEJnAC.jpg")</f>
        <v>https://pbs.twimg.com/tweet_video_thumb/Fn55HIAXEBEJnAC.jpg</v>
      </c>
      <c r="V1439" s="77" t="str">
        <f>HYPERLINK("https://pbs.twimg.com/tweet_video_thumb/Fn55HIAXEBEJnAC.jpg")</f>
        <v>https://pbs.twimg.com/tweet_video_thumb/Fn55HIAXEBEJnAC.jpg</v>
      </c>
      <c r="W1439" s="76">
        <v>44958.80976851852</v>
      </c>
      <c r="X1439" s="80">
        <v>44958</v>
      </c>
      <c r="Y1439" s="78" t="s">
        <v>2806</v>
      </c>
      <c r="Z1439" s="77" t="str">
        <f>HYPERLINK("https://twitter.com/dramasimmy/status/1620866089554182145")</f>
        <v>https://twitter.com/dramasimmy/status/1620866089554182145</v>
      </c>
      <c r="AC1439" s="78" t="s">
        <v>3869</v>
      </c>
      <c r="AD1439" s="78" t="s">
        <v>4552</v>
      </c>
      <c r="AE1439" t="b">
        <v>0</v>
      </c>
      <c r="AF1439">
        <v>1</v>
      </c>
      <c r="AG1439" s="78" t="s">
        <v>4718</v>
      </c>
      <c r="AH1439" t="b">
        <v>0</v>
      </c>
      <c r="AI1439" t="s">
        <v>4829</v>
      </c>
      <c r="AK1439" s="78" t="s">
        <v>4640</v>
      </c>
      <c r="AL1439" t="b">
        <v>0</v>
      </c>
      <c r="AM1439">
        <v>0</v>
      </c>
      <c r="AN1439" s="78" t="s">
        <v>4640</v>
      </c>
      <c r="AO1439" s="78" t="s">
        <v>4851</v>
      </c>
      <c r="AP1439" t="b">
        <v>0</v>
      </c>
      <c r="AQ1439" s="78" t="s">
        <v>4552</v>
      </c>
      <c r="AR1439" t="s">
        <v>179</v>
      </c>
      <c r="AS1439">
        <v>0</v>
      </c>
      <c r="AT1439">
        <v>0</v>
      </c>
    </row>
    <row r="1440" spans="1:46" x14ac:dyDescent="0.45">
      <c r="A1440" s="62" t="s">
        <v>618</v>
      </c>
      <c r="B1440" s="62" t="s">
        <v>1305</v>
      </c>
      <c r="C1440" s="63"/>
      <c r="D1440" s="64"/>
      <c r="E1440" s="65"/>
      <c r="F1440" s="66"/>
      <c r="G1440" s="63"/>
      <c r="H1440" s="67"/>
      <c r="I1440" s="68"/>
      <c r="J1440" s="68"/>
      <c r="K1440" s="32"/>
      <c r="L1440" s="75"/>
      <c r="M1440" s="75"/>
      <c r="N1440" s="70"/>
      <c r="O1440" t="s">
        <v>1567</v>
      </c>
      <c r="P1440" s="76">
        <v>44958.822280092594</v>
      </c>
      <c r="Q1440" t="s">
        <v>1827</v>
      </c>
      <c r="V1440" s="77" t="str">
        <f>HYPERLINK("https://pbs.twimg.com/profile_images/1608221007877230601/nSALKhPX_normal.jpg")</f>
        <v>https://pbs.twimg.com/profile_images/1608221007877230601/nSALKhPX_normal.jpg</v>
      </c>
      <c r="W1440" s="76">
        <v>44958.822280092594</v>
      </c>
      <c r="X1440" s="80">
        <v>44958</v>
      </c>
      <c r="Y1440" s="78" t="s">
        <v>2819</v>
      </c>
      <c r="Z1440" s="77" t="str">
        <f>HYPERLINK("https://twitter.com/thesmithdeep/status/1620870623861026816")</f>
        <v>https://twitter.com/thesmithdeep/status/1620870623861026816</v>
      </c>
      <c r="AC1440" s="78" t="s">
        <v>3882</v>
      </c>
      <c r="AD1440" s="78" t="s">
        <v>4553</v>
      </c>
      <c r="AE1440" t="b">
        <v>0</v>
      </c>
      <c r="AF1440">
        <v>1</v>
      </c>
      <c r="AG1440" s="78" t="s">
        <v>4722</v>
      </c>
      <c r="AH1440" t="b">
        <v>0</v>
      </c>
      <c r="AI1440" t="s">
        <v>4829</v>
      </c>
      <c r="AK1440" s="78" t="s">
        <v>4640</v>
      </c>
      <c r="AL1440" t="b">
        <v>0</v>
      </c>
      <c r="AM1440">
        <v>0</v>
      </c>
      <c r="AN1440" s="78" t="s">
        <v>4640</v>
      </c>
      <c r="AO1440" s="78" t="s">
        <v>4850</v>
      </c>
      <c r="AP1440" t="b">
        <v>0</v>
      </c>
      <c r="AQ1440" s="78" t="s">
        <v>4553</v>
      </c>
      <c r="AR1440" t="s">
        <v>179</v>
      </c>
      <c r="AS1440">
        <v>0</v>
      </c>
      <c r="AT1440">
        <v>0</v>
      </c>
    </row>
    <row r="1441" spans="1:46" x14ac:dyDescent="0.45">
      <c r="A1441" s="62" t="s">
        <v>618</v>
      </c>
      <c r="B1441" s="62" t="s">
        <v>242</v>
      </c>
      <c r="C1441" s="63"/>
      <c r="D1441" s="64"/>
      <c r="E1441" s="65"/>
      <c r="F1441" s="66"/>
      <c r="G1441" s="63"/>
      <c r="H1441" s="67"/>
      <c r="I1441" s="68"/>
      <c r="J1441" s="68"/>
      <c r="K1441" s="32"/>
      <c r="L1441" s="75"/>
      <c r="M1441" s="75"/>
      <c r="N1441" s="70"/>
      <c r="O1441" t="s">
        <v>1568</v>
      </c>
      <c r="P1441" s="76">
        <v>44958.822280092594</v>
      </c>
      <c r="Q1441" t="s">
        <v>1827</v>
      </c>
      <c r="V1441" s="77" t="str">
        <f>HYPERLINK("https://pbs.twimg.com/profile_images/1608221007877230601/nSALKhPX_normal.jpg")</f>
        <v>https://pbs.twimg.com/profile_images/1608221007877230601/nSALKhPX_normal.jpg</v>
      </c>
      <c r="W1441" s="76">
        <v>44958.822280092594</v>
      </c>
      <c r="X1441" s="80">
        <v>44958</v>
      </c>
      <c r="Y1441" s="78" t="s">
        <v>2819</v>
      </c>
      <c r="Z1441" s="77" t="str">
        <f>HYPERLINK("https://twitter.com/thesmithdeep/status/1620870623861026816")</f>
        <v>https://twitter.com/thesmithdeep/status/1620870623861026816</v>
      </c>
      <c r="AC1441" s="78" t="s">
        <v>3882</v>
      </c>
      <c r="AD1441" s="78" t="s">
        <v>4553</v>
      </c>
      <c r="AE1441" t="b">
        <v>0</v>
      </c>
      <c r="AF1441">
        <v>1</v>
      </c>
      <c r="AG1441" s="78" t="s">
        <v>4722</v>
      </c>
      <c r="AH1441" t="b">
        <v>0</v>
      </c>
      <c r="AI1441" t="s">
        <v>4829</v>
      </c>
      <c r="AK1441" s="78" t="s">
        <v>4640</v>
      </c>
      <c r="AL1441" t="b">
        <v>0</v>
      </c>
      <c r="AM1441">
        <v>0</v>
      </c>
      <c r="AN1441" s="78" t="s">
        <v>4640</v>
      </c>
      <c r="AO1441" s="78" t="s">
        <v>4850</v>
      </c>
      <c r="AP1441" t="b">
        <v>0</v>
      </c>
      <c r="AQ1441" s="78" t="s">
        <v>4553</v>
      </c>
      <c r="AR1441" t="s">
        <v>179</v>
      </c>
      <c r="AS1441">
        <v>0</v>
      </c>
      <c r="AT1441">
        <v>0</v>
      </c>
    </row>
    <row r="1442" spans="1:46" x14ac:dyDescent="0.45">
      <c r="A1442" s="62" t="s">
        <v>633</v>
      </c>
      <c r="B1442" s="62" t="s">
        <v>242</v>
      </c>
      <c r="C1442" s="63"/>
      <c r="D1442" s="64"/>
      <c r="E1442" s="65"/>
      <c r="F1442" s="66"/>
      <c r="G1442" s="63"/>
      <c r="H1442" s="67"/>
      <c r="I1442" s="68"/>
      <c r="J1442" s="68"/>
      <c r="K1442" s="32"/>
      <c r="L1442" s="75"/>
      <c r="M1442" s="75"/>
      <c r="N1442" s="70"/>
      <c r="O1442" t="s">
        <v>1568</v>
      </c>
      <c r="P1442" s="76">
        <v>44958.839178240742</v>
      </c>
      <c r="Q1442" t="s">
        <v>1835</v>
      </c>
      <c r="V1442" s="77" t="str">
        <f>HYPERLINK("https://pbs.twimg.com/profile_images/1612748211386449920/z_m-RHAX_normal.jpg")</f>
        <v>https://pbs.twimg.com/profile_images/1612748211386449920/z_m-RHAX_normal.jpg</v>
      </c>
      <c r="W1442" s="76">
        <v>44958.839178240742</v>
      </c>
      <c r="X1442" s="80">
        <v>44958</v>
      </c>
      <c r="Y1442" s="78" t="s">
        <v>2833</v>
      </c>
      <c r="Z1442" s="77" t="str">
        <f>HYPERLINK("https://twitter.com/thiccasz_jay/status/1620876746525655045")</f>
        <v>https://twitter.com/thiccasz_jay/status/1620876746525655045</v>
      </c>
      <c r="AC1442" s="78" t="s">
        <v>3897</v>
      </c>
      <c r="AE1442" t="b">
        <v>0</v>
      </c>
      <c r="AF1442">
        <v>1</v>
      </c>
      <c r="AG1442" s="78" t="s">
        <v>4640</v>
      </c>
      <c r="AH1442" t="b">
        <v>0</v>
      </c>
      <c r="AI1442" t="s">
        <v>4829</v>
      </c>
      <c r="AK1442" s="78" t="s">
        <v>4640</v>
      </c>
      <c r="AL1442" t="b">
        <v>0</v>
      </c>
      <c r="AM1442">
        <v>0</v>
      </c>
      <c r="AN1442" s="78" t="s">
        <v>4640</v>
      </c>
      <c r="AO1442" s="78" t="s">
        <v>4849</v>
      </c>
      <c r="AP1442" t="b">
        <v>0</v>
      </c>
      <c r="AQ1442" s="78" t="s">
        <v>3897</v>
      </c>
      <c r="AR1442" t="s">
        <v>179</v>
      </c>
      <c r="AS1442">
        <v>0</v>
      </c>
      <c r="AT1442">
        <v>0</v>
      </c>
    </row>
    <row r="1443" spans="1:46" x14ac:dyDescent="0.45">
      <c r="A1443" s="62" t="s">
        <v>635</v>
      </c>
      <c r="B1443" s="62" t="s">
        <v>1230</v>
      </c>
      <c r="C1443" s="63"/>
      <c r="D1443" s="64"/>
      <c r="E1443" s="65"/>
      <c r="F1443" s="66"/>
      <c r="G1443" s="63"/>
      <c r="H1443" s="67"/>
      <c r="I1443" s="68"/>
      <c r="J1443" s="68"/>
      <c r="K1443" s="32"/>
      <c r="L1443" s="75"/>
      <c r="M1443" s="75"/>
      <c r="N1443" s="70"/>
      <c r="O1443" t="s">
        <v>1568</v>
      </c>
      <c r="P1443" s="76">
        <v>44958.840775462966</v>
      </c>
      <c r="Q1443" t="s">
        <v>1838</v>
      </c>
      <c r="U1443" s="77" t="str">
        <f>HYPERLINK("https://pbs.twimg.com/tweet_video_thumb/Fn6DVNAXEA4GPgu.jpg")</f>
        <v>https://pbs.twimg.com/tweet_video_thumb/Fn6DVNAXEA4GPgu.jpg</v>
      </c>
      <c r="V1443" s="77" t="str">
        <f>HYPERLINK("https://pbs.twimg.com/tweet_video_thumb/Fn6DVNAXEA4GPgu.jpg")</f>
        <v>https://pbs.twimg.com/tweet_video_thumb/Fn6DVNAXEA4GPgu.jpg</v>
      </c>
      <c r="W1443" s="76">
        <v>44958.840775462966</v>
      </c>
      <c r="X1443" s="80">
        <v>44958</v>
      </c>
      <c r="Y1443" s="78" t="s">
        <v>2836</v>
      </c>
      <c r="Z1443" s="77" t="str">
        <f>HYPERLINK("https://twitter.com/bannedb4u/status/1620877327403220992")</f>
        <v>https://twitter.com/bannedb4u/status/1620877327403220992</v>
      </c>
      <c r="AC1443" s="78" t="s">
        <v>3900</v>
      </c>
      <c r="AD1443" s="78" t="s">
        <v>4473</v>
      </c>
      <c r="AE1443" t="b">
        <v>0</v>
      </c>
      <c r="AF1443">
        <v>1</v>
      </c>
      <c r="AG1443" s="78" t="s">
        <v>4639</v>
      </c>
      <c r="AH1443" t="b">
        <v>0</v>
      </c>
      <c r="AI1443" t="s">
        <v>4829</v>
      </c>
      <c r="AK1443" s="78" t="s">
        <v>4640</v>
      </c>
      <c r="AL1443" t="b">
        <v>0</v>
      </c>
      <c r="AM1443">
        <v>0</v>
      </c>
      <c r="AN1443" s="78" t="s">
        <v>4640</v>
      </c>
      <c r="AO1443" s="78" t="s">
        <v>4849</v>
      </c>
      <c r="AP1443" t="b">
        <v>0</v>
      </c>
      <c r="AQ1443" s="78" t="s">
        <v>4473</v>
      </c>
      <c r="AR1443" t="s">
        <v>179</v>
      </c>
      <c r="AS1443">
        <v>0</v>
      </c>
      <c r="AT1443">
        <v>0</v>
      </c>
    </row>
    <row r="1444" spans="1:46" x14ac:dyDescent="0.45">
      <c r="A1444" s="62" t="s">
        <v>635</v>
      </c>
      <c r="B1444" s="62" t="s">
        <v>242</v>
      </c>
      <c r="C1444" s="63"/>
      <c r="D1444" s="64"/>
      <c r="E1444" s="65"/>
      <c r="F1444" s="66"/>
      <c r="G1444" s="63"/>
      <c r="H1444" s="67"/>
      <c r="I1444" s="68"/>
      <c r="J1444" s="68"/>
      <c r="K1444" s="32"/>
      <c r="L1444" s="75"/>
      <c r="M1444" s="75"/>
      <c r="N1444" s="70"/>
      <c r="O1444" t="s">
        <v>1567</v>
      </c>
      <c r="P1444" s="76">
        <v>44958.840775462966</v>
      </c>
      <c r="Q1444" t="s">
        <v>1838</v>
      </c>
      <c r="U1444" s="77" t="str">
        <f>HYPERLINK("https://pbs.twimg.com/tweet_video_thumb/Fn6DVNAXEA4GPgu.jpg")</f>
        <v>https://pbs.twimg.com/tweet_video_thumb/Fn6DVNAXEA4GPgu.jpg</v>
      </c>
      <c r="V1444" s="77" t="str">
        <f>HYPERLINK("https://pbs.twimg.com/tweet_video_thumb/Fn6DVNAXEA4GPgu.jpg")</f>
        <v>https://pbs.twimg.com/tweet_video_thumb/Fn6DVNAXEA4GPgu.jpg</v>
      </c>
      <c r="W1444" s="76">
        <v>44958.840775462966</v>
      </c>
      <c r="X1444" s="80">
        <v>44958</v>
      </c>
      <c r="Y1444" s="78" t="s">
        <v>2836</v>
      </c>
      <c r="Z1444" s="77" t="str">
        <f>HYPERLINK("https://twitter.com/bannedb4u/status/1620877327403220992")</f>
        <v>https://twitter.com/bannedb4u/status/1620877327403220992</v>
      </c>
      <c r="AC1444" s="78" t="s">
        <v>3900</v>
      </c>
      <c r="AD1444" s="78" t="s">
        <v>4473</v>
      </c>
      <c r="AE1444" t="b">
        <v>0</v>
      </c>
      <c r="AF1444">
        <v>1</v>
      </c>
      <c r="AG1444" s="78" t="s">
        <v>4639</v>
      </c>
      <c r="AH1444" t="b">
        <v>0</v>
      </c>
      <c r="AI1444" t="s">
        <v>4829</v>
      </c>
      <c r="AK1444" s="78" t="s">
        <v>4640</v>
      </c>
      <c r="AL1444" t="b">
        <v>0</v>
      </c>
      <c r="AM1444">
        <v>0</v>
      </c>
      <c r="AN1444" s="78" t="s">
        <v>4640</v>
      </c>
      <c r="AO1444" s="78" t="s">
        <v>4849</v>
      </c>
      <c r="AP1444" t="b">
        <v>0</v>
      </c>
      <c r="AQ1444" s="78" t="s">
        <v>4473</v>
      </c>
      <c r="AR1444" t="s">
        <v>179</v>
      </c>
      <c r="AS1444">
        <v>0</v>
      </c>
      <c r="AT1444">
        <v>0</v>
      </c>
    </row>
    <row r="1445" spans="1:46" x14ac:dyDescent="0.45">
      <c r="A1445" s="62" t="s">
        <v>637</v>
      </c>
      <c r="B1445" s="62" t="s">
        <v>1315</v>
      </c>
      <c r="C1445" s="63"/>
      <c r="D1445" s="64"/>
      <c r="E1445" s="65"/>
      <c r="F1445" s="66"/>
      <c r="G1445" s="63"/>
      <c r="H1445" s="67"/>
      <c r="I1445" s="68"/>
      <c r="J1445" s="68"/>
      <c r="K1445" s="32"/>
      <c r="L1445" s="75"/>
      <c r="M1445" s="75"/>
      <c r="N1445" s="70"/>
      <c r="O1445" t="s">
        <v>1567</v>
      </c>
      <c r="P1445" s="76">
        <v>44958.842233796298</v>
      </c>
      <c r="Q1445" t="s">
        <v>1840</v>
      </c>
      <c r="V1445" s="77" t="str">
        <f>HYPERLINK("https://pbs.twimg.com/profile_images/1602705672717713409/6e8fA5rz_normal.jpg")</f>
        <v>https://pbs.twimg.com/profile_images/1602705672717713409/6e8fA5rz_normal.jpg</v>
      </c>
      <c r="W1445" s="76">
        <v>44958.842233796298</v>
      </c>
      <c r="X1445" s="80">
        <v>44958</v>
      </c>
      <c r="Y1445" s="78" t="s">
        <v>2838</v>
      </c>
      <c r="Z1445" s="77" t="str">
        <f>HYPERLINK("https://twitter.com/delroar/status/1620877855185055745")</f>
        <v>https://twitter.com/delroar/status/1620877855185055745</v>
      </c>
      <c r="AC1445" s="78" t="s">
        <v>3902</v>
      </c>
      <c r="AD1445" s="78" t="s">
        <v>4555</v>
      </c>
      <c r="AE1445" t="b">
        <v>0</v>
      </c>
      <c r="AF1445">
        <v>1</v>
      </c>
      <c r="AG1445" s="78" t="s">
        <v>4724</v>
      </c>
      <c r="AH1445" t="b">
        <v>0</v>
      </c>
      <c r="AI1445" t="s">
        <v>4829</v>
      </c>
      <c r="AK1445" s="78" t="s">
        <v>4640</v>
      </c>
      <c r="AL1445" t="b">
        <v>0</v>
      </c>
      <c r="AM1445">
        <v>0</v>
      </c>
      <c r="AN1445" s="78" t="s">
        <v>4640</v>
      </c>
      <c r="AO1445" s="78" t="s">
        <v>4849</v>
      </c>
      <c r="AP1445" t="b">
        <v>0</v>
      </c>
      <c r="AQ1445" s="78" t="s">
        <v>4555</v>
      </c>
      <c r="AR1445" t="s">
        <v>179</v>
      </c>
      <c r="AS1445">
        <v>0</v>
      </c>
      <c r="AT1445">
        <v>0</v>
      </c>
    </row>
    <row r="1446" spans="1:46" x14ac:dyDescent="0.45">
      <c r="A1446" s="62" t="s">
        <v>637</v>
      </c>
      <c r="B1446" s="62" t="s">
        <v>242</v>
      </c>
      <c r="C1446" s="63"/>
      <c r="D1446" s="64"/>
      <c r="E1446" s="65"/>
      <c r="F1446" s="66"/>
      <c r="G1446" s="63"/>
      <c r="H1446" s="67"/>
      <c r="I1446" s="68"/>
      <c r="J1446" s="68"/>
      <c r="K1446" s="32"/>
      <c r="L1446" s="75"/>
      <c r="M1446" s="75"/>
      <c r="N1446" s="70"/>
      <c r="O1446" t="s">
        <v>1568</v>
      </c>
      <c r="P1446" s="76">
        <v>44958.842233796298</v>
      </c>
      <c r="Q1446" t="s">
        <v>1840</v>
      </c>
      <c r="V1446" s="77" t="str">
        <f>HYPERLINK("https://pbs.twimg.com/profile_images/1602705672717713409/6e8fA5rz_normal.jpg")</f>
        <v>https://pbs.twimg.com/profile_images/1602705672717713409/6e8fA5rz_normal.jpg</v>
      </c>
      <c r="W1446" s="76">
        <v>44958.842233796298</v>
      </c>
      <c r="X1446" s="80">
        <v>44958</v>
      </c>
      <c r="Y1446" s="78" t="s">
        <v>2838</v>
      </c>
      <c r="Z1446" s="77" t="str">
        <f>HYPERLINK("https://twitter.com/delroar/status/1620877855185055745")</f>
        <v>https://twitter.com/delroar/status/1620877855185055745</v>
      </c>
      <c r="AC1446" s="78" t="s">
        <v>3902</v>
      </c>
      <c r="AD1446" s="78" t="s">
        <v>4555</v>
      </c>
      <c r="AE1446" t="b">
        <v>0</v>
      </c>
      <c r="AF1446">
        <v>1</v>
      </c>
      <c r="AG1446" s="78" t="s">
        <v>4724</v>
      </c>
      <c r="AH1446" t="b">
        <v>0</v>
      </c>
      <c r="AI1446" t="s">
        <v>4829</v>
      </c>
      <c r="AK1446" s="78" t="s">
        <v>4640</v>
      </c>
      <c r="AL1446" t="b">
        <v>0</v>
      </c>
      <c r="AM1446">
        <v>0</v>
      </c>
      <c r="AN1446" s="78" t="s">
        <v>4640</v>
      </c>
      <c r="AO1446" s="78" t="s">
        <v>4849</v>
      </c>
      <c r="AP1446" t="b">
        <v>0</v>
      </c>
      <c r="AQ1446" s="78" t="s">
        <v>4555</v>
      </c>
      <c r="AR1446" t="s">
        <v>179</v>
      </c>
      <c r="AS1446">
        <v>0</v>
      </c>
      <c r="AT1446">
        <v>0</v>
      </c>
    </row>
    <row r="1447" spans="1:46" x14ac:dyDescent="0.45">
      <c r="A1447" s="62" t="s">
        <v>670</v>
      </c>
      <c r="B1447" s="62" t="s">
        <v>242</v>
      </c>
      <c r="C1447" s="63"/>
      <c r="D1447" s="64"/>
      <c r="E1447" s="65"/>
      <c r="F1447" s="66"/>
      <c r="G1447" s="63"/>
      <c r="H1447" s="67"/>
      <c r="I1447" s="68"/>
      <c r="J1447" s="68"/>
      <c r="K1447" s="32"/>
      <c r="L1447" s="75"/>
      <c r="M1447" s="75"/>
      <c r="N1447" s="70"/>
      <c r="O1447" t="s">
        <v>1568</v>
      </c>
      <c r="P1447" s="76">
        <v>44958.866793981484</v>
      </c>
      <c r="Q1447" t="s">
        <v>1859</v>
      </c>
      <c r="U1447" s="77" t="str">
        <f>HYPERLINK("https://pbs.twimg.com/ext_tw_video_thumb/1620886680394768385/pu/img/_wLCbWl75qG-2tfU.jpg")</f>
        <v>https://pbs.twimg.com/ext_tw_video_thumb/1620886680394768385/pu/img/_wLCbWl75qG-2tfU.jpg</v>
      </c>
      <c r="V1447" s="77" t="str">
        <f>HYPERLINK("https://pbs.twimg.com/ext_tw_video_thumb/1620886680394768385/pu/img/_wLCbWl75qG-2tfU.jpg")</f>
        <v>https://pbs.twimg.com/ext_tw_video_thumb/1620886680394768385/pu/img/_wLCbWl75qG-2tfU.jpg</v>
      </c>
      <c r="W1447" s="76">
        <v>44958.866793981484</v>
      </c>
      <c r="X1447" s="80">
        <v>44958</v>
      </c>
      <c r="Y1447" s="78" t="s">
        <v>2871</v>
      </c>
      <c r="Z1447" s="77" t="str">
        <f>HYPERLINK("https://twitter.com/whisperamber/status/1620886754990649344")</f>
        <v>https://twitter.com/whisperamber/status/1620886754990649344</v>
      </c>
      <c r="AC1447" s="78" t="s">
        <v>3936</v>
      </c>
      <c r="AE1447" t="b">
        <v>0</v>
      </c>
      <c r="AF1447">
        <v>1</v>
      </c>
      <c r="AG1447" s="78" t="s">
        <v>4640</v>
      </c>
      <c r="AH1447" t="b">
        <v>0</v>
      </c>
      <c r="AI1447" t="s">
        <v>4829</v>
      </c>
      <c r="AK1447" s="78" t="s">
        <v>4640</v>
      </c>
      <c r="AL1447" t="b">
        <v>0</v>
      </c>
      <c r="AM1447">
        <v>0</v>
      </c>
      <c r="AN1447" s="78" t="s">
        <v>4640</v>
      </c>
      <c r="AO1447" s="78" t="s">
        <v>4849</v>
      </c>
      <c r="AP1447" t="b">
        <v>0</v>
      </c>
      <c r="AQ1447" s="78" t="s">
        <v>3936</v>
      </c>
      <c r="AR1447" t="s">
        <v>179</v>
      </c>
      <c r="AS1447">
        <v>0</v>
      </c>
      <c r="AT1447">
        <v>0</v>
      </c>
    </row>
    <row r="1448" spans="1:46" x14ac:dyDescent="0.45">
      <c r="A1448" s="62" t="s">
        <v>680</v>
      </c>
      <c r="B1448" s="62" t="s">
        <v>679</v>
      </c>
      <c r="C1448" s="63"/>
      <c r="D1448" s="64"/>
      <c r="E1448" s="65"/>
      <c r="F1448" s="66"/>
      <c r="G1448" s="63"/>
      <c r="H1448" s="67"/>
      <c r="I1448" s="68"/>
      <c r="J1448" s="68"/>
      <c r="K1448" s="32"/>
      <c r="L1448" s="75"/>
      <c r="M1448" s="75"/>
      <c r="N1448" s="70"/>
      <c r="O1448" t="s">
        <v>1567</v>
      </c>
      <c r="P1448" s="76">
        <v>44958.8669212963</v>
      </c>
      <c r="Q1448" t="s">
        <v>1865</v>
      </c>
      <c r="V1448" s="77" t="str">
        <f>HYPERLINK("https://pbs.twimg.com/profile_images/1604286969965592578/9lNSzwHV_normal.jpg")</f>
        <v>https://pbs.twimg.com/profile_images/1604286969965592578/9lNSzwHV_normal.jpg</v>
      </c>
      <c r="W1448" s="76">
        <v>44958.8669212963</v>
      </c>
      <c r="X1448" s="80">
        <v>44958</v>
      </c>
      <c r="Y1448" s="78" t="s">
        <v>2881</v>
      </c>
      <c r="Z1448" s="77" t="str">
        <f>HYPERLINK("https://twitter.com/ann14295260/status/1620886798405898240")</f>
        <v>https://twitter.com/ann14295260/status/1620886798405898240</v>
      </c>
      <c r="AC1448" s="78" t="s">
        <v>3946</v>
      </c>
      <c r="AD1448" s="78" t="s">
        <v>3945</v>
      </c>
      <c r="AE1448" t="b">
        <v>0</v>
      </c>
      <c r="AF1448">
        <v>1</v>
      </c>
      <c r="AG1448" s="78" t="s">
        <v>4725</v>
      </c>
      <c r="AH1448" t="b">
        <v>0</v>
      </c>
      <c r="AI1448" t="s">
        <v>4829</v>
      </c>
      <c r="AK1448" s="78" t="s">
        <v>4640</v>
      </c>
      <c r="AL1448" t="b">
        <v>0</v>
      </c>
      <c r="AM1448">
        <v>0</v>
      </c>
      <c r="AN1448" s="78" t="s">
        <v>4640</v>
      </c>
      <c r="AO1448" s="78" t="s">
        <v>4852</v>
      </c>
      <c r="AP1448" t="b">
        <v>0</v>
      </c>
      <c r="AQ1448" s="78" t="s">
        <v>3945</v>
      </c>
      <c r="AR1448" t="s">
        <v>179</v>
      </c>
      <c r="AS1448">
        <v>0</v>
      </c>
      <c r="AT1448">
        <v>0</v>
      </c>
    </row>
    <row r="1449" spans="1:46" x14ac:dyDescent="0.45">
      <c r="A1449" s="62" t="s">
        <v>681</v>
      </c>
      <c r="B1449" s="62" t="s">
        <v>679</v>
      </c>
      <c r="C1449" s="63"/>
      <c r="D1449" s="64"/>
      <c r="E1449" s="65"/>
      <c r="F1449" s="66"/>
      <c r="G1449" s="63"/>
      <c r="H1449" s="67"/>
      <c r="I1449" s="68"/>
      <c r="J1449" s="68"/>
      <c r="K1449" s="32"/>
      <c r="L1449" s="75"/>
      <c r="M1449" s="75"/>
      <c r="N1449" s="70"/>
      <c r="O1449" t="s">
        <v>1568</v>
      </c>
      <c r="P1449" s="76">
        <v>44958.876956018517</v>
      </c>
      <c r="Q1449" t="s">
        <v>1866</v>
      </c>
      <c r="V1449" s="77" t="str">
        <f>HYPERLINK("https://pbs.twimg.com/profile_images/1557781393631023106/cMHk51tf_normal.jpg")</f>
        <v>https://pbs.twimg.com/profile_images/1557781393631023106/cMHk51tf_normal.jpg</v>
      </c>
      <c r="W1449" s="76">
        <v>44958.876956018517</v>
      </c>
      <c r="X1449" s="80">
        <v>44958</v>
      </c>
      <c r="Y1449" s="78" t="s">
        <v>2882</v>
      </c>
      <c r="Z1449" s="77" t="str">
        <f>HYPERLINK("https://twitter.com/billymcdonald2/status/1620890435463053313")</f>
        <v>https://twitter.com/billymcdonald2/status/1620890435463053313</v>
      </c>
      <c r="AC1449" s="78" t="s">
        <v>3947</v>
      </c>
      <c r="AD1449" s="78" t="s">
        <v>3946</v>
      </c>
      <c r="AE1449" t="b">
        <v>0</v>
      </c>
      <c r="AF1449">
        <v>1</v>
      </c>
      <c r="AG1449" s="78" t="s">
        <v>4726</v>
      </c>
      <c r="AH1449" t="b">
        <v>0</v>
      </c>
      <c r="AI1449" t="s">
        <v>4829</v>
      </c>
      <c r="AK1449" s="78" t="s">
        <v>4640</v>
      </c>
      <c r="AL1449" t="b">
        <v>0</v>
      </c>
      <c r="AM1449">
        <v>0</v>
      </c>
      <c r="AN1449" s="78" t="s">
        <v>4640</v>
      </c>
      <c r="AO1449" s="78" t="s">
        <v>4849</v>
      </c>
      <c r="AP1449" t="b">
        <v>0</v>
      </c>
      <c r="AQ1449" s="78" t="s">
        <v>3946</v>
      </c>
      <c r="AR1449" t="s">
        <v>179</v>
      </c>
      <c r="AS1449">
        <v>0</v>
      </c>
      <c r="AT1449">
        <v>0</v>
      </c>
    </row>
    <row r="1450" spans="1:46" x14ac:dyDescent="0.45">
      <c r="A1450" s="62" t="s">
        <v>680</v>
      </c>
      <c r="B1450" s="62" t="s">
        <v>242</v>
      </c>
      <c r="C1450" s="63"/>
      <c r="D1450" s="64"/>
      <c r="E1450" s="65"/>
      <c r="F1450" s="66"/>
      <c r="G1450" s="63"/>
      <c r="H1450" s="67"/>
      <c r="I1450" s="68"/>
      <c r="J1450" s="68"/>
      <c r="K1450" s="32"/>
      <c r="L1450" s="75"/>
      <c r="M1450" s="75"/>
      <c r="N1450" s="70"/>
      <c r="O1450" t="s">
        <v>1568</v>
      </c>
      <c r="P1450" s="76">
        <v>44958.8669212963</v>
      </c>
      <c r="Q1450" t="s">
        <v>1865</v>
      </c>
      <c r="V1450" s="77" t="str">
        <f>HYPERLINK("https://pbs.twimg.com/profile_images/1604286969965592578/9lNSzwHV_normal.jpg")</f>
        <v>https://pbs.twimg.com/profile_images/1604286969965592578/9lNSzwHV_normal.jpg</v>
      </c>
      <c r="W1450" s="76">
        <v>44958.8669212963</v>
      </c>
      <c r="X1450" s="80">
        <v>44958</v>
      </c>
      <c r="Y1450" s="78" t="s">
        <v>2881</v>
      </c>
      <c r="Z1450" s="77" t="str">
        <f>HYPERLINK("https://twitter.com/ann14295260/status/1620886798405898240")</f>
        <v>https://twitter.com/ann14295260/status/1620886798405898240</v>
      </c>
      <c r="AC1450" s="78" t="s">
        <v>3946</v>
      </c>
      <c r="AD1450" s="78" t="s">
        <v>3945</v>
      </c>
      <c r="AE1450" t="b">
        <v>0</v>
      </c>
      <c r="AF1450">
        <v>1</v>
      </c>
      <c r="AG1450" s="78" t="s">
        <v>4725</v>
      </c>
      <c r="AH1450" t="b">
        <v>0</v>
      </c>
      <c r="AI1450" t="s">
        <v>4829</v>
      </c>
      <c r="AK1450" s="78" t="s">
        <v>4640</v>
      </c>
      <c r="AL1450" t="b">
        <v>0</v>
      </c>
      <c r="AM1450">
        <v>0</v>
      </c>
      <c r="AN1450" s="78" t="s">
        <v>4640</v>
      </c>
      <c r="AO1450" s="78" t="s">
        <v>4852</v>
      </c>
      <c r="AP1450" t="b">
        <v>0</v>
      </c>
      <c r="AQ1450" s="78" t="s">
        <v>3945</v>
      </c>
      <c r="AR1450" t="s">
        <v>179</v>
      </c>
      <c r="AS1450">
        <v>0</v>
      </c>
      <c r="AT1450">
        <v>0</v>
      </c>
    </row>
    <row r="1451" spans="1:46" x14ac:dyDescent="0.45">
      <c r="A1451" s="62" t="s">
        <v>681</v>
      </c>
      <c r="B1451" s="62" t="s">
        <v>680</v>
      </c>
      <c r="C1451" s="63"/>
      <c r="D1451" s="64"/>
      <c r="E1451" s="65"/>
      <c r="F1451" s="66"/>
      <c r="G1451" s="63"/>
      <c r="H1451" s="67"/>
      <c r="I1451" s="68"/>
      <c r="J1451" s="68"/>
      <c r="K1451" s="32"/>
      <c r="L1451" s="75"/>
      <c r="M1451" s="75"/>
      <c r="N1451" s="70"/>
      <c r="O1451" t="s">
        <v>1567</v>
      </c>
      <c r="P1451" s="76">
        <v>44958.876956018517</v>
      </c>
      <c r="Q1451" t="s">
        <v>1866</v>
      </c>
      <c r="V1451" s="77" t="str">
        <f>HYPERLINK("https://pbs.twimg.com/profile_images/1557781393631023106/cMHk51tf_normal.jpg")</f>
        <v>https://pbs.twimg.com/profile_images/1557781393631023106/cMHk51tf_normal.jpg</v>
      </c>
      <c r="W1451" s="76">
        <v>44958.876956018517</v>
      </c>
      <c r="X1451" s="80">
        <v>44958</v>
      </c>
      <c r="Y1451" s="78" t="s">
        <v>2882</v>
      </c>
      <c r="Z1451" s="77" t="str">
        <f>HYPERLINK("https://twitter.com/billymcdonald2/status/1620890435463053313")</f>
        <v>https://twitter.com/billymcdonald2/status/1620890435463053313</v>
      </c>
      <c r="AC1451" s="78" t="s">
        <v>3947</v>
      </c>
      <c r="AD1451" s="78" t="s">
        <v>3946</v>
      </c>
      <c r="AE1451" t="b">
        <v>0</v>
      </c>
      <c r="AF1451">
        <v>1</v>
      </c>
      <c r="AG1451" s="78" t="s">
        <v>4726</v>
      </c>
      <c r="AH1451" t="b">
        <v>0</v>
      </c>
      <c r="AI1451" t="s">
        <v>4829</v>
      </c>
      <c r="AK1451" s="78" t="s">
        <v>4640</v>
      </c>
      <c r="AL1451" t="b">
        <v>0</v>
      </c>
      <c r="AM1451">
        <v>0</v>
      </c>
      <c r="AN1451" s="78" t="s">
        <v>4640</v>
      </c>
      <c r="AO1451" s="78" t="s">
        <v>4849</v>
      </c>
      <c r="AP1451" t="b">
        <v>0</v>
      </c>
      <c r="AQ1451" s="78" t="s">
        <v>3946</v>
      </c>
      <c r="AR1451" t="s">
        <v>179</v>
      </c>
      <c r="AS1451">
        <v>0</v>
      </c>
      <c r="AT1451">
        <v>0</v>
      </c>
    </row>
    <row r="1452" spans="1:46" x14ac:dyDescent="0.45">
      <c r="A1452" s="62" t="s">
        <v>681</v>
      </c>
      <c r="B1452" s="62" t="s">
        <v>242</v>
      </c>
      <c r="C1452" s="63"/>
      <c r="D1452" s="64"/>
      <c r="E1452" s="65"/>
      <c r="F1452" s="66"/>
      <c r="G1452" s="63"/>
      <c r="H1452" s="67"/>
      <c r="I1452" s="68"/>
      <c r="J1452" s="68"/>
      <c r="K1452" s="32"/>
      <c r="L1452" s="75"/>
      <c r="M1452" s="75"/>
      <c r="N1452" s="70"/>
      <c r="O1452" t="s">
        <v>1568</v>
      </c>
      <c r="P1452" s="76">
        <v>44958.876956018517</v>
      </c>
      <c r="Q1452" t="s">
        <v>1866</v>
      </c>
      <c r="V1452" s="77" t="str">
        <f>HYPERLINK("https://pbs.twimg.com/profile_images/1557781393631023106/cMHk51tf_normal.jpg")</f>
        <v>https://pbs.twimg.com/profile_images/1557781393631023106/cMHk51tf_normal.jpg</v>
      </c>
      <c r="W1452" s="76">
        <v>44958.876956018517</v>
      </c>
      <c r="X1452" s="80">
        <v>44958</v>
      </c>
      <c r="Y1452" s="78" t="s">
        <v>2882</v>
      </c>
      <c r="Z1452" s="77" t="str">
        <f>HYPERLINK("https://twitter.com/billymcdonald2/status/1620890435463053313")</f>
        <v>https://twitter.com/billymcdonald2/status/1620890435463053313</v>
      </c>
      <c r="AC1452" s="78" t="s">
        <v>3947</v>
      </c>
      <c r="AD1452" s="78" t="s">
        <v>3946</v>
      </c>
      <c r="AE1452" t="b">
        <v>0</v>
      </c>
      <c r="AF1452">
        <v>1</v>
      </c>
      <c r="AG1452" s="78" t="s">
        <v>4726</v>
      </c>
      <c r="AH1452" t="b">
        <v>0</v>
      </c>
      <c r="AI1452" t="s">
        <v>4829</v>
      </c>
      <c r="AK1452" s="78" t="s">
        <v>4640</v>
      </c>
      <c r="AL1452" t="b">
        <v>0</v>
      </c>
      <c r="AM1452">
        <v>0</v>
      </c>
      <c r="AN1452" s="78" t="s">
        <v>4640</v>
      </c>
      <c r="AO1452" s="78" t="s">
        <v>4849</v>
      </c>
      <c r="AP1452" t="b">
        <v>0</v>
      </c>
      <c r="AQ1452" s="78" t="s">
        <v>3946</v>
      </c>
      <c r="AR1452" t="s">
        <v>179</v>
      </c>
      <c r="AS1452">
        <v>0</v>
      </c>
      <c r="AT1452">
        <v>0</v>
      </c>
    </row>
    <row r="1453" spans="1:46" x14ac:dyDescent="0.45">
      <c r="A1453" s="62" t="s">
        <v>687</v>
      </c>
      <c r="B1453" s="62" t="s">
        <v>242</v>
      </c>
      <c r="C1453" s="63"/>
      <c r="D1453" s="64"/>
      <c r="E1453" s="65"/>
      <c r="F1453" s="66"/>
      <c r="G1453" s="63"/>
      <c r="H1453" s="67"/>
      <c r="I1453" s="68"/>
      <c r="J1453" s="68"/>
      <c r="K1453" s="32"/>
      <c r="L1453" s="75"/>
      <c r="M1453" s="75"/>
      <c r="N1453" s="70"/>
      <c r="O1453" t="s">
        <v>1568</v>
      </c>
      <c r="P1453" s="76">
        <v>44958.88554398148</v>
      </c>
      <c r="Q1453" t="s">
        <v>1872</v>
      </c>
      <c r="V1453" s="77" t="str">
        <f>HYPERLINK("https://pbs.twimg.com/profile_images/1620638500457521152/6K5-Qrps_normal.jpg")</f>
        <v>https://pbs.twimg.com/profile_images/1620638500457521152/6K5-Qrps_normal.jpg</v>
      </c>
      <c r="W1453" s="76">
        <v>44958.88554398148</v>
      </c>
      <c r="X1453" s="80">
        <v>44958</v>
      </c>
      <c r="Y1453" s="78" t="s">
        <v>2889</v>
      </c>
      <c r="Z1453" s="77" t="str">
        <f>HYPERLINK("https://twitter.com/gregggggggggg4/status/1620893549733777408")</f>
        <v>https://twitter.com/gregggggggggg4/status/1620893549733777408</v>
      </c>
      <c r="AC1453" s="78" t="s">
        <v>3954</v>
      </c>
      <c r="AE1453" t="b">
        <v>0</v>
      </c>
      <c r="AF1453">
        <v>1</v>
      </c>
      <c r="AG1453" s="78" t="s">
        <v>4640</v>
      </c>
      <c r="AH1453" t="b">
        <v>0</v>
      </c>
      <c r="AI1453" t="s">
        <v>4829</v>
      </c>
      <c r="AK1453" s="78" t="s">
        <v>4640</v>
      </c>
      <c r="AL1453" t="b">
        <v>0</v>
      </c>
      <c r="AM1453">
        <v>0</v>
      </c>
      <c r="AN1453" s="78" t="s">
        <v>4640</v>
      </c>
      <c r="AO1453" s="78" t="s">
        <v>4849</v>
      </c>
      <c r="AP1453" t="b">
        <v>0</v>
      </c>
      <c r="AQ1453" s="78" t="s">
        <v>3954</v>
      </c>
      <c r="AR1453" t="s">
        <v>179</v>
      </c>
      <c r="AS1453">
        <v>0</v>
      </c>
      <c r="AT1453">
        <v>0</v>
      </c>
    </row>
    <row r="1454" spans="1:46" x14ac:dyDescent="0.45">
      <c r="A1454" s="62" t="s">
        <v>694</v>
      </c>
      <c r="B1454" s="62" t="s">
        <v>1230</v>
      </c>
      <c r="C1454" s="63"/>
      <c r="D1454" s="64"/>
      <c r="E1454" s="65"/>
      <c r="F1454" s="66"/>
      <c r="G1454" s="63"/>
      <c r="H1454" s="67"/>
      <c r="I1454" s="68"/>
      <c r="J1454" s="68"/>
      <c r="K1454" s="32"/>
      <c r="L1454" s="75"/>
      <c r="M1454" s="75"/>
      <c r="N1454" s="70"/>
      <c r="O1454" t="s">
        <v>1568</v>
      </c>
      <c r="P1454" s="76">
        <v>44958.891319444447</v>
      </c>
      <c r="Q1454" t="s">
        <v>1878</v>
      </c>
      <c r="V1454" s="77" t="str">
        <f>HYPERLINK("https://pbs.twimg.com/profile_images/1609756109073518593/QyON5YzN_normal.jpg")</f>
        <v>https://pbs.twimg.com/profile_images/1609756109073518593/QyON5YzN_normal.jpg</v>
      </c>
      <c r="W1454" s="76">
        <v>44958.891319444447</v>
      </c>
      <c r="X1454" s="80">
        <v>44958</v>
      </c>
      <c r="Y1454" s="78" t="s">
        <v>2897</v>
      </c>
      <c r="Z1454" s="77" t="str">
        <f>HYPERLINK("https://twitter.com/danielbeoni/status/1620895642288812034")</f>
        <v>https://twitter.com/danielbeoni/status/1620895642288812034</v>
      </c>
      <c r="AC1454" s="78" t="s">
        <v>3962</v>
      </c>
      <c r="AD1454" s="78" t="s">
        <v>4473</v>
      </c>
      <c r="AE1454" t="b">
        <v>0</v>
      </c>
      <c r="AF1454">
        <v>1</v>
      </c>
      <c r="AG1454" s="78" t="s">
        <v>4639</v>
      </c>
      <c r="AH1454" t="b">
        <v>0</v>
      </c>
      <c r="AI1454" t="s">
        <v>4829</v>
      </c>
      <c r="AK1454" s="78" t="s">
        <v>4640</v>
      </c>
      <c r="AL1454" t="b">
        <v>0</v>
      </c>
      <c r="AM1454">
        <v>0</v>
      </c>
      <c r="AN1454" s="78" t="s">
        <v>4640</v>
      </c>
      <c r="AO1454" s="78" t="s">
        <v>4849</v>
      </c>
      <c r="AP1454" t="b">
        <v>0</v>
      </c>
      <c r="AQ1454" s="78" t="s">
        <v>4473</v>
      </c>
      <c r="AR1454" t="s">
        <v>179</v>
      </c>
      <c r="AS1454">
        <v>0</v>
      </c>
      <c r="AT1454">
        <v>0</v>
      </c>
    </row>
    <row r="1455" spans="1:46" x14ac:dyDescent="0.45">
      <c r="A1455" s="62" t="s">
        <v>694</v>
      </c>
      <c r="B1455" s="62" t="s">
        <v>242</v>
      </c>
      <c r="C1455" s="63"/>
      <c r="D1455" s="64"/>
      <c r="E1455" s="65"/>
      <c r="F1455" s="66"/>
      <c r="G1455" s="63"/>
      <c r="H1455" s="67"/>
      <c r="I1455" s="68"/>
      <c r="J1455" s="68"/>
      <c r="K1455" s="32"/>
      <c r="L1455" s="75"/>
      <c r="M1455" s="75"/>
      <c r="N1455" s="70"/>
      <c r="O1455" t="s">
        <v>1567</v>
      </c>
      <c r="P1455" s="76">
        <v>44958.891319444447</v>
      </c>
      <c r="Q1455" t="s">
        <v>1878</v>
      </c>
      <c r="V1455" s="77" t="str">
        <f>HYPERLINK("https://pbs.twimg.com/profile_images/1609756109073518593/QyON5YzN_normal.jpg")</f>
        <v>https://pbs.twimg.com/profile_images/1609756109073518593/QyON5YzN_normal.jpg</v>
      </c>
      <c r="W1455" s="76">
        <v>44958.891319444447</v>
      </c>
      <c r="X1455" s="80">
        <v>44958</v>
      </c>
      <c r="Y1455" s="78" t="s">
        <v>2897</v>
      </c>
      <c r="Z1455" s="77" t="str">
        <f>HYPERLINK("https://twitter.com/danielbeoni/status/1620895642288812034")</f>
        <v>https://twitter.com/danielbeoni/status/1620895642288812034</v>
      </c>
      <c r="AC1455" s="78" t="s">
        <v>3962</v>
      </c>
      <c r="AD1455" s="78" t="s">
        <v>4473</v>
      </c>
      <c r="AE1455" t="b">
        <v>0</v>
      </c>
      <c r="AF1455">
        <v>1</v>
      </c>
      <c r="AG1455" s="78" t="s">
        <v>4639</v>
      </c>
      <c r="AH1455" t="b">
        <v>0</v>
      </c>
      <c r="AI1455" t="s">
        <v>4829</v>
      </c>
      <c r="AK1455" s="78" t="s">
        <v>4640</v>
      </c>
      <c r="AL1455" t="b">
        <v>0</v>
      </c>
      <c r="AM1455">
        <v>0</v>
      </c>
      <c r="AN1455" s="78" t="s">
        <v>4640</v>
      </c>
      <c r="AO1455" s="78" t="s">
        <v>4849</v>
      </c>
      <c r="AP1455" t="b">
        <v>0</v>
      </c>
      <c r="AQ1455" s="78" t="s">
        <v>4473</v>
      </c>
      <c r="AR1455" t="s">
        <v>179</v>
      </c>
      <c r="AS1455">
        <v>0</v>
      </c>
      <c r="AT1455">
        <v>0</v>
      </c>
    </row>
    <row r="1456" spans="1:46" x14ac:dyDescent="0.45">
      <c r="A1456" s="62" t="s">
        <v>709</v>
      </c>
      <c r="B1456" s="62" t="s">
        <v>242</v>
      </c>
      <c r="C1456" s="63"/>
      <c r="D1456" s="64"/>
      <c r="E1456" s="65"/>
      <c r="F1456" s="66"/>
      <c r="G1456" s="63"/>
      <c r="H1456" s="67"/>
      <c r="I1456" s="68"/>
      <c r="J1456" s="68"/>
      <c r="K1456" s="32"/>
      <c r="L1456" s="75"/>
      <c r="M1456" s="75"/>
      <c r="N1456" s="70"/>
      <c r="O1456" t="s">
        <v>1567</v>
      </c>
      <c r="P1456" s="76">
        <v>44958.606585648151</v>
      </c>
      <c r="Q1456" t="s">
        <v>1888</v>
      </c>
      <c r="V1456" s="77" t="str">
        <f>HYPERLINK("https://abs.twimg.com/sticky/default_profile_images/default_profile_normal.png")</f>
        <v>https://abs.twimg.com/sticky/default_profile_images/default_profile_normal.png</v>
      </c>
      <c r="W1456" s="76">
        <v>44958.606585648151</v>
      </c>
      <c r="X1456" s="80">
        <v>44958</v>
      </c>
      <c r="Y1456" s="78" t="s">
        <v>2914</v>
      </c>
      <c r="Z1456" s="77" t="str">
        <f>HYPERLINK("https://twitter.com/chris27678863/status/1620792456630644738")</f>
        <v>https://twitter.com/chris27678863/status/1620792456630644738</v>
      </c>
      <c r="AC1456" s="78" t="s">
        <v>3979</v>
      </c>
      <c r="AD1456" s="78" t="s">
        <v>4498</v>
      </c>
      <c r="AE1456" t="b">
        <v>0</v>
      </c>
      <c r="AF1456">
        <v>1</v>
      </c>
      <c r="AG1456" s="78" t="s">
        <v>4639</v>
      </c>
      <c r="AH1456" t="b">
        <v>0</v>
      </c>
      <c r="AI1456" t="s">
        <v>4829</v>
      </c>
      <c r="AK1456" s="78" t="s">
        <v>4640</v>
      </c>
      <c r="AL1456" t="b">
        <v>0</v>
      </c>
      <c r="AM1456">
        <v>0</v>
      </c>
      <c r="AN1456" s="78" t="s">
        <v>4640</v>
      </c>
      <c r="AO1456" s="78" t="s">
        <v>4850</v>
      </c>
      <c r="AP1456" t="b">
        <v>0</v>
      </c>
      <c r="AQ1456" s="78" t="s">
        <v>4498</v>
      </c>
      <c r="AR1456" t="s">
        <v>179</v>
      </c>
      <c r="AS1456">
        <v>0</v>
      </c>
      <c r="AT1456">
        <v>0</v>
      </c>
    </row>
    <row r="1457" spans="1:54" x14ac:dyDescent="0.45">
      <c r="A1457" s="62" t="s">
        <v>712</v>
      </c>
      <c r="B1457" s="62" t="s">
        <v>242</v>
      </c>
      <c r="C1457" s="63"/>
      <c r="D1457" s="64"/>
      <c r="E1457" s="65"/>
      <c r="F1457" s="66"/>
      <c r="G1457" s="63"/>
      <c r="H1457" s="67"/>
      <c r="I1457" s="68"/>
      <c r="J1457" s="68"/>
      <c r="K1457" s="32"/>
      <c r="L1457" s="75"/>
      <c r="M1457" s="75"/>
      <c r="N1457" s="70"/>
      <c r="O1457" t="s">
        <v>1567</v>
      </c>
      <c r="P1457" s="76">
        <v>44958.903946759259</v>
      </c>
      <c r="Q1457" t="s">
        <v>1901</v>
      </c>
      <c r="V1457" s="77" t="str">
        <f>HYPERLINK("https://pbs.twimg.com/profile_images/1532905528263069698/S327csp6_normal.jpg")</f>
        <v>https://pbs.twimg.com/profile_images/1532905528263069698/S327csp6_normal.jpg</v>
      </c>
      <c r="W1457" s="76">
        <v>44958.903946759259</v>
      </c>
      <c r="X1457" s="80">
        <v>44958</v>
      </c>
      <c r="Y1457" s="78" t="s">
        <v>2927</v>
      </c>
      <c r="Z1457" s="77" t="str">
        <f>HYPERLINK("https://twitter.com/grandnannymom/status/1620900217284591616")</f>
        <v>https://twitter.com/grandnannymom/status/1620900217284591616</v>
      </c>
      <c r="AC1457" s="78" t="s">
        <v>3992</v>
      </c>
      <c r="AD1457" s="78" t="s">
        <v>4495</v>
      </c>
      <c r="AE1457" t="b">
        <v>0</v>
      </c>
      <c r="AF1457">
        <v>1</v>
      </c>
      <c r="AG1457" s="78" t="s">
        <v>4639</v>
      </c>
      <c r="AH1457" t="b">
        <v>0</v>
      </c>
      <c r="AI1457" t="s">
        <v>4829</v>
      </c>
      <c r="AK1457" s="78" t="s">
        <v>4640</v>
      </c>
      <c r="AL1457" t="b">
        <v>0</v>
      </c>
      <c r="AM1457">
        <v>0</v>
      </c>
      <c r="AN1457" s="78" t="s">
        <v>4640</v>
      </c>
      <c r="AO1457" s="78" t="s">
        <v>4850</v>
      </c>
      <c r="AP1457" t="b">
        <v>0</v>
      </c>
      <c r="AQ1457" s="78" t="s">
        <v>4495</v>
      </c>
      <c r="AR1457" t="s">
        <v>179</v>
      </c>
      <c r="AS1457">
        <v>0</v>
      </c>
      <c r="AT1457">
        <v>0</v>
      </c>
    </row>
    <row r="1458" spans="1:54" x14ac:dyDescent="0.45">
      <c r="A1458" s="62" t="s">
        <v>729</v>
      </c>
      <c r="B1458" s="62" t="s">
        <v>242</v>
      </c>
      <c r="C1458" s="63"/>
      <c r="D1458" s="64"/>
      <c r="E1458" s="65"/>
      <c r="F1458" s="66"/>
      <c r="G1458" s="63"/>
      <c r="H1458" s="67"/>
      <c r="I1458" s="68"/>
      <c r="J1458" s="68"/>
      <c r="K1458" s="32"/>
      <c r="L1458" s="75"/>
      <c r="M1458" s="75"/>
      <c r="N1458" s="70"/>
      <c r="O1458" t="s">
        <v>1568</v>
      </c>
      <c r="P1458" s="76">
        <v>44958.920601851853</v>
      </c>
      <c r="Q1458" t="s">
        <v>1916</v>
      </c>
      <c r="V1458" s="77" t="str">
        <f>HYPERLINK("https://pbs.twimg.com/profile_images/933716338110996481/c9JeZRLZ_normal.jpg")</f>
        <v>https://pbs.twimg.com/profile_images/933716338110996481/c9JeZRLZ_normal.jpg</v>
      </c>
      <c r="W1458" s="76">
        <v>44958.920601851853</v>
      </c>
      <c r="X1458" s="80">
        <v>44958</v>
      </c>
      <c r="Y1458" s="78" t="s">
        <v>2948</v>
      </c>
      <c r="Z1458" s="77" t="str">
        <f>HYPERLINK("https://twitter.com/jill_lammey/status/1620906255115235328")</f>
        <v>https://twitter.com/jill_lammey/status/1620906255115235328</v>
      </c>
      <c r="AC1458" s="78" t="s">
        <v>4013</v>
      </c>
      <c r="AD1458" s="78" t="s">
        <v>4566</v>
      </c>
      <c r="AE1458" t="b">
        <v>0</v>
      </c>
      <c r="AF1458">
        <v>1</v>
      </c>
      <c r="AG1458" s="78" t="s">
        <v>4735</v>
      </c>
      <c r="AH1458" t="b">
        <v>0</v>
      </c>
      <c r="AI1458" t="s">
        <v>4829</v>
      </c>
      <c r="AK1458" s="78" t="s">
        <v>4640</v>
      </c>
      <c r="AL1458" t="b">
        <v>0</v>
      </c>
      <c r="AM1458">
        <v>0</v>
      </c>
      <c r="AN1458" s="78" t="s">
        <v>4640</v>
      </c>
      <c r="AO1458" s="78" t="s">
        <v>4850</v>
      </c>
      <c r="AP1458" t="b">
        <v>0</v>
      </c>
      <c r="AQ1458" s="78" t="s">
        <v>4566</v>
      </c>
      <c r="AR1458" t="s">
        <v>179</v>
      </c>
      <c r="AS1458">
        <v>0</v>
      </c>
      <c r="AT1458">
        <v>0</v>
      </c>
    </row>
    <row r="1459" spans="1:54" x14ac:dyDescent="0.45">
      <c r="A1459" s="62" t="s">
        <v>729</v>
      </c>
      <c r="B1459" s="62" t="s">
        <v>1353</v>
      </c>
      <c r="C1459" s="63"/>
      <c r="D1459" s="64"/>
      <c r="E1459" s="65"/>
      <c r="F1459" s="66"/>
      <c r="G1459" s="63"/>
      <c r="H1459" s="67"/>
      <c r="I1459" s="68"/>
      <c r="J1459" s="68"/>
      <c r="K1459" s="32"/>
      <c r="L1459" s="75"/>
      <c r="M1459" s="75"/>
      <c r="N1459" s="70"/>
      <c r="O1459" t="s">
        <v>1567</v>
      </c>
      <c r="P1459" s="76">
        <v>44958.920601851853</v>
      </c>
      <c r="Q1459" t="s">
        <v>1916</v>
      </c>
      <c r="V1459" s="77" t="str">
        <f>HYPERLINK("https://pbs.twimg.com/profile_images/933716338110996481/c9JeZRLZ_normal.jpg")</f>
        <v>https://pbs.twimg.com/profile_images/933716338110996481/c9JeZRLZ_normal.jpg</v>
      </c>
      <c r="W1459" s="76">
        <v>44958.920601851853</v>
      </c>
      <c r="X1459" s="80">
        <v>44958</v>
      </c>
      <c r="Y1459" s="78" t="s">
        <v>2948</v>
      </c>
      <c r="Z1459" s="77" t="str">
        <f>HYPERLINK("https://twitter.com/jill_lammey/status/1620906255115235328")</f>
        <v>https://twitter.com/jill_lammey/status/1620906255115235328</v>
      </c>
      <c r="AC1459" s="78" t="s">
        <v>4013</v>
      </c>
      <c r="AD1459" s="78" t="s">
        <v>4566</v>
      </c>
      <c r="AE1459" t="b">
        <v>0</v>
      </c>
      <c r="AF1459">
        <v>1</v>
      </c>
      <c r="AG1459" s="78" t="s">
        <v>4735</v>
      </c>
      <c r="AH1459" t="b">
        <v>0</v>
      </c>
      <c r="AI1459" t="s">
        <v>4829</v>
      </c>
      <c r="AK1459" s="78" t="s">
        <v>4640</v>
      </c>
      <c r="AL1459" t="b">
        <v>0</v>
      </c>
      <c r="AM1459">
        <v>0</v>
      </c>
      <c r="AN1459" s="78" t="s">
        <v>4640</v>
      </c>
      <c r="AO1459" s="78" t="s">
        <v>4850</v>
      </c>
      <c r="AP1459" t="b">
        <v>0</v>
      </c>
      <c r="AQ1459" s="78" t="s">
        <v>4566</v>
      </c>
      <c r="AR1459" t="s">
        <v>179</v>
      </c>
      <c r="AS1459">
        <v>0</v>
      </c>
      <c r="AT1459">
        <v>0</v>
      </c>
    </row>
    <row r="1460" spans="1:54" x14ac:dyDescent="0.45">
      <c r="A1460" s="62" t="s">
        <v>730</v>
      </c>
      <c r="B1460" s="62" t="s">
        <v>242</v>
      </c>
      <c r="C1460" s="63"/>
      <c r="D1460" s="64"/>
      <c r="E1460" s="65"/>
      <c r="F1460" s="66"/>
      <c r="G1460" s="63"/>
      <c r="H1460" s="67"/>
      <c r="I1460" s="68"/>
      <c r="J1460" s="68"/>
      <c r="K1460" s="32"/>
      <c r="L1460" s="75"/>
      <c r="M1460" s="75"/>
      <c r="N1460" s="70"/>
      <c r="O1460" t="s">
        <v>1568</v>
      </c>
      <c r="P1460" s="76">
        <v>44958.920937499999</v>
      </c>
      <c r="Q1460" t="s">
        <v>1917</v>
      </c>
      <c r="V1460" s="77" t="str">
        <f>HYPERLINK("https://pbs.twimg.com/profile_images/1248055714670657536/KN9NyEhe_normal.jpg")</f>
        <v>https://pbs.twimg.com/profile_images/1248055714670657536/KN9NyEhe_normal.jpg</v>
      </c>
      <c r="W1460" s="76">
        <v>44958.920937499999</v>
      </c>
      <c r="X1460" s="80">
        <v>44958</v>
      </c>
      <c r="Y1460" s="78" t="s">
        <v>2949</v>
      </c>
      <c r="Z1460" s="77" t="str">
        <f>HYPERLINK("https://twitter.com/deirdreja/status/1620906374728384514")</f>
        <v>https://twitter.com/deirdreja/status/1620906374728384514</v>
      </c>
      <c r="AC1460" s="78" t="s">
        <v>4014</v>
      </c>
      <c r="AD1460" s="78" t="s">
        <v>4566</v>
      </c>
      <c r="AE1460" t="b">
        <v>0</v>
      </c>
      <c r="AF1460">
        <v>1</v>
      </c>
      <c r="AG1460" s="78" t="s">
        <v>4735</v>
      </c>
      <c r="AH1460" t="b">
        <v>0</v>
      </c>
      <c r="AI1460" t="s">
        <v>4829</v>
      </c>
      <c r="AK1460" s="78" t="s">
        <v>4640</v>
      </c>
      <c r="AL1460" t="b">
        <v>0</v>
      </c>
      <c r="AM1460">
        <v>0</v>
      </c>
      <c r="AN1460" s="78" t="s">
        <v>4640</v>
      </c>
      <c r="AO1460" s="78" t="s">
        <v>4849</v>
      </c>
      <c r="AP1460" t="b">
        <v>0</v>
      </c>
      <c r="AQ1460" s="78" t="s">
        <v>4566</v>
      </c>
      <c r="AR1460" t="s">
        <v>179</v>
      </c>
      <c r="AS1460">
        <v>0</v>
      </c>
      <c r="AT1460">
        <v>0</v>
      </c>
      <c r="AU1460" t="s">
        <v>4886</v>
      </c>
      <c r="AV1460" t="s">
        <v>4899</v>
      </c>
      <c r="AW1460" t="s">
        <v>4901</v>
      </c>
      <c r="AX1460" t="s">
        <v>4915</v>
      </c>
      <c r="AY1460" t="s">
        <v>4940</v>
      </c>
      <c r="AZ1460" t="s">
        <v>4965</v>
      </c>
      <c r="BA1460" t="s">
        <v>4975</v>
      </c>
      <c r="BB1460" s="77" t="str">
        <f>HYPERLINK("https://api.twitter.com/1.1/geo/id/ada31b3a48d2b797.json")</f>
        <v>https://api.twitter.com/1.1/geo/id/ada31b3a48d2b797.json</v>
      </c>
    </row>
    <row r="1461" spans="1:54" x14ac:dyDescent="0.45">
      <c r="A1461" s="62" t="s">
        <v>730</v>
      </c>
      <c r="B1461" s="62" t="s">
        <v>1353</v>
      </c>
      <c r="C1461" s="63"/>
      <c r="D1461" s="64"/>
      <c r="E1461" s="65"/>
      <c r="F1461" s="66"/>
      <c r="G1461" s="63"/>
      <c r="H1461" s="67"/>
      <c r="I1461" s="68"/>
      <c r="J1461" s="68"/>
      <c r="K1461" s="32"/>
      <c r="L1461" s="75"/>
      <c r="M1461" s="75"/>
      <c r="N1461" s="70"/>
      <c r="O1461" t="s">
        <v>1567</v>
      </c>
      <c r="P1461" s="76">
        <v>44958.920937499999</v>
      </c>
      <c r="Q1461" t="s">
        <v>1917</v>
      </c>
      <c r="V1461" s="77" t="str">
        <f>HYPERLINK("https://pbs.twimg.com/profile_images/1248055714670657536/KN9NyEhe_normal.jpg")</f>
        <v>https://pbs.twimg.com/profile_images/1248055714670657536/KN9NyEhe_normal.jpg</v>
      </c>
      <c r="W1461" s="76">
        <v>44958.920937499999</v>
      </c>
      <c r="X1461" s="80">
        <v>44958</v>
      </c>
      <c r="Y1461" s="78" t="s">
        <v>2949</v>
      </c>
      <c r="Z1461" s="77" t="str">
        <f>HYPERLINK("https://twitter.com/deirdreja/status/1620906374728384514")</f>
        <v>https://twitter.com/deirdreja/status/1620906374728384514</v>
      </c>
      <c r="AC1461" s="78" t="s">
        <v>4014</v>
      </c>
      <c r="AD1461" s="78" t="s">
        <v>4566</v>
      </c>
      <c r="AE1461" t="b">
        <v>0</v>
      </c>
      <c r="AF1461">
        <v>1</v>
      </c>
      <c r="AG1461" s="78" t="s">
        <v>4735</v>
      </c>
      <c r="AH1461" t="b">
        <v>0</v>
      </c>
      <c r="AI1461" t="s">
        <v>4829</v>
      </c>
      <c r="AK1461" s="78" t="s">
        <v>4640</v>
      </c>
      <c r="AL1461" t="b">
        <v>0</v>
      </c>
      <c r="AM1461">
        <v>0</v>
      </c>
      <c r="AN1461" s="78" t="s">
        <v>4640</v>
      </c>
      <c r="AO1461" s="78" t="s">
        <v>4849</v>
      </c>
      <c r="AP1461" t="b">
        <v>0</v>
      </c>
      <c r="AQ1461" s="78" t="s">
        <v>4566</v>
      </c>
      <c r="AR1461" t="s">
        <v>179</v>
      </c>
      <c r="AS1461">
        <v>0</v>
      </c>
      <c r="AT1461">
        <v>0</v>
      </c>
      <c r="AU1461" t="s">
        <v>4886</v>
      </c>
      <c r="AV1461" t="s">
        <v>4899</v>
      </c>
      <c r="AW1461" t="s">
        <v>4901</v>
      </c>
      <c r="AX1461" t="s">
        <v>4915</v>
      </c>
      <c r="AY1461" t="s">
        <v>4940</v>
      </c>
      <c r="AZ1461" t="s">
        <v>4965</v>
      </c>
      <c r="BA1461" t="s">
        <v>4975</v>
      </c>
      <c r="BB1461" s="77" t="str">
        <f>HYPERLINK("https://api.twitter.com/1.1/geo/id/ada31b3a48d2b797.json")</f>
        <v>https://api.twitter.com/1.1/geo/id/ada31b3a48d2b797.json</v>
      </c>
    </row>
    <row r="1462" spans="1:54" x14ac:dyDescent="0.45">
      <c r="A1462" s="62" t="s">
        <v>747</v>
      </c>
      <c r="B1462" s="62" t="s">
        <v>242</v>
      </c>
      <c r="C1462" s="63"/>
      <c r="D1462" s="64"/>
      <c r="E1462" s="65"/>
      <c r="F1462" s="66"/>
      <c r="G1462" s="63"/>
      <c r="H1462" s="67"/>
      <c r="I1462" s="68"/>
      <c r="J1462" s="68"/>
      <c r="K1462" s="32"/>
      <c r="L1462" s="75"/>
      <c r="M1462" s="75"/>
      <c r="N1462" s="70"/>
      <c r="O1462" t="s">
        <v>1568</v>
      </c>
      <c r="P1462" s="76">
        <v>44958.939826388887</v>
      </c>
      <c r="Q1462" t="s">
        <v>1931</v>
      </c>
      <c r="V1462" s="77" t="str">
        <f>HYPERLINK("https://pbs.twimg.com/profile_images/1443755903942021123/T7IKOCSH_normal.jpg")</f>
        <v>https://pbs.twimg.com/profile_images/1443755903942021123/T7IKOCSH_normal.jpg</v>
      </c>
      <c r="W1462" s="76">
        <v>44958.939826388887</v>
      </c>
      <c r="X1462" s="80">
        <v>44958</v>
      </c>
      <c r="Y1462" s="78" t="s">
        <v>2966</v>
      </c>
      <c r="Z1462" s="77" t="str">
        <f>HYPERLINK("https://twitter.com/dnomyer1234/status/1620913221224775686")</f>
        <v>https://twitter.com/dnomyer1234/status/1620913221224775686</v>
      </c>
      <c r="AC1462" s="78" t="s">
        <v>4031</v>
      </c>
      <c r="AD1462" s="78" t="s">
        <v>4420</v>
      </c>
      <c r="AE1462" t="b">
        <v>0</v>
      </c>
      <c r="AF1462">
        <v>1</v>
      </c>
      <c r="AG1462" s="78" t="s">
        <v>4737</v>
      </c>
      <c r="AH1462" t="b">
        <v>0</v>
      </c>
      <c r="AI1462" t="s">
        <v>4829</v>
      </c>
      <c r="AK1462" s="78" t="s">
        <v>4640</v>
      </c>
      <c r="AL1462" t="b">
        <v>0</v>
      </c>
      <c r="AM1462">
        <v>0</v>
      </c>
      <c r="AN1462" s="78" t="s">
        <v>4640</v>
      </c>
      <c r="AO1462" s="78" t="s">
        <v>4849</v>
      </c>
      <c r="AP1462" t="b">
        <v>0</v>
      </c>
      <c r="AQ1462" s="78" t="s">
        <v>4420</v>
      </c>
      <c r="AR1462" t="s">
        <v>179</v>
      </c>
      <c r="AS1462">
        <v>0</v>
      </c>
      <c r="AT1462">
        <v>0</v>
      </c>
    </row>
    <row r="1463" spans="1:54" x14ac:dyDescent="0.45">
      <c r="A1463" s="62" t="s">
        <v>747</v>
      </c>
      <c r="B1463" s="62" t="s">
        <v>1046</v>
      </c>
      <c r="C1463" s="63"/>
      <c r="D1463" s="64"/>
      <c r="E1463" s="65"/>
      <c r="F1463" s="66"/>
      <c r="G1463" s="63"/>
      <c r="H1463" s="67"/>
      <c r="I1463" s="68"/>
      <c r="J1463" s="68"/>
      <c r="K1463" s="32"/>
      <c r="L1463" s="75"/>
      <c r="M1463" s="75"/>
      <c r="N1463" s="70"/>
      <c r="O1463" t="s">
        <v>1567</v>
      </c>
      <c r="P1463" s="76">
        <v>44958.939826388887</v>
      </c>
      <c r="Q1463" t="s">
        <v>1931</v>
      </c>
      <c r="V1463" s="77" t="str">
        <f>HYPERLINK("https://pbs.twimg.com/profile_images/1443755903942021123/T7IKOCSH_normal.jpg")</f>
        <v>https://pbs.twimg.com/profile_images/1443755903942021123/T7IKOCSH_normal.jpg</v>
      </c>
      <c r="W1463" s="76">
        <v>44958.939826388887</v>
      </c>
      <c r="X1463" s="80">
        <v>44958</v>
      </c>
      <c r="Y1463" s="78" t="s">
        <v>2966</v>
      </c>
      <c r="Z1463" s="77" t="str">
        <f>HYPERLINK("https://twitter.com/dnomyer1234/status/1620913221224775686")</f>
        <v>https://twitter.com/dnomyer1234/status/1620913221224775686</v>
      </c>
      <c r="AC1463" s="78" t="s">
        <v>4031</v>
      </c>
      <c r="AD1463" s="78" t="s">
        <v>4420</v>
      </c>
      <c r="AE1463" t="b">
        <v>0</v>
      </c>
      <c r="AF1463">
        <v>1</v>
      </c>
      <c r="AG1463" s="78" t="s">
        <v>4737</v>
      </c>
      <c r="AH1463" t="b">
        <v>0</v>
      </c>
      <c r="AI1463" t="s">
        <v>4829</v>
      </c>
      <c r="AK1463" s="78" t="s">
        <v>4640</v>
      </c>
      <c r="AL1463" t="b">
        <v>0</v>
      </c>
      <c r="AM1463">
        <v>0</v>
      </c>
      <c r="AN1463" s="78" t="s">
        <v>4640</v>
      </c>
      <c r="AO1463" s="78" t="s">
        <v>4849</v>
      </c>
      <c r="AP1463" t="b">
        <v>0</v>
      </c>
      <c r="AQ1463" s="78" t="s">
        <v>4420</v>
      </c>
      <c r="AR1463" t="s">
        <v>179</v>
      </c>
      <c r="AS1463">
        <v>0</v>
      </c>
      <c r="AT1463">
        <v>0</v>
      </c>
    </row>
    <row r="1464" spans="1:54" x14ac:dyDescent="0.45">
      <c r="A1464" s="62" t="s">
        <v>748</v>
      </c>
      <c r="B1464" s="62" t="s">
        <v>242</v>
      </c>
      <c r="C1464" s="63"/>
      <c r="D1464" s="64"/>
      <c r="E1464" s="65"/>
      <c r="F1464" s="66"/>
      <c r="G1464" s="63"/>
      <c r="H1464" s="67"/>
      <c r="I1464" s="68"/>
      <c r="J1464" s="68"/>
      <c r="K1464" s="32"/>
      <c r="L1464" s="75"/>
      <c r="M1464" s="75"/>
      <c r="N1464" s="70"/>
      <c r="O1464" t="s">
        <v>1568</v>
      </c>
      <c r="P1464" s="76">
        <v>44958.939918981479</v>
      </c>
      <c r="Q1464" t="s">
        <v>1932</v>
      </c>
      <c r="V1464" s="77" t="str">
        <f>HYPERLINK("https://pbs.twimg.com/profile_images/1549835152234319873/mnJF10Wx_normal.jpg")</f>
        <v>https://pbs.twimg.com/profile_images/1549835152234319873/mnJF10Wx_normal.jpg</v>
      </c>
      <c r="W1464" s="76">
        <v>44958.939918981479</v>
      </c>
      <c r="X1464" s="80">
        <v>44958</v>
      </c>
      <c r="Y1464" s="78" t="s">
        <v>2967</v>
      </c>
      <c r="Z1464" s="77" t="str">
        <f>HYPERLINK("https://twitter.com/misshydecosplay/status/1620913252686516225")</f>
        <v>https://twitter.com/misshydecosplay/status/1620913252686516225</v>
      </c>
      <c r="AC1464" s="78" t="s">
        <v>4032</v>
      </c>
      <c r="AD1464" s="78" t="s">
        <v>4420</v>
      </c>
      <c r="AE1464" t="b">
        <v>0</v>
      </c>
      <c r="AF1464">
        <v>1</v>
      </c>
      <c r="AG1464" s="78" t="s">
        <v>4737</v>
      </c>
      <c r="AH1464" t="b">
        <v>0</v>
      </c>
      <c r="AI1464" t="s">
        <v>4829</v>
      </c>
      <c r="AK1464" s="78" t="s">
        <v>4640</v>
      </c>
      <c r="AL1464" t="b">
        <v>0</v>
      </c>
      <c r="AM1464">
        <v>0</v>
      </c>
      <c r="AN1464" s="78" t="s">
        <v>4640</v>
      </c>
      <c r="AO1464" s="78" t="s">
        <v>4851</v>
      </c>
      <c r="AP1464" t="b">
        <v>0</v>
      </c>
      <c r="AQ1464" s="78" t="s">
        <v>4420</v>
      </c>
      <c r="AR1464" t="s">
        <v>179</v>
      </c>
      <c r="AS1464">
        <v>0</v>
      </c>
      <c r="AT1464">
        <v>0</v>
      </c>
    </row>
    <row r="1465" spans="1:54" x14ac:dyDescent="0.45">
      <c r="A1465" s="62" t="s">
        <v>748</v>
      </c>
      <c r="B1465" s="62" t="s">
        <v>1046</v>
      </c>
      <c r="C1465" s="63"/>
      <c r="D1465" s="64"/>
      <c r="E1465" s="65"/>
      <c r="F1465" s="66"/>
      <c r="G1465" s="63"/>
      <c r="H1465" s="67"/>
      <c r="I1465" s="68"/>
      <c r="J1465" s="68"/>
      <c r="K1465" s="32"/>
      <c r="L1465" s="75"/>
      <c r="M1465" s="75"/>
      <c r="N1465" s="70"/>
      <c r="O1465" t="s">
        <v>1567</v>
      </c>
      <c r="P1465" s="76">
        <v>44958.939918981479</v>
      </c>
      <c r="Q1465" t="s">
        <v>1932</v>
      </c>
      <c r="V1465" s="77" t="str">
        <f>HYPERLINK("https://pbs.twimg.com/profile_images/1549835152234319873/mnJF10Wx_normal.jpg")</f>
        <v>https://pbs.twimg.com/profile_images/1549835152234319873/mnJF10Wx_normal.jpg</v>
      </c>
      <c r="W1465" s="76">
        <v>44958.939918981479</v>
      </c>
      <c r="X1465" s="80">
        <v>44958</v>
      </c>
      <c r="Y1465" s="78" t="s">
        <v>2967</v>
      </c>
      <c r="Z1465" s="77" t="str">
        <f>HYPERLINK("https://twitter.com/misshydecosplay/status/1620913252686516225")</f>
        <v>https://twitter.com/misshydecosplay/status/1620913252686516225</v>
      </c>
      <c r="AC1465" s="78" t="s">
        <v>4032</v>
      </c>
      <c r="AD1465" s="78" t="s">
        <v>4420</v>
      </c>
      <c r="AE1465" t="b">
        <v>0</v>
      </c>
      <c r="AF1465">
        <v>1</v>
      </c>
      <c r="AG1465" s="78" t="s">
        <v>4737</v>
      </c>
      <c r="AH1465" t="b">
        <v>0</v>
      </c>
      <c r="AI1465" t="s">
        <v>4829</v>
      </c>
      <c r="AK1465" s="78" t="s">
        <v>4640</v>
      </c>
      <c r="AL1465" t="b">
        <v>0</v>
      </c>
      <c r="AM1465">
        <v>0</v>
      </c>
      <c r="AN1465" s="78" t="s">
        <v>4640</v>
      </c>
      <c r="AO1465" s="78" t="s">
        <v>4851</v>
      </c>
      <c r="AP1465" t="b">
        <v>0</v>
      </c>
      <c r="AQ1465" s="78" t="s">
        <v>4420</v>
      </c>
      <c r="AR1465" t="s">
        <v>179</v>
      </c>
      <c r="AS1465">
        <v>0</v>
      </c>
      <c r="AT1465">
        <v>0</v>
      </c>
    </row>
    <row r="1466" spans="1:54" x14ac:dyDescent="0.45">
      <c r="A1466" s="62" t="s">
        <v>751</v>
      </c>
      <c r="B1466" s="62" t="s">
        <v>1113</v>
      </c>
      <c r="C1466" s="63"/>
      <c r="D1466" s="64"/>
      <c r="E1466" s="65"/>
      <c r="F1466" s="66"/>
      <c r="G1466" s="63"/>
      <c r="H1466" s="67"/>
      <c r="I1466" s="68"/>
      <c r="J1466" s="68"/>
      <c r="K1466" s="32"/>
      <c r="L1466" s="75"/>
      <c r="M1466" s="75"/>
      <c r="N1466" s="70"/>
      <c r="O1466" t="s">
        <v>1568</v>
      </c>
      <c r="P1466" s="76">
        <v>44958.836759259262</v>
      </c>
      <c r="Q1466" t="s">
        <v>1935</v>
      </c>
      <c r="U1466" s="77" t="str">
        <f>HYPERLINK("https://pbs.twimg.com/media/Fn6CAvGXEAsb4_O.jpg")</f>
        <v>https://pbs.twimg.com/media/Fn6CAvGXEAsb4_O.jpg</v>
      </c>
      <c r="V1466" s="77" t="str">
        <f>HYPERLINK("https://pbs.twimg.com/media/Fn6CAvGXEAsb4_O.jpg")</f>
        <v>https://pbs.twimg.com/media/Fn6CAvGXEAsb4_O.jpg</v>
      </c>
      <c r="W1466" s="76">
        <v>44958.836759259262</v>
      </c>
      <c r="X1466" s="80">
        <v>44958</v>
      </c>
      <c r="Y1466" s="78" t="s">
        <v>2970</v>
      </c>
      <c r="Z1466" s="77" t="str">
        <f>HYPERLINK("https://twitter.com/nfranklin3d/status/1620875871333781504")</f>
        <v>https://twitter.com/nfranklin3d/status/1620875871333781504</v>
      </c>
      <c r="AC1466" s="78" t="s">
        <v>4035</v>
      </c>
      <c r="AE1466" t="b">
        <v>0</v>
      </c>
      <c r="AF1466">
        <v>1</v>
      </c>
      <c r="AG1466" s="78" t="s">
        <v>4640</v>
      </c>
      <c r="AH1466" t="b">
        <v>0</v>
      </c>
      <c r="AI1466" t="s">
        <v>4829</v>
      </c>
      <c r="AK1466" s="78" t="s">
        <v>4640</v>
      </c>
      <c r="AL1466" t="b">
        <v>0</v>
      </c>
      <c r="AM1466">
        <v>1</v>
      </c>
      <c r="AN1466" s="78" t="s">
        <v>4640</v>
      </c>
      <c r="AO1466" s="78" t="s">
        <v>4850</v>
      </c>
      <c r="AP1466" t="b">
        <v>0</v>
      </c>
      <c r="AQ1466" s="78" t="s">
        <v>4035</v>
      </c>
      <c r="AR1466" t="s">
        <v>179</v>
      </c>
      <c r="AS1466">
        <v>0</v>
      </c>
      <c r="AT1466">
        <v>0</v>
      </c>
    </row>
    <row r="1467" spans="1:54" x14ac:dyDescent="0.45">
      <c r="A1467" s="62" t="s">
        <v>751</v>
      </c>
      <c r="B1467" s="62" t="s">
        <v>1181</v>
      </c>
      <c r="C1467" s="63"/>
      <c r="D1467" s="64"/>
      <c r="E1467" s="65"/>
      <c r="F1467" s="66"/>
      <c r="G1467" s="63"/>
      <c r="H1467" s="67"/>
      <c r="I1467" s="68"/>
      <c r="J1467" s="68"/>
      <c r="K1467" s="32"/>
      <c r="L1467" s="75"/>
      <c r="M1467" s="75"/>
      <c r="N1467" s="70"/>
      <c r="O1467" t="s">
        <v>1568</v>
      </c>
      <c r="P1467" s="76">
        <v>44958.836759259262</v>
      </c>
      <c r="Q1467" t="s">
        <v>1935</v>
      </c>
      <c r="U1467" s="77" t="str">
        <f>HYPERLINK("https://pbs.twimg.com/media/Fn6CAvGXEAsb4_O.jpg")</f>
        <v>https://pbs.twimg.com/media/Fn6CAvGXEAsb4_O.jpg</v>
      </c>
      <c r="V1467" s="77" t="str">
        <f>HYPERLINK("https://pbs.twimg.com/media/Fn6CAvGXEAsb4_O.jpg")</f>
        <v>https://pbs.twimg.com/media/Fn6CAvGXEAsb4_O.jpg</v>
      </c>
      <c r="W1467" s="76">
        <v>44958.836759259262</v>
      </c>
      <c r="X1467" s="80">
        <v>44958</v>
      </c>
      <c r="Y1467" s="78" t="s">
        <v>2970</v>
      </c>
      <c r="Z1467" s="77" t="str">
        <f>HYPERLINK("https://twitter.com/nfranklin3d/status/1620875871333781504")</f>
        <v>https://twitter.com/nfranklin3d/status/1620875871333781504</v>
      </c>
      <c r="AC1467" s="78" t="s">
        <v>4035</v>
      </c>
      <c r="AE1467" t="b">
        <v>0</v>
      </c>
      <c r="AF1467">
        <v>1</v>
      </c>
      <c r="AG1467" s="78" t="s">
        <v>4640</v>
      </c>
      <c r="AH1467" t="b">
        <v>0</v>
      </c>
      <c r="AI1467" t="s">
        <v>4829</v>
      </c>
      <c r="AK1467" s="78" t="s">
        <v>4640</v>
      </c>
      <c r="AL1467" t="b">
        <v>0</v>
      </c>
      <c r="AM1467">
        <v>1</v>
      </c>
      <c r="AN1467" s="78" t="s">
        <v>4640</v>
      </c>
      <c r="AO1467" s="78" t="s">
        <v>4850</v>
      </c>
      <c r="AP1467" t="b">
        <v>0</v>
      </c>
      <c r="AQ1467" s="78" t="s">
        <v>4035</v>
      </c>
      <c r="AR1467" t="s">
        <v>179</v>
      </c>
      <c r="AS1467">
        <v>0</v>
      </c>
      <c r="AT1467">
        <v>0</v>
      </c>
    </row>
    <row r="1468" spans="1:54" x14ac:dyDescent="0.45">
      <c r="A1468" s="62" t="s">
        <v>751</v>
      </c>
      <c r="B1468" s="62" t="s">
        <v>242</v>
      </c>
      <c r="C1468" s="63"/>
      <c r="D1468" s="64"/>
      <c r="E1468" s="65"/>
      <c r="F1468" s="66"/>
      <c r="G1468" s="63"/>
      <c r="H1468" s="67"/>
      <c r="I1468" s="68"/>
      <c r="J1468" s="68"/>
      <c r="K1468" s="32"/>
      <c r="L1468" s="75"/>
      <c r="M1468" s="75"/>
      <c r="N1468" s="70"/>
      <c r="O1468" t="s">
        <v>1568</v>
      </c>
      <c r="P1468" s="76">
        <v>44958.836759259262</v>
      </c>
      <c r="Q1468" t="s">
        <v>1935</v>
      </c>
      <c r="U1468" s="77" t="str">
        <f>HYPERLINK("https://pbs.twimg.com/media/Fn6CAvGXEAsb4_O.jpg")</f>
        <v>https://pbs.twimg.com/media/Fn6CAvGXEAsb4_O.jpg</v>
      </c>
      <c r="V1468" s="77" t="str">
        <f>HYPERLINK("https://pbs.twimg.com/media/Fn6CAvGXEAsb4_O.jpg")</f>
        <v>https://pbs.twimg.com/media/Fn6CAvGXEAsb4_O.jpg</v>
      </c>
      <c r="W1468" s="76">
        <v>44958.836759259262</v>
      </c>
      <c r="X1468" s="80">
        <v>44958</v>
      </c>
      <c r="Y1468" s="78" t="s">
        <v>2970</v>
      </c>
      <c r="Z1468" s="77" t="str">
        <f>HYPERLINK("https://twitter.com/nfranklin3d/status/1620875871333781504")</f>
        <v>https://twitter.com/nfranklin3d/status/1620875871333781504</v>
      </c>
      <c r="AC1468" s="78" t="s">
        <v>4035</v>
      </c>
      <c r="AE1468" t="b">
        <v>0</v>
      </c>
      <c r="AF1468">
        <v>1</v>
      </c>
      <c r="AG1468" s="78" t="s">
        <v>4640</v>
      </c>
      <c r="AH1468" t="b">
        <v>0</v>
      </c>
      <c r="AI1468" t="s">
        <v>4829</v>
      </c>
      <c r="AK1468" s="78" t="s">
        <v>4640</v>
      </c>
      <c r="AL1468" t="b">
        <v>0</v>
      </c>
      <c r="AM1468">
        <v>1</v>
      </c>
      <c r="AN1468" s="78" t="s">
        <v>4640</v>
      </c>
      <c r="AO1468" s="78" t="s">
        <v>4850</v>
      </c>
      <c r="AP1468" t="b">
        <v>0</v>
      </c>
      <c r="AQ1468" s="78" t="s">
        <v>4035</v>
      </c>
      <c r="AR1468" t="s">
        <v>179</v>
      </c>
      <c r="AS1468">
        <v>0</v>
      </c>
      <c r="AT1468">
        <v>0</v>
      </c>
    </row>
    <row r="1469" spans="1:54" x14ac:dyDescent="0.45">
      <c r="A1469" s="62" t="s">
        <v>751</v>
      </c>
      <c r="B1469" s="62" t="s">
        <v>1180</v>
      </c>
      <c r="C1469" s="63"/>
      <c r="D1469" s="64"/>
      <c r="E1469" s="65"/>
      <c r="F1469" s="66"/>
      <c r="G1469" s="63"/>
      <c r="H1469" s="67"/>
      <c r="I1469" s="68"/>
      <c r="J1469" s="68"/>
      <c r="K1469" s="32"/>
      <c r="L1469" s="75"/>
      <c r="M1469" s="75"/>
      <c r="N1469" s="70"/>
      <c r="O1469" t="s">
        <v>1568</v>
      </c>
      <c r="P1469" s="76">
        <v>44958.836759259262</v>
      </c>
      <c r="Q1469" t="s">
        <v>1935</v>
      </c>
      <c r="U1469" s="77" t="str">
        <f>HYPERLINK("https://pbs.twimg.com/media/Fn6CAvGXEAsb4_O.jpg")</f>
        <v>https://pbs.twimg.com/media/Fn6CAvGXEAsb4_O.jpg</v>
      </c>
      <c r="V1469" s="77" t="str">
        <f>HYPERLINK("https://pbs.twimg.com/media/Fn6CAvGXEAsb4_O.jpg")</f>
        <v>https://pbs.twimg.com/media/Fn6CAvGXEAsb4_O.jpg</v>
      </c>
      <c r="W1469" s="76">
        <v>44958.836759259262</v>
      </c>
      <c r="X1469" s="80">
        <v>44958</v>
      </c>
      <c r="Y1469" s="78" t="s">
        <v>2970</v>
      </c>
      <c r="Z1469" s="77" t="str">
        <f>HYPERLINK("https://twitter.com/nfranklin3d/status/1620875871333781504")</f>
        <v>https://twitter.com/nfranklin3d/status/1620875871333781504</v>
      </c>
      <c r="AC1469" s="78" t="s">
        <v>4035</v>
      </c>
      <c r="AE1469" t="b">
        <v>0</v>
      </c>
      <c r="AF1469">
        <v>1</v>
      </c>
      <c r="AG1469" s="78" t="s">
        <v>4640</v>
      </c>
      <c r="AH1469" t="b">
        <v>0</v>
      </c>
      <c r="AI1469" t="s">
        <v>4829</v>
      </c>
      <c r="AK1469" s="78" t="s">
        <v>4640</v>
      </c>
      <c r="AL1469" t="b">
        <v>0</v>
      </c>
      <c r="AM1469">
        <v>1</v>
      </c>
      <c r="AN1469" s="78" t="s">
        <v>4640</v>
      </c>
      <c r="AO1469" s="78" t="s">
        <v>4850</v>
      </c>
      <c r="AP1469" t="b">
        <v>0</v>
      </c>
      <c r="AQ1469" s="78" t="s">
        <v>4035</v>
      </c>
      <c r="AR1469" t="s">
        <v>179</v>
      </c>
      <c r="AS1469">
        <v>0</v>
      </c>
      <c r="AT1469">
        <v>0</v>
      </c>
    </row>
    <row r="1470" spans="1:54" x14ac:dyDescent="0.45">
      <c r="A1470" s="62" t="s">
        <v>242</v>
      </c>
      <c r="B1470" s="62" t="s">
        <v>758</v>
      </c>
      <c r="C1470" s="63"/>
      <c r="D1470" s="64"/>
      <c r="E1470" s="65"/>
      <c r="F1470" s="66"/>
      <c r="G1470" s="63"/>
      <c r="H1470" s="67"/>
      <c r="I1470" s="68"/>
      <c r="J1470" s="68"/>
      <c r="K1470" s="32"/>
      <c r="L1470" s="75"/>
      <c r="M1470" s="75"/>
      <c r="N1470" s="70"/>
      <c r="O1470" t="s">
        <v>1567</v>
      </c>
      <c r="P1470" s="76">
        <v>44958.711828703701</v>
      </c>
      <c r="Q1470" t="s">
        <v>1938</v>
      </c>
      <c r="V1470" s="77" t="str">
        <f>HYPERLINK("https://pbs.twimg.com/profile_images/1614031605676253184/n4E7yeWV_normal.jpg")</f>
        <v>https://pbs.twimg.com/profile_images/1614031605676253184/n4E7yeWV_normal.jpg</v>
      </c>
      <c r="W1470" s="76">
        <v>44958.711828703701</v>
      </c>
      <c r="X1470" s="80">
        <v>44958</v>
      </c>
      <c r="Y1470" s="78" t="s">
        <v>2977</v>
      </c>
      <c r="Z1470" s="77" t="str">
        <f>HYPERLINK("https://twitter.com/walmart/status/1620830596716007429")</f>
        <v>https://twitter.com/walmart/status/1620830596716007429</v>
      </c>
      <c r="AC1470" s="78" t="s">
        <v>4042</v>
      </c>
      <c r="AD1470" s="78" t="s">
        <v>4569</v>
      </c>
      <c r="AE1470" t="b">
        <v>0</v>
      </c>
      <c r="AF1470">
        <v>1</v>
      </c>
      <c r="AG1470" s="78" t="s">
        <v>4738</v>
      </c>
      <c r="AH1470" t="b">
        <v>0</v>
      </c>
      <c r="AI1470" t="s">
        <v>4829</v>
      </c>
      <c r="AK1470" s="78" t="s">
        <v>4640</v>
      </c>
      <c r="AL1470" t="b">
        <v>0</v>
      </c>
      <c r="AM1470">
        <v>1</v>
      </c>
      <c r="AN1470" s="78" t="s">
        <v>4640</v>
      </c>
      <c r="AO1470" s="78" t="s">
        <v>4855</v>
      </c>
      <c r="AP1470" t="b">
        <v>0</v>
      </c>
      <c r="AQ1470" s="78" t="s">
        <v>4569</v>
      </c>
      <c r="AR1470" t="s">
        <v>1569</v>
      </c>
      <c r="AS1470">
        <v>0</v>
      </c>
      <c r="AT1470">
        <v>0</v>
      </c>
    </row>
    <row r="1471" spans="1:54" x14ac:dyDescent="0.45">
      <c r="A1471" s="62" t="s">
        <v>768</v>
      </c>
      <c r="B1471" s="62" t="s">
        <v>242</v>
      </c>
      <c r="C1471" s="63"/>
      <c r="D1471" s="64"/>
      <c r="E1471" s="65"/>
      <c r="F1471" s="66"/>
      <c r="G1471" s="63"/>
      <c r="H1471" s="67"/>
      <c r="I1471" s="68"/>
      <c r="J1471" s="68"/>
      <c r="K1471" s="32"/>
      <c r="L1471" s="75"/>
      <c r="M1471" s="75"/>
      <c r="N1471" s="70"/>
      <c r="O1471" t="s">
        <v>1568</v>
      </c>
      <c r="P1471" s="76">
        <v>44958.953101851854</v>
      </c>
      <c r="Q1471" t="s">
        <v>1946</v>
      </c>
      <c r="V1471" s="77" t="str">
        <f>HYPERLINK("https://pbs.twimg.com/profile_images/1614087608308465666/uZDS5n0U_normal.jpg")</f>
        <v>https://pbs.twimg.com/profile_images/1614087608308465666/uZDS5n0U_normal.jpg</v>
      </c>
      <c r="W1471" s="76">
        <v>44958.953101851854</v>
      </c>
      <c r="X1471" s="80">
        <v>44958</v>
      </c>
      <c r="Y1471" s="78" t="s">
        <v>2990</v>
      </c>
      <c r="Z1471" s="77" t="str">
        <f>HYPERLINK("https://twitter.com/the_kelvinator_/status/1620918032943190016")</f>
        <v>https://twitter.com/the_kelvinator_/status/1620918032943190016</v>
      </c>
      <c r="AC1471" s="78" t="s">
        <v>4055</v>
      </c>
      <c r="AD1471" s="78" t="s">
        <v>4420</v>
      </c>
      <c r="AE1471" t="b">
        <v>0</v>
      </c>
      <c r="AF1471">
        <v>1</v>
      </c>
      <c r="AG1471" s="78" t="s">
        <v>4737</v>
      </c>
      <c r="AH1471" t="b">
        <v>0</v>
      </c>
      <c r="AI1471" t="s">
        <v>4829</v>
      </c>
      <c r="AK1471" s="78" t="s">
        <v>4640</v>
      </c>
      <c r="AL1471" t="b">
        <v>0</v>
      </c>
      <c r="AM1471">
        <v>0</v>
      </c>
      <c r="AN1471" s="78" t="s">
        <v>4640</v>
      </c>
      <c r="AO1471" s="78" t="s">
        <v>4849</v>
      </c>
      <c r="AP1471" t="b">
        <v>0</v>
      </c>
      <c r="AQ1471" s="78" t="s">
        <v>4420</v>
      </c>
      <c r="AR1471" t="s">
        <v>179</v>
      </c>
      <c r="AS1471">
        <v>0</v>
      </c>
      <c r="AT1471">
        <v>0</v>
      </c>
    </row>
    <row r="1472" spans="1:54" x14ac:dyDescent="0.45">
      <c r="A1472" s="62" t="s">
        <v>768</v>
      </c>
      <c r="B1472" s="62" t="s">
        <v>1046</v>
      </c>
      <c r="C1472" s="63"/>
      <c r="D1472" s="64"/>
      <c r="E1472" s="65"/>
      <c r="F1472" s="66"/>
      <c r="G1472" s="63"/>
      <c r="H1472" s="67"/>
      <c r="I1472" s="68"/>
      <c r="J1472" s="68"/>
      <c r="K1472" s="32"/>
      <c r="L1472" s="75"/>
      <c r="M1472" s="75"/>
      <c r="N1472" s="70"/>
      <c r="O1472" t="s">
        <v>1567</v>
      </c>
      <c r="P1472" s="76">
        <v>44958.953101851854</v>
      </c>
      <c r="Q1472" t="s">
        <v>1946</v>
      </c>
      <c r="V1472" s="77" t="str">
        <f>HYPERLINK("https://pbs.twimg.com/profile_images/1614087608308465666/uZDS5n0U_normal.jpg")</f>
        <v>https://pbs.twimg.com/profile_images/1614087608308465666/uZDS5n0U_normal.jpg</v>
      </c>
      <c r="W1472" s="76">
        <v>44958.953101851854</v>
      </c>
      <c r="X1472" s="80">
        <v>44958</v>
      </c>
      <c r="Y1472" s="78" t="s">
        <v>2990</v>
      </c>
      <c r="Z1472" s="77" t="str">
        <f>HYPERLINK("https://twitter.com/the_kelvinator_/status/1620918032943190016")</f>
        <v>https://twitter.com/the_kelvinator_/status/1620918032943190016</v>
      </c>
      <c r="AC1472" s="78" t="s">
        <v>4055</v>
      </c>
      <c r="AD1472" s="78" t="s">
        <v>4420</v>
      </c>
      <c r="AE1472" t="b">
        <v>0</v>
      </c>
      <c r="AF1472">
        <v>1</v>
      </c>
      <c r="AG1472" s="78" t="s">
        <v>4737</v>
      </c>
      <c r="AH1472" t="b">
        <v>0</v>
      </c>
      <c r="AI1472" t="s">
        <v>4829</v>
      </c>
      <c r="AK1472" s="78" t="s">
        <v>4640</v>
      </c>
      <c r="AL1472" t="b">
        <v>0</v>
      </c>
      <c r="AM1472">
        <v>0</v>
      </c>
      <c r="AN1472" s="78" t="s">
        <v>4640</v>
      </c>
      <c r="AO1472" s="78" t="s">
        <v>4849</v>
      </c>
      <c r="AP1472" t="b">
        <v>0</v>
      </c>
      <c r="AQ1472" s="78" t="s">
        <v>4420</v>
      </c>
      <c r="AR1472" t="s">
        <v>179</v>
      </c>
      <c r="AS1472">
        <v>0</v>
      </c>
      <c r="AT1472">
        <v>0</v>
      </c>
    </row>
    <row r="1473" spans="1:46" x14ac:dyDescent="0.45">
      <c r="A1473" s="62" t="s">
        <v>775</v>
      </c>
      <c r="B1473" s="62" t="s">
        <v>242</v>
      </c>
      <c r="C1473" s="63"/>
      <c r="D1473" s="64"/>
      <c r="E1473" s="65"/>
      <c r="F1473" s="66"/>
      <c r="G1473" s="63"/>
      <c r="H1473" s="67"/>
      <c r="I1473" s="68"/>
      <c r="J1473" s="68"/>
      <c r="K1473" s="32"/>
      <c r="L1473" s="75"/>
      <c r="M1473" s="75"/>
      <c r="N1473" s="70"/>
      <c r="O1473" t="s">
        <v>1568</v>
      </c>
      <c r="P1473" s="76">
        <v>44958.959386574075</v>
      </c>
      <c r="Q1473" t="s">
        <v>1952</v>
      </c>
      <c r="V1473" s="77" t="str">
        <f>HYPERLINK("https://pbs.twimg.com/profile_images/1534298411146657792/bKx_wyER_normal.jpg")</f>
        <v>https://pbs.twimg.com/profile_images/1534298411146657792/bKx_wyER_normal.jpg</v>
      </c>
      <c r="W1473" s="76">
        <v>44958.959386574075</v>
      </c>
      <c r="X1473" s="80">
        <v>44958</v>
      </c>
      <c r="Y1473" s="78" t="s">
        <v>2997</v>
      </c>
      <c r="Z1473" s="77" t="str">
        <f>HYPERLINK("https://twitter.com/jendaissues/status/1620920307383943168")</f>
        <v>https://twitter.com/jendaissues/status/1620920307383943168</v>
      </c>
      <c r="AC1473" s="78" t="s">
        <v>4062</v>
      </c>
      <c r="AD1473" s="78" t="s">
        <v>4574</v>
      </c>
      <c r="AE1473" t="b">
        <v>0</v>
      </c>
      <c r="AF1473">
        <v>1</v>
      </c>
      <c r="AG1473" s="78" t="s">
        <v>4743</v>
      </c>
      <c r="AH1473" t="b">
        <v>0</v>
      </c>
      <c r="AI1473" t="s">
        <v>4829</v>
      </c>
      <c r="AK1473" s="78" t="s">
        <v>4640</v>
      </c>
      <c r="AL1473" t="b">
        <v>0</v>
      </c>
      <c r="AM1473">
        <v>0</v>
      </c>
      <c r="AN1473" s="78" t="s">
        <v>4640</v>
      </c>
      <c r="AO1473" s="78" t="s">
        <v>4850</v>
      </c>
      <c r="AP1473" t="b">
        <v>0</v>
      </c>
      <c r="AQ1473" s="78" t="s">
        <v>4574</v>
      </c>
      <c r="AR1473" t="s">
        <v>179</v>
      </c>
      <c r="AS1473">
        <v>0</v>
      </c>
      <c r="AT1473">
        <v>0</v>
      </c>
    </row>
    <row r="1474" spans="1:46" x14ac:dyDescent="0.45">
      <c r="A1474" s="62" t="s">
        <v>775</v>
      </c>
      <c r="B1474" s="62" t="s">
        <v>1365</v>
      </c>
      <c r="C1474" s="63"/>
      <c r="D1474" s="64"/>
      <c r="E1474" s="65"/>
      <c r="F1474" s="66"/>
      <c r="G1474" s="63"/>
      <c r="H1474" s="67"/>
      <c r="I1474" s="68"/>
      <c r="J1474" s="68"/>
      <c r="K1474" s="32"/>
      <c r="L1474" s="75"/>
      <c r="M1474" s="75"/>
      <c r="N1474" s="70"/>
      <c r="O1474" t="s">
        <v>1568</v>
      </c>
      <c r="P1474" s="76">
        <v>44958.959386574075</v>
      </c>
      <c r="Q1474" t="s">
        <v>1952</v>
      </c>
      <c r="V1474" s="77" t="str">
        <f>HYPERLINK("https://pbs.twimg.com/profile_images/1534298411146657792/bKx_wyER_normal.jpg")</f>
        <v>https://pbs.twimg.com/profile_images/1534298411146657792/bKx_wyER_normal.jpg</v>
      </c>
      <c r="W1474" s="76">
        <v>44958.959386574075</v>
      </c>
      <c r="X1474" s="80">
        <v>44958</v>
      </c>
      <c r="Y1474" s="78" t="s">
        <v>2997</v>
      </c>
      <c r="Z1474" s="77" t="str">
        <f>HYPERLINK("https://twitter.com/jendaissues/status/1620920307383943168")</f>
        <v>https://twitter.com/jendaissues/status/1620920307383943168</v>
      </c>
      <c r="AC1474" s="78" t="s">
        <v>4062</v>
      </c>
      <c r="AD1474" s="78" t="s">
        <v>4574</v>
      </c>
      <c r="AE1474" t="b">
        <v>0</v>
      </c>
      <c r="AF1474">
        <v>1</v>
      </c>
      <c r="AG1474" s="78" t="s">
        <v>4743</v>
      </c>
      <c r="AH1474" t="b">
        <v>0</v>
      </c>
      <c r="AI1474" t="s">
        <v>4829</v>
      </c>
      <c r="AK1474" s="78" t="s">
        <v>4640</v>
      </c>
      <c r="AL1474" t="b">
        <v>0</v>
      </c>
      <c r="AM1474">
        <v>0</v>
      </c>
      <c r="AN1474" s="78" t="s">
        <v>4640</v>
      </c>
      <c r="AO1474" s="78" t="s">
        <v>4850</v>
      </c>
      <c r="AP1474" t="b">
        <v>0</v>
      </c>
      <c r="AQ1474" s="78" t="s">
        <v>4574</v>
      </c>
      <c r="AR1474" t="s">
        <v>179</v>
      </c>
      <c r="AS1474">
        <v>0</v>
      </c>
      <c r="AT1474">
        <v>0</v>
      </c>
    </row>
    <row r="1475" spans="1:46" x14ac:dyDescent="0.45">
      <c r="A1475" s="62" t="s">
        <v>775</v>
      </c>
      <c r="B1475" s="62" t="s">
        <v>1211</v>
      </c>
      <c r="C1475" s="63"/>
      <c r="D1475" s="64"/>
      <c r="E1475" s="65"/>
      <c r="F1475" s="66"/>
      <c r="G1475" s="63"/>
      <c r="H1475" s="67"/>
      <c r="I1475" s="68"/>
      <c r="J1475" s="68"/>
      <c r="K1475" s="32"/>
      <c r="L1475" s="75"/>
      <c r="M1475" s="75"/>
      <c r="N1475" s="70"/>
      <c r="O1475" t="s">
        <v>1567</v>
      </c>
      <c r="P1475" s="76">
        <v>44958.959386574075</v>
      </c>
      <c r="Q1475" t="s">
        <v>1952</v>
      </c>
      <c r="V1475" s="77" t="str">
        <f>HYPERLINK("https://pbs.twimg.com/profile_images/1534298411146657792/bKx_wyER_normal.jpg")</f>
        <v>https://pbs.twimg.com/profile_images/1534298411146657792/bKx_wyER_normal.jpg</v>
      </c>
      <c r="W1475" s="76">
        <v>44958.959386574075</v>
      </c>
      <c r="X1475" s="80">
        <v>44958</v>
      </c>
      <c r="Y1475" s="78" t="s">
        <v>2997</v>
      </c>
      <c r="Z1475" s="77" t="str">
        <f>HYPERLINK("https://twitter.com/jendaissues/status/1620920307383943168")</f>
        <v>https://twitter.com/jendaissues/status/1620920307383943168</v>
      </c>
      <c r="AC1475" s="78" t="s">
        <v>4062</v>
      </c>
      <c r="AD1475" s="78" t="s">
        <v>4574</v>
      </c>
      <c r="AE1475" t="b">
        <v>0</v>
      </c>
      <c r="AF1475">
        <v>1</v>
      </c>
      <c r="AG1475" s="78" t="s">
        <v>4743</v>
      </c>
      <c r="AH1475" t="b">
        <v>0</v>
      </c>
      <c r="AI1475" t="s">
        <v>4829</v>
      </c>
      <c r="AK1475" s="78" t="s">
        <v>4640</v>
      </c>
      <c r="AL1475" t="b">
        <v>0</v>
      </c>
      <c r="AM1475">
        <v>0</v>
      </c>
      <c r="AN1475" s="78" t="s">
        <v>4640</v>
      </c>
      <c r="AO1475" s="78" t="s">
        <v>4850</v>
      </c>
      <c r="AP1475" t="b">
        <v>0</v>
      </c>
      <c r="AQ1475" s="78" t="s">
        <v>4574</v>
      </c>
      <c r="AR1475" t="s">
        <v>179</v>
      </c>
      <c r="AS1475">
        <v>0</v>
      </c>
      <c r="AT1475">
        <v>0</v>
      </c>
    </row>
    <row r="1476" spans="1:46" x14ac:dyDescent="0.45">
      <c r="A1476" s="62" t="s">
        <v>780</v>
      </c>
      <c r="B1476" s="62" t="s">
        <v>242</v>
      </c>
      <c r="C1476" s="63"/>
      <c r="D1476" s="64"/>
      <c r="E1476" s="65"/>
      <c r="F1476" s="66"/>
      <c r="G1476" s="63"/>
      <c r="H1476" s="67"/>
      <c r="I1476" s="68"/>
      <c r="J1476" s="68"/>
      <c r="K1476" s="32"/>
      <c r="L1476" s="75"/>
      <c r="M1476" s="75"/>
      <c r="N1476" s="70"/>
      <c r="O1476" t="s">
        <v>1568</v>
      </c>
      <c r="P1476" s="76">
        <v>44958.962372685186</v>
      </c>
      <c r="Q1476" t="s">
        <v>1954</v>
      </c>
      <c r="V1476" s="77" t="str">
        <f>HYPERLINK("https://pbs.twimg.com/profile_images/1621140579488006146/lNhSFi_A_normal.jpg")</f>
        <v>https://pbs.twimg.com/profile_images/1621140579488006146/lNhSFi_A_normal.jpg</v>
      </c>
      <c r="W1476" s="76">
        <v>44958.962372685186</v>
      </c>
      <c r="X1476" s="80">
        <v>44958</v>
      </c>
      <c r="Y1476" s="78" t="s">
        <v>3002</v>
      </c>
      <c r="Z1476" s="77" t="str">
        <f>HYPERLINK("https://twitter.com/miamigosevrywhr/status/1620921391553069056")</f>
        <v>https://twitter.com/miamigosevrywhr/status/1620921391553069056</v>
      </c>
      <c r="AC1476" s="78" t="s">
        <v>4067</v>
      </c>
      <c r="AD1476" s="78" t="s">
        <v>4420</v>
      </c>
      <c r="AE1476" t="b">
        <v>0</v>
      </c>
      <c r="AF1476">
        <v>1</v>
      </c>
      <c r="AG1476" s="78" t="s">
        <v>4737</v>
      </c>
      <c r="AH1476" t="b">
        <v>0</v>
      </c>
      <c r="AI1476" t="s">
        <v>4829</v>
      </c>
      <c r="AK1476" s="78" t="s">
        <v>4640</v>
      </c>
      <c r="AL1476" t="b">
        <v>0</v>
      </c>
      <c r="AM1476">
        <v>0</v>
      </c>
      <c r="AN1476" s="78" t="s">
        <v>4640</v>
      </c>
      <c r="AO1476" s="78" t="s">
        <v>4850</v>
      </c>
      <c r="AP1476" t="b">
        <v>0</v>
      </c>
      <c r="AQ1476" s="78" t="s">
        <v>4420</v>
      </c>
      <c r="AR1476" t="s">
        <v>179</v>
      </c>
      <c r="AS1476">
        <v>0</v>
      </c>
      <c r="AT1476">
        <v>0</v>
      </c>
    </row>
    <row r="1477" spans="1:46" x14ac:dyDescent="0.45">
      <c r="A1477" s="62" t="s">
        <v>780</v>
      </c>
      <c r="B1477" s="62" t="s">
        <v>1046</v>
      </c>
      <c r="C1477" s="63"/>
      <c r="D1477" s="64"/>
      <c r="E1477" s="65"/>
      <c r="F1477" s="66"/>
      <c r="G1477" s="63"/>
      <c r="H1477" s="67"/>
      <c r="I1477" s="68"/>
      <c r="J1477" s="68"/>
      <c r="K1477" s="32"/>
      <c r="L1477" s="75"/>
      <c r="M1477" s="75"/>
      <c r="N1477" s="70"/>
      <c r="O1477" t="s">
        <v>1567</v>
      </c>
      <c r="P1477" s="76">
        <v>44958.962372685186</v>
      </c>
      <c r="Q1477" t="s">
        <v>1954</v>
      </c>
      <c r="V1477" s="77" t="str">
        <f>HYPERLINK("https://pbs.twimg.com/profile_images/1621140579488006146/lNhSFi_A_normal.jpg")</f>
        <v>https://pbs.twimg.com/profile_images/1621140579488006146/lNhSFi_A_normal.jpg</v>
      </c>
      <c r="W1477" s="76">
        <v>44958.962372685186</v>
      </c>
      <c r="X1477" s="80">
        <v>44958</v>
      </c>
      <c r="Y1477" s="78" t="s">
        <v>3002</v>
      </c>
      <c r="Z1477" s="77" t="str">
        <f>HYPERLINK("https://twitter.com/miamigosevrywhr/status/1620921391553069056")</f>
        <v>https://twitter.com/miamigosevrywhr/status/1620921391553069056</v>
      </c>
      <c r="AC1477" s="78" t="s">
        <v>4067</v>
      </c>
      <c r="AD1477" s="78" t="s">
        <v>4420</v>
      </c>
      <c r="AE1477" t="b">
        <v>0</v>
      </c>
      <c r="AF1477">
        <v>1</v>
      </c>
      <c r="AG1477" s="78" t="s">
        <v>4737</v>
      </c>
      <c r="AH1477" t="b">
        <v>0</v>
      </c>
      <c r="AI1477" t="s">
        <v>4829</v>
      </c>
      <c r="AK1477" s="78" t="s">
        <v>4640</v>
      </c>
      <c r="AL1477" t="b">
        <v>0</v>
      </c>
      <c r="AM1477">
        <v>0</v>
      </c>
      <c r="AN1477" s="78" t="s">
        <v>4640</v>
      </c>
      <c r="AO1477" s="78" t="s">
        <v>4850</v>
      </c>
      <c r="AP1477" t="b">
        <v>0</v>
      </c>
      <c r="AQ1477" s="78" t="s">
        <v>4420</v>
      </c>
      <c r="AR1477" t="s">
        <v>179</v>
      </c>
      <c r="AS1477">
        <v>0</v>
      </c>
      <c r="AT1477">
        <v>0</v>
      </c>
    </row>
    <row r="1478" spans="1:46" x14ac:dyDescent="0.45">
      <c r="A1478" s="62" t="s">
        <v>792</v>
      </c>
      <c r="B1478" s="62" t="s">
        <v>242</v>
      </c>
      <c r="C1478" s="63"/>
      <c r="D1478" s="64"/>
      <c r="E1478" s="65"/>
      <c r="F1478" s="66"/>
      <c r="G1478" s="63"/>
      <c r="H1478" s="67"/>
      <c r="I1478" s="68"/>
      <c r="J1478" s="68"/>
      <c r="K1478" s="32"/>
      <c r="L1478" s="75"/>
      <c r="M1478" s="75"/>
      <c r="N1478" s="70"/>
      <c r="O1478" t="s">
        <v>1568</v>
      </c>
      <c r="P1478" s="76">
        <v>44958.973981481482</v>
      </c>
      <c r="Q1478" t="s">
        <v>1962</v>
      </c>
      <c r="V1478" s="77" t="str">
        <f>HYPERLINK("https://pbs.twimg.com/profile_images/1402616399613341698/h-mUwyEs_normal.jpg")</f>
        <v>https://pbs.twimg.com/profile_images/1402616399613341698/h-mUwyEs_normal.jpg</v>
      </c>
      <c r="W1478" s="76">
        <v>44958.973981481482</v>
      </c>
      <c r="X1478" s="80">
        <v>44958</v>
      </c>
      <c r="Y1478" s="78" t="s">
        <v>3014</v>
      </c>
      <c r="Z1478" s="77" t="str">
        <f>HYPERLINK("https://twitter.com/lindackbl/status/1620925597349466112")</f>
        <v>https://twitter.com/lindackbl/status/1620925597349466112</v>
      </c>
      <c r="AC1478" s="78" t="s">
        <v>4079</v>
      </c>
      <c r="AD1478" s="78" t="s">
        <v>4566</v>
      </c>
      <c r="AE1478" t="b">
        <v>0</v>
      </c>
      <c r="AF1478">
        <v>1</v>
      </c>
      <c r="AG1478" s="78" t="s">
        <v>4735</v>
      </c>
      <c r="AH1478" t="b">
        <v>0</v>
      </c>
      <c r="AI1478" t="s">
        <v>4829</v>
      </c>
      <c r="AK1478" s="78" t="s">
        <v>4640</v>
      </c>
      <c r="AL1478" t="b">
        <v>0</v>
      </c>
      <c r="AM1478">
        <v>0</v>
      </c>
      <c r="AN1478" s="78" t="s">
        <v>4640</v>
      </c>
      <c r="AO1478" s="78" t="s">
        <v>4851</v>
      </c>
      <c r="AP1478" t="b">
        <v>0</v>
      </c>
      <c r="AQ1478" s="78" t="s">
        <v>4566</v>
      </c>
      <c r="AR1478" t="s">
        <v>179</v>
      </c>
      <c r="AS1478">
        <v>0</v>
      </c>
      <c r="AT1478">
        <v>0</v>
      </c>
    </row>
    <row r="1479" spans="1:46" x14ac:dyDescent="0.45">
      <c r="A1479" s="62" t="s">
        <v>792</v>
      </c>
      <c r="B1479" s="62" t="s">
        <v>1353</v>
      </c>
      <c r="C1479" s="63"/>
      <c r="D1479" s="64"/>
      <c r="E1479" s="65"/>
      <c r="F1479" s="66"/>
      <c r="G1479" s="63"/>
      <c r="H1479" s="67"/>
      <c r="I1479" s="68"/>
      <c r="J1479" s="68"/>
      <c r="K1479" s="32"/>
      <c r="L1479" s="75"/>
      <c r="M1479" s="75"/>
      <c r="N1479" s="70"/>
      <c r="O1479" t="s">
        <v>1567</v>
      </c>
      <c r="P1479" s="76">
        <v>44958.973981481482</v>
      </c>
      <c r="Q1479" t="s">
        <v>1962</v>
      </c>
      <c r="V1479" s="77" t="str">
        <f>HYPERLINK("https://pbs.twimg.com/profile_images/1402616399613341698/h-mUwyEs_normal.jpg")</f>
        <v>https://pbs.twimg.com/profile_images/1402616399613341698/h-mUwyEs_normal.jpg</v>
      </c>
      <c r="W1479" s="76">
        <v>44958.973981481482</v>
      </c>
      <c r="X1479" s="80">
        <v>44958</v>
      </c>
      <c r="Y1479" s="78" t="s">
        <v>3014</v>
      </c>
      <c r="Z1479" s="77" t="str">
        <f>HYPERLINK("https://twitter.com/lindackbl/status/1620925597349466112")</f>
        <v>https://twitter.com/lindackbl/status/1620925597349466112</v>
      </c>
      <c r="AC1479" s="78" t="s">
        <v>4079</v>
      </c>
      <c r="AD1479" s="78" t="s">
        <v>4566</v>
      </c>
      <c r="AE1479" t="b">
        <v>0</v>
      </c>
      <c r="AF1479">
        <v>1</v>
      </c>
      <c r="AG1479" s="78" t="s">
        <v>4735</v>
      </c>
      <c r="AH1479" t="b">
        <v>0</v>
      </c>
      <c r="AI1479" t="s">
        <v>4829</v>
      </c>
      <c r="AK1479" s="78" t="s">
        <v>4640</v>
      </c>
      <c r="AL1479" t="b">
        <v>0</v>
      </c>
      <c r="AM1479">
        <v>0</v>
      </c>
      <c r="AN1479" s="78" t="s">
        <v>4640</v>
      </c>
      <c r="AO1479" s="78" t="s">
        <v>4851</v>
      </c>
      <c r="AP1479" t="b">
        <v>0</v>
      </c>
      <c r="AQ1479" s="78" t="s">
        <v>4566</v>
      </c>
      <c r="AR1479" t="s">
        <v>179</v>
      </c>
      <c r="AS1479">
        <v>0</v>
      </c>
      <c r="AT1479">
        <v>0</v>
      </c>
    </row>
    <row r="1480" spans="1:46" x14ac:dyDescent="0.45">
      <c r="A1480" s="62" t="s">
        <v>797</v>
      </c>
      <c r="B1480" s="62" t="s">
        <v>242</v>
      </c>
      <c r="C1480" s="63"/>
      <c r="D1480" s="64"/>
      <c r="E1480" s="65"/>
      <c r="F1480" s="66"/>
      <c r="G1480" s="63"/>
      <c r="H1480" s="67"/>
      <c r="I1480" s="68"/>
      <c r="J1480" s="68"/>
      <c r="K1480" s="32"/>
      <c r="L1480" s="75"/>
      <c r="M1480" s="75"/>
      <c r="N1480" s="70"/>
      <c r="O1480" t="s">
        <v>1568</v>
      </c>
      <c r="P1480" s="76">
        <v>44958.978495370371</v>
      </c>
      <c r="Q1480" t="s">
        <v>1967</v>
      </c>
      <c r="V1480" s="77" t="str">
        <f>HYPERLINK("https://pbs.twimg.com/profile_images/1385020278149828610/GhU8whC6_normal.jpg")</f>
        <v>https://pbs.twimg.com/profile_images/1385020278149828610/GhU8whC6_normal.jpg</v>
      </c>
      <c r="W1480" s="76">
        <v>44958.978495370371</v>
      </c>
      <c r="X1480" s="80">
        <v>44958</v>
      </c>
      <c r="Y1480" s="78" t="s">
        <v>3019</v>
      </c>
      <c r="Z1480" s="77" t="str">
        <f>HYPERLINK("https://twitter.com/chiefmucker/status/1620927234742816769")</f>
        <v>https://twitter.com/chiefmucker/status/1620927234742816769</v>
      </c>
      <c r="AC1480" s="78" t="s">
        <v>4084</v>
      </c>
      <c r="AD1480" s="78" t="s">
        <v>4566</v>
      </c>
      <c r="AE1480" t="b">
        <v>0</v>
      </c>
      <c r="AF1480">
        <v>1</v>
      </c>
      <c r="AG1480" s="78" t="s">
        <v>4735</v>
      </c>
      <c r="AH1480" t="b">
        <v>0</v>
      </c>
      <c r="AI1480" t="s">
        <v>4829</v>
      </c>
      <c r="AK1480" s="78" t="s">
        <v>4640</v>
      </c>
      <c r="AL1480" t="b">
        <v>0</v>
      </c>
      <c r="AM1480">
        <v>0</v>
      </c>
      <c r="AN1480" s="78" t="s">
        <v>4640</v>
      </c>
      <c r="AO1480" s="78" t="s">
        <v>4850</v>
      </c>
      <c r="AP1480" t="b">
        <v>0</v>
      </c>
      <c r="AQ1480" s="78" t="s">
        <v>4566</v>
      </c>
      <c r="AR1480" t="s">
        <v>179</v>
      </c>
      <c r="AS1480">
        <v>0</v>
      </c>
      <c r="AT1480">
        <v>0</v>
      </c>
    </row>
    <row r="1481" spans="1:46" x14ac:dyDescent="0.45">
      <c r="A1481" s="62" t="s">
        <v>797</v>
      </c>
      <c r="B1481" s="62" t="s">
        <v>1353</v>
      </c>
      <c r="C1481" s="63"/>
      <c r="D1481" s="64"/>
      <c r="E1481" s="65"/>
      <c r="F1481" s="66"/>
      <c r="G1481" s="63"/>
      <c r="H1481" s="67"/>
      <c r="I1481" s="68"/>
      <c r="J1481" s="68"/>
      <c r="K1481" s="32"/>
      <c r="L1481" s="75"/>
      <c r="M1481" s="75"/>
      <c r="N1481" s="70"/>
      <c r="O1481" t="s">
        <v>1567</v>
      </c>
      <c r="P1481" s="76">
        <v>44958.978495370371</v>
      </c>
      <c r="Q1481" t="s">
        <v>1967</v>
      </c>
      <c r="V1481" s="77" t="str">
        <f>HYPERLINK("https://pbs.twimg.com/profile_images/1385020278149828610/GhU8whC6_normal.jpg")</f>
        <v>https://pbs.twimg.com/profile_images/1385020278149828610/GhU8whC6_normal.jpg</v>
      </c>
      <c r="W1481" s="76">
        <v>44958.978495370371</v>
      </c>
      <c r="X1481" s="80">
        <v>44958</v>
      </c>
      <c r="Y1481" s="78" t="s">
        <v>3019</v>
      </c>
      <c r="Z1481" s="77" t="str">
        <f>HYPERLINK("https://twitter.com/chiefmucker/status/1620927234742816769")</f>
        <v>https://twitter.com/chiefmucker/status/1620927234742816769</v>
      </c>
      <c r="AC1481" s="78" t="s">
        <v>4084</v>
      </c>
      <c r="AD1481" s="78" t="s">
        <v>4566</v>
      </c>
      <c r="AE1481" t="b">
        <v>0</v>
      </c>
      <c r="AF1481">
        <v>1</v>
      </c>
      <c r="AG1481" s="78" t="s">
        <v>4735</v>
      </c>
      <c r="AH1481" t="b">
        <v>0</v>
      </c>
      <c r="AI1481" t="s">
        <v>4829</v>
      </c>
      <c r="AK1481" s="78" t="s">
        <v>4640</v>
      </c>
      <c r="AL1481" t="b">
        <v>0</v>
      </c>
      <c r="AM1481">
        <v>0</v>
      </c>
      <c r="AN1481" s="78" t="s">
        <v>4640</v>
      </c>
      <c r="AO1481" s="78" t="s">
        <v>4850</v>
      </c>
      <c r="AP1481" t="b">
        <v>0</v>
      </c>
      <c r="AQ1481" s="78" t="s">
        <v>4566</v>
      </c>
      <c r="AR1481" t="s">
        <v>179</v>
      </c>
      <c r="AS1481">
        <v>0</v>
      </c>
      <c r="AT1481">
        <v>0</v>
      </c>
    </row>
    <row r="1482" spans="1:46" x14ac:dyDescent="0.45">
      <c r="A1482" s="62" t="s">
        <v>806</v>
      </c>
      <c r="B1482" s="62" t="s">
        <v>242</v>
      </c>
      <c r="C1482" s="63"/>
      <c r="D1482" s="64"/>
      <c r="E1482" s="65"/>
      <c r="F1482" s="66"/>
      <c r="G1482" s="63"/>
      <c r="H1482" s="67"/>
      <c r="I1482" s="68"/>
      <c r="J1482" s="68"/>
      <c r="K1482" s="32"/>
      <c r="L1482" s="75"/>
      <c r="M1482" s="75"/>
      <c r="N1482" s="70"/>
      <c r="O1482" t="s">
        <v>1567</v>
      </c>
      <c r="P1482" s="76">
        <v>44958.982048611113</v>
      </c>
      <c r="Q1482" t="s">
        <v>1974</v>
      </c>
      <c r="V1482" s="77" t="str">
        <f>HYPERLINK("https://pbs.twimg.com/profile_images/1613538581095583744/UUGjHMf8_normal.jpg")</f>
        <v>https://pbs.twimg.com/profile_images/1613538581095583744/UUGjHMf8_normal.jpg</v>
      </c>
      <c r="W1482" s="76">
        <v>44958.982048611113</v>
      </c>
      <c r="X1482" s="80">
        <v>44958</v>
      </c>
      <c r="Y1482" s="78" t="s">
        <v>3031</v>
      </c>
      <c r="Z1482" s="77" t="str">
        <f>HYPERLINK("https://twitter.com/frye1965/status/1620928520141836288")</f>
        <v>https://twitter.com/frye1965/status/1620928520141836288</v>
      </c>
      <c r="AC1482" s="78" t="s">
        <v>4096</v>
      </c>
      <c r="AD1482" s="78" t="s">
        <v>4497</v>
      </c>
      <c r="AE1482" t="b">
        <v>0</v>
      </c>
      <c r="AF1482">
        <v>1</v>
      </c>
      <c r="AG1482" s="78" t="s">
        <v>4639</v>
      </c>
      <c r="AH1482" t="b">
        <v>0</v>
      </c>
      <c r="AI1482" t="s">
        <v>4829</v>
      </c>
      <c r="AK1482" s="78" t="s">
        <v>4640</v>
      </c>
      <c r="AL1482" t="b">
        <v>0</v>
      </c>
      <c r="AM1482">
        <v>0</v>
      </c>
      <c r="AN1482" s="78" t="s">
        <v>4640</v>
      </c>
      <c r="AO1482" s="78" t="s">
        <v>4850</v>
      </c>
      <c r="AP1482" t="b">
        <v>0</v>
      </c>
      <c r="AQ1482" s="78" t="s">
        <v>4497</v>
      </c>
      <c r="AR1482" t="s">
        <v>179</v>
      </c>
      <c r="AS1482">
        <v>0</v>
      </c>
      <c r="AT1482">
        <v>0</v>
      </c>
    </row>
    <row r="1483" spans="1:46" x14ac:dyDescent="0.45">
      <c r="A1483" s="62" t="s">
        <v>808</v>
      </c>
      <c r="B1483" s="62" t="s">
        <v>242</v>
      </c>
      <c r="C1483" s="63"/>
      <c r="D1483" s="64"/>
      <c r="E1483" s="65"/>
      <c r="F1483" s="66"/>
      <c r="G1483" s="63"/>
      <c r="H1483" s="67"/>
      <c r="I1483" s="68"/>
      <c r="J1483" s="68"/>
      <c r="K1483" s="32"/>
      <c r="L1483" s="75"/>
      <c r="M1483" s="75"/>
      <c r="N1483" s="70"/>
      <c r="O1483" t="s">
        <v>1567</v>
      </c>
      <c r="P1483" s="76">
        <v>44958.982534722221</v>
      </c>
      <c r="Q1483" t="s">
        <v>1977</v>
      </c>
      <c r="V1483" s="77" t="str">
        <f>HYPERLINK("https://pbs.twimg.com/profile_images/1575952196046290944/FKjGdmsZ_normal.jpg")</f>
        <v>https://pbs.twimg.com/profile_images/1575952196046290944/FKjGdmsZ_normal.jpg</v>
      </c>
      <c r="W1483" s="76">
        <v>44958.982534722221</v>
      </c>
      <c r="X1483" s="80">
        <v>44958</v>
      </c>
      <c r="Y1483" s="78" t="s">
        <v>3034</v>
      </c>
      <c r="Z1483" s="77" t="str">
        <f>HYPERLINK("https://twitter.com/msangela9111/status/1620928699045482501")</f>
        <v>https://twitter.com/msangela9111/status/1620928699045482501</v>
      </c>
      <c r="AC1483" s="78" t="s">
        <v>4099</v>
      </c>
      <c r="AD1483" s="78" t="s">
        <v>4497</v>
      </c>
      <c r="AE1483" t="b">
        <v>0</v>
      </c>
      <c r="AF1483">
        <v>1</v>
      </c>
      <c r="AG1483" s="78" t="s">
        <v>4639</v>
      </c>
      <c r="AH1483" t="b">
        <v>0</v>
      </c>
      <c r="AI1483" t="s">
        <v>4829</v>
      </c>
      <c r="AK1483" s="78" t="s">
        <v>4640</v>
      </c>
      <c r="AL1483" t="b">
        <v>0</v>
      </c>
      <c r="AM1483">
        <v>0</v>
      </c>
      <c r="AN1483" s="78" t="s">
        <v>4640</v>
      </c>
      <c r="AO1483" s="78" t="s">
        <v>4849</v>
      </c>
      <c r="AP1483" t="b">
        <v>0</v>
      </c>
      <c r="AQ1483" s="78" t="s">
        <v>4497</v>
      </c>
      <c r="AR1483" t="s">
        <v>179</v>
      </c>
      <c r="AS1483">
        <v>0</v>
      </c>
      <c r="AT1483">
        <v>0</v>
      </c>
    </row>
    <row r="1484" spans="1:46" x14ac:dyDescent="0.45">
      <c r="A1484" s="62" t="s">
        <v>810</v>
      </c>
      <c r="B1484" s="62" t="s">
        <v>1387</v>
      </c>
      <c r="C1484" s="63"/>
      <c r="D1484" s="64"/>
      <c r="E1484" s="65"/>
      <c r="F1484" s="66"/>
      <c r="G1484" s="63"/>
      <c r="H1484" s="67"/>
      <c r="I1484" s="68"/>
      <c r="J1484" s="68"/>
      <c r="K1484" s="32"/>
      <c r="L1484" s="75"/>
      <c r="M1484" s="75"/>
      <c r="N1484" s="70"/>
      <c r="O1484" t="s">
        <v>1568</v>
      </c>
      <c r="P1484" s="76">
        <v>44958.989849537036</v>
      </c>
      <c r="Q1484" t="s">
        <v>1979</v>
      </c>
      <c r="V1484" s="77" t="str">
        <f>HYPERLINK("https://pbs.twimg.com/profile_images/1600525309069115404/QJM8vulU_normal.jpg")</f>
        <v>https://pbs.twimg.com/profile_images/1600525309069115404/QJM8vulU_normal.jpg</v>
      </c>
      <c r="W1484" s="76">
        <v>44958.989849537036</v>
      </c>
      <c r="X1484" s="80">
        <v>44958</v>
      </c>
      <c r="Y1484" s="78" t="s">
        <v>3036</v>
      </c>
      <c r="Z1484" s="77" t="str">
        <f>HYPERLINK("https://twitter.com/notmachine2/status/1620931349157928960")</f>
        <v>https://twitter.com/notmachine2/status/1620931349157928960</v>
      </c>
      <c r="AC1484" s="78" t="s">
        <v>4101</v>
      </c>
      <c r="AD1484" s="78" t="s">
        <v>4583</v>
      </c>
      <c r="AE1484" t="b">
        <v>0</v>
      </c>
      <c r="AF1484">
        <v>1</v>
      </c>
      <c r="AG1484" s="78" t="s">
        <v>4753</v>
      </c>
      <c r="AH1484" t="b">
        <v>0</v>
      </c>
      <c r="AI1484" t="s">
        <v>4829</v>
      </c>
      <c r="AK1484" s="78" t="s">
        <v>4640</v>
      </c>
      <c r="AL1484" t="b">
        <v>0</v>
      </c>
      <c r="AM1484">
        <v>0</v>
      </c>
      <c r="AN1484" s="78" t="s">
        <v>4640</v>
      </c>
      <c r="AO1484" s="78" t="s">
        <v>4850</v>
      </c>
      <c r="AP1484" t="b">
        <v>0</v>
      </c>
      <c r="AQ1484" s="78" t="s">
        <v>4583</v>
      </c>
      <c r="AR1484" t="s">
        <v>179</v>
      </c>
      <c r="AS1484">
        <v>0</v>
      </c>
      <c r="AT1484">
        <v>0</v>
      </c>
    </row>
    <row r="1485" spans="1:46" x14ac:dyDescent="0.45">
      <c r="A1485" s="62" t="s">
        <v>810</v>
      </c>
      <c r="B1485" s="62" t="s">
        <v>1388</v>
      </c>
      <c r="C1485" s="63"/>
      <c r="D1485" s="64"/>
      <c r="E1485" s="65"/>
      <c r="F1485" s="66"/>
      <c r="G1485" s="63"/>
      <c r="H1485" s="67"/>
      <c r="I1485" s="68"/>
      <c r="J1485" s="68"/>
      <c r="K1485" s="32"/>
      <c r="L1485" s="75"/>
      <c r="M1485" s="75"/>
      <c r="N1485" s="70"/>
      <c r="O1485" t="s">
        <v>1567</v>
      </c>
      <c r="P1485" s="76">
        <v>44958.989849537036</v>
      </c>
      <c r="Q1485" t="s">
        <v>1979</v>
      </c>
      <c r="V1485" s="77" t="str">
        <f>HYPERLINK("https://pbs.twimg.com/profile_images/1600525309069115404/QJM8vulU_normal.jpg")</f>
        <v>https://pbs.twimg.com/profile_images/1600525309069115404/QJM8vulU_normal.jpg</v>
      </c>
      <c r="W1485" s="76">
        <v>44958.989849537036</v>
      </c>
      <c r="X1485" s="80">
        <v>44958</v>
      </c>
      <c r="Y1485" s="78" t="s">
        <v>3036</v>
      </c>
      <c r="Z1485" s="77" t="str">
        <f>HYPERLINK("https://twitter.com/notmachine2/status/1620931349157928960")</f>
        <v>https://twitter.com/notmachine2/status/1620931349157928960</v>
      </c>
      <c r="AC1485" s="78" t="s">
        <v>4101</v>
      </c>
      <c r="AD1485" s="78" t="s">
        <v>4583</v>
      </c>
      <c r="AE1485" t="b">
        <v>0</v>
      </c>
      <c r="AF1485">
        <v>1</v>
      </c>
      <c r="AG1485" s="78" t="s">
        <v>4753</v>
      </c>
      <c r="AH1485" t="b">
        <v>0</v>
      </c>
      <c r="AI1485" t="s">
        <v>4829</v>
      </c>
      <c r="AK1485" s="78" t="s">
        <v>4640</v>
      </c>
      <c r="AL1485" t="b">
        <v>0</v>
      </c>
      <c r="AM1485">
        <v>0</v>
      </c>
      <c r="AN1485" s="78" t="s">
        <v>4640</v>
      </c>
      <c r="AO1485" s="78" t="s">
        <v>4850</v>
      </c>
      <c r="AP1485" t="b">
        <v>0</v>
      </c>
      <c r="AQ1485" s="78" t="s">
        <v>4583</v>
      </c>
      <c r="AR1485" t="s">
        <v>179</v>
      </c>
      <c r="AS1485">
        <v>0</v>
      </c>
      <c r="AT1485">
        <v>0</v>
      </c>
    </row>
    <row r="1486" spans="1:46" x14ac:dyDescent="0.45">
      <c r="A1486" s="62" t="s">
        <v>810</v>
      </c>
      <c r="B1486" s="62" t="s">
        <v>242</v>
      </c>
      <c r="C1486" s="63"/>
      <c r="D1486" s="64"/>
      <c r="E1486" s="65"/>
      <c r="F1486" s="66"/>
      <c r="G1486" s="63"/>
      <c r="H1486" s="67"/>
      <c r="I1486" s="68"/>
      <c r="J1486" s="68"/>
      <c r="K1486" s="32"/>
      <c r="L1486" s="75"/>
      <c r="M1486" s="75"/>
      <c r="N1486" s="70"/>
      <c r="O1486" t="s">
        <v>1568</v>
      </c>
      <c r="P1486" s="76">
        <v>44958.989849537036</v>
      </c>
      <c r="Q1486" t="s">
        <v>1979</v>
      </c>
      <c r="V1486" s="77" t="str">
        <f>HYPERLINK("https://pbs.twimg.com/profile_images/1600525309069115404/QJM8vulU_normal.jpg")</f>
        <v>https://pbs.twimg.com/profile_images/1600525309069115404/QJM8vulU_normal.jpg</v>
      </c>
      <c r="W1486" s="76">
        <v>44958.989849537036</v>
      </c>
      <c r="X1486" s="80">
        <v>44958</v>
      </c>
      <c r="Y1486" s="78" t="s">
        <v>3036</v>
      </c>
      <c r="Z1486" s="77" t="str">
        <f>HYPERLINK("https://twitter.com/notmachine2/status/1620931349157928960")</f>
        <v>https://twitter.com/notmachine2/status/1620931349157928960</v>
      </c>
      <c r="AC1486" s="78" t="s">
        <v>4101</v>
      </c>
      <c r="AD1486" s="78" t="s">
        <v>4583</v>
      </c>
      <c r="AE1486" t="b">
        <v>0</v>
      </c>
      <c r="AF1486">
        <v>1</v>
      </c>
      <c r="AG1486" s="78" t="s">
        <v>4753</v>
      </c>
      <c r="AH1486" t="b">
        <v>0</v>
      </c>
      <c r="AI1486" t="s">
        <v>4829</v>
      </c>
      <c r="AK1486" s="78" t="s">
        <v>4640</v>
      </c>
      <c r="AL1486" t="b">
        <v>0</v>
      </c>
      <c r="AM1486">
        <v>0</v>
      </c>
      <c r="AN1486" s="78" t="s">
        <v>4640</v>
      </c>
      <c r="AO1486" s="78" t="s">
        <v>4850</v>
      </c>
      <c r="AP1486" t="b">
        <v>0</v>
      </c>
      <c r="AQ1486" s="78" t="s">
        <v>4583</v>
      </c>
      <c r="AR1486" t="s">
        <v>179</v>
      </c>
      <c r="AS1486">
        <v>0</v>
      </c>
      <c r="AT1486">
        <v>0</v>
      </c>
    </row>
    <row r="1487" spans="1:46" x14ac:dyDescent="0.45">
      <c r="A1487" s="62" t="s">
        <v>818</v>
      </c>
      <c r="B1487" s="62" t="s">
        <v>242</v>
      </c>
      <c r="C1487" s="63"/>
      <c r="D1487" s="64"/>
      <c r="E1487" s="65"/>
      <c r="F1487" s="66"/>
      <c r="G1487" s="63"/>
      <c r="H1487" s="67"/>
      <c r="I1487" s="68"/>
      <c r="J1487" s="68"/>
      <c r="K1487" s="32"/>
      <c r="L1487" s="75"/>
      <c r="M1487" s="75"/>
      <c r="N1487" s="70"/>
      <c r="O1487" t="s">
        <v>1568</v>
      </c>
      <c r="P1487" s="76">
        <v>44958.940740740742</v>
      </c>
      <c r="Q1487" t="s">
        <v>2001</v>
      </c>
      <c r="V1487" s="77" t="str">
        <f>HYPERLINK("https://pbs.twimg.com/profile_images/1511853384915058691/wnGOBV0P_normal.jpg")</f>
        <v>https://pbs.twimg.com/profile_images/1511853384915058691/wnGOBV0P_normal.jpg</v>
      </c>
      <c r="W1487" s="76">
        <v>44958.940740740742</v>
      </c>
      <c r="X1487" s="80">
        <v>44958</v>
      </c>
      <c r="Y1487" s="78" t="s">
        <v>3061</v>
      </c>
      <c r="Z1487" s="77" t="str">
        <f>HYPERLINK("https://twitter.com/scrub__zero/status/1620913550263996417")</f>
        <v>https://twitter.com/scrub__zero/status/1620913550263996417</v>
      </c>
      <c r="AC1487" s="78" t="s">
        <v>4126</v>
      </c>
      <c r="AD1487" s="78" t="s">
        <v>4420</v>
      </c>
      <c r="AE1487" t="b">
        <v>0</v>
      </c>
      <c r="AF1487">
        <v>1</v>
      </c>
      <c r="AG1487" s="78" t="s">
        <v>4737</v>
      </c>
      <c r="AH1487" t="b">
        <v>0</v>
      </c>
      <c r="AI1487" t="s">
        <v>4829</v>
      </c>
      <c r="AK1487" s="78" t="s">
        <v>4640</v>
      </c>
      <c r="AL1487" t="b">
        <v>0</v>
      </c>
      <c r="AM1487">
        <v>0</v>
      </c>
      <c r="AN1487" s="78" t="s">
        <v>4640</v>
      </c>
      <c r="AO1487" s="78" t="s">
        <v>4851</v>
      </c>
      <c r="AP1487" t="b">
        <v>0</v>
      </c>
      <c r="AQ1487" s="78" t="s">
        <v>4420</v>
      </c>
      <c r="AR1487" t="s">
        <v>179</v>
      </c>
      <c r="AS1487">
        <v>0</v>
      </c>
      <c r="AT1487">
        <v>0</v>
      </c>
    </row>
    <row r="1488" spans="1:46" x14ac:dyDescent="0.45">
      <c r="A1488" s="62" t="s">
        <v>818</v>
      </c>
      <c r="B1488" s="62" t="s">
        <v>1046</v>
      </c>
      <c r="C1488" s="63"/>
      <c r="D1488" s="64"/>
      <c r="E1488" s="65"/>
      <c r="F1488" s="66"/>
      <c r="G1488" s="63"/>
      <c r="H1488" s="67"/>
      <c r="I1488" s="68"/>
      <c r="J1488" s="68"/>
      <c r="K1488" s="32"/>
      <c r="L1488" s="75"/>
      <c r="M1488" s="75"/>
      <c r="N1488" s="70"/>
      <c r="O1488" t="s">
        <v>1567</v>
      </c>
      <c r="P1488" s="76">
        <v>44958.940740740742</v>
      </c>
      <c r="Q1488" t="s">
        <v>2001</v>
      </c>
      <c r="V1488" s="77" t="str">
        <f>HYPERLINK("https://pbs.twimg.com/profile_images/1511853384915058691/wnGOBV0P_normal.jpg")</f>
        <v>https://pbs.twimg.com/profile_images/1511853384915058691/wnGOBV0P_normal.jpg</v>
      </c>
      <c r="W1488" s="76">
        <v>44958.940740740742</v>
      </c>
      <c r="X1488" s="80">
        <v>44958</v>
      </c>
      <c r="Y1488" s="78" t="s">
        <v>3061</v>
      </c>
      <c r="Z1488" s="77" t="str">
        <f>HYPERLINK("https://twitter.com/scrub__zero/status/1620913550263996417")</f>
        <v>https://twitter.com/scrub__zero/status/1620913550263996417</v>
      </c>
      <c r="AC1488" s="78" t="s">
        <v>4126</v>
      </c>
      <c r="AD1488" s="78" t="s">
        <v>4420</v>
      </c>
      <c r="AE1488" t="b">
        <v>0</v>
      </c>
      <c r="AF1488">
        <v>1</v>
      </c>
      <c r="AG1488" s="78" t="s">
        <v>4737</v>
      </c>
      <c r="AH1488" t="b">
        <v>0</v>
      </c>
      <c r="AI1488" t="s">
        <v>4829</v>
      </c>
      <c r="AK1488" s="78" t="s">
        <v>4640</v>
      </c>
      <c r="AL1488" t="b">
        <v>0</v>
      </c>
      <c r="AM1488">
        <v>0</v>
      </c>
      <c r="AN1488" s="78" t="s">
        <v>4640</v>
      </c>
      <c r="AO1488" s="78" t="s">
        <v>4851</v>
      </c>
      <c r="AP1488" t="b">
        <v>0</v>
      </c>
      <c r="AQ1488" s="78" t="s">
        <v>4420</v>
      </c>
      <c r="AR1488" t="s">
        <v>179</v>
      </c>
      <c r="AS1488">
        <v>0</v>
      </c>
      <c r="AT1488">
        <v>0</v>
      </c>
    </row>
    <row r="1489" spans="1:46" x14ac:dyDescent="0.45">
      <c r="A1489" s="62" t="s">
        <v>840</v>
      </c>
      <c r="B1489" s="62" t="s">
        <v>1230</v>
      </c>
      <c r="C1489" s="63"/>
      <c r="D1489" s="64"/>
      <c r="E1489" s="65"/>
      <c r="F1489" s="66"/>
      <c r="G1489" s="63"/>
      <c r="H1489" s="67"/>
      <c r="I1489" s="68"/>
      <c r="J1489" s="68"/>
      <c r="K1489" s="32"/>
      <c r="L1489" s="75"/>
      <c r="M1489" s="75"/>
      <c r="N1489" s="70"/>
      <c r="O1489" t="s">
        <v>1568</v>
      </c>
      <c r="P1489" s="76">
        <v>44958.849988425929</v>
      </c>
      <c r="Q1489" t="s">
        <v>2020</v>
      </c>
      <c r="V1489" s="77" t="str">
        <f>HYPERLINK("https://pbs.twimg.com/profile_images/1293384310326562818/H1vSRoUq_normal.png")</f>
        <v>https://pbs.twimg.com/profile_images/1293384310326562818/H1vSRoUq_normal.png</v>
      </c>
      <c r="W1489" s="76">
        <v>44958.849988425929</v>
      </c>
      <c r="X1489" s="80">
        <v>44958</v>
      </c>
      <c r="Y1489" s="78" t="s">
        <v>3096</v>
      </c>
      <c r="Z1489" s="77" t="str">
        <f>HYPERLINK("https://twitter.com/oshes/status/1620880663665643577")</f>
        <v>https://twitter.com/oshes/status/1620880663665643577</v>
      </c>
      <c r="AC1489" s="78" t="s">
        <v>4161</v>
      </c>
      <c r="AD1489" s="78" t="s">
        <v>4473</v>
      </c>
      <c r="AE1489" t="b">
        <v>0</v>
      </c>
      <c r="AF1489">
        <v>1</v>
      </c>
      <c r="AG1489" s="78" t="s">
        <v>4639</v>
      </c>
      <c r="AH1489" t="b">
        <v>0</v>
      </c>
      <c r="AI1489" t="s">
        <v>4829</v>
      </c>
      <c r="AK1489" s="78" t="s">
        <v>4640</v>
      </c>
      <c r="AL1489" t="b">
        <v>0</v>
      </c>
      <c r="AM1489">
        <v>1</v>
      </c>
      <c r="AN1489" s="78" t="s">
        <v>4640</v>
      </c>
      <c r="AO1489" s="78" t="s">
        <v>4849</v>
      </c>
      <c r="AP1489" t="b">
        <v>0</v>
      </c>
      <c r="AQ1489" s="78" t="s">
        <v>4473</v>
      </c>
      <c r="AR1489" t="s">
        <v>179</v>
      </c>
      <c r="AS1489">
        <v>0</v>
      </c>
      <c r="AT1489">
        <v>0</v>
      </c>
    </row>
    <row r="1490" spans="1:46" x14ac:dyDescent="0.45">
      <c r="A1490" s="62" t="s">
        <v>840</v>
      </c>
      <c r="B1490" s="62" t="s">
        <v>242</v>
      </c>
      <c r="C1490" s="63"/>
      <c r="D1490" s="64"/>
      <c r="E1490" s="65"/>
      <c r="F1490" s="66"/>
      <c r="G1490" s="63"/>
      <c r="H1490" s="67"/>
      <c r="I1490" s="68"/>
      <c r="J1490" s="68"/>
      <c r="K1490" s="32"/>
      <c r="L1490" s="75"/>
      <c r="M1490" s="75"/>
      <c r="N1490" s="70"/>
      <c r="O1490" t="s">
        <v>1567</v>
      </c>
      <c r="P1490" s="76">
        <v>44958.849988425929</v>
      </c>
      <c r="Q1490" t="s">
        <v>2020</v>
      </c>
      <c r="V1490" s="77" t="str">
        <f>HYPERLINK("https://pbs.twimg.com/profile_images/1293384310326562818/H1vSRoUq_normal.png")</f>
        <v>https://pbs.twimg.com/profile_images/1293384310326562818/H1vSRoUq_normal.png</v>
      </c>
      <c r="W1490" s="76">
        <v>44958.849988425929</v>
      </c>
      <c r="X1490" s="80">
        <v>44958</v>
      </c>
      <c r="Y1490" s="78" t="s">
        <v>3096</v>
      </c>
      <c r="Z1490" s="77" t="str">
        <f>HYPERLINK("https://twitter.com/oshes/status/1620880663665643577")</f>
        <v>https://twitter.com/oshes/status/1620880663665643577</v>
      </c>
      <c r="AC1490" s="78" t="s">
        <v>4161</v>
      </c>
      <c r="AD1490" s="78" t="s">
        <v>4473</v>
      </c>
      <c r="AE1490" t="b">
        <v>0</v>
      </c>
      <c r="AF1490">
        <v>1</v>
      </c>
      <c r="AG1490" s="78" t="s">
        <v>4639</v>
      </c>
      <c r="AH1490" t="b">
        <v>0</v>
      </c>
      <c r="AI1490" t="s">
        <v>4829</v>
      </c>
      <c r="AK1490" s="78" t="s">
        <v>4640</v>
      </c>
      <c r="AL1490" t="b">
        <v>0</v>
      </c>
      <c r="AM1490">
        <v>1</v>
      </c>
      <c r="AN1490" s="78" t="s">
        <v>4640</v>
      </c>
      <c r="AO1490" s="78" t="s">
        <v>4849</v>
      </c>
      <c r="AP1490" t="b">
        <v>0</v>
      </c>
      <c r="AQ1490" s="78" t="s">
        <v>4473</v>
      </c>
      <c r="AR1490" t="s">
        <v>179</v>
      </c>
      <c r="AS1490">
        <v>0</v>
      </c>
      <c r="AT1490">
        <v>0</v>
      </c>
    </row>
    <row r="1491" spans="1:46" x14ac:dyDescent="0.45">
      <c r="A1491" s="62" t="s">
        <v>852</v>
      </c>
      <c r="B1491" s="62" t="s">
        <v>242</v>
      </c>
      <c r="C1491" s="63"/>
      <c r="D1491" s="64"/>
      <c r="E1491" s="65"/>
      <c r="F1491" s="66"/>
      <c r="G1491" s="63"/>
      <c r="H1491" s="67"/>
      <c r="I1491" s="68"/>
      <c r="J1491" s="68"/>
      <c r="K1491" s="32"/>
      <c r="L1491" s="75"/>
      <c r="M1491" s="75"/>
      <c r="N1491" s="70"/>
      <c r="O1491" t="s">
        <v>1568</v>
      </c>
      <c r="P1491" s="76">
        <v>44959.022465277776</v>
      </c>
      <c r="Q1491" t="s">
        <v>2029</v>
      </c>
      <c r="V1491" s="77" t="str">
        <f>HYPERLINK("https://pbs.twimg.com/profile_images/1611643758310825984/qPL3GRGS_normal.jpg")</f>
        <v>https://pbs.twimg.com/profile_images/1611643758310825984/qPL3GRGS_normal.jpg</v>
      </c>
      <c r="W1491" s="76">
        <v>44959.022465277776</v>
      </c>
      <c r="X1491" s="80">
        <v>44959</v>
      </c>
      <c r="Y1491" s="78" t="s">
        <v>3112</v>
      </c>
      <c r="Z1491" s="77" t="str">
        <f>HYPERLINK("https://twitter.com/p0pularloner_/status/1620943166399746055")</f>
        <v>https://twitter.com/p0pularloner_/status/1620943166399746055</v>
      </c>
      <c r="AC1491" s="78" t="s">
        <v>4177</v>
      </c>
      <c r="AE1491" t="b">
        <v>0</v>
      </c>
      <c r="AF1491">
        <v>1</v>
      </c>
      <c r="AG1491" s="78" t="s">
        <v>4640</v>
      </c>
      <c r="AH1491" t="b">
        <v>0</v>
      </c>
      <c r="AI1491" t="s">
        <v>4829</v>
      </c>
      <c r="AK1491" s="78" t="s">
        <v>4640</v>
      </c>
      <c r="AL1491" t="b">
        <v>0</v>
      </c>
      <c r="AM1491">
        <v>0</v>
      </c>
      <c r="AN1491" s="78" t="s">
        <v>4640</v>
      </c>
      <c r="AO1491" s="78" t="s">
        <v>4849</v>
      </c>
      <c r="AP1491" t="b">
        <v>0</v>
      </c>
      <c r="AQ1491" s="78" t="s">
        <v>4177</v>
      </c>
      <c r="AR1491" t="s">
        <v>179</v>
      </c>
      <c r="AS1491">
        <v>0</v>
      </c>
      <c r="AT1491">
        <v>0</v>
      </c>
    </row>
    <row r="1492" spans="1:46" x14ac:dyDescent="0.45">
      <c r="A1492" s="62" t="s">
        <v>855</v>
      </c>
      <c r="B1492" s="62" t="s">
        <v>242</v>
      </c>
      <c r="C1492" s="63"/>
      <c r="D1492" s="64"/>
      <c r="E1492" s="65"/>
      <c r="F1492" s="66"/>
      <c r="G1492" s="63"/>
      <c r="H1492" s="67"/>
      <c r="I1492" s="68"/>
      <c r="J1492" s="68"/>
      <c r="K1492" s="32"/>
      <c r="L1492" s="75"/>
      <c r="M1492" s="75"/>
      <c r="N1492" s="70"/>
      <c r="O1492" t="s">
        <v>1568</v>
      </c>
      <c r="P1492" s="76">
        <v>44959.027812499997</v>
      </c>
      <c r="Q1492" t="s">
        <v>2032</v>
      </c>
      <c r="V1492" s="77" t="str">
        <f>HYPERLINK("https://pbs.twimg.com/profile_images/1399515092237041669/1i9T4Iwq_normal.jpg")</f>
        <v>https://pbs.twimg.com/profile_images/1399515092237041669/1i9T4Iwq_normal.jpg</v>
      </c>
      <c r="W1492" s="76">
        <v>44959.027812499997</v>
      </c>
      <c r="X1492" s="80">
        <v>44959</v>
      </c>
      <c r="Y1492" s="78" t="s">
        <v>3115</v>
      </c>
      <c r="Z1492" s="77" t="str">
        <f>HYPERLINK("https://twitter.com/psissy514platt/status/1620945104361132033")</f>
        <v>https://twitter.com/psissy514platt/status/1620945104361132033</v>
      </c>
      <c r="AC1492" s="78" t="s">
        <v>4180</v>
      </c>
      <c r="AD1492" s="78" t="s">
        <v>4566</v>
      </c>
      <c r="AE1492" t="b">
        <v>0</v>
      </c>
      <c r="AF1492">
        <v>1</v>
      </c>
      <c r="AG1492" s="78" t="s">
        <v>4735</v>
      </c>
      <c r="AH1492" t="b">
        <v>0</v>
      </c>
      <c r="AI1492" t="s">
        <v>4829</v>
      </c>
      <c r="AK1492" s="78" t="s">
        <v>4640</v>
      </c>
      <c r="AL1492" t="b">
        <v>0</v>
      </c>
      <c r="AM1492">
        <v>0</v>
      </c>
      <c r="AN1492" s="78" t="s">
        <v>4640</v>
      </c>
      <c r="AO1492" s="78" t="s">
        <v>4852</v>
      </c>
      <c r="AP1492" t="b">
        <v>0</v>
      </c>
      <c r="AQ1492" s="78" t="s">
        <v>4566</v>
      </c>
      <c r="AR1492" t="s">
        <v>179</v>
      </c>
      <c r="AS1492">
        <v>0</v>
      </c>
      <c r="AT1492">
        <v>0</v>
      </c>
    </row>
    <row r="1493" spans="1:46" x14ac:dyDescent="0.45">
      <c r="A1493" s="62" t="s">
        <v>855</v>
      </c>
      <c r="B1493" s="62" t="s">
        <v>1353</v>
      </c>
      <c r="C1493" s="63"/>
      <c r="D1493" s="64"/>
      <c r="E1493" s="65"/>
      <c r="F1493" s="66"/>
      <c r="G1493" s="63"/>
      <c r="H1493" s="67"/>
      <c r="I1493" s="68"/>
      <c r="J1493" s="68"/>
      <c r="K1493" s="32"/>
      <c r="L1493" s="75"/>
      <c r="M1493" s="75"/>
      <c r="N1493" s="70"/>
      <c r="O1493" t="s">
        <v>1567</v>
      </c>
      <c r="P1493" s="76">
        <v>44959.027812499997</v>
      </c>
      <c r="Q1493" t="s">
        <v>2032</v>
      </c>
      <c r="V1493" s="77" t="str">
        <f>HYPERLINK("https://pbs.twimg.com/profile_images/1399515092237041669/1i9T4Iwq_normal.jpg")</f>
        <v>https://pbs.twimg.com/profile_images/1399515092237041669/1i9T4Iwq_normal.jpg</v>
      </c>
      <c r="W1493" s="76">
        <v>44959.027812499997</v>
      </c>
      <c r="X1493" s="80">
        <v>44959</v>
      </c>
      <c r="Y1493" s="78" t="s">
        <v>3115</v>
      </c>
      <c r="Z1493" s="77" t="str">
        <f>HYPERLINK("https://twitter.com/psissy514platt/status/1620945104361132033")</f>
        <v>https://twitter.com/psissy514platt/status/1620945104361132033</v>
      </c>
      <c r="AC1493" s="78" t="s">
        <v>4180</v>
      </c>
      <c r="AD1493" s="78" t="s">
        <v>4566</v>
      </c>
      <c r="AE1493" t="b">
        <v>0</v>
      </c>
      <c r="AF1493">
        <v>1</v>
      </c>
      <c r="AG1493" s="78" t="s">
        <v>4735</v>
      </c>
      <c r="AH1493" t="b">
        <v>0</v>
      </c>
      <c r="AI1493" t="s">
        <v>4829</v>
      </c>
      <c r="AK1493" s="78" t="s">
        <v>4640</v>
      </c>
      <c r="AL1493" t="b">
        <v>0</v>
      </c>
      <c r="AM1493">
        <v>0</v>
      </c>
      <c r="AN1493" s="78" t="s">
        <v>4640</v>
      </c>
      <c r="AO1493" s="78" t="s">
        <v>4852</v>
      </c>
      <c r="AP1493" t="b">
        <v>0</v>
      </c>
      <c r="AQ1493" s="78" t="s">
        <v>4566</v>
      </c>
      <c r="AR1493" t="s">
        <v>179</v>
      </c>
      <c r="AS1493">
        <v>0</v>
      </c>
      <c r="AT1493">
        <v>0</v>
      </c>
    </row>
    <row r="1494" spans="1:46" x14ac:dyDescent="0.45">
      <c r="A1494" s="62" t="s">
        <v>876</v>
      </c>
      <c r="B1494" s="62" t="s">
        <v>242</v>
      </c>
      <c r="C1494" s="63"/>
      <c r="D1494" s="64"/>
      <c r="E1494" s="65"/>
      <c r="F1494" s="66"/>
      <c r="G1494" s="63"/>
      <c r="H1494" s="67"/>
      <c r="I1494" s="68"/>
      <c r="J1494" s="68"/>
      <c r="K1494" s="32"/>
      <c r="L1494" s="75"/>
      <c r="M1494" s="75"/>
      <c r="N1494" s="70"/>
      <c r="O1494" t="s">
        <v>1568</v>
      </c>
      <c r="P1494" s="76">
        <v>44955.771840277775</v>
      </c>
      <c r="Q1494" t="s">
        <v>2045</v>
      </c>
      <c r="V1494" s="77" t="str">
        <f>HYPERLINK("https://pbs.twimg.com/profile_images/821466370034507777/CFfmyzSl_normal.jpg")</f>
        <v>https://pbs.twimg.com/profile_images/821466370034507777/CFfmyzSl_normal.jpg</v>
      </c>
      <c r="W1494" s="76">
        <v>44955.771840277775</v>
      </c>
      <c r="X1494" s="80">
        <v>44955</v>
      </c>
      <c r="Y1494" s="78" t="s">
        <v>3137</v>
      </c>
      <c r="Z1494" s="77" t="str">
        <f>HYPERLINK("https://twitter.com/trill_looch/status/1619765178815610880")</f>
        <v>https://twitter.com/trill_looch/status/1619765178815610880</v>
      </c>
      <c r="AC1494" s="78" t="s">
        <v>4202</v>
      </c>
      <c r="AE1494" t="b">
        <v>0</v>
      </c>
      <c r="AF1494">
        <v>1</v>
      </c>
      <c r="AG1494" s="78" t="s">
        <v>4640</v>
      </c>
      <c r="AH1494" t="b">
        <v>0</v>
      </c>
      <c r="AI1494" t="s">
        <v>4829</v>
      </c>
      <c r="AK1494" s="78" t="s">
        <v>4640</v>
      </c>
      <c r="AL1494" t="b">
        <v>0</v>
      </c>
      <c r="AM1494">
        <v>1</v>
      </c>
      <c r="AN1494" s="78" t="s">
        <v>4640</v>
      </c>
      <c r="AO1494" s="78" t="s">
        <v>4849</v>
      </c>
      <c r="AP1494" t="b">
        <v>0</v>
      </c>
      <c r="AQ1494" s="78" t="s">
        <v>4202</v>
      </c>
      <c r="AR1494" t="s">
        <v>1569</v>
      </c>
      <c r="AS1494">
        <v>0</v>
      </c>
      <c r="AT1494">
        <v>0</v>
      </c>
    </row>
    <row r="1495" spans="1:46" x14ac:dyDescent="0.45">
      <c r="A1495" s="62" t="s">
        <v>920</v>
      </c>
      <c r="B1495" s="62" t="s">
        <v>242</v>
      </c>
      <c r="C1495" s="63"/>
      <c r="D1495" s="64"/>
      <c r="E1495" s="65"/>
      <c r="F1495" s="66"/>
      <c r="G1495" s="63"/>
      <c r="H1495" s="67"/>
      <c r="I1495" s="68"/>
      <c r="J1495" s="68"/>
      <c r="K1495" s="32"/>
      <c r="L1495" s="75"/>
      <c r="M1495" s="75"/>
      <c r="N1495" s="70"/>
      <c r="O1495" t="s">
        <v>1568</v>
      </c>
      <c r="P1495" s="76">
        <v>44958.962407407409</v>
      </c>
      <c r="Q1495" t="s">
        <v>2078</v>
      </c>
      <c r="V1495" s="77" t="str">
        <f>HYPERLINK("https://pbs.twimg.com/profile_images/1615802373762387999/mpJER13M_normal.jpg")</f>
        <v>https://pbs.twimg.com/profile_images/1615802373762387999/mpJER13M_normal.jpg</v>
      </c>
      <c r="W1495" s="76">
        <v>44958.962407407409</v>
      </c>
      <c r="X1495" s="80">
        <v>44958</v>
      </c>
      <c r="Y1495" s="78" t="s">
        <v>3185</v>
      </c>
      <c r="Z1495" s="77" t="str">
        <f>HYPERLINK("https://twitter.com/frank_butterfly/status/1620921401912745988")</f>
        <v>https://twitter.com/frank_butterfly/status/1620921401912745988</v>
      </c>
      <c r="AC1495" s="78" t="s">
        <v>4250</v>
      </c>
      <c r="AE1495" t="b">
        <v>0</v>
      </c>
      <c r="AF1495">
        <v>1</v>
      </c>
      <c r="AG1495" s="78" t="s">
        <v>4640</v>
      </c>
      <c r="AH1495" t="b">
        <v>0</v>
      </c>
      <c r="AI1495" t="s">
        <v>4829</v>
      </c>
      <c r="AK1495" s="78" t="s">
        <v>4640</v>
      </c>
      <c r="AL1495" t="b">
        <v>0</v>
      </c>
      <c r="AM1495">
        <v>0</v>
      </c>
      <c r="AN1495" s="78" t="s">
        <v>4640</v>
      </c>
      <c r="AO1495" s="78" t="s">
        <v>4850</v>
      </c>
      <c r="AP1495" t="b">
        <v>0</v>
      </c>
      <c r="AQ1495" s="78" t="s">
        <v>4250</v>
      </c>
      <c r="AR1495" t="s">
        <v>179</v>
      </c>
      <c r="AS1495">
        <v>0</v>
      </c>
      <c r="AT1495">
        <v>0</v>
      </c>
    </row>
    <row r="1496" spans="1:46" x14ac:dyDescent="0.45">
      <c r="A1496" s="62" t="s">
        <v>920</v>
      </c>
      <c r="B1496" s="62" t="s">
        <v>242</v>
      </c>
      <c r="C1496" s="63"/>
      <c r="D1496" s="64"/>
      <c r="E1496" s="65"/>
      <c r="F1496" s="66"/>
      <c r="G1496" s="63"/>
      <c r="H1496" s="67"/>
      <c r="I1496" s="68"/>
      <c r="J1496" s="68"/>
      <c r="K1496" s="32"/>
      <c r="L1496" s="75"/>
      <c r="M1496" s="75"/>
      <c r="N1496" s="70"/>
      <c r="O1496" t="s">
        <v>1568</v>
      </c>
      <c r="P1496" s="76">
        <v>44959.114548611113</v>
      </c>
      <c r="Q1496" t="s">
        <v>2079</v>
      </c>
      <c r="V1496" s="77" t="str">
        <f>HYPERLINK("https://pbs.twimg.com/profile_images/1615802373762387999/mpJER13M_normal.jpg")</f>
        <v>https://pbs.twimg.com/profile_images/1615802373762387999/mpJER13M_normal.jpg</v>
      </c>
      <c r="W1496" s="76">
        <v>44959.114548611113</v>
      </c>
      <c r="X1496" s="80">
        <v>44959</v>
      </c>
      <c r="Y1496" s="78" t="s">
        <v>3186</v>
      </c>
      <c r="Z1496" s="77" t="str">
        <f>HYPERLINK("https://twitter.com/frank_butterfly/status/1620976539046219776")</f>
        <v>https://twitter.com/frank_butterfly/status/1620976539046219776</v>
      </c>
      <c r="AC1496" s="78" t="s">
        <v>4251</v>
      </c>
      <c r="AD1496" s="78" t="s">
        <v>4252</v>
      </c>
      <c r="AE1496" t="b">
        <v>0</v>
      </c>
      <c r="AF1496">
        <v>1</v>
      </c>
      <c r="AG1496" s="78" t="s">
        <v>4769</v>
      </c>
      <c r="AH1496" t="b">
        <v>0</v>
      </c>
      <c r="AI1496" t="s">
        <v>4829</v>
      </c>
      <c r="AK1496" s="78" t="s">
        <v>4640</v>
      </c>
      <c r="AL1496" t="b">
        <v>0</v>
      </c>
      <c r="AM1496">
        <v>0</v>
      </c>
      <c r="AN1496" s="78" t="s">
        <v>4640</v>
      </c>
      <c r="AO1496" s="78" t="s">
        <v>4851</v>
      </c>
      <c r="AP1496" t="b">
        <v>0</v>
      </c>
      <c r="AQ1496" s="78" t="s">
        <v>4252</v>
      </c>
      <c r="AR1496" t="s">
        <v>179</v>
      </c>
      <c r="AS1496">
        <v>0</v>
      </c>
      <c r="AT1496">
        <v>0</v>
      </c>
    </row>
    <row r="1497" spans="1:46" x14ac:dyDescent="0.45">
      <c r="A1497" s="62" t="s">
        <v>920</v>
      </c>
      <c r="B1497" s="62" t="s">
        <v>921</v>
      </c>
      <c r="C1497" s="63"/>
      <c r="D1497" s="64"/>
      <c r="E1497" s="65"/>
      <c r="F1497" s="66"/>
      <c r="G1497" s="63"/>
      <c r="H1497" s="67"/>
      <c r="I1497" s="68"/>
      <c r="J1497" s="68"/>
      <c r="K1497" s="32"/>
      <c r="L1497" s="75"/>
      <c r="M1497" s="75"/>
      <c r="N1497" s="70"/>
      <c r="O1497" t="s">
        <v>1567</v>
      </c>
      <c r="P1497" s="76">
        <v>44959.114548611113</v>
      </c>
      <c r="Q1497" t="s">
        <v>2079</v>
      </c>
      <c r="V1497" s="77" t="str">
        <f>HYPERLINK("https://pbs.twimg.com/profile_images/1615802373762387999/mpJER13M_normal.jpg")</f>
        <v>https://pbs.twimg.com/profile_images/1615802373762387999/mpJER13M_normal.jpg</v>
      </c>
      <c r="W1497" s="76">
        <v>44959.114548611113</v>
      </c>
      <c r="X1497" s="80">
        <v>44959</v>
      </c>
      <c r="Y1497" s="78" t="s">
        <v>3186</v>
      </c>
      <c r="Z1497" s="77" t="str">
        <f>HYPERLINK("https://twitter.com/frank_butterfly/status/1620976539046219776")</f>
        <v>https://twitter.com/frank_butterfly/status/1620976539046219776</v>
      </c>
      <c r="AC1497" s="78" t="s">
        <v>4251</v>
      </c>
      <c r="AD1497" s="78" t="s">
        <v>4252</v>
      </c>
      <c r="AE1497" t="b">
        <v>0</v>
      </c>
      <c r="AF1497">
        <v>1</v>
      </c>
      <c r="AG1497" s="78" t="s">
        <v>4769</v>
      </c>
      <c r="AH1497" t="b">
        <v>0</v>
      </c>
      <c r="AI1497" t="s">
        <v>4829</v>
      </c>
      <c r="AK1497" s="78" t="s">
        <v>4640</v>
      </c>
      <c r="AL1497" t="b">
        <v>0</v>
      </c>
      <c r="AM1497">
        <v>0</v>
      </c>
      <c r="AN1497" s="78" t="s">
        <v>4640</v>
      </c>
      <c r="AO1497" s="78" t="s">
        <v>4851</v>
      </c>
      <c r="AP1497" t="b">
        <v>0</v>
      </c>
      <c r="AQ1497" s="78" t="s">
        <v>4252</v>
      </c>
      <c r="AR1497" t="s">
        <v>179</v>
      </c>
      <c r="AS1497">
        <v>0</v>
      </c>
      <c r="AT1497">
        <v>0</v>
      </c>
    </row>
    <row r="1498" spans="1:46" x14ac:dyDescent="0.45">
      <c r="A1498" s="62" t="s">
        <v>921</v>
      </c>
      <c r="B1498" s="62" t="s">
        <v>920</v>
      </c>
      <c r="C1498" s="63"/>
      <c r="D1498" s="64"/>
      <c r="E1498" s="65"/>
      <c r="F1498" s="66"/>
      <c r="G1498" s="63"/>
      <c r="H1498" s="67"/>
      <c r="I1498" s="68"/>
      <c r="J1498" s="68"/>
      <c r="K1498" s="32"/>
      <c r="L1498" s="75"/>
      <c r="M1498" s="75"/>
      <c r="N1498" s="70"/>
      <c r="O1498" t="s">
        <v>1567</v>
      </c>
      <c r="P1498" s="76">
        <v>44959.113009259258</v>
      </c>
      <c r="Q1498" t="s">
        <v>2080</v>
      </c>
      <c r="V1498" s="77" t="str">
        <f>HYPERLINK("https://pbs.twimg.com/profile_images/1613152378223484930/_j12792W_normal.jpg")</f>
        <v>https://pbs.twimg.com/profile_images/1613152378223484930/_j12792W_normal.jpg</v>
      </c>
      <c r="W1498" s="76">
        <v>44959.113009259258</v>
      </c>
      <c r="X1498" s="80">
        <v>44959</v>
      </c>
      <c r="Y1498" s="78" t="s">
        <v>3187</v>
      </c>
      <c r="Z1498" s="77" t="str">
        <f>HYPERLINK("https://twitter.com/dargonluce/status/1620975977848504321")</f>
        <v>https://twitter.com/dargonluce/status/1620975977848504321</v>
      </c>
      <c r="AC1498" s="78" t="s">
        <v>4252</v>
      </c>
      <c r="AD1498" s="78" t="s">
        <v>4250</v>
      </c>
      <c r="AE1498" t="b">
        <v>0</v>
      </c>
      <c r="AF1498">
        <v>1</v>
      </c>
      <c r="AG1498" s="78" t="s">
        <v>4770</v>
      </c>
      <c r="AH1498" t="b">
        <v>0</v>
      </c>
      <c r="AI1498" t="s">
        <v>4829</v>
      </c>
      <c r="AK1498" s="78" t="s">
        <v>4640</v>
      </c>
      <c r="AL1498" t="b">
        <v>0</v>
      </c>
      <c r="AM1498">
        <v>0</v>
      </c>
      <c r="AN1498" s="78" t="s">
        <v>4640</v>
      </c>
      <c r="AO1498" s="78" t="s">
        <v>4850</v>
      </c>
      <c r="AP1498" t="b">
        <v>0</v>
      </c>
      <c r="AQ1498" s="78" t="s">
        <v>4250</v>
      </c>
      <c r="AR1498" t="s">
        <v>179</v>
      </c>
      <c r="AS1498">
        <v>0</v>
      </c>
      <c r="AT1498">
        <v>0</v>
      </c>
    </row>
    <row r="1499" spans="1:46" x14ac:dyDescent="0.45">
      <c r="A1499" s="62" t="s">
        <v>921</v>
      </c>
      <c r="B1499" s="62" t="s">
        <v>920</v>
      </c>
      <c r="C1499" s="63"/>
      <c r="D1499" s="64"/>
      <c r="E1499" s="65"/>
      <c r="F1499" s="66"/>
      <c r="G1499" s="63"/>
      <c r="H1499" s="67"/>
      <c r="I1499" s="68"/>
      <c r="J1499" s="68"/>
      <c r="K1499" s="32"/>
      <c r="L1499" s="75"/>
      <c r="M1499" s="75"/>
      <c r="N1499" s="70"/>
      <c r="O1499" t="s">
        <v>1567</v>
      </c>
      <c r="P1499" s="76">
        <v>44959.115416666667</v>
      </c>
      <c r="Q1499" t="s">
        <v>2081</v>
      </c>
      <c r="V1499" s="77" t="str">
        <f>HYPERLINK("https://pbs.twimg.com/profile_images/1613152378223484930/_j12792W_normal.jpg")</f>
        <v>https://pbs.twimg.com/profile_images/1613152378223484930/_j12792W_normal.jpg</v>
      </c>
      <c r="W1499" s="76">
        <v>44959.115416666667</v>
      </c>
      <c r="X1499" s="80">
        <v>44959</v>
      </c>
      <c r="Y1499" s="78" t="s">
        <v>3188</v>
      </c>
      <c r="Z1499" s="77" t="str">
        <f>HYPERLINK("https://twitter.com/dargonluce/status/1620976851333128192")</f>
        <v>https://twitter.com/dargonluce/status/1620976851333128192</v>
      </c>
      <c r="AC1499" s="78" t="s">
        <v>4253</v>
      </c>
      <c r="AD1499" s="78" t="s">
        <v>4251</v>
      </c>
      <c r="AE1499" t="b">
        <v>0</v>
      </c>
      <c r="AF1499">
        <v>1</v>
      </c>
      <c r="AG1499" s="78" t="s">
        <v>4770</v>
      </c>
      <c r="AH1499" t="b">
        <v>0</v>
      </c>
      <c r="AI1499" t="s">
        <v>4829</v>
      </c>
      <c r="AK1499" s="78" t="s">
        <v>4640</v>
      </c>
      <c r="AL1499" t="b">
        <v>0</v>
      </c>
      <c r="AM1499">
        <v>0</v>
      </c>
      <c r="AN1499" s="78" t="s">
        <v>4640</v>
      </c>
      <c r="AO1499" s="78" t="s">
        <v>4850</v>
      </c>
      <c r="AP1499" t="b">
        <v>0</v>
      </c>
      <c r="AQ1499" s="78" t="s">
        <v>4251</v>
      </c>
      <c r="AR1499" t="s">
        <v>179</v>
      </c>
      <c r="AS1499">
        <v>0</v>
      </c>
      <c r="AT1499">
        <v>0</v>
      </c>
    </row>
    <row r="1500" spans="1:46" x14ac:dyDescent="0.45">
      <c r="A1500" s="62" t="s">
        <v>921</v>
      </c>
      <c r="B1500" s="62" t="s">
        <v>242</v>
      </c>
      <c r="C1500" s="63"/>
      <c r="D1500" s="64"/>
      <c r="E1500" s="65"/>
      <c r="F1500" s="66"/>
      <c r="G1500" s="63"/>
      <c r="H1500" s="67"/>
      <c r="I1500" s="68"/>
      <c r="J1500" s="68"/>
      <c r="K1500" s="32"/>
      <c r="L1500" s="75"/>
      <c r="M1500" s="75"/>
      <c r="N1500" s="70"/>
      <c r="O1500" t="s">
        <v>1568</v>
      </c>
      <c r="P1500" s="76">
        <v>44959.113009259258</v>
      </c>
      <c r="Q1500" t="s">
        <v>2080</v>
      </c>
      <c r="V1500" s="77" t="str">
        <f>HYPERLINK("https://pbs.twimg.com/profile_images/1613152378223484930/_j12792W_normal.jpg")</f>
        <v>https://pbs.twimg.com/profile_images/1613152378223484930/_j12792W_normal.jpg</v>
      </c>
      <c r="W1500" s="76">
        <v>44959.113009259258</v>
      </c>
      <c r="X1500" s="80">
        <v>44959</v>
      </c>
      <c r="Y1500" s="78" t="s">
        <v>3187</v>
      </c>
      <c r="Z1500" s="77" t="str">
        <f>HYPERLINK("https://twitter.com/dargonluce/status/1620975977848504321")</f>
        <v>https://twitter.com/dargonluce/status/1620975977848504321</v>
      </c>
      <c r="AC1500" s="78" t="s">
        <v>4252</v>
      </c>
      <c r="AD1500" s="78" t="s">
        <v>4250</v>
      </c>
      <c r="AE1500" t="b">
        <v>0</v>
      </c>
      <c r="AF1500">
        <v>1</v>
      </c>
      <c r="AG1500" s="78" t="s">
        <v>4770</v>
      </c>
      <c r="AH1500" t="b">
        <v>0</v>
      </c>
      <c r="AI1500" t="s">
        <v>4829</v>
      </c>
      <c r="AK1500" s="78" t="s">
        <v>4640</v>
      </c>
      <c r="AL1500" t="b">
        <v>0</v>
      </c>
      <c r="AM1500">
        <v>0</v>
      </c>
      <c r="AN1500" s="78" t="s">
        <v>4640</v>
      </c>
      <c r="AO1500" s="78" t="s">
        <v>4850</v>
      </c>
      <c r="AP1500" t="b">
        <v>0</v>
      </c>
      <c r="AQ1500" s="78" t="s">
        <v>4250</v>
      </c>
      <c r="AR1500" t="s">
        <v>179</v>
      </c>
      <c r="AS1500">
        <v>0</v>
      </c>
      <c r="AT1500">
        <v>0</v>
      </c>
    </row>
    <row r="1501" spans="1:46" x14ac:dyDescent="0.45">
      <c r="A1501" s="62" t="s">
        <v>921</v>
      </c>
      <c r="B1501" s="62" t="s">
        <v>242</v>
      </c>
      <c r="C1501" s="63"/>
      <c r="D1501" s="64"/>
      <c r="E1501" s="65"/>
      <c r="F1501" s="66"/>
      <c r="G1501" s="63"/>
      <c r="H1501" s="67"/>
      <c r="I1501" s="68"/>
      <c r="J1501" s="68"/>
      <c r="K1501" s="32"/>
      <c r="L1501" s="75"/>
      <c r="M1501" s="75"/>
      <c r="N1501" s="70"/>
      <c r="O1501" t="s">
        <v>1568</v>
      </c>
      <c r="P1501" s="76">
        <v>44959.115416666667</v>
      </c>
      <c r="Q1501" t="s">
        <v>2081</v>
      </c>
      <c r="V1501" s="77" t="str">
        <f>HYPERLINK("https://pbs.twimg.com/profile_images/1613152378223484930/_j12792W_normal.jpg")</f>
        <v>https://pbs.twimg.com/profile_images/1613152378223484930/_j12792W_normal.jpg</v>
      </c>
      <c r="W1501" s="76">
        <v>44959.115416666667</v>
      </c>
      <c r="X1501" s="80">
        <v>44959</v>
      </c>
      <c r="Y1501" s="78" t="s">
        <v>3188</v>
      </c>
      <c r="Z1501" s="77" t="str">
        <f>HYPERLINK("https://twitter.com/dargonluce/status/1620976851333128192")</f>
        <v>https://twitter.com/dargonluce/status/1620976851333128192</v>
      </c>
      <c r="AC1501" s="78" t="s">
        <v>4253</v>
      </c>
      <c r="AD1501" s="78" t="s">
        <v>4251</v>
      </c>
      <c r="AE1501" t="b">
        <v>0</v>
      </c>
      <c r="AF1501">
        <v>1</v>
      </c>
      <c r="AG1501" s="78" t="s">
        <v>4770</v>
      </c>
      <c r="AH1501" t="b">
        <v>0</v>
      </c>
      <c r="AI1501" t="s">
        <v>4829</v>
      </c>
      <c r="AK1501" s="78" t="s">
        <v>4640</v>
      </c>
      <c r="AL1501" t="b">
        <v>0</v>
      </c>
      <c r="AM1501">
        <v>0</v>
      </c>
      <c r="AN1501" s="78" t="s">
        <v>4640</v>
      </c>
      <c r="AO1501" s="78" t="s">
        <v>4850</v>
      </c>
      <c r="AP1501" t="b">
        <v>0</v>
      </c>
      <c r="AQ1501" s="78" t="s">
        <v>4251</v>
      </c>
      <c r="AR1501" t="s">
        <v>179</v>
      </c>
      <c r="AS1501">
        <v>0</v>
      </c>
      <c r="AT1501">
        <v>0</v>
      </c>
    </row>
    <row r="1502" spans="1:46" x14ac:dyDescent="0.45">
      <c r="A1502" s="62" t="s">
        <v>922</v>
      </c>
      <c r="B1502" s="62" t="s">
        <v>242</v>
      </c>
      <c r="C1502" s="63"/>
      <c r="D1502" s="64"/>
      <c r="E1502" s="65"/>
      <c r="F1502" s="66"/>
      <c r="G1502" s="63"/>
      <c r="H1502" s="67"/>
      <c r="I1502" s="68"/>
      <c r="J1502" s="68"/>
      <c r="K1502" s="32"/>
      <c r="L1502" s="75"/>
      <c r="M1502" s="75"/>
      <c r="N1502" s="70"/>
      <c r="O1502" t="s">
        <v>1567</v>
      </c>
      <c r="P1502" s="76">
        <v>44959.115972222222</v>
      </c>
      <c r="Q1502" t="s">
        <v>2083</v>
      </c>
      <c r="V1502" s="77" t="str">
        <f>HYPERLINK("https://pbs.twimg.com/profile_images/1620975024181055489/EKjrCEk__normal.png")</f>
        <v>https://pbs.twimg.com/profile_images/1620975024181055489/EKjrCEk__normal.png</v>
      </c>
      <c r="W1502" s="76">
        <v>44959.115972222222</v>
      </c>
      <c r="X1502" s="80">
        <v>44959</v>
      </c>
      <c r="Y1502" s="78" t="s">
        <v>3190</v>
      </c>
      <c r="Z1502" s="77" t="str">
        <f>HYPERLINK("https://twitter.com/ballengee_herb/status/1620977052303388677")</f>
        <v>https://twitter.com/ballengee_herb/status/1620977052303388677</v>
      </c>
      <c r="AC1502" s="78" t="s">
        <v>4255</v>
      </c>
      <c r="AD1502" s="78" t="s">
        <v>4498</v>
      </c>
      <c r="AE1502" t="b">
        <v>0</v>
      </c>
      <c r="AF1502">
        <v>1</v>
      </c>
      <c r="AG1502" s="78" t="s">
        <v>4639</v>
      </c>
      <c r="AH1502" t="b">
        <v>0</v>
      </c>
      <c r="AI1502" t="s">
        <v>4829</v>
      </c>
      <c r="AK1502" s="78" t="s">
        <v>4640</v>
      </c>
      <c r="AL1502" t="b">
        <v>0</v>
      </c>
      <c r="AM1502">
        <v>0</v>
      </c>
      <c r="AN1502" s="78" t="s">
        <v>4640</v>
      </c>
      <c r="AO1502" s="78" t="s">
        <v>4851</v>
      </c>
      <c r="AP1502" t="b">
        <v>0</v>
      </c>
      <c r="AQ1502" s="78" t="s">
        <v>4498</v>
      </c>
      <c r="AR1502" t="s">
        <v>179</v>
      </c>
      <c r="AS1502">
        <v>0</v>
      </c>
      <c r="AT1502">
        <v>0</v>
      </c>
    </row>
    <row r="1503" spans="1:46" x14ac:dyDescent="0.45">
      <c r="A1503" s="62" t="s">
        <v>924</v>
      </c>
      <c r="B1503" s="62" t="s">
        <v>242</v>
      </c>
      <c r="C1503" s="63"/>
      <c r="D1503" s="64"/>
      <c r="E1503" s="65"/>
      <c r="F1503" s="66"/>
      <c r="G1503" s="63"/>
      <c r="H1503" s="67"/>
      <c r="I1503" s="68"/>
      <c r="J1503" s="68"/>
      <c r="K1503" s="32"/>
      <c r="L1503" s="75"/>
      <c r="M1503" s="75"/>
      <c r="N1503" s="70"/>
      <c r="O1503" t="s">
        <v>1567</v>
      </c>
      <c r="P1503" s="76">
        <v>44959.12462962963</v>
      </c>
      <c r="Q1503" t="s">
        <v>2085</v>
      </c>
      <c r="V1503" s="77" t="str">
        <f>HYPERLINK("https://pbs.twimg.com/profile_images/1491401484470214666/jWP4-yrf_normal.jpg")</f>
        <v>https://pbs.twimg.com/profile_images/1491401484470214666/jWP4-yrf_normal.jpg</v>
      </c>
      <c r="W1503" s="76">
        <v>44959.12462962963</v>
      </c>
      <c r="X1503" s="80">
        <v>44959</v>
      </c>
      <c r="Y1503" s="78" t="s">
        <v>3192</v>
      </c>
      <c r="Z1503" s="77" t="str">
        <f>HYPERLINK("https://twitter.com/queenbrealtor/status/1620980191052070912")</f>
        <v>https://twitter.com/queenbrealtor/status/1620980191052070912</v>
      </c>
      <c r="AC1503" s="78" t="s">
        <v>4257</v>
      </c>
      <c r="AE1503" t="b">
        <v>0</v>
      </c>
      <c r="AF1503">
        <v>1</v>
      </c>
      <c r="AG1503" s="78" t="s">
        <v>4639</v>
      </c>
      <c r="AH1503" t="b">
        <v>0</v>
      </c>
      <c r="AI1503" t="s">
        <v>4829</v>
      </c>
      <c r="AK1503" s="78" t="s">
        <v>4640</v>
      </c>
      <c r="AL1503" t="b">
        <v>0</v>
      </c>
      <c r="AM1503">
        <v>0</v>
      </c>
      <c r="AN1503" s="78" t="s">
        <v>4640</v>
      </c>
      <c r="AO1503" s="78" t="s">
        <v>4849</v>
      </c>
      <c r="AP1503" t="b">
        <v>0</v>
      </c>
      <c r="AQ1503" s="78" t="s">
        <v>4257</v>
      </c>
      <c r="AR1503" t="s">
        <v>179</v>
      </c>
      <c r="AS1503">
        <v>0</v>
      </c>
      <c r="AT1503">
        <v>0</v>
      </c>
    </row>
    <row r="1504" spans="1:46" x14ac:dyDescent="0.45">
      <c r="A1504" s="62" t="s">
        <v>964</v>
      </c>
      <c r="B1504" s="62" t="s">
        <v>1217</v>
      </c>
      <c r="C1504" s="63"/>
      <c r="D1504" s="64"/>
      <c r="E1504" s="65"/>
      <c r="F1504" s="66"/>
      <c r="G1504" s="63"/>
      <c r="H1504" s="67"/>
      <c r="I1504" s="68"/>
      <c r="J1504" s="68"/>
      <c r="K1504" s="32"/>
      <c r="L1504" s="75"/>
      <c r="M1504" s="75"/>
      <c r="N1504" s="70"/>
      <c r="O1504" t="s">
        <v>1568</v>
      </c>
      <c r="P1504" s="76">
        <v>44959.159641203703</v>
      </c>
      <c r="Q1504" t="s">
        <v>2124</v>
      </c>
      <c r="V1504" s="77" t="str">
        <f>HYPERLINK("https://pbs.twimg.com/profile_images/1573642266253705218/FLkE4sw6_normal.jpg")</f>
        <v>https://pbs.twimg.com/profile_images/1573642266253705218/FLkE4sw6_normal.jpg</v>
      </c>
      <c r="W1504" s="76">
        <v>44959.159641203703</v>
      </c>
      <c r="X1504" s="80">
        <v>44959</v>
      </c>
      <c r="Y1504" s="78" t="s">
        <v>3241</v>
      </c>
      <c r="Z1504" s="77" t="str">
        <f>HYPERLINK("https://twitter.com/alkulaib/status/1620992877009719297")</f>
        <v>https://twitter.com/alkulaib/status/1620992877009719297</v>
      </c>
      <c r="AC1504" s="78" t="s">
        <v>4306</v>
      </c>
      <c r="AD1504" s="78" t="s">
        <v>4304</v>
      </c>
      <c r="AE1504" t="b">
        <v>0</v>
      </c>
      <c r="AF1504">
        <v>1</v>
      </c>
      <c r="AG1504" s="78" t="s">
        <v>4781</v>
      </c>
      <c r="AH1504" t="b">
        <v>0</v>
      </c>
      <c r="AI1504" t="s">
        <v>4829</v>
      </c>
      <c r="AK1504" s="78" t="s">
        <v>4640</v>
      </c>
      <c r="AL1504" t="b">
        <v>0</v>
      </c>
      <c r="AM1504">
        <v>0</v>
      </c>
      <c r="AN1504" s="78" t="s">
        <v>4640</v>
      </c>
      <c r="AO1504" s="78" t="s">
        <v>4849</v>
      </c>
      <c r="AP1504" t="b">
        <v>0</v>
      </c>
      <c r="AQ1504" s="78" t="s">
        <v>4304</v>
      </c>
      <c r="AR1504" t="s">
        <v>179</v>
      </c>
      <c r="AS1504">
        <v>0</v>
      </c>
      <c r="AT1504">
        <v>0</v>
      </c>
    </row>
    <row r="1505" spans="1:54" x14ac:dyDescent="0.45">
      <c r="A1505" s="62" t="s">
        <v>964</v>
      </c>
      <c r="B1505" s="62" t="s">
        <v>242</v>
      </c>
      <c r="C1505" s="63"/>
      <c r="D1505" s="64"/>
      <c r="E1505" s="65"/>
      <c r="F1505" s="66"/>
      <c r="G1505" s="63"/>
      <c r="H1505" s="67"/>
      <c r="I1505" s="68"/>
      <c r="J1505" s="68"/>
      <c r="K1505" s="32"/>
      <c r="L1505" s="75"/>
      <c r="M1505" s="75"/>
      <c r="N1505" s="70"/>
      <c r="O1505" t="s">
        <v>1568</v>
      </c>
      <c r="P1505" s="76">
        <v>44959.159641203703</v>
      </c>
      <c r="Q1505" t="s">
        <v>2124</v>
      </c>
      <c r="V1505" s="77" t="str">
        <f>HYPERLINK("https://pbs.twimg.com/profile_images/1573642266253705218/FLkE4sw6_normal.jpg")</f>
        <v>https://pbs.twimg.com/profile_images/1573642266253705218/FLkE4sw6_normal.jpg</v>
      </c>
      <c r="W1505" s="76">
        <v>44959.159641203703</v>
      </c>
      <c r="X1505" s="80">
        <v>44959</v>
      </c>
      <c r="Y1505" s="78" t="s">
        <v>3241</v>
      </c>
      <c r="Z1505" s="77" t="str">
        <f>HYPERLINK("https://twitter.com/alkulaib/status/1620992877009719297")</f>
        <v>https://twitter.com/alkulaib/status/1620992877009719297</v>
      </c>
      <c r="AC1505" s="78" t="s">
        <v>4306</v>
      </c>
      <c r="AD1505" s="78" t="s">
        <v>4304</v>
      </c>
      <c r="AE1505" t="b">
        <v>0</v>
      </c>
      <c r="AF1505">
        <v>1</v>
      </c>
      <c r="AG1505" s="78" t="s">
        <v>4781</v>
      </c>
      <c r="AH1505" t="b">
        <v>0</v>
      </c>
      <c r="AI1505" t="s">
        <v>4829</v>
      </c>
      <c r="AK1505" s="78" t="s">
        <v>4640</v>
      </c>
      <c r="AL1505" t="b">
        <v>0</v>
      </c>
      <c r="AM1505">
        <v>0</v>
      </c>
      <c r="AN1505" s="78" t="s">
        <v>4640</v>
      </c>
      <c r="AO1505" s="78" t="s">
        <v>4849</v>
      </c>
      <c r="AP1505" t="b">
        <v>0</v>
      </c>
      <c r="AQ1505" s="78" t="s">
        <v>4304</v>
      </c>
      <c r="AR1505" t="s">
        <v>179</v>
      </c>
      <c r="AS1505">
        <v>0</v>
      </c>
      <c r="AT1505">
        <v>0</v>
      </c>
    </row>
    <row r="1506" spans="1:54" x14ac:dyDescent="0.45">
      <c r="A1506" s="62" t="s">
        <v>964</v>
      </c>
      <c r="B1506" s="62" t="s">
        <v>965</v>
      </c>
      <c r="C1506" s="63"/>
      <c r="D1506" s="64"/>
      <c r="E1506" s="65"/>
      <c r="F1506" s="66"/>
      <c r="G1506" s="63"/>
      <c r="H1506" s="67"/>
      <c r="I1506" s="68"/>
      <c r="J1506" s="68"/>
      <c r="K1506" s="32"/>
      <c r="L1506" s="75"/>
      <c r="M1506" s="75"/>
      <c r="N1506" s="70"/>
      <c r="O1506" t="s">
        <v>1568</v>
      </c>
      <c r="P1506" s="76">
        <v>44959.159641203703</v>
      </c>
      <c r="Q1506" t="s">
        <v>2124</v>
      </c>
      <c r="V1506" s="77" t="str">
        <f>HYPERLINK("https://pbs.twimg.com/profile_images/1573642266253705218/FLkE4sw6_normal.jpg")</f>
        <v>https://pbs.twimg.com/profile_images/1573642266253705218/FLkE4sw6_normal.jpg</v>
      </c>
      <c r="W1506" s="76">
        <v>44959.159641203703</v>
      </c>
      <c r="X1506" s="80">
        <v>44959</v>
      </c>
      <c r="Y1506" s="78" t="s">
        <v>3241</v>
      </c>
      <c r="Z1506" s="77" t="str">
        <f>HYPERLINK("https://twitter.com/alkulaib/status/1620992877009719297")</f>
        <v>https://twitter.com/alkulaib/status/1620992877009719297</v>
      </c>
      <c r="AC1506" s="78" t="s">
        <v>4306</v>
      </c>
      <c r="AD1506" s="78" t="s">
        <v>4304</v>
      </c>
      <c r="AE1506" t="b">
        <v>0</v>
      </c>
      <c r="AF1506">
        <v>1</v>
      </c>
      <c r="AG1506" s="78" t="s">
        <v>4781</v>
      </c>
      <c r="AH1506" t="b">
        <v>0</v>
      </c>
      <c r="AI1506" t="s">
        <v>4829</v>
      </c>
      <c r="AK1506" s="78" t="s">
        <v>4640</v>
      </c>
      <c r="AL1506" t="b">
        <v>0</v>
      </c>
      <c r="AM1506">
        <v>0</v>
      </c>
      <c r="AN1506" s="78" t="s">
        <v>4640</v>
      </c>
      <c r="AO1506" s="78" t="s">
        <v>4849</v>
      </c>
      <c r="AP1506" t="b">
        <v>0</v>
      </c>
      <c r="AQ1506" s="78" t="s">
        <v>4304</v>
      </c>
      <c r="AR1506" t="s">
        <v>179</v>
      </c>
      <c r="AS1506">
        <v>0</v>
      </c>
      <c r="AT1506">
        <v>0</v>
      </c>
    </row>
    <row r="1507" spans="1:54" x14ac:dyDescent="0.45">
      <c r="A1507" s="62" t="s">
        <v>964</v>
      </c>
      <c r="B1507" s="62" t="s">
        <v>963</v>
      </c>
      <c r="C1507" s="63"/>
      <c r="D1507" s="64"/>
      <c r="E1507" s="65"/>
      <c r="F1507" s="66"/>
      <c r="G1507" s="63"/>
      <c r="H1507" s="67"/>
      <c r="I1507" s="68"/>
      <c r="J1507" s="68"/>
      <c r="K1507" s="32"/>
      <c r="L1507" s="75"/>
      <c r="M1507" s="75"/>
      <c r="N1507" s="70"/>
      <c r="O1507" t="s">
        <v>1567</v>
      </c>
      <c r="P1507" s="76">
        <v>44959.159641203703</v>
      </c>
      <c r="Q1507" t="s">
        <v>2124</v>
      </c>
      <c r="V1507" s="77" t="str">
        <f>HYPERLINK("https://pbs.twimg.com/profile_images/1573642266253705218/FLkE4sw6_normal.jpg")</f>
        <v>https://pbs.twimg.com/profile_images/1573642266253705218/FLkE4sw6_normal.jpg</v>
      </c>
      <c r="W1507" s="76">
        <v>44959.159641203703</v>
      </c>
      <c r="X1507" s="80">
        <v>44959</v>
      </c>
      <c r="Y1507" s="78" t="s">
        <v>3241</v>
      </c>
      <c r="Z1507" s="77" t="str">
        <f>HYPERLINK("https://twitter.com/alkulaib/status/1620992877009719297")</f>
        <v>https://twitter.com/alkulaib/status/1620992877009719297</v>
      </c>
      <c r="AC1507" s="78" t="s">
        <v>4306</v>
      </c>
      <c r="AD1507" s="78" t="s">
        <v>4304</v>
      </c>
      <c r="AE1507" t="b">
        <v>0</v>
      </c>
      <c r="AF1507">
        <v>1</v>
      </c>
      <c r="AG1507" s="78" t="s">
        <v>4781</v>
      </c>
      <c r="AH1507" t="b">
        <v>0</v>
      </c>
      <c r="AI1507" t="s">
        <v>4829</v>
      </c>
      <c r="AK1507" s="78" t="s">
        <v>4640</v>
      </c>
      <c r="AL1507" t="b">
        <v>0</v>
      </c>
      <c r="AM1507">
        <v>0</v>
      </c>
      <c r="AN1507" s="78" t="s">
        <v>4640</v>
      </c>
      <c r="AO1507" s="78" t="s">
        <v>4849</v>
      </c>
      <c r="AP1507" t="b">
        <v>0</v>
      </c>
      <c r="AQ1507" s="78" t="s">
        <v>4304</v>
      </c>
      <c r="AR1507" t="s">
        <v>179</v>
      </c>
      <c r="AS1507">
        <v>0</v>
      </c>
      <c r="AT1507">
        <v>0</v>
      </c>
    </row>
    <row r="1508" spans="1:54" x14ac:dyDescent="0.45">
      <c r="A1508" s="62" t="s">
        <v>965</v>
      </c>
      <c r="B1508" s="62" t="s">
        <v>964</v>
      </c>
      <c r="C1508" s="63"/>
      <c r="D1508" s="64"/>
      <c r="E1508" s="65"/>
      <c r="F1508" s="66"/>
      <c r="G1508" s="63"/>
      <c r="H1508" s="67"/>
      <c r="I1508" s="68"/>
      <c r="J1508" s="68"/>
      <c r="K1508" s="32"/>
      <c r="L1508" s="75"/>
      <c r="M1508" s="75"/>
      <c r="N1508" s="70"/>
      <c r="O1508" t="s">
        <v>1568</v>
      </c>
      <c r="P1508" s="76">
        <v>44959.208020833335</v>
      </c>
      <c r="Q1508" t="s">
        <v>2125</v>
      </c>
      <c r="V1508" s="77" t="str">
        <f>HYPERLINK("https://pbs.twimg.com/profile_images/1362614048416796675/CikOTl1o_normal.jpg")</f>
        <v>https://pbs.twimg.com/profile_images/1362614048416796675/CikOTl1o_normal.jpg</v>
      </c>
      <c r="W1508" s="76">
        <v>44959.208020833335</v>
      </c>
      <c r="X1508" s="80">
        <v>44959</v>
      </c>
      <c r="Y1508" s="78" t="s">
        <v>3242</v>
      </c>
      <c r="Z1508" s="77" t="str">
        <f>HYPERLINK("https://twitter.com/trylolli/status/1621010412836626433")</f>
        <v>https://twitter.com/trylolli/status/1621010412836626433</v>
      </c>
      <c r="AC1508" s="78" t="s">
        <v>4307</v>
      </c>
      <c r="AD1508" s="78" t="s">
        <v>4304</v>
      </c>
      <c r="AE1508" t="b">
        <v>0</v>
      </c>
      <c r="AF1508">
        <v>1</v>
      </c>
      <c r="AG1508" s="78" t="s">
        <v>4781</v>
      </c>
      <c r="AH1508" t="b">
        <v>0</v>
      </c>
      <c r="AI1508" t="s">
        <v>4829</v>
      </c>
      <c r="AK1508" s="78" t="s">
        <v>4640</v>
      </c>
      <c r="AL1508" t="b">
        <v>0</v>
      </c>
      <c r="AM1508">
        <v>0</v>
      </c>
      <c r="AN1508" s="78" t="s">
        <v>4640</v>
      </c>
      <c r="AO1508" s="78" t="s">
        <v>4849</v>
      </c>
      <c r="AP1508" t="b">
        <v>0</v>
      </c>
      <c r="AQ1508" s="78" t="s">
        <v>4304</v>
      </c>
      <c r="AR1508" t="s">
        <v>179</v>
      </c>
      <c r="AS1508">
        <v>0</v>
      </c>
      <c r="AT1508">
        <v>0</v>
      </c>
    </row>
    <row r="1509" spans="1:54" x14ac:dyDescent="0.45">
      <c r="A1509" s="62" t="s">
        <v>965</v>
      </c>
      <c r="B1509" s="62" t="s">
        <v>963</v>
      </c>
      <c r="C1509" s="63"/>
      <c r="D1509" s="64"/>
      <c r="E1509" s="65"/>
      <c r="F1509" s="66"/>
      <c r="G1509" s="63"/>
      <c r="H1509" s="67"/>
      <c r="I1509" s="68"/>
      <c r="J1509" s="68"/>
      <c r="K1509" s="32"/>
      <c r="L1509" s="75"/>
      <c r="M1509" s="75"/>
      <c r="N1509" s="70"/>
      <c r="O1509" t="s">
        <v>1567</v>
      </c>
      <c r="P1509" s="76">
        <v>44959.208020833335</v>
      </c>
      <c r="Q1509" t="s">
        <v>2125</v>
      </c>
      <c r="V1509" s="77" t="str">
        <f>HYPERLINK("https://pbs.twimg.com/profile_images/1362614048416796675/CikOTl1o_normal.jpg")</f>
        <v>https://pbs.twimg.com/profile_images/1362614048416796675/CikOTl1o_normal.jpg</v>
      </c>
      <c r="W1509" s="76">
        <v>44959.208020833335</v>
      </c>
      <c r="X1509" s="80">
        <v>44959</v>
      </c>
      <c r="Y1509" s="78" t="s">
        <v>3242</v>
      </c>
      <c r="Z1509" s="77" t="str">
        <f>HYPERLINK("https://twitter.com/trylolli/status/1621010412836626433")</f>
        <v>https://twitter.com/trylolli/status/1621010412836626433</v>
      </c>
      <c r="AC1509" s="78" t="s">
        <v>4307</v>
      </c>
      <c r="AD1509" s="78" t="s">
        <v>4304</v>
      </c>
      <c r="AE1509" t="b">
        <v>0</v>
      </c>
      <c r="AF1509">
        <v>1</v>
      </c>
      <c r="AG1509" s="78" t="s">
        <v>4781</v>
      </c>
      <c r="AH1509" t="b">
        <v>0</v>
      </c>
      <c r="AI1509" t="s">
        <v>4829</v>
      </c>
      <c r="AK1509" s="78" t="s">
        <v>4640</v>
      </c>
      <c r="AL1509" t="b">
        <v>0</v>
      </c>
      <c r="AM1509">
        <v>0</v>
      </c>
      <c r="AN1509" s="78" t="s">
        <v>4640</v>
      </c>
      <c r="AO1509" s="78" t="s">
        <v>4849</v>
      </c>
      <c r="AP1509" t="b">
        <v>0</v>
      </c>
      <c r="AQ1509" s="78" t="s">
        <v>4304</v>
      </c>
      <c r="AR1509" t="s">
        <v>179</v>
      </c>
      <c r="AS1509">
        <v>0</v>
      </c>
      <c r="AT1509">
        <v>0</v>
      </c>
    </row>
    <row r="1510" spans="1:54" x14ac:dyDescent="0.45">
      <c r="A1510" s="62" t="s">
        <v>965</v>
      </c>
      <c r="B1510" s="62" t="s">
        <v>1217</v>
      </c>
      <c r="C1510" s="63"/>
      <c r="D1510" s="64"/>
      <c r="E1510" s="65"/>
      <c r="F1510" s="66"/>
      <c r="G1510" s="63"/>
      <c r="H1510" s="67"/>
      <c r="I1510" s="68"/>
      <c r="J1510" s="68"/>
      <c r="K1510" s="32"/>
      <c r="L1510" s="75"/>
      <c r="M1510" s="75"/>
      <c r="N1510" s="70"/>
      <c r="O1510" t="s">
        <v>1568</v>
      </c>
      <c r="P1510" s="76">
        <v>44959.208020833335</v>
      </c>
      <c r="Q1510" t="s">
        <v>2125</v>
      </c>
      <c r="V1510" s="77" t="str">
        <f>HYPERLINK("https://pbs.twimg.com/profile_images/1362614048416796675/CikOTl1o_normal.jpg")</f>
        <v>https://pbs.twimg.com/profile_images/1362614048416796675/CikOTl1o_normal.jpg</v>
      </c>
      <c r="W1510" s="76">
        <v>44959.208020833335</v>
      </c>
      <c r="X1510" s="80">
        <v>44959</v>
      </c>
      <c r="Y1510" s="78" t="s">
        <v>3242</v>
      </c>
      <c r="Z1510" s="77" t="str">
        <f>HYPERLINK("https://twitter.com/trylolli/status/1621010412836626433")</f>
        <v>https://twitter.com/trylolli/status/1621010412836626433</v>
      </c>
      <c r="AC1510" s="78" t="s">
        <v>4307</v>
      </c>
      <c r="AD1510" s="78" t="s">
        <v>4304</v>
      </c>
      <c r="AE1510" t="b">
        <v>0</v>
      </c>
      <c r="AF1510">
        <v>1</v>
      </c>
      <c r="AG1510" s="78" t="s">
        <v>4781</v>
      </c>
      <c r="AH1510" t="b">
        <v>0</v>
      </c>
      <c r="AI1510" t="s">
        <v>4829</v>
      </c>
      <c r="AK1510" s="78" t="s">
        <v>4640</v>
      </c>
      <c r="AL1510" t="b">
        <v>0</v>
      </c>
      <c r="AM1510">
        <v>0</v>
      </c>
      <c r="AN1510" s="78" t="s">
        <v>4640</v>
      </c>
      <c r="AO1510" s="78" t="s">
        <v>4849</v>
      </c>
      <c r="AP1510" t="b">
        <v>0</v>
      </c>
      <c r="AQ1510" s="78" t="s">
        <v>4304</v>
      </c>
      <c r="AR1510" t="s">
        <v>179</v>
      </c>
      <c r="AS1510">
        <v>0</v>
      </c>
      <c r="AT1510">
        <v>0</v>
      </c>
    </row>
    <row r="1511" spans="1:54" x14ac:dyDescent="0.45">
      <c r="A1511" s="62" t="s">
        <v>965</v>
      </c>
      <c r="B1511" s="62" t="s">
        <v>242</v>
      </c>
      <c r="C1511" s="63"/>
      <c r="D1511" s="64"/>
      <c r="E1511" s="65"/>
      <c r="F1511" s="66"/>
      <c r="G1511" s="63"/>
      <c r="H1511" s="67"/>
      <c r="I1511" s="68"/>
      <c r="J1511" s="68"/>
      <c r="K1511" s="32"/>
      <c r="L1511" s="75"/>
      <c r="M1511" s="75"/>
      <c r="N1511" s="70"/>
      <c r="O1511" t="s">
        <v>1568</v>
      </c>
      <c r="P1511" s="76">
        <v>44959.208020833335</v>
      </c>
      <c r="Q1511" t="s">
        <v>2125</v>
      </c>
      <c r="V1511" s="77" t="str">
        <f>HYPERLINK("https://pbs.twimg.com/profile_images/1362614048416796675/CikOTl1o_normal.jpg")</f>
        <v>https://pbs.twimg.com/profile_images/1362614048416796675/CikOTl1o_normal.jpg</v>
      </c>
      <c r="W1511" s="76">
        <v>44959.208020833335</v>
      </c>
      <c r="X1511" s="80">
        <v>44959</v>
      </c>
      <c r="Y1511" s="78" t="s">
        <v>3242</v>
      </c>
      <c r="Z1511" s="77" t="str">
        <f>HYPERLINK("https://twitter.com/trylolli/status/1621010412836626433")</f>
        <v>https://twitter.com/trylolli/status/1621010412836626433</v>
      </c>
      <c r="AC1511" s="78" t="s">
        <v>4307</v>
      </c>
      <c r="AD1511" s="78" t="s">
        <v>4304</v>
      </c>
      <c r="AE1511" t="b">
        <v>0</v>
      </c>
      <c r="AF1511">
        <v>1</v>
      </c>
      <c r="AG1511" s="78" t="s">
        <v>4781</v>
      </c>
      <c r="AH1511" t="b">
        <v>0</v>
      </c>
      <c r="AI1511" t="s">
        <v>4829</v>
      </c>
      <c r="AK1511" s="78" t="s">
        <v>4640</v>
      </c>
      <c r="AL1511" t="b">
        <v>0</v>
      </c>
      <c r="AM1511">
        <v>0</v>
      </c>
      <c r="AN1511" s="78" t="s">
        <v>4640</v>
      </c>
      <c r="AO1511" s="78" t="s">
        <v>4849</v>
      </c>
      <c r="AP1511" t="b">
        <v>0</v>
      </c>
      <c r="AQ1511" s="78" t="s">
        <v>4304</v>
      </c>
      <c r="AR1511" t="s">
        <v>179</v>
      </c>
      <c r="AS1511">
        <v>0</v>
      </c>
      <c r="AT1511">
        <v>0</v>
      </c>
    </row>
    <row r="1512" spans="1:54" x14ac:dyDescent="0.45">
      <c r="A1512" s="62" t="s">
        <v>973</v>
      </c>
      <c r="B1512" s="62" t="s">
        <v>1365</v>
      </c>
      <c r="C1512" s="63"/>
      <c r="D1512" s="64"/>
      <c r="E1512" s="65"/>
      <c r="F1512" s="66"/>
      <c r="G1512" s="63"/>
      <c r="H1512" s="67"/>
      <c r="I1512" s="68"/>
      <c r="J1512" s="68"/>
      <c r="K1512" s="32"/>
      <c r="L1512" s="75"/>
      <c r="M1512" s="75"/>
      <c r="N1512" s="70"/>
      <c r="O1512" t="s">
        <v>1568</v>
      </c>
      <c r="P1512" s="76">
        <v>44959.194930555554</v>
      </c>
      <c r="Q1512" t="s">
        <v>2135</v>
      </c>
      <c r="U1512" s="77" t="str">
        <f>HYPERLINK("https://pbs.twimg.com/media/Fn74D8SaMAE8uvs.jpg")</f>
        <v>https://pbs.twimg.com/media/Fn74D8SaMAE8uvs.jpg</v>
      </c>
      <c r="V1512" s="77" t="str">
        <f>HYPERLINK("https://pbs.twimg.com/media/Fn74D8SaMAE8uvs.jpg")</f>
        <v>https://pbs.twimg.com/media/Fn74D8SaMAE8uvs.jpg</v>
      </c>
      <c r="W1512" s="76">
        <v>44959.194930555554</v>
      </c>
      <c r="X1512" s="80">
        <v>44959</v>
      </c>
      <c r="Y1512" s="78" t="s">
        <v>3255</v>
      </c>
      <c r="Z1512" s="77" t="str">
        <f>HYPERLINK("https://twitter.com/monkeyflop/status/1621005669070696450")</f>
        <v>https://twitter.com/monkeyflop/status/1621005669070696450</v>
      </c>
      <c r="AC1512" s="78" t="s">
        <v>4320</v>
      </c>
      <c r="AE1512" t="b">
        <v>0</v>
      </c>
      <c r="AF1512">
        <v>1</v>
      </c>
      <c r="AG1512" s="78" t="s">
        <v>4640</v>
      </c>
      <c r="AH1512" t="b">
        <v>0</v>
      </c>
      <c r="AI1512" t="s">
        <v>4829</v>
      </c>
      <c r="AK1512" s="78" t="s">
        <v>4640</v>
      </c>
      <c r="AL1512" t="b">
        <v>0</v>
      </c>
      <c r="AM1512">
        <v>0</v>
      </c>
      <c r="AN1512" s="78" t="s">
        <v>4640</v>
      </c>
      <c r="AO1512" s="78" t="s">
        <v>4849</v>
      </c>
      <c r="AP1512" t="b">
        <v>0</v>
      </c>
      <c r="AQ1512" s="78" t="s">
        <v>4320</v>
      </c>
      <c r="AR1512" t="s">
        <v>179</v>
      </c>
      <c r="AS1512">
        <v>0</v>
      </c>
      <c r="AT1512">
        <v>0</v>
      </c>
      <c r="AU1512" t="s">
        <v>4895</v>
      </c>
      <c r="AV1512" t="s">
        <v>4899</v>
      </c>
      <c r="AW1512" t="s">
        <v>4901</v>
      </c>
      <c r="AX1512" t="s">
        <v>4924</v>
      </c>
      <c r="AY1512" t="s">
        <v>4949</v>
      </c>
      <c r="AZ1512" t="s">
        <v>4973</v>
      </c>
      <c r="BA1512" t="s">
        <v>4975</v>
      </c>
      <c r="BB1512" s="77" t="str">
        <f>HYPERLINK("https://api.twitter.com/1.1/geo/id/3b77caf94bfc81fe.json")</f>
        <v>https://api.twitter.com/1.1/geo/id/3b77caf94bfc81fe.json</v>
      </c>
    </row>
    <row r="1513" spans="1:54" x14ac:dyDescent="0.45">
      <c r="A1513" s="62" t="s">
        <v>973</v>
      </c>
      <c r="B1513" s="62" t="s">
        <v>1211</v>
      </c>
      <c r="C1513" s="63"/>
      <c r="D1513" s="64"/>
      <c r="E1513" s="65"/>
      <c r="F1513" s="66"/>
      <c r="G1513" s="63"/>
      <c r="H1513" s="67"/>
      <c r="I1513" s="68"/>
      <c r="J1513" s="68"/>
      <c r="K1513" s="32"/>
      <c r="L1513" s="75"/>
      <c r="M1513" s="75"/>
      <c r="N1513" s="70"/>
      <c r="O1513" t="s">
        <v>1568</v>
      </c>
      <c r="P1513" s="76">
        <v>44959.194930555554</v>
      </c>
      <c r="Q1513" t="s">
        <v>2135</v>
      </c>
      <c r="U1513" s="77" t="str">
        <f>HYPERLINK("https://pbs.twimg.com/media/Fn74D8SaMAE8uvs.jpg")</f>
        <v>https://pbs.twimg.com/media/Fn74D8SaMAE8uvs.jpg</v>
      </c>
      <c r="V1513" s="77" t="str">
        <f>HYPERLINK("https://pbs.twimg.com/media/Fn74D8SaMAE8uvs.jpg")</f>
        <v>https://pbs.twimg.com/media/Fn74D8SaMAE8uvs.jpg</v>
      </c>
      <c r="W1513" s="76">
        <v>44959.194930555554</v>
      </c>
      <c r="X1513" s="80">
        <v>44959</v>
      </c>
      <c r="Y1513" s="78" t="s">
        <v>3255</v>
      </c>
      <c r="Z1513" s="77" t="str">
        <f>HYPERLINK("https://twitter.com/monkeyflop/status/1621005669070696450")</f>
        <v>https://twitter.com/monkeyflop/status/1621005669070696450</v>
      </c>
      <c r="AC1513" s="78" t="s">
        <v>4320</v>
      </c>
      <c r="AE1513" t="b">
        <v>0</v>
      </c>
      <c r="AF1513">
        <v>1</v>
      </c>
      <c r="AG1513" s="78" t="s">
        <v>4640</v>
      </c>
      <c r="AH1513" t="b">
        <v>0</v>
      </c>
      <c r="AI1513" t="s">
        <v>4829</v>
      </c>
      <c r="AK1513" s="78" t="s">
        <v>4640</v>
      </c>
      <c r="AL1513" t="b">
        <v>0</v>
      </c>
      <c r="AM1513">
        <v>0</v>
      </c>
      <c r="AN1513" s="78" t="s">
        <v>4640</v>
      </c>
      <c r="AO1513" s="78" t="s">
        <v>4849</v>
      </c>
      <c r="AP1513" t="b">
        <v>0</v>
      </c>
      <c r="AQ1513" s="78" t="s">
        <v>4320</v>
      </c>
      <c r="AR1513" t="s">
        <v>179</v>
      </c>
      <c r="AS1513">
        <v>0</v>
      </c>
      <c r="AT1513">
        <v>0</v>
      </c>
      <c r="AU1513" t="s">
        <v>4895</v>
      </c>
      <c r="AV1513" t="s">
        <v>4899</v>
      </c>
      <c r="AW1513" t="s">
        <v>4901</v>
      </c>
      <c r="AX1513" t="s">
        <v>4924</v>
      </c>
      <c r="AY1513" t="s">
        <v>4949</v>
      </c>
      <c r="AZ1513" t="s">
        <v>4973</v>
      </c>
      <c r="BA1513" t="s">
        <v>4975</v>
      </c>
      <c r="BB1513" s="77" t="str">
        <f>HYPERLINK("https://api.twitter.com/1.1/geo/id/3b77caf94bfc81fe.json")</f>
        <v>https://api.twitter.com/1.1/geo/id/3b77caf94bfc81fe.json</v>
      </c>
    </row>
    <row r="1514" spans="1:54" x14ac:dyDescent="0.45">
      <c r="A1514" s="62" t="s">
        <v>973</v>
      </c>
      <c r="B1514" s="62" t="s">
        <v>242</v>
      </c>
      <c r="C1514" s="63"/>
      <c r="D1514" s="64"/>
      <c r="E1514" s="65"/>
      <c r="F1514" s="66"/>
      <c r="G1514" s="63"/>
      <c r="H1514" s="67"/>
      <c r="I1514" s="68"/>
      <c r="J1514" s="68"/>
      <c r="K1514" s="32"/>
      <c r="L1514" s="75"/>
      <c r="M1514" s="75"/>
      <c r="N1514" s="70"/>
      <c r="O1514" t="s">
        <v>1568</v>
      </c>
      <c r="P1514" s="76">
        <v>44959.194930555554</v>
      </c>
      <c r="Q1514" t="s">
        <v>2135</v>
      </c>
      <c r="U1514" s="77" t="str">
        <f>HYPERLINK("https://pbs.twimg.com/media/Fn74D8SaMAE8uvs.jpg")</f>
        <v>https://pbs.twimg.com/media/Fn74D8SaMAE8uvs.jpg</v>
      </c>
      <c r="V1514" s="77" t="str">
        <f>HYPERLINK("https://pbs.twimg.com/media/Fn74D8SaMAE8uvs.jpg")</f>
        <v>https://pbs.twimg.com/media/Fn74D8SaMAE8uvs.jpg</v>
      </c>
      <c r="W1514" s="76">
        <v>44959.194930555554</v>
      </c>
      <c r="X1514" s="80">
        <v>44959</v>
      </c>
      <c r="Y1514" s="78" t="s">
        <v>3255</v>
      </c>
      <c r="Z1514" s="77" t="str">
        <f>HYPERLINK("https://twitter.com/monkeyflop/status/1621005669070696450")</f>
        <v>https://twitter.com/monkeyflop/status/1621005669070696450</v>
      </c>
      <c r="AC1514" s="78" t="s">
        <v>4320</v>
      </c>
      <c r="AE1514" t="b">
        <v>0</v>
      </c>
      <c r="AF1514">
        <v>1</v>
      </c>
      <c r="AG1514" s="78" t="s">
        <v>4640</v>
      </c>
      <c r="AH1514" t="b">
        <v>0</v>
      </c>
      <c r="AI1514" t="s">
        <v>4829</v>
      </c>
      <c r="AK1514" s="78" t="s">
        <v>4640</v>
      </c>
      <c r="AL1514" t="b">
        <v>0</v>
      </c>
      <c r="AM1514">
        <v>0</v>
      </c>
      <c r="AN1514" s="78" t="s">
        <v>4640</v>
      </c>
      <c r="AO1514" s="78" t="s">
        <v>4849</v>
      </c>
      <c r="AP1514" t="b">
        <v>0</v>
      </c>
      <c r="AQ1514" s="78" t="s">
        <v>4320</v>
      </c>
      <c r="AR1514" t="s">
        <v>179</v>
      </c>
      <c r="AS1514">
        <v>0</v>
      </c>
      <c r="AT1514">
        <v>0</v>
      </c>
      <c r="AU1514" t="s">
        <v>4895</v>
      </c>
      <c r="AV1514" t="s">
        <v>4899</v>
      </c>
      <c r="AW1514" t="s">
        <v>4901</v>
      </c>
      <c r="AX1514" t="s">
        <v>4924</v>
      </c>
      <c r="AY1514" t="s">
        <v>4949</v>
      </c>
      <c r="AZ1514" t="s">
        <v>4973</v>
      </c>
      <c r="BA1514" t="s">
        <v>4975</v>
      </c>
      <c r="BB1514" s="77" t="str">
        <f>HYPERLINK("https://api.twitter.com/1.1/geo/id/3b77caf94bfc81fe.json")</f>
        <v>https://api.twitter.com/1.1/geo/id/3b77caf94bfc81fe.json</v>
      </c>
    </row>
    <row r="1515" spans="1:54" x14ac:dyDescent="0.45">
      <c r="A1515" s="62" t="s">
        <v>974</v>
      </c>
      <c r="B1515" s="62" t="s">
        <v>973</v>
      </c>
      <c r="C1515" s="63"/>
      <c r="D1515" s="64"/>
      <c r="E1515" s="65"/>
      <c r="F1515" s="66"/>
      <c r="G1515" s="63"/>
      <c r="H1515" s="67"/>
      <c r="I1515" s="68"/>
      <c r="J1515" s="68"/>
      <c r="K1515" s="32"/>
      <c r="L1515" s="75"/>
      <c r="M1515" s="75"/>
      <c r="N1515" s="70"/>
      <c r="O1515" t="s">
        <v>1567</v>
      </c>
      <c r="P1515" s="76">
        <v>44959.215983796297</v>
      </c>
      <c r="Q1515" t="s">
        <v>2136</v>
      </c>
      <c r="V1515" s="77" t="str">
        <f>HYPERLINK("https://pbs.twimg.com/profile_images/1001548652823924736/sWX1Pe-u_normal.jpg")</f>
        <v>https://pbs.twimg.com/profile_images/1001548652823924736/sWX1Pe-u_normal.jpg</v>
      </c>
      <c r="W1515" s="76">
        <v>44959.215983796297</v>
      </c>
      <c r="X1515" s="80">
        <v>44959</v>
      </c>
      <c r="Y1515" s="78" t="s">
        <v>3256</v>
      </c>
      <c r="Z1515" s="77" t="str">
        <f>HYPERLINK("https://twitter.com/redstag92gaming/status/1621013294818668546")</f>
        <v>https://twitter.com/redstag92gaming/status/1621013294818668546</v>
      </c>
      <c r="AC1515" s="78" t="s">
        <v>4321</v>
      </c>
      <c r="AD1515" s="78" t="s">
        <v>4320</v>
      </c>
      <c r="AE1515" t="b">
        <v>0</v>
      </c>
      <c r="AF1515">
        <v>1</v>
      </c>
      <c r="AG1515" s="78" t="s">
        <v>4784</v>
      </c>
      <c r="AH1515" t="b">
        <v>0</v>
      </c>
      <c r="AI1515" t="s">
        <v>4829</v>
      </c>
      <c r="AK1515" s="78" t="s">
        <v>4640</v>
      </c>
      <c r="AL1515" t="b">
        <v>0</v>
      </c>
      <c r="AM1515">
        <v>0</v>
      </c>
      <c r="AN1515" s="78" t="s">
        <v>4640</v>
      </c>
      <c r="AO1515" s="78" t="s">
        <v>4850</v>
      </c>
      <c r="AP1515" t="b">
        <v>0</v>
      </c>
      <c r="AQ1515" s="78" t="s">
        <v>4320</v>
      </c>
      <c r="AR1515" t="s">
        <v>179</v>
      </c>
      <c r="AS1515">
        <v>0</v>
      </c>
      <c r="AT1515">
        <v>0</v>
      </c>
    </row>
    <row r="1516" spans="1:54" x14ac:dyDescent="0.45">
      <c r="A1516" s="62" t="s">
        <v>974</v>
      </c>
      <c r="B1516" s="62" t="s">
        <v>1365</v>
      </c>
      <c r="C1516" s="63"/>
      <c r="D1516" s="64"/>
      <c r="E1516" s="65"/>
      <c r="F1516" s="66"/>
      <c r="G1516" s="63"/>
      <c r="H1516" s="67"/>
      <c r="I1516" s="68"/>
      <c r="J1516" s="68"/>
      <c r="K1516" s="32"/>
      <c r="L1516" s="75"/>
      <c r="M1516" s="75"/>
      <c r="N1516" s="70"/>
      <c r="O1516" t="s">
        <v>1568</v>
      </c>
      <c r="P1516" s="76">
        <v>44959.215983796297</v>
      </c>
      <c r="Q1516" t="s">
        <v>2136</v>
      </c>
      <c r="V1516" s="77" t="str">
        <f>HYPERLINK("https://pbs.twimg.com/profile_images/1001548652823924736/sWX1Pe-u_normal.jpg")</f>
        <v>https://pbs.twimg.com/profile_images/1001548652823924736/sWX1Pe-u_normal.jpg</v>
      </c>
      <c r="W1516" s="76">
        <v>44959.215983796297</v>
      </c>
      <c r="X1516" s="80">
        <v>44959</v>
      </c>
      <c r="Y1516" s="78" t="s">
        <v>3256</v>
      </c>
      <c r="Z1516" s="77" t="str">
        <f>HYPERLINK("https://twitter.com/redstag92gaming/status/1621013294818668546")</f>
        <v>https://twitter.com/redstag92gaming/status/1621013294818668546</v>
      </c>
      <c r="AC1516" s="78" t="s">
        <v>4321</v>
      </c>
      <c r="AD1516" s="78" t="s">
        <v>4320</v>
      </c>
      <c r="AE1516" t="b">
        <v>0</v>
      </c>
      <c r="AF1516">
        <v>1</v>
      </c>
      <c r="AG1516" s="78" t="s">
        <v>4784</v>
      </c>
      <c r="AH1516" t="b">
        <v>0</v>
      </c>
      <c r="AI1516" t="s">
        <v>4829</v>
      </c>
      <c r="AK1516" s="78" t="s">
        <v>4640</v>
      </c>
      <c r="AL1516" t="b">
        <v>0</v>
      </c>
      <c r="AM1516">
        <v>0</v>
      </c>
      <c r="AN1516" s="78" t="s">
        <v>4640</v>
      </c>
      <c r="AO1516" s="78" t="s">
        <v>4850</v>
      </c>
      <c r="AP1516" t="b">
        <v>0</v>
      </c>
      <c r="AQ1516" s="78" t="s">
        <v>4320</v>
      </c>
      <c r="AR1516" t="s">
        <v>179</v>
      </c>
      <c r="AS1516">
        <v>0</v>
      </c>
      <c r="AT1516">
        <v>0</v>
      </c>
    </row>
    <row r="1517" spans="1:54" x14ac:dyDescent="0.45">
      <c r="A1517" s="62" t="s">
        <v>974</v>
      </c>
      <c r="B1517" s="62" t="s">
        <v>1211</v>
      </c>
      <c r="C1517" s="63"/>
      <c r="D1517" s="64"/>
      <c r="E1517" s="65"/>
      <c r="F1517" s="66"/>
      <c r="G1517" s="63"/>
      <c r="H1517" s="67"/>
      <c r="I1517" s="68"/>
      <c r="J1517" s="68"/>
      <c r="K1517" s="32"/>
      <c r="L1517" s="75"/>
      <c r="M1517" s="75"/>
      <c r="N1517" s="70"/>
      <c r="O1517" t="s">
        <v>1568</v>
      </c>
      <c r="P1517" s="76">
        <v>44959.215983796297</v>
      </c>
      <c r="Q1517" t="s">
        <v>2136</v>
      </c>
      <c r="V1517" s="77" t="str">
        <f>HYPERLINK("https://pbs.twimg.com/profile_images/1001548652823924736/sWX1Pe-u_normal.jpg")</f>
        <v>https://pbs.twimg.com/profile_images/1001548652823924736/sWX1Pe-u_normal.jpg</v>
      </c>
      <c r="W1517" s="76">
        <v>44959.215983796297</v>
      </c>
      <c r="X1517" s="80">
        <v>44959</v>
      </c>
      <c r="Y1517" s="78" t="s">
        <v>3256</v>
      </c>
      <c r="Z1517" s="77" t="str">
        <f>HYPERLINK("https://twitter.com/redstag92gaming/status/1621013294818668546")</f>
        <v>https://twitter.com/redstag92gaming/status/1621013294818668546</v>
      </c>
      <c r="AC1517" s="78" t="s">
        <v>4321</v>
      </c>
      <c r="AD1517" s="78" t="s">
        <v>4320</v>
      </c>
      <c r="AE1517" t="b">
        <v>0</v>
      </c>
      <c r="AF1517">
        <v>1</v>
      </c>
      <c r="AG1517" s="78" t="s">
        <v>4784</v>
      </c>
      <c r="AH1517" t="b">
        <v>0</v>
      </c>
      <c r="AI1517" t="s">
        <v>4829</v>
      </c>
      <c r="AK1517" s="78" t="s">
        <v>4640</v>
      </c>
      <c r="AL1517" t="b">
        <v>0</v>
      </c>
      <c r="AM1517">
        <v>0</v>
      </c>
      <c r="AN1517" s="78" t="s">
        <v>4640</v>
      </c>
      <c r="AO1517" s="78" t="s">
        <v>4850</v>
      </c>
      <c r="AP1517" t="b">
        <v>0</v>
      </c>
      <c r="AQ1517" s="78" t="s">
        <v>4320</v>
      </c>
      <c r="AR1517" t="s">
        <v>179</v>
      </c>
      <c r="AS1517">
        <v>0</v>
      </c>
      <c r="AT1517">
        <v>0</v>
      </c>
    </row>
    <row r="1518" spans="1:54" x14ac:dyDescent="0.45">
      <c r="A1518" s="62" t="s">
        <v>974</v>
      </c>
      <c r="B1518" s="62" t="s">
        <v>242</v>
      </c>
      <c r="C1518" s="63"/>
      <c r="D1518" s="64"/>
      <c r="E1518" s="65"/>
      <c r="F1518" s="66"/>
      <c r="G1518" s="63"/>
      <c r="H1518" s="67"/>
      <c r="I1518" s="68"/>
      <c r="J1518" s="68"/>
      <c r="K1518" s="32"/>
      <c r="L1518" s="75"/>
      <c r="M1518" s="75"/>
      <c r="N1518" s="70"/>
      <c r="O1518" t="s">
        <v>1568</v>
      </c>
      <c r="P1518" s="76">
        <v>44959.215983796297</v>
      </c>
      <c r="Q1518" t="s">
        <v>2136</v>
      </c>
      <c r="V1518" s="77" t="str">
        <f>HYPERLINK("https://pbs.twimg.com/profile_images/1001548652823924736/sWX1Pe-u_normal.jpg")</f>
        <v>https://pbs.twimg.com/profile_images/1001548652823924736/sWX1Pe-u_normal.jpg</v>
      </c>
      <c r="W1518" s="76">
        <v>44959.215983796297</v>
      </c>
      <c r="X1518" s="80">
        <v>44959</v>
      </c>
      <c r="Y1518" s="78" t="s">
        <v>3256</v>
      </c>
      <c r="Z1518" s="77" t="str">
        <f>HYPERLINK("https://twitter.com/redstag92gaming/status/1621013294818668546")</f>
        <v>https://twitter.com/redstag92gaming/status/1621013294818668546</v>
      </c>
      <c r="AC1518" s="78" t="s">
        <v>4321</v>
      </c>
      <c r="AD1518" s="78" t="s">
        <v>4320</v>
      </c>
      <c r="AE1518" t="b">
        <v>0</v>
      </c>
      <c r="AF1518">
        <v>1</v>
      </c>
      <c r="AG1518" s="78" t="s">
        <v>4784</v>
      </c>
      <c r="AH1518" t="b">
        <v>0</v>
      </c>
      <c r="AI1518" t="s">
        <v>4829</v>
      </c>
      <c r="AK1518" s="78" t="s">
        <v>4640</v>
      </c>
      <c r="AL1518" t="b">
        <v>0</v>
      </c>
      <c r="AM1518">
        <v>0</v>
      </c>
      <c r="AN1518" s="78" t="s">
        <v>4640</v>
      </c>
      <c r="AO1518" s="78" t="s">
        <v>4850</v>
      </c>
      <c r="AP1518" t="b">
        <v>0</v>
      </c>
      <c r="AQ1518" s="78" t="s">
        <v>4320</v>
      </c>
      <c r="AR1518" t="s">
        <v>179</v>
      </c>
      <c r="AS1518">
        <v>0</v>
      </c>
      <c r="AT1518">
        <v>0</v>
      </c>
    </row>
    <row r="1519" spans="1:54" x14ac:dyDescent="0.45">
      <c r="A1519" s="62" t="s">
        <v>242</v>
      </c>
      <c r="B1519" s="62" t="s">
        <v>976</v>
      </c>
      <c r="C1519" s="63"/>
      <c r="D1519" s="64"/>
      <c r="E1519" s="65"/>
      <c r="F1519" s="66"/>
      <c r="G1519" s="63"/>
      <c r="H1519" s="67"/>
      <c r="I1519" s="68"/>
      <c r="J1519" s="68"/>
      <c r="K1519" s="32"/>
      <c r="L1519" s="75"/>
      <c r="M1519" s="75"/>
      <c r="N1519" s="70"/>
      <c r="O1519" t="s">
        <v>1567</v>
      </c>
      <c r="P1519" s="76">
        <v>44959.187361111108</v>
      </c>
      <c r="Q1519" t="s">
        <v>2139</v>
      </c>
      <c r="V1519" s="77" t="str">
        <f>HYPERLINK("https://pbs.twimg.com/profile_images/1614031605676253184/n4E7yeWV_normal.jpg")</f>
        <v>https://pbs.twimg.com/profile_images/1614031605676253184/n4E7yeWV_normal.jpg</v>
      </c>
      <c r="W1519" s="76">
        <v>44959.187361111108</v>
      </c>
      <c r="X1519" s="80">
        <v>44959</v>
      </c>
      <c r="Y1519" s="78" t="s">
        <v>3259</v>
      </c>
      <c r="Z1519" s="77" t="str">
        <f>HYPERLINK("https://twitter.com/walmart/status/1621002922174697472")</f>
        <v>https://twitter.com/walmart/status/1621002922174697472</v>
      </c>
      <c r="AC1519" s="78" t="s">
        <v>4324</v>
      </c>
      <c r="AD1519" s="78" t="s">
        <v>4606</v>
      </c>
      <c r="AE1519" t="b">
        <v>0</v>
      </c>
      <c r="AF1519">
        <v>1</v>
      </c>
      <c r="AG1519" s="78" t="s">
        <v>4785</v>
      </c>
      <c r="AH1519" t="b">
        <v>0</v>
      </c>
      <c r="AI1519" t="s">
        <v>4829</v>
      </c>
      <c r="AK1519" s="78" t="s">
        <v>4640</v>
      </c>
      <c r="AL1519" t="b">
        <v>0</v>
      </c>
      <c r="AM1519">
        <v>1</v>
      </c>
      <c r="AN1519" s="78" t="s">
        <v>4640</v>
      </c>
      <c r="AO1519" s="78" t="s">
        <v>4855</v>
      </c>
      <c r="AP1519" t="b">
        <v>0</v>
      </c>
      <c r="AQ1519" s="78" t="s">
        <v>4606</v>
      </c>
      <c r="AR1519" t="s">
        <v>1569</v>
      </c>
      <c r="AS1519">
        <v>0</v>
      </c>
      <c r="AT1519">
        <v>0</v>
      </c>
    </row>
    <row r="1520" spans="1:54" x14ac:dyDescent="0.45">
      <c r="A1520" s="62" t="s">
        <v>985</v>
      </c>
      <c r="B1520" s="62" t="s">
        <v>242</v>
      </c>
      <c r="C1520" s="63"/>
      <c r="D1520" s="64"/>
      <c r="E1520" s="65"/>
      <c r="F1520" s="66"/>
      <c r="G1520" s="63"/>
      <c r="H1520" s="67"/>
      <c r="I1520" s="68"/>
      <c r="J1520" s="68"/>
      <c r="K1520" s="32"/>
      <c r="L1520" s="75"/>
      <c r="M1520" s="75"/>
      <c r="N1520" s="70"/>
      <c r="O1520" t="s">
        <v>1568</v>
      </c>
      <c r="P1520" s="76">
        <v>44959.242523148147</v>
      </c>
      <c r="Q1520" t="s">
        <v>2145</v>
      </c>
      <c r="V1520" s="77" t="str">
        <f>HYPERLINK("https://pbs.twimg.com/profile_images/1620648964306657282/0i16_Pwf_normal.jpg")</f>
        <v>https://pbs.twimg.com/profile_images/1620648964306657282/0i16_Pwf_normal.jpg</v>
      </c>
      <c r="W1520" s="76">
        <v>44959.242523148147</v>
      </c>
      <c r="X1520" s="80">
        <v>44959</v>
      </c>
      <c r="Y1520" s="78" t="s">
        <v>3269</v>
      </c>
      <c r="Z1520" s="77" t="str">
        <f>HYPERLINK("https://twitter.com/blondenevadan/status/1621022912999469059")</f>
        <v>https://twitter.com/blondenevadan/status/1621022912999469059</v>
      </c>
      <c r="AC1520" s="78" t="s">
        <v>4334</v>
      </c>
      <c r="AE1520" t="b">
        <v>0</v>
      </c>
      <c r="AF1520">
        <v>1</v>
      </c>
      <c r="AG1520" s="78" t="s">
        <v>4640</v>
      </c>
      <c r="AH1520" t="b">
        <v>0</v>
      </c>
      <c r="AI1520" t="s">
        <v>4829</v>
      </c>
      <c r="AK1520" s="78" t="s">
        <v>4640</v>
      </c>
      <c r="AL1520" t="b">
        <v>0</v>
      </c>
      <c r="AM1520">
        <v>0</v>
      </c>
      <c r="AN1520" s="78" t="s">
        <v>4640</v>
      </c>
      <c r="AO1520" s="78" t="s">
        <v>4850</v>
      </c>
      <c r="AP1520" t="b">
        <v>0</v>
      </c>
      <c r="AQ1520" s="78" t="s">
        <v>4334</v>
      </c>
      <c r="AR1520" t="s">
        <v>179</v>
      </c>
      <c r="AS1520">
        <v>0</v>
      </c>
      <c r="AT1520">
        <v>0</v>
      </c>
    </row>
    <row r="1521" spans="1:46" x14ac:dyDescent="0.45">
      <c r="A1521" s="62" t="s">
        <v>242</v>
      </c>
      <c r="B1521" s="62" t="s">
        <v>988</v>
      </c>
      <c r="C1521" s="63"/>
      <c r="D1521" s="64"/>
      <c r="E1521" s="65"/>
      <c r="F1521" s="66"/>
      <c r="G1521" s="63"/>
      <c r="H1521" s="67"/>
      <c r="I1521" s="68"/>
      <c r="J1521" s="68"/>
      <c r="K1521" s="32"/>
      <c r="L1521" s="75"/>
      <c r="M1521" s="75"/>
      <c r="N1521" s="70"/>
      <c r="O1521" t="s">
        <v>1567</v>
      </c>
      <c r="P1521" s="76">
        <v>44959.24523148148</v>
      </c>
      <c r="Q1521" t="s">
        <v>2148</v>
      </c>
      <c r="V1521" s="77" t="str">
        <f>HYPERLINK("https://pbs.twimg.com/profile_images/1614031605676253184/n4E7yeWV_normal.jpg")</f>
        <v>https://pbs.twimg.com/profile_images/1614031605676253184/n4E7yeWV_normal.jpg</v>
      </c>
      <c r="W1521" s="76">
        <v>44959.24523148148</v>
      </c>
      <c r="X1521" s="80">
        <v>44959</v>
      </c>
      <c r="Y1521" s="78" t="s">
        <v>3272</v>
      </c>
      <c r="Z1521" s="77" t="str">
        <f>HYPERLINK("https://twitter.com/walmart/status/1621023894684442625")</f>
        <v>https://twitter.com/walmart/status/1621023894684442625</v>
      </c>
      <c r="AC1521" s="78" t="s">
        <v>4337</v>
      </c>
      <c r="AD1521" s="78" t="s">
        <v>4609</v>
      </c>
      <c r="AE1521" t="b">
        <v>0</v>
      </c>
      <c r="AF1521">
        <v>1</v>
      </c>
      <c r="AG1521" s="78" t="s">
        <v>4788</v>
      </c>
      <c r="AH1521" t="b">
        <v>0</v>
      </c>
      <c r="AI1521" t="s">
        <v>4829</v>
      </c>
      <c r="AK1521" s="78" t="s">
        <v>4640</v>
      </c>
      <c r="AL1521" t="b">
        <v>0</v>
      </c>
      <c r="AM1521">
        <v>1</v>
      </c>
      <c r="AN1521" s="78" t="s">
        <v>4640</v>
      </c>
      <c r="AO1521" s="78" t="s">
        <v>4855</v>
      </c>
      <c r="AP1521" t="b">
        <v>0</v>
      </c>
      <c r="AQ1521" s="78" t="s">
        <v>4609</v>
      </c>
      <c r="AR1521" t="s">
        <v>1569</v>
      </c>
      <c r="AS1521">
        <v>0</v>
      </c>
      <c r="AT1521">
        <v>0</v>
      </c>
    </row>
    <row r="1522" spans="1:46" x14ac:dyDescent="0.45">
      <c r="A1522" s="62" t="s">
        <v>990</v>
      </c>
      <c r="B1522" s="62" t="s">
        <v>242</v>
      </c>
      <c r="C1522" s="63"/>
      <c r="D1522" s="64"/>
      <c r="E1522" s="65"/>
      <c r="F1522" s="66"/>
      <c r="G1522" s="63"/>
      <c r="H1522" s="67"/>
      <c r="I1522" s="68"/>
      <c r="J1522" s="68"/>
      <c r="K1522" s="32"/>
      <c r="L1522" s="75"/>
      <c r="M1522" s="75"/>
      <c r="N1522" s="70"/>
      <c r="O1522" t="s">
        <v>1568</v>
      </c>
      <c r="P1522" s="76">
        <v>44959.261944444443</v>
      </c>
      <c r="Q1522" t="s">
        <v>2150</v>
      </c>
      <c r="V1522" s="77" t="str">
        <f>HYPERLINK("https://pbs.twimg.com/profile_images/1617309043143462912/4j9fLggj_normal.jpg")</f>
        <v>https://pbs.twimg.com/profile_images/1617309043143462912/4j9fLggj_normal.jpg</v>
      </c>
      <c r="W1522" s="76">
        <v>44959.261944444443</v>
      </c>
      <c r="X1522" s="80">
        <v>44959</v>
      </c>
      <c r="Y1522" s="78" t="s">
        <v>3275</v>
      </c>
      <c r="Z1522" s="77" t="str">
        <f>HYPERLINK("https://twitter.com/sloangallimore/status/1621029954086653953")</f>
        <v>https://twitter.com/sloangallimore/status/1621029954086653953</v>
      </c>
      <c r="AC1522" s="78" t="s">
        <v>4340</v>
      </c>
      <c r="AD1522" s="78" t="s">
        <v>4610</v>
      </c>
      <c r="AE1522" t="b">
        <v>0</v>
      </c>
      <c r="AF1522">
        <v>1</v>
      </c>
      <c r="AG1522" s="78" t="s">
        <v>4789</v>
      </c>
      <c r="AH1522" t="b">
        <v>0</v>
      </c>
      <c r="AI1522" t="s">
        <v>4829</v>
      </c>
      <c r="AK1522" s="78" t="s">
        <v>4640</v>
      </c>
      <c r="AL1522" t="b">
        <v>0</v>
      </c>
      <c r="AM1522">
        <v>0</v>
      </c>
      <c r="AN1522" s="78" t="s">
        <v>4640</v>
      </c>
      <c r="AO1522" s="78" t="s">
        <v>4849</v>
      </c>
      <c r="AP1522" t="b">
        <v>0</v>
      </c>
      <c r="AQ1522" s="78" t="s">
        <v>4610</v>
      </c>
      <c r="AR1522" t="s">
        <v>179</v>
      </c>
      <c r="AS1522">
        <v>0</v>
      </c>
      <c r="AT1522">
        <v>0</v>
      </c>
    </row>
    <row r="1523" spans="1:46" x14ac:dyDescent="0.45">
      <c r="A1523" s="62" t="s">
        <v>990</v>
      </c>
      <c r="B1523" s="62" t="s">
        <v>991</v>
      </c>
      <c r="C1523" s="63"/>
      <c r="D1523" s="64"/>
      <c r="E1523" s="65"/>
      <c r="F1523" s="66"/>
      <c r="G1523" s="63"/>
      <c r="H1523" s="67"/>
      <c r="I1523" s="68"/>
      <c r="J1523" s="68"/>
      <c r="K1523" s="32"/>
      <c r="L1523" s="75"/>
      <c r="M1523" s="75"/>
      <c r="N1523" s="70"/>
      <c r="O1523" t="s">
        <v>1567</v>
      </c>
      <c r="P1523" s="76">
        <v>44959.261944444443</v>
      </c>
      <c r="Q1523" t="s">
        <v>2150</v>
      </c>
      <c r="V1523" s="77" t="str">
        <f>HYPERLINK("https://pbs.twimg.com/profile_images/1617309043143462912/4j9fLggj_normal.jpg")</f>
        <v>https://pbs.twimg.com/profile_images/1617309043143462912/4j9fLggj_normal.jpg</v>
      </c>
      <c r="W1523" s="76">
        <v>44959.261944444443</v>
      </c>
      <c r="X1523" s="80">
        <v>44959</v>
      </c>
      <c r="Y1523" s="78" t="s">
        <v>3275</v>
      </c>
      <c r="Z1523" s="77" t="str">
        <f>HYPERLINK("https://twitter.com/sloangallimore/status/1621029954086653953")</f>
        <v>https://twitter.com/sloangallimore/status/1621029954086653953</v>
      </c>
      <c r="AC1523" s="78" t="s">
        <v>4340</v>
      </c>
      <c r="AD1523" s="78" t="s">
        <v>4610</v>
      </c>
      <c r="AE1523" t="b">
        <v>0</v>
      </c>
      <c r="AF1523">
        <v>1</v>
      </c>
      <c r="AG1523" s="78" t="s">
        <v>4789</v>
      </c>
      <c r="AH1523" t="b">
        <v>0</v>
      </c>
      <c r="AI1523" t="s">
        <v>4829</v>
      </c>
      <c r="AK1523" s="78" t="s">
        <v>4640</v>
      </c>
      <c r="AL1523" t="b">
        <v>0</v>
      </c>
      <c r="AM1523">
        <v>0</v>
      </c>
      <c r="AN1523" s="78" t="s">
        <v>4640</v>
      </c>
      <c r="AO1523" s="78" t="s">
        <v>4849</v>
      </c>
      <c r="AP1523" t="b">
        <v>0</v>
      </c>
      <c r="AQ1523" s="78" t="s">
        <v>4610</v>
      </c>
      <c r="AR1523" t="s">
        <v>179</v>
      </c>
      <c r="AS1523">
        <v>0</v>
      </c>
      <c r="AT1523">
        <v>0</v>
      </c>
    </row>
    <row r="1524" spans="1:46" x14ac:dyDescent="0.45">
      <c r="A1524" s="62" t="s">
        <v>1011</v>
      </c>
      <c r="B1524" s="62" t="s">
        <v>1488</v>
      </c>
      <c r="C1524" s="63"/>
      <c r="D1524" s="64"/>
      <c r="E1524" s="65"/>
      <c r="F1524" s="66"/>
      <c r="G1524" s="63"/>
      <c r="H1524" s="67"/>
      <c r="I1524" s="68"/>
      <c r="J1524" s="68"/>
      <c r="K1524" s="32"/>
      <c r="L1524" s="75"/>
      <c r="M1524" s="75"/>
      <c r="N1524" s="70"/>
      <c r="O1524" t="s">
        <v>1567</v>
      </c>
      <c r="P1524" s="76">
        <v>44958.898402777777</v>
      </c>
      <c r="Q1524" t="s">
        <v>2166</v>
      </c>
      <c r="U1524" s="77" t="str">
        <f>HYPERLINK("https://pbs.twimg.com/media/Fn6WTR9XoA8EA0q.jpg")</f>
        <v>https://pbs.twimg.com/media/Fn6WTR9XoA8EA0q.jpg</v>
      </c>
      <c r="V1524" s="77" t="str">
        <f>HYPERLINK("https://pbs.twimg.com/media/Fn6WTR9XoA8EA0q.jpg")</f>
        <v>https://pbs.twimg.com/media/Fn6WTR9XoA8EA0q.jpg</v>
      </c>
      <c r="W1524" s="76">
        <v>44958.898402777777</v>
      </c>
      <c r="X1524" s="80">
        <v>44958</v>
      </c>
      <c r="Y1524" s="78" t="s">
        <v>3303</v>
      </c>
      <c r="Z1524" s="77" t="str">
        <f>HYPERLINK("https://twitter.com/taneldanilo/status/1620898210364669954")</f>
        <v>https://twitter.com/taneldanilo/status/1620898210364669954</v>
      </c>
      <c r="AC1524" s="78" t="s">
        <v>4368</v>
      </c>
      <c r="AD1524" s="78" t="s">
        <v>4613</v>
      </c>
      <c r="AE1524" t="b">
        <v>0</v>
      </c>
      <c r="AF1524">
        <v>1</v>
      </c>
      <c r="AG1524" s="78" t="s">
        <v>4795</v>
      </c>
      <c r="AH1524" t="b">
        <v>0</v>
      </c>
      <c r="AI1524" t="s">
        <v>4829</v>
      </c>
      <c r="AK1524" s="78" t="s">
        <v>4640</v>
      </c>
      <c r="AL1524" t="b">
        <v>0</v>
      </c>
      <c r="AM1524">
        <v>0</v>
      </c>
      <c r="AN1524" s="78" t="s">
        <v>4640</v>
      </c>
      <c r="AO1524" s="78" t="s">
        <v>4850</v>
      </c>
      <c r="AP1524" t="b">
        <v>0</v>
      </c>
      <c r="AQ1524" s="78" t="s">
        <v>4613</v>
      </c>
      <c r="AR1524" t="s">
        <v>179</v>
      </c>
      <c r="AS1524">
        <v>0</v>
      </c>
      <c r="AT1524">
        <v>0</v>
      </c>
    </row>
    <row r="1525" spans="1:46" x14ac:dyDescent="0.45">
      <c r="A1525" s="62" t="s">
        <v>1011</v>
      </c>
      <c r="B1525" s="62" t="s">
        <v>1489</v>
      </c>
      <c r="C1525" s="63"/>
      <c r="D1525" s="64"/>
      <c r="E1525" s="65"/>
      <c r="F1525" s="66"/>
      <c r="G1525" s="63"/>
      <c r="H1525" s="67"/>
      <c r="I1525" s="68"/>
      <c r="J1525" s="68"/>
      <c r="K1525" s="32"/>
      <c r="L1525" s="75"/>
      <c r="M1525" s="75"/>
      <c r="N1525" s="70"/>
      <c r="O1525" t="s">
        <v>1568</v>
      </c>
      <c r="P1525" s="76">
        <v>44958.898402777777</v>
      </c>
      <c r="Q1525" t="s">
        <v>2166</v>
      </c>
      <c r="U1525" s="77" t="str">
        <f>HYPERLINK("https://pbs.twimg.com/media/Fn6WTR9XoA8EA0q.jpg")</f>
        <v>https://pbs.twimg.com/media/Fn6WTR9XoA8EA0q.jpg</v>
      </c>
      <c r="V1525" s="77" t="str">
        <f>HYPERLINK("https://pbs.twimg.com/media/Fn6WTR9XoA8EA0q.jpg")</f>
        <v>https://pbs.twimg.com/media/Fn6WTR9XoA8EA0q.jpg</v>
      </c>
      <c r="W1525" s="76">
        <v>44958.898402777777</v>
      </c>
      <c r="X1525" s="80">
        <v>44958</v>
      </c>
      <c r="Y1525" s="78" t="s">
        <v>3303</v>
      </c>
      <c r="Z1525" s="77" t="str">
        <f>HYPERLINK("https://twitter.com/taneldanilo/status/1620898210364669954")</f>
        <v>https://twitter.com/taneldanilo/status/1620898210364669954</v>
      </c>
      <c r="AC1525" s="78" t="s">
        <v>4368</v>
      </c>
      <c r="AD1525" s="78" t="s">
        <v>4613</v>
      </c>
      <c r="AE1525" t="b">
        <v>0</v>
      </c>
      <c r="AF1525">
        <v>1</v>
      </c>
      <c r="AG1525" s="78" t="s">
        <v>4795</v>
      </c>
      <c r="AH1525" t="b">
        <v>0</v>
      </c>
      <c r="AI1525" t="s">
        <v>4829</v>
      </c>
      <c r="AK1525" s="78" t="s">
        <v>4640</v>
      </c>
      <c r="AL1525" t="b">
        <v>0</v>
      </c>
      <c r="AM1525">
        <v>0</v>
      </c>
      <c r="AN1525" s="78" t="s">
        <v>4640</v>
      </c>
      <c r="AO1525" s="78" t="s">
        <v>4850</v>
      </c>
      <c r="AP1525" t="b">
        <v>0</v>
      </c>
      <c r="AQ1525" s="78" t="s">
        <v>4613</v>
      </c>
      <c r="AR1525" t="s">
        <v>179</v>
      </c>
      <c r="AS1525">
        <v>0</v>
      </c>
      <c r="AT1525">
        <v>0</v>
      </c>
    </row>
    <row r="1526" spans="1:46" x14ac:dyDescent="0.45">
      <c r="A1526" s="62" t="s">
        <v>1011</v>
      </c>
      <c r="B1526" s="62" t="s">
        <v>1490</v>
      </c>
      <c r="C1526" s="63"/>
      <c r="D1526" s="64"/>
      <c r="E1526" s="65"/>
      <c r="F1526" s="66"/>
      <c r="G1526" s="63"/>
      <c r="H1526" s="67"/>
      <c r="I1526" s="68"/>
      <c r="J1526" s="68"/>
      <c r="K1526" s="32"/>
      <c r="L1526" s="75"/>
      <c r="M1526" s="75"/>
      <c r="N1526" s="70"/>
      <c r="O1526" t="s">
        <v>1568</v>
      </c>
      <c r="P1526" s="76">
        <v>44958.898402777777</v>
      </c>
      <c r="Q1526" t="s">
        <v>2166</v>
      </c>
      <c r="U1526" s="77" t="str">
        <f>HYPERLINK("https://pbs.twimg.com/media/Fn6WTR9XoA8EA0q.jpg")</f>
        <v>https://pbs.twimg.com/media/Fn6WTR9XoA8EA0q.jpg</v>
      </c>
      <c r="V1526" s="77" t="str">
        <f>HYPERLINK("https://pbs.twimg.com/media/Fn6WTR9XoA8EA0q.jpg")</f>
        <v>https://pbs.twimg.com/media/Fn6WTR9XoA8EA0q.jpg</v>
      </c>
      <c r="W1526" s="76">
        <v>44958.898402777777</v>
      </c>
      <c r="X1526" s="80">
        <v>44958</v>
      </c>
      <c r="Y1526" s="78" t="s">
        <v>3303</v>
      </c>
      <c r="Z1526" s="77" t="str">
        <f>HYPERLINK("https://twitter.com/taneldanilo/status/1620898210364669954")</f>
        <v>https://twitter.com/taneldanilo/status/1620898210364669954</v>
      </c>
      <c r="AC1526" s="78" t="s">
        <v>4368</v>
      </c>
      <c r="AD1526" s="78" t="s">
        <v>4613</v>
      </c>
      <c r="AE1526" t="b">
        <v>0</v>
      </c>
      <c r="AF1526">
        <v>1</v>
      </c>
      <c r="AG1526" s="78" t="s">
        <v>4795</v>
      </c>
      <c r="AH1526" t="b">
        <v>0</v>
      </c>
      <c r="AI1526" t="s">
        <v>4829</v>
      </c>
      <c r="AK1526" s="78" t="s">
        <v>4640</v>
      </c>
      <c r="AL1526" t="b">
        <v>0</v>
      </c>
      <c r="AM1526">
        <v>0</v>
      </c>
      <c r="AN1526" s="78" t="s">
        <v>4640</v>
      </c>
      <c r="AO1526" s="78" t="s">
        <v>4850</v>
      </c>
      <c r="AP1526" t="b">
        <v>0</v>
      </c>
      <c r="AQ1526" s="78" t="s">
        <v>4613</v>
      </c>
      <c r="AR1526" t="s">
        <v>179</v>
      </c>
      <c r="AS1526">
        <v>0</v>
      </c>
      <c r="AT1526">
        <v>0</v>
      </c>
    </row>
    <row r="1527" spans="1:46" x14ac:dyDescent="0.45">
      <c r="A1527" s="62" t="s">
        <v>1011</v>
      </c>
      <c r="B1527" s="62" t="s">
        <v>1491</v>
      </c>
      <c r="C1527" s="63"/>
      <c r="D1527" s="64"/>
      <c r="E1527" s="65"/>
      <c r="F1527" s="66"/>
      <c r="G1527" s="63"/>
      <c r="H1527" s="67"/>
      <c r="I1527" s="68"/>
      <c r="J1527" s="68"/>
      <c r="K1527" s="32"/>
      <c r="L1527" s="75"/>
      <c r="M1527" s="75"/>
      <c r="N1527" s="70"/>
      <c r="O1527" t="s">
        <v>1568</v>
      </c>
      <c r="P1527" s="76">
        <v>44958.898402777777</v>
      </c>
      <c r="Q1527" t="s">
        <v>2166</v>
      </c>
      <c r="U1527" s="77" t="str">
        <f>HYPERLINK("https://pbs.twimg.com/media/Fn6WTR9XoA8EA0q.jpg")</f>
        <v>https://pbs.twimg.com/media/Fn6WTR9XoA8EA0q.jpg</v>
      </c>
      <c r="V1527" s="77" t="str">
        <f>HYPERLINK("https://pbs.twimg.com/media/Fn6WTR9XoA8EA0q.jpg")</f>
        <v>https://pbs.twimg.com/media/Fn6WTR9XoA8EA0q.jpg</v>
      </c>
      <c r="W1527" s="76">
        <v>44958.898402777777</v>
      </c>
      <c r="X1527" s="80">
        <v>44958</v>
      </c>
      <c r="Y1527" s="78" t="s">
        <v>3303</v>
      </c>
      <c r="Z1527" s="77" t="str">
        <f>HYPERLINK("https://twitter.com/taneldanilo/status/1620898210364669954")</f>
        <v>https://twitter.com/taneldanilo/status/1620898210364669954</v>
      </c>
      <c r="AC1527" s="78" t="s">
        <v>4368</v>
      </c>
      <c r="AD1527" s="78" t="s">
        <v>4613</v>
      </c>
      <c r="AE1527" t="b">
        <v>0</v>
      </c>
      <c r="AF1527">
        <v>1</v>
      </c>
      <c r="AG1527" s="78" t="s">
        <v>4795</v>
      </c>
      <c r="AH1527" t="b">
        <v>0</v>
      </c>
      <c r="AI1527" t="s">
        <v>4829</v>
      </c>
      <c r="AK1527" s="78" t="s">
        <v>4640</v>
      </c>
      <c r="AL1527" t="b">
        <v>0</v>
      </c>
      <c r="AM1527">
        <v>0</v>
      </c>
      <c r="AN1527" s="78" t="s">
        <v>4640</v>
      </c>
      <c r="AO1527" s="78" t="s">
        <v>4850</v>
      </c>
      <c r="AP1527" t="b">
        <v>0</v>
      </c>
      <c r="AQ1527" s="78" t="s">
        <v>4613</v>
      </c>
      <c r="AR1527" t="s">
        <v>179</v>
      </c>
      <c r="AS1527">
        <v>0</v>
      </c>
      <c r="AT1527">
        <v>0</v>
      </c>
    </row>
    <row r="1528" spans="1:46" x14ac:dyDescent="0.45">
      <c r="A1528" s="62" t="s">
        <v>1011</v>
      </c>
      <c r="B1528" s="62" t="s">
        <v>242</v>
      </c>
      <c r="C1528" s="63"/>
      <c r="D1528" s="64"/>
      <c r="E1528" s="65"/>
      <c r="F1528" s="66"/>
      <c r="G1528" s="63"/>
      <c r="H1528" s="67"/>
      <c r="I1528" s="68"/>
      <c r="J1528" s="68"/>
      <c r="K1528" s="32"/>
      <c r="L1528" s="75"/>
      <c r="M1528" s="75"/>
      <c r="N1528" s="70"/>
      <c r="O1528" t="s">
        <v>1568</v>
      </c>
      <c r="P1528" s="76">
        <v>44958.898402777777</v>
      </c>
      <c r="Q1528" t="s">
        <v>2166</v>
      </c>
      <c r="U1528" s="77" t="str">
        <f>HYPERLINK("https://pbs.twimg.com/media/Fn6WTR9XoA8EA0q.jpg")</f>
        <v>https://pbs.twimg.com/media/Fn6WTR9XoA8EA0q.jpg</v>
      </c>
      <c r="V1528" s="77" t="str">
        <f>HYPERLINK("https://pbs.twimg.com/media/Fn6WTR9XoA8EA0q.jpg")</f>
        <v>https://pbs.twimg.com/media/Fn6WTR9XoA8EA0q.jpg</v>
      </c>
      <c r="W1528" s="76">
        <v>44958.898402777777</v>
      </c>
      <c r="X1528" s="80">
        <v>44958</v>
      </c>
      <c r="Y1528" s="78" t="s">
        <v>3303</v>
      </c>
      <c r="Z1528" s="77" t="str">
        <f>HYPERLINK("https://twitter.com/taneldanilo/status/1620898210364669954")</f>
        <v>https://twitter.com/taneldanilo/status/1620898210364669954</v>
      </c>
      <c r="AC1528" s="78" t="s">
        <v>4368</v>
      </c>
      <c r="AD1528" s="78" t="s">
        <v>4613</v>
      </c>
      <c r="AE1528" t="b">
        <v>0</v>
      </c>
      <c r="AF1528">
        <v>1</v>
      </c>
      <c r="AG1528" s="78" t="s">
        <v>4795</v>
      </c>
      <c r="AH1528" t="b">
        <v>0</v>
      </c>
      <c r="AI1528" t="s">
        <v>4829</v>
      </c>
      <c r="AK1528" s="78" t="s">
        <v>4640</v>
      </c>
      <c r="AL1528" t="b">
        <v>0</v>
      </c>
      <c r="AM1528">
        <v>0</v>
      </c>
      <c r="AN1528" s="78" t="s">
        <v>4640</v>
      </c>
      <c r="AO1528" s="78" t="s">
        <v>4850</v>
      </c>
      <c r="AP1528" t="b">
        <v>0</v>
      </c>
      <c r="AQ1528" s="78" t="s">
        <v>4613</v>
      </c>
      <c r="AR1528" t="s">
        <v>179</v>
      </c>
      <c r="AS1528">
        <v>0</v>
      </c>
      <c r="AT1528">
        <v>0</v>
      </c>
    </row>
    <row r="1529" spans="1:46" x14ac:dyDescent="0.45">
      <c r="A1529" s="62" t="s">
        <v>1013</v>
      </c>
      <c r="B1529" s="62" t="s">
        <v>1493</v>
      </c>
      <c r="C1529" s="63"/>
      <c r="D1529" s="64"/>
      <c r="E1529" s="65"/>
      <c r="F1529" s="66"/>
      <c r="G1529" s="63"/>
      <c r="H1529" s="67"/>
      <c r="I1529" s="68"/>
      <c r="J1529" s="68"/>
      <c r="K1529" s="32"/>
      <c r="L1529" s="75"/>
      <c r="M1529" s="75"/>
      <c r="N1529" s="70"/>
      <c r="O1529" t="s">
        <v>1568</v>
      </c>
      <c r="P1529" s="76">
        <v>44959.352500000001</v>
      </c>
      <c r="Q1529" t="s">
        <v>2169</v>
      </c>
      <c r="V1529" s="77" t="str">
        <f>HYPERLINK("https://pbs.twimg.com/profile_images/1568801200270897155/Jjmkh1Cl_normal.jpg")</f>
        <v>https://pbs.twimg.com/profile_images/1568801200270897155/Jjmkh1Cl_normal.jpg</v>
      </c>
      <c r="W1529" s="76">
        <v>44959.352500000001</v>
      </c>
      <c r="X1529" s="80">
        <v>44959</v>
      </c>
      <c r="Y1529" s="78" t="s">
        <v>3306</v>
      </c>
      <c r="Z1529" s="77" t="str">
        <f>HYPERLINK("https://twitter.com/guycaveofficial/status/1621062766227505159")</f>
        <v>https://twitter.com/guycaveofficial/status/1621062766227505159</v>
      </c>
      <c r="AC1529" s="78" t="s">
        <v>4371</v>
      </c>
      <c r="AD1529" s="78" t="s">
        <v>4615</v>
      </c>
      <c r="AE1529" t="b">
        <v>0</v>
      </c>
      <c r="AF1529">
        <v>1</v>
      </c>
      <c r="AG1529" s="78" t="s">
        <v>4797</v>
      </c>
      <c r="AH1529" t="b">
        <v>0</v>
      </c>
      <c r="AI1529" t="s">
        <v>4829</v>
      </c>
      <c r="AK1529" s="78" t="s">
        <v>4640</v>
      </c>
      <c r="AL1529" t="b">
        <v>0</v>
      </c>
      <c r="AM1529">
        <v>0</v>
      </c>
      <c r="AN1529" s="78" t="s">
        <v>4640</v>
      </c>
      <c r="AO1529" s="78" t="s">
        <v>4850</v>
      </c>
      <c r="AP1529" t="b">
        <v>0</v>
      </c>
      <c r="AQ1529" s="78" t="s">
        <v>4615</v>
      </c>
      <c r="AR1529" t="s">
        <v>179</v>
      </c>
      <c r="AS1529">
        <v>0</v>
      </c>
      <c r="AT1529">
        <v>0</v>
      </c>
    </row>
    <row r="1530" spans="1:46" x14ac:dyDescent="0.45">
      <c r="A1530" s="62" t="s">
        <v>1013</v>
      </c>
      <c r="B1530" s="62" t="s">
        <v>1216</v>
      </c>
      <c r="C1530" s="63"/>
      <c r="D1530" s="64"/>
      <c r="E1530" s="65"/>
      <c r="F1530" s="66"/>
      <c r="G1530" s="63"/>
      <c r="H1530" s="67"/>
      <c r="I1530" s="68"/>
      <c r="J1530" s="68"/>
      <c r="K1530" s="32"/>
      <c r="L1530" s="75"/>
      <c r="M1530" s="75"/>
      <c r="N1530" s="70"/>
      <c r="O1530" t="s">
        <v>1568</v>
      </c>
      <c r="P1530" s="76">
        <v>44959.352500000001</v>
      </c>
      <c r="Q1530" t="s">
        <v>2169</v>
      </c>
      <c r="V1530" s="77" t="str">
        <f>HYPERLINK("https://pbs.twimg.com/profile_images/1568801200270897155/Jjmkh1Cl_normal.jpg")</f>
        <v>https://pbs.twimg.com/profile_images/1568801200270897155/Jjmkh1Cl_normal.jpg</v>
      </c>
      <c r="W1530" s="76">
        <v>44959.352500000001</v>
      </c>
      <c r="X1530" s="80">
        <v>44959</v>
      </c>
      <c r="Y1530" s="78" t="s">
        <v>3306</v>
      </c>
      <c r="Z1530" s="77" t="str">
        <f>HYPERLINK("https://twitter.com/guycaveofficial/status/1621062766227505159")</f>
        <v>https://twitter.com/guycaveofficial/status/1621062766227505159</v>
      </c>
      <c r="AC1530" s="78" t="s">
        <v>4371</v>
      </c>
      <c r="AD1530" s="78" t="s">
        <v>4615</v>
      </c>
      <c r="AE1530" t="b">
        <v>0</v>
      </c>
      <c r="AF1530">
        <v>1</v>
      </c>
      <c r="AG1530" s="78" t="s">
        <v>4797</v>
      </c>
      <c r="AH1530" t="b">
        <v>0</v>
      </c>
      <c r="AI1530" t="s">
        <v>4829</v>
      </c>
      <c r="AK1530" s="78" t="s">
        <v>4640</v>
      </c>
      <c r="AL1530" t="b">
        <v>0</v>
      </c>
      <c r="AM1530">
        <v>0</v>
      </c>
      <c r="AN1530" s="78" t="s">
        <v>4640</v>
      </c>
      <c r="AO1530" s="78" t="s">
        <v>4850</v>
      </c>
      <c r="AP1530" t="b">
        <v>0</v>
      </c>
      <c r="AQ1530" s="78" t="s">
        <v>4615</v>
      </c>
      <c r="AR1530" t="s">
        <v>179</v>
      </c>
      <c r="AS1530">
        <v>0</v>
      </c>
      <c r="AT1530">
        <v>0</v>
      </c>
    </row>
    <row r="1531" spans="1:46" x14ac:dyDescent="0.45">
      <c r="A1531" s="62" t="s">
        <v>1013</v>
      </c>
      <c r="B1531" s="62" t="s">
        <v>1494</v>
      </c>
      <c r="C1531" s="63"/>
      <c r="D1531" s="64"/>
      <c r="E1531" s="65"/>
      <c r="F1531" s="66"/>
      <c r="G1531" s="63"/>
      <c r="H1531" s="67"/>
      <c r="I1531" s="68"/>
      <c r="J1531" s="68"/>
      <c r="K1531" s="32"/>
      <c r="L1531" s="75"/>
      <c r="M1531" s="75"/>
      <c r="N1531" s="70"/>
      <c r="O1531" t="s">
        <v>1568</v>
      </c>
      <c r="P1531" s="76">
        <v>44959.352500000001</v>
      </c>
      <c r="Q1531" t="s">
        <v>2169</v>
      </c>
      <c r="V1531" s="77" t="str">
        <f>HYPERLINK("https://pbs.twimg.com/profile_images/1568801200270897155/Jjmkh1Cl_normal.jpg")</f>
        <v>https://pbs.twimg.com/profile_images/1568801200270897155/Jjmkh1Cl_normal.jpg</v>
      </c>
      <c r="W1531" s="76">
        <v>44959.352500000001</v>
      </c>
      <c r="X1531" s="80">
        <v>44959</v>
      </c>
      <c r="Y1531" s="78" t="s">
        <v>3306</v>
      </c>
      <c r="Z1531" s="77" t="str">
        <f>HYPERLINK("https://twitter.com/guycaveofficial/status/1621062766227505159")</f>
        <v>https://twitter.com/guycaveofficial/status/1621062766227505159</v>
      </c>
      <c r="AC1531" s="78" t="s">
        <v>4371</v>
      </c>
      <c r="AD1531" s="78" t="s">
        <v>4615</v>
      </c>
      <c r="AE1531" t="b">
        <v>0</v>
      </c>
      <c r="AF1531">
        <v>1</v>
      </c>
      <c r="AG1531" s="78" t="s">
        <v>4797</v>
      </c>
      <c r="AH1531" t="b">
        <v>0</v>
      </c>
      <c r="AI1531" t="s">
        <v>4829</v>
      </c>
      <c r="AK1531" s="78" t="s">
        <v>4640</v>
      </c>
      <c r="AL1531" t="b">
        <v>0</v>
      </c>
      <c r="AM1531">
        <v>0</v>
      </c>
      <c r="AN1531" s="78" t="s">
        <v>4640</v>
      </c>
      <c r="AO1531" s="78" t="s">
        <v>4850</v>
      </c>
      <c r="AP1531" t="b">
        <v>0</v>
      </c>
      <c r="AQ1531" s="78" t="s">
        <v>4615</v>
      </c>
      <c r="AR1531" t="s">
        <v>179</v>
      </c>
      <c r="AS1531">
        <v>0</v>
      </c>
      <c r="AT1531">
        <v>0</v>
      </c>
    </row>
    <row r="1532" spans="1:46" x14ac:dyDescent="0.45">
      <c r="A1532" s="62" t="s">
        <v>1013</v>
      </c>
      <c r="B1532" s="62" t="s">
        <v>1495</v>
      </c>
      <c r="C1532" s="63"/>
      <c r="D1532" s="64"/>
      <c r="E1532" s="65"/>
      <c r="F1532" s="66"/>
      <c r="G1532" s="63"/>
      <c r="H1532" s="67"/>
      <c r="I1532" s="68"/>
      <c r="J1532" s="68"/>
      <c r="K1532" s="32"/>
      <c r="L1532" s="75"/>
      <c r="M1532" s="75"/>
      <c r="N1532" s="70"/>
      <c r="O1532" t="s">
        <v>1567</v>
      </c>
      <c r="P1532" s="76">
        <v>44959.352500000001</v>
      </c>
      <c r="Q1532" t="s">
        <v>2169</v>
      </c>
      <c r="V1532" s="77" t="str">
        <f>HYPERLINK("https://pbs.twimg.com/profile_images/1568801200270897155/Jjmkh1Cl_normal.jpg")</f>
        <v>https://pbs.twimg.com/profile_images/1568801200270897155/Jjmkh1Cl_normal.jpg</v>
      </c>
      <c r="W1532" s="76">
        <v>44959.352500000001</v>
      </c>
      <c r="X1532" s="80">
        <v>44959</v>
      </c>
      <c r="Y1532" s="78" t="s">
        <v>3306</v>
      </c>
      <c r="Z1532" s="77" t="str">
        <f>HYPERLINK("https://twitter.com/guycaveofficial/status/1621062766227505159")</f>
        <v>https://twitter.com/guycaveofficial/status/1621062766227505159</v>
      </c>
      <c r="AC1532" s="78" t="s">
        <v>4371</v>
      </c>
      <c r="AD1532" s="78" t="s">
        <v>4615</v>
      </c>
      <c r="AE1532" t="b">
        <v>0</v>
      </c>
      <c r="AF1532">
        <v>1</v>
      </c>
      <c r="AG1532" s="78" t="s">
        <v>4797</v>
      </c>
      <c r="AH1532" t="b">
        <v>0</v>
      </c>
      <c r="AI1532" t="s">
        <v>4829</v>
      </c>
      <c r="AK1532" s="78" t="s">
        <v>4640</v>
      </c>
      <c r="AL1532" t="b">
        <v>0</v>
      </c>
      <c r="AM1532">
        <v>0</v>
      </c>
      <c r="AN1532" s="78" t="s">
        <v>4640</v>
      </c>
      <c r="AO1532" s="78" t="s">
        <v>4850</v>
      </c>
      <c r="AP1532" t="b">
        <v>0</v>
      </c>
      <c r="AQ1532" s="78" t="s">
        <v>4615</v>
      </c>
      <c r="AR1532" t="s">
        <v>179</v>
      </c>
      <c r="AS1532">
        <v>0</v>
      </c>
      <c r="AT1532">
        <v>0</v>
      </c>
    </row>
    <row r="1533" spans="1:46" x14ac:dyDescent="0.45">
      <c r="A1533" s="62" t="s">
        <v>1013</v>
      </c>
      <c r="B1533" s="62" t="s">
        <v>242</v>
      </c>
      <c r="C1533" s="63"/>
      <c r="D1533" s="64"/>
      <c r="E1533" s="65"/>
      <c r="F1533" s="66"/>
      <c r="G1533" s="63"/>
      <c r="H1533" s="67"/>
      <c r="I1533" s="68"/>
      <c r="J1533" s="68"/>
      <c r="K1533" s="32"/>
      <c r="L1533" s="75"/>
      <c r="M1533" s="75"/>
      <c r="N1533" s="70"/>
      <c r="O1533" t="s">
        <v>1568</v>
      </c>
      <c r="P1533" s="76">
        <v>44959.352500000001</v>
      </c>
      <c r="Q1533" t="s">
        <v>2169</v>
      </c>
      <c r="V1533" s="77" t="str">
        <f>HYPERLINK("https://pbs.twimg.com/profile_images/1568801200270897155/Jjmkh1Cl_normal.jpg")</f>
        <v>https://pbs.twimg.com/profile_images/1568801200270897155/Jjmkh1Cl_normal.jpg</v>
      </c>
      <c r="W1533" s="76">
        <v>44959.352500000001</v>
      </c>
      <c r="X1533" s="80">
        <v>44959</v>
      </c>
      <c r="Y1533" s="78" t="s">
        <v>3306</v>
      </c>
      <c r="Z1533" s="77" t="str">
        <f>HYPERLINK("https://twitter.com/guycaveofficial/status/1621062766227505159")</f>
        <v>https://twitter.com/guycaveofficial/status/1621062766227505159</v>
      </c>
      <c r="AC1533" s="78" t="s">
        <v>4371</v>
      </c>
      <c r="AD1533" s="78" t="s">
        <v>4615</v>
      </c>
      <c r="AE1533" t="b">
        <v>0</v>
      </c>
      <c r="AF1533">
        <v>1</v>
      </c>
      <c r="AG1533" s="78" t="s">
        <v>4797</v>
      </c>
      <c r="AH1533" t="b">
        <v>0</v>
      </c>
      <c r="AI1533" t="s">
        <v>4829</v>
      </c>
      <c r="AK1533" s="78" t="s">
        <v>4640</v>
      </c>
      <c r="AL1533" t="b">
        <v>0</v>
      </c>
      <c r="AM1533">
        <v>0</v>
      </c>
      <c r="AN1533" s="78" t="s">
        <v>4640</v>
      </c>
      <c r="AO1533" s="78" t="s">
        <v>4850</v>
      </c>
      <c r="AP1533" t="b">
        <v>0</v>
      </c>
      <c r="AQ1533" s="78" t="s">
        <v>4615</v>
      </c>
      <c r="AR1533" t="s">
        <v>179</v>
      </c>
      <c r="AS1533">
        <v>0</v>
      </c>
      <c r="AT1533">
        <v>0</v>
      </c>
    </row>
    <row r="1534" spans="1:46" x14ac:dyDescent="0.45">
      <c r="A1534" s="62" t="s">
        <v>1014</v>
      </c>
      <c r="B1534" s="62" t="s">
        <v>1353</v>
      </c>
      <c r="C1534" s="63"/>
      <c r="D1534" s="64"/>
      <c r="E1534" s="65"/>
      <c r="F1534" s="66"/>
      <c r="G1534" s="63"/>
      <c r="H1534" s="67"/>
      <c r="I1534" s="68"/>
      <c r="J1534" s="68"/>
      <c r="K1534" s="32"/>
      <c r="L1534" s="75"/>
      <c r="M1534" s="75"/>
      <c r="N1534" s="70"/>
      <c r="O1534" t="s">
        <v>1567</v>
      </c>
      <c r="P1534" s="76">
        <v>44959.352719907409</v>
      </c>
      <c r="Q1534" t="s">
        <v>2170</v>
      </c>
      <c r="V1534" s="77" t="str">
        <f>HYPERLINK("https://pbs.twimg.com/profile_images/124459682/lady_normal.jpg")</f>
        <v>https://pbs.twimg.com/profile_images/124459682/lady_normal.jpg</v>
      </c>
      <c r="W1534" s="76">
        <v>44959.352719907409</v>
      </c>
      <c r="X1534" s="80">
        <v>44959</v>
      </c>
      <c r="Y1534" s="78" t="s">
        <v>3307</v>
      </c>
      <c r="Z1534" s="77" t="str">
        <f>HYPERLINK("https://twitter.com/alicesmonkey/status/1621062849543155713")</f>
        <v>https://twitter.com/alicesmonkey/status/1621062849543155713</v>
      </c>
      <c r="AC1534" s="78" t="s">
        <v>4372</v>
      </c>
      <c r="AD1534" s="78" t="s">
        <v>4566</v>
      </c>
      <c r="AE1534" t="b">
        <v>0</v>
      </c>
      <c r="AF1534">
        <v>1</v>
      </c>
      <c r="AG1534" s="78" t="s">
        <v>4735</v>
      </c>
      <c r="AH1534" t="b">
        <v>0</v>
      </c>
      <c r="AI1534" t="s">
        <v>4829</v>
      </c>
      <c r="AK1534" s="78" t="s">
        <v>4640</v>
      </c>
      <c r="AL1534" t="b">
        <v>0</v>
      </c>
      <c r="AM1534">
        <v>0</v>
      </c>
      <c r="AN1534" s="78" t="s">
        <v>4640</v>
      </c>
      <c r="AO1534" s="78" t="s">
        <v>4851</v>
      </c>
      <c r="AP1534" t="b">
        <v>0</v>
      </c>
      <c r="AQ1534" s="78" t="s">
        <v>4566</v>
      </c>
      <c r="AR1534" t="s">
        <v>179</v>
      </c>
      <c r="AS1534">
        <v>0</v>
      </c>
      <c r="AT1534">
        <v>0</v>
      </c>
    </row>
    <row r="1535" spans="1:46" x14ac:dyDescent="0.45">
      <c r="A1535" s="62" t="s">
        <v>1014</v>
      </c>
      <c r="B1535" s="62" t="s">
        <v>242</v>
      </c>
      <c r="C1535" s="63"/>
      <c r="D1535" s="64"/>
      <c r="E1535" s="65"/>
      <c r="F1535" s="66"/>
      <c r="G1535" s="63"/>
      <c r="H1535" s="67"/>
      <c r="I1535" s="68"/>
      <c r="J1535" s="68"/>
      <c r="K1535" s="32"/>
      <c r="L1535" s="75"/>
      <c r="M1535" s="75"/>
      <c r="N1535" s="70"/>
      <c r="O1535" t="s">
        <v>1568</v>
      </c>
      <c r="P1535" s="76">
        <v>44959.352719907409</v>
      </c>
      <c r="Q1535" t="s">
        <v>2170</v>
      </c>
      <c r="V1535" s="77" t="str">
        <f>HYPERLINK("https://pbs.twimg.com/profile_images/124459682/lady_normal.jpg")</f>
        <v>https://pbs.twimg.com/profile_images/124459682/lady_normal.jpg</v>
      </c>
      <c r="W1535" s="76">
        <v>44959.352719907409</v>
      </c>
      <c r="X1535" s="80">
        <v>44959</v>
      </c>
      <c r="Y1535" s="78" t="s">
        <v>3307</v>
      </c>
      <c r="Z1535" s="77" t="str">
        <f>HYPERLINK("https://twitter.com/alicesmonkey/status/1621062849543155713")</f>
        <v>https://twitter.com/alicesmonkey/status/1621062849543155713</v>
      </c>
      <c r="AC1535" s="78" t="s">
        <v>4372</v>
      </c>
      <c r="AD1535" s="78" t="s">
        <v>4566</v>
      </c>
      <c r="AE1535" t="b">
        <v>0</v>
      </c>
      <c r="AF1535">
        <v>1</v>
      </c>
      <c r="AG1535" s="78" t="s">
        <v>4735</v>
      </c>
      <c r="AH1535" t="b">
        <v>0</v>
      </c>
      <c r="AI1535" t="s">
        <v>4829</v>
      </c>
      <c r="AK1535" s="78" t="s">
        <v>4640</v>
      </c>
      <c r="AL1535" t="b">
        <v>0</v>
      </c>
      <c r="AM1535">
        <v>0</v>
      </c>
      <c r="AN1535" s="78" t="s">
        <v>4640</v>
      </c>
      <c r="AO1535" s="78" t="s">
        <v>4851</v>
      </c>
      <c r="AP1535" t="b">
        <v>0</v>
      </c>
      <c r="AQ1535" s="78" t="s">
        <v>4566</v>
      </c>
      <c r="AR1535" t="s">
        <v>179</v>
      </c>
      <c r="AS1535">
        <v>0</v>
      </c>
      <c r="AT1535">
        <v>0</v>
      </c>
    </row>
    <row r="1536" spans="1:46" x14ac:dyDescent="0.45">
      <c r="A1536" s="62" t="s">
        <v>1037</v>
      </c>
      <c r="B1536" s="62" t="s">
        <v>1108</v>
      </c>
      <c r="C1536" s="63"/>
      <c r="D1536" s="64"/>
      <c r="E1536" s="65"/>
      <c r="F1536" s="66"/>
      <c r="G1536" s="63"/>
      <c r="H1536" s="67"/>
      <c r="I1536" s="68"/>
      <c r="J1536" s="68"/>
      <c r="K1536" s="32"/>
      <c r="L1536" s="75"/>
      <c r="M1536" s="75"/>
      <c r="N1536" s="70"/>
      <c r="O1536" t="s">
        <v>1568</v>
      </c>
      <c r="P1536" s="76">
        <v>44959.441157407404</v>
      </c>
      <c r="Q1536" t="s">
        <v>2192</v>
      </c>
      <c r="V1536" s="77" t="str">
        <f>HYPERLINK("https://pbs.twimg.com/profile_images/1392683727650660352/yYyJW3Ru_normal.jpg")</f>
        <v>https://pbs.twimg.com/profile_images/1392683727650660352/yYyJW3Ru_normal.jpg</v>
      </c>
      <c r="W1536" s="76">
        <v>44959.441157407404</v>
      </c>
      <c r="X1536" s="80">
        <v>44959</v>
      </c>
      <c r="Y1536" s="78" t="s">
        <v>3343</v>
      </c>
      <c r="Z1536" s="77" t="str">
        <f>HYPERLINK("https://twitter.com/sunny33183498/status/1621094895095283718")</f>
        <v>https://twitter.com/sunny33183498/status/1621094895095283718</v>
      </c>
      <c r="AC1536" s="78" t="s">
        <v>4408</v>
      </c>
      <c r="AD1536" s="78" t="s">
        <v>4620</v>
      </c>
      <c r="AE1536" t="b">
        <v>0</v>
      </c>
      <c r="AF1536">
        <v>1</v>
      </c>
      <c r="AG1536" s="78" t="s">
        <v>4804</v>
      </c>
      <c r="AH1536" t="b">
        <v>0</v>
      </c>
      <c r="AI1536" t="s">
        <v>4829</v>
      </c>
      <c r="AK1536" s="78" t="s">
        <v>4640</v>
      </c>
      <c r="AL1536" t="b">
        <v>0</v>
      </c>
      <c r="AM1536">
        <v>1</v>
      </c>
      <c r="AN1536" s="78" t="s">
        <v>4640</v>
      </c>
      <c r="AO1536" s="78" t="s">
        <v>4850</v>
      </c>
      <c r="AP1536" t="b">
        <v>0</v>
      </c>
      <c r="AQ1536" s="78" t="s">
        <v>4620</v>
      </c>
      <c r="AR1536" t="s">
        <v>179</v>
      </c>
      <c r="AS1536">
        <v>0</v>
      </c>
      <c r="AT1536">
        <v>0</v>
      </c>
    </row>
    <row r="1537" spans="1:54" x14ac:dyDescent="0.45">
      <c r="A1537" s="62" t="s">
        <v>1037</v>
      </c>
      <c r="B1537" s="62" t="s">
        <v>1516</v>
      </c>
      <c r="C1537" s="63"/>
      <c r="D1537" s="64"/>
      <c r="E1537" s="65"/>
      <c r="F1537" s="66"/>
      <c r="G1537" s="63"/>
      <c r="H1537" s="67"/>
      <c r="I1537" s="68"/>
      <c r="J1537" s="68"/>
      <c r="K1537" s="32"/>
      <c r="L1537" s="75"/>
      <c r="M1537" s="75"/>
      <c r="N1537" s="70"/>
      <c r="O1537" t="s">
        <v>1567</v>
      </c>
      <c r="P1537" s="76">
        <v>44959.441157407404</v>
      </c>
      <c r="Q1537" t="s">
        <v>2192</v>
      </c>
      <c r="V1537" s="77" t="str">
        <f>HYPERLINK("https://pbs.twimg.com/profile_images/1392683727650660352/yYyJW3Ru_normal.jpg")</f>
        <v>https://pbs.twimg.com/profile_images/1392683727650660352/yYyJW3Ru_normal.jpg</v>
      </c>
      <c r="W1537" s="76">
        <v>44959.441157407404</v>
      </c>
      <c r="X1537" s="80">
        <v>44959</v>
      </c>
      <c r="Y1537" s="78" t="s">
        <v>3343</v>
      </c>
      <c r="Z1537" s="77" t="str">
        <f>HYPERLINK("https://twitter.com/sunny33183498/status/1621094895095283718")</f>
        <v>https://twitter.com/sunny33183498/status/1621094895095283718</v>
      </c>
      <c r="AC1537" s="78" t="s">
        <v>4408</v>
      </c>
      <c r="AD1537" s="78" t="s">
        <v>4620</v>
      </c>
      <c r="AE1537" t="b">
        <v>0</v>
      </c>
      <c r="AF1537">
        <v>1</v>
      </c>
      <c r="AG1537" s="78" t="s">
        <v>4804</v>
      </c>
      <c r="AH1537" t="b">
        <v>0</v>
      </c>
      <c r="AI1537" t="s">
        <v>4829</v>
      </c>
      <c r="AK1537" s="78" t="s">
        <v>4640</v>
      </c>
      <c r="AL1537" t="b">
        <v>0</v>
      </c>
      <c r="AM1537">
        <v>1</v>
      </c>
      <c r="AN1537" s="78" t="s">
        <v>4640</v>
      </c>
      <c r="AO1537" s="78" t="s">
        <v>4850</v>
      </c>
      <c r="AP1537" t="b">
        <v>0</v>
      </c>
      <c r="AQ1537" s="78" t="s">
        <v>4620</v>
      </c>
      <c r="AR1537" t="s">
        <v>179</v>
      </c>
      <c r="AS1537">
        <v>0</v>
      </c>
      <c r="AT1537">
        <v>0</v>
      </c>
    </row>
    <row r="1538" spans="1:54" x14ac:dyDescent="0.45">
      <c r="A1538" s="62" t="s">
        <v>1037</v>
      </c>
      <c r="B1538" s="62" t="s">
        <v>242</v>
      </c>
      <c r="C1538" s="63"/>
      <c r="D1538" s="64"/>
      <c r="E1538" s="65"/>
      <c r="F1538" s="66"/>
      <c r="G1538" s="63"/>
      <c r="H1538" s="67"/>
      <c r="I1538" s="68"/>
      <c r="J1538" s="68"/>
      <c r="K1538" s="32"/>
      <c r="L1538" s="75"/>
      <c r="M1538" s="75"/>
      <c r="N1538" s="70"/>
      <c r="O1538" t="s">
        <v>1568</v>
      </c>
      <c r="P1538" s="76">
        <v>44959.441157407404</v>
      </c>
      <c r="Q1538" t="s">
        <v>2192</v>
      </c>
      <c r="V1538" s="77" t="str">
        <f>HYPERLINK("https://pbs.twimg.com/profile_images/1392683727650660352/yYyJW3Ru_normal.jpg")</f>
        <v>https://pbs.twimg.com/profile_images/1392683727650660352/yYyJW3Ru_normal.jpg</v>
      </c>
      <c r="W1538" s="76">
        <v>44959.441157407404</v>
      </c>
      <c r="X1538" s="80">
        <v>44959</v>
      </c>
      <c r="Y1538" s="78" t="s">
        <v>3343</v>
      </c>
      <c r="Z1538" s="77" t="str">
        <f>HYPERLINK("https://twitter.com/sunny33183498/status/1621094895095283718")</f>
        <v>https://twitter.com/sunny33183498/status/1621094895095283718</v>
      </c>
      <c r="AC1538" s="78" t="s">
        <v>4408</v>
      </c>
      <c r="AD1538" s="78" t="s">
        <v>4620</v>
      </c>
      <c r="AE1538" t="b">
        <v>0</v>
      </c>
      <c r="AF1538">
        <v>1</v>
      </c>
      <c r="AG1538" s="78" t="s">
        <v>4804</v>
      </c>
      <c r="AH1538" t="b">
        <v>0</v>
      </c>
      <c r="AI1538" t="s">
        <v>4829</v>
      </c>
      <c r="AK1538" s="78" t="s">
        <v>4640</v>
      </c>
      <c r="AL1538" t="b">
        <v>0</v>
      </c>
      <c r="AM1538">
        <v>1</v>
      </c>
      <c r="AN1538" s="78" t="s">
        <v>4640</v>
      </c>
      <c r="AO1538" s="78" t="s">
        <v>4850</v>
      </c>
      <c r="AP1538" t="b">
        <v>0</v>
      </c>
      <c r="AQ1538" s="78" t="s">
        <v>4620</v>
      </c>
      <c r="AR1538" t="s">
        <v>179</v>
      </c>
      <c r="AS1538">
        <v>0</v>
      </c>
      <c r="AT1538">
        <v>0</v>
      </c>
    </row>
    <row r="1539" spans="1:54" x14ac:dyDescent="0.45">
      <c r="A1539" s="62" t="s">
        <v>1037</v>
      </c>
      <c r="B1539" s="62" t="s">
        <v>1110</v>
      </c>
      <c r="C1539" s="63"/>
      <c r="D1539" s="64"/>
      <c r="E1539" s="65"/>
      <c r="F1539" s="66"/>
      <c r="G1539" s="63"/>
      <c r="H1539" s="67"/>
      <c r="I1539" s="68"/>
      <c r="J1539" s="68"/>
      <c r="K1539" s="32"/>
      <c r="L1539" s="75"/>
      <c r="M1539" s="75"/>
      <c r="N1539" s="70"/>
      <c r="O1539" t="s">
        <v>1568</v>
      </c>
      <c r="P1539" s="76">
        <v>44959.441157407404</v>
      </c>
      <c r="Q1539" t="s">
        <v>2192</v>
      </c>
      <c r="V1539" s="77" t="str">
        <f>HYPERLINK("https://pbs.twimg.com/profile_images/1392683727650660352/yYyJW3Ru_normal.jpg")</f>
        <v>https://pbs.twimg.com/profile_images/1392683727650660352/yYyJW3Ru_normal.jpg</v>
      </c>
      <c r="W1539" s="76">
        <v>44959.441157407404</v>
      </c>
      <c r="X1539" s="80">
        <v>44959</v>
      </c>
      <c r="Y1539" s="78" t="s">
        <v>3343</v>
      </c>
      <c r="Z1539" s="77" t="str">
        <f>HYPERLINK("https://twitter.com/sunny33183498/status/1621094895095283718")</f>
        <v>https://twitter.com/sunny33183498/status/1621094895095283718</v>
      </c>
      <c r="AC1539" s="78" t="s">
        <v>4408</v>
      </c>
      <c r="AD1539" s="78" t="s">
        <v>4620</v>
      </c>
      <c r="AE1539" t="b">
        <v>0</v>
      </c>
      <c r="AF1539">
        <v>1</v>
      </c>
      <c r="AG1539" s="78" t="s">
        <v>4804</v>
      </c>
      <c r="AH1539" t="b">
        <v>0</v>
      </c>
      <c r="AI1539" t="s">
        <v>4829</v>
      </c>
      <c r="AK1539" s="78" t="s">
        <v>4640</v>
      </c>
      <c r="AL1539" t="b">
        <v>0</v>
      </c>
      <c r="AM1539">
        <v>1</v>
      </c>
      <c r="AN1539" s="78" t="s">
        <v>4640</v>
      </c>
      <c r="AO1539" s="78" t="s">
        <v>4850</v>
      </c>
      <c r="AP1539" t="b">
        <v>0</v>
      </c>
      <c r="AQ1539" s="78" t="s">
        <v>4620</v>
      </c>
      <c r="AR1539" t="s">
        <v>179</v>
      </c>
      <c r="AS1539">
        <v>0</v>
      </c>
      <c r="AT1539">
        <v>0</v>
      </c>
    </row>
    <row r="1540" spans="1:54" x14ac:dyDescent="0.45">
      <c r="A1540" s="62" t="s">
        <v>1037</v>
      </c>
      <c r="B1540" s="62" t="s">
        <v>1109</v>
      </c>
      <c r="C1540" s="63"/>
      <c r="D1540" s="64"/>
      <c r="E1540" s="65"/>
      <c r="F1540" s="66"/>
      <c r="G1540" s="63"/>
      <c r="H1540" s="67"/>
      <c r="I1540" s="68"/>
      <c r="J1540" s="68"/>
      <c r="K1540" s="32"/>
      <c r="L1540" s="75"/>
      <c r="M1540" s="75"/>
      <c r="N1540" s="70"/>
      <c r="O1540" t="s">
        <v>1568</v>
      </c>
      <c r="P1540" s="76">
        <v>44959.441157407404</v>
      </c>
      <c r="Q1540" t="s">
        <v>2192</v>
      </c>
      <c r="V1540" s="77" t="str">
        <f>HYPERLINK("https://pbs.twimg.com/profile_images/1392683727650660352/yYyJW3Ru_normal.jpg")</f>
        <v>https://pbs.twimg.com/profile_images/1392683727650660352/yYyJW3Ru_normal.jpg</v>
      </c>
      <c r="W1540" s="76">
        <v>44959.441157407404</v>
      </c>
      <c r="X1540" s="80">
        <v>44959</v>
      </c>
      <c r="Y1540" s="78" t="s">
        <v>3343</v>
      </c>
      <c r="Z1540" s="77" t="str">
        <f>HYPERLINK("https://twitter.com/sunny33183498/status/1621094895095283718")</f>
        <v>https://twitter.com/sunny33183498/status/1621094895095283718</v>
      </c>
      <c r="AC1540" s="78" t="s">
        <v>4408</v>
      </c>
      <c r="AD1540" s="78" t="s">
        <v>4620</v>
      </c>
      <c r="AE1540" t="b">
        <v>0</v>
      </c>
      <c r="AF1540">
        <v>1</v>
      </c>
      <c r="AG1540" s="78" t="s">
        <v>4804</v>
      </c>
      <c r="AH1540" t="b">
        <v>0</v>
      </c>
      <c r="AI1540" t="s">
        <v>4829</v>
      </c>
      <c r="AK1540" s="78" t="s">
        <v>4640</v>
      </c>
      <c r="AL1540" t="b">
        <v>0</v>
      </c>
      <c r="AM1540">
        <v>1</v>
      </c>
      <c r="AN1540" s="78" t="s">
        <v>4640</v>
      </c>
      <c r="AO1540" s="78" t="s">
        <v>4850</v>
      </c>
      <c r="AP1540" t="b">
        <v>0</v>
      </c>
      <c r="AQ1540" s="78" t="s">
        <v>4620</v>
      </c>
      <c r="AR1540" t="s">
        <v>179</v>
      </c>
      <c r="AS1540">
        <v>0</v>
      </c>
      <c r="AT1540">
        <v>0</v>
      </c>
    </row>
    <row r="1541" spans="1:54" x14ac:dyDescent="0.45">
      <c r="A1541" s="62" t="s">
        <v>1041</v>
      </c>
      <c r="B1541" s="62" t="s">
        <v>1267</v>
      </c>
      <c r="C1541" s="63"/>
      <c r="D1541" s="64"/>
      <c r="E1541" s="65"/>
      <c r="F1541" s="66"/>
      <c r="G1541" s="63"/>
      <c r="H1541" s="67"/>
      <c r="I1541" s="68"/>
      <c r="J1541" s="68"/>
      <c r="K1541" s="32"/>
      <c r="L1541" s="75"/>
      <c r="M1541" s="75"/>
      <c r="N1541" s="70"/>
      <c r="O1541" t="s">
        <v>1568</v>
      </c>
      <c r="P1541" s="76">
        <v>44959.453865740739</v>
      </c>
      <c r="Q1541" t="s">
        <v>2197</v>
      </c>
      <c r="U1541" s="77" t="str">
        <f>HYPERLINK("https://pbs.twimg.com/media/Fn9NZqoWQAEt7x7.jpg")</f>
        <v>https://pbs.twimg.com/media/Fn9NZqoWQAEt7x7.jpg</v>
      </c>
      <c r="V1541" s="77" t="str">
        <f>HYPERLINK("https://pbs.twimg.com/media/Fn9NZqoWQAEt7x7.jpg")</f>
        <v>https://pbs.twimg.com/media/Fn9NZqoWQAEt7x7.jpg</v>
      </c>
      <c r="W1541" s="76">
        <v>44959.453865740739</v>
      </c>
      <c r="X1541" s="80">
        <v>44959</v>
      </c>
      <c r="Y1541" s="78" t="s">
        <v>3348</v>
      </c>
      <c r="Z1541" s="77" t="str">
        <f>HYPERLINK("https://twitter.com/kicinski_md1/status/1621099500944384005")</f>
        <v>https://twitter.com/kicinski_md1/status/1621099500944384005</v>
      </c>
      <c r="AC1541" s="78" t="s">
        <v>4413</v>
      </c>
      <c r="AE1541" t="b">
        <v>0</v>
      </c>
      <c r="AF1541">
        <v>1</v>
      </c>
      <c r="AG1541" s="78" t="s">
        <v>4807</v>
      </c>
      <c r="AH1541" t="b">
        <v>0</v>
      </c>
      <c r="AI1541" t="s">
        <v>4829</v>
      </c>
      <c r="AK1541" s="78" t="s">
        <v>4640</v>
      </c>
      <c r="AL1541" t="b">
        <v>0</v>
      </c>
      <c r="AM1541">
        <v>1</v>
      </c>
      <c r="AN1541" s="78" t="s">
        <v>4640</v>
      </c>
      <c r="AO1541" s="78" t="s">
        <v>4851</v>
      </c>
      <c r="AP1541" t="b">
        <v>0</v>
      </c>
      <c r="AQ1541" s="78" t="s">
        <v>4413</v>
      </c>
      <c r="AR1541" t="s">
        <v>179</v>
      </c>
      <c r="AS1541">
        <v>0</v>
      </c>
      <c r="AT1541">
        <v>0</v>
      </c>
    </row>
    <row r="1542" spans="1:54" x14ac:dyDescent="0.45">
      <c r="A1542" s="62" t="s">
        <v>1041</v>
      </c>
      <c r="B1542" s="62" t="s">
        <v>1519</v>
      </c>
      <c r="C1542" s="63"/>
      <c r="D1542" s="64"/>
      <c r="E1542" s="65"/>
      <c r="F1542" s="66"/>
      <c r="G1542" s="63"/>
      <c r="H1542" s="67"/>
      <c r="I1542" s="68"/>
      <c r="J1542" s="68"/>
      <c r="K1542" s="32"/>
      <c r="L1542" s="75"/>
      <c r="M1542" s="75"/>
      <c r="N1542" s="70"/>
      <c r="O1542" t="s">
        <v>1567</v>
      </c>
      <c r="P1542" s="76">
        <v>44959.453865740739</v>
      </c>
      <c r="Q1542" t="s">
        <v>2197</v>
      </c>
      <c r="U1542" s="77" t="str">
        <f>HYPERLINK("https://pbs.twimg.com/media/Fn9NZqoWQAEt7x7.jpg")</f>
        <v>https://pbs.twimg.com/media/Fn9NZqoWQAEt7x7.jpg</v>
      </c>
      <c r="V1542" s="77" t="str">
        <f>HYPERLINK("https://pbs.twimg.com/media/Fn9NZqoWQAEt7x7.jpg")</f>
        <v>https://pbs.twimg.com/media/Fn9NZqoWQAEt7x7.jpg</v>
      </c>
      <c r="W1542" s="76">
        <v>44959.453865740739</v>
      </c>
      <c r="X1542" s="80">
        <v>44959</v>
      </c>
      <c r="Y1542" s="78" t="s">
        <v>3348</v>
      </c>
      <c r="Z1542" s="77" t="str">
        <f>HYPERLINK("https://twitter.com/kicinski_md1/status/1621099500944384005")</f>
        <v>https://twitter.com/kicinski_md1/status/1621099500944384005</v>
      </c>
      <c r="AC1542" s="78" t="s">
        <v>4413</v>
      </c>
      <c r="AE1542" t="b">
        <v>0</v>
      </c>
      <c r="AF1542">
        <v>1</v>
      </c>
      <c r="AG1542" s="78" t="s">
        <v>4807</v>
      </c>
      <c r="AH1542" t="b">
        <v>0</v>
      </c>
      <c r="AI1542" t="s">
        <v>4829</v>
      </c>
      <c r="AK1542" s="78" t="s">
        <v>4640</v>
      </c>
      <c r="AL1542" t="b">
        <v>0</v>
      </c>
      <c r="AM1542">
        <v>1</v>
      </c>
      <c r="AN1542" s="78" t="s">
        <v>4640</v>
      </c>
      <c r="AO1542" s="78" t="s">
        <v>4851</v>
      </c>
      <c r="AP1542" t="b">
        <v>0</v>
      </c>
      <c r="AQ1542" s="78" t="s">
        <v>4413</v>
      </c>
      <c r="AR1542" t="s">
        <v>179</v>
      </c>
      <c r="AS1542">
        <v>0</v>
      </c>
      <c r="AT1542">
        <v>0</v>
      </c>
    </row>
    <row r="1543" spans="1:54" x14ac:dyDescent="0.45">
      <c r="A1543" s="62" t="s">
        <v>1041</v>
      </c>
      <c r="B1543" s="62" t="s">
        <v>242</v>
      </c>
      <c r="C1543" s="63"/>
      <c r="D1543" s="64"/>
      <c r="E1543" s="65"/>
      <c r="F1543" s="66"/>
      <c r="G1543" s="63"/>
      <c r="H1543" s="67"/>
      <c r="I1543" s="68"/>
      <c r="J1543" s="68"/>
      <c r="K1543" s="32"/>
      <c r="L1543" s="75"/>
      <c r="M1543" s="75"/>
      <c r="N1543" s="70"/>
      <c r="O1543" t="s">
        <v>1568</v>
      </c>
      <c r="P1543" s="76">
        <v>44959.453865740739</v>
      </c>
      <c r="Q1543" t="s">
        <v>2197</v>
      </c>
      <c r="U1543" s="77" t="str">
        <f>HYPERLINK("https://pbs.twimg.com/media/Fn9NZqoWQAEt7x7.jpg")</f>
        <v>https://pbs.twimg.com/media/Fn9NZqoWQAEt7x7.jpg</v>
      </c>
      <c r="V1543" s="77" t="str">
        <f>HYPERLINK("https://pbs.twimg.com/media/Fn9NZqoWQAEt7x7.jpg")</f>
        <v>https://pbs.twimg.com/media/Fn9NZqoWQAEt7x7.jpg</v>
      </c>
      <c r="W1543" s="76">
        <v>44959.453865740739</v>
      </c>
      <c r="X1543" s="80">
        <v>44959</v>
      </c>
      <c r="Y1543" s="78" t="s">
        <v>3348</v>
      </c>
      <c r="Z1543" s="77" t="str">
        <f>HYPERLINK("https://twitter.com/kicinski_md1/status/1621099500944384005")</f>
        <v>https://twitter.com/kicinski_md1/status/1621099500944384005</v>
      </c>
      <c r="AC1543" s="78" t="s">
        <v>4413</v>
      </c>
      <c r="AE1543" t="b">
        <v>0</v>
      </c>
      <c r="AF1543">
        <v>1</v>
      </c>
      <c r="AG1543" s="78" t="s">
        <v>4807</v>
      </c>
      <c r="AH1543" t="b">
        <v>0</v>
      </c>
      <c r="AI1543" t="s">
        <v>4829</v>
      </c>
      <c r="AK1543" s="78" t="s">
        <v>4640</v>
      </c>
      <c r="AL1543" t="b">
        <v>0</v>
      </c>
      <c r="AM1543">
        <v>1</v>
      </c>
      <c r="AN1543" s="78" t="s">
        <v>4640</v>
      </c>
      <c r="AO1543" s="78" t="s">
        <v>4851</v>
      </c>
      <c r="AP1543" t="b">
        <v>0</v>
      </c>
      <c r="AQ1543" s="78" t="s">
        <v>4413</v>
      </c>
      <c r="AR1543" t="s">
        <v>179</v>
      </c>
      <c r="AS1543">
        <v>0</v>
      </c>
      <c r="AT1543">
        <v>0</v>
      </c>
    </row>
    <row r="1544" spans="1:54" x14ac:dyDescent="0.45">
      <c r="A1544" s="62" t="s">
        <v>242</v>
      </c>
      <c r="B1544" s="62" t="s">
        <v>1050</v>
      </c>
      <c r="C1544" s="63"/>
      <c r="D1544" s="64"/>
      <c r="E1544" s="65"/>
      <c r="F1544" s="66"/>
      <c r="G1544" s="63"/>
      <c r="H1544" s="67"/>
      <c r="I1544" s="68"/>
      <c r="J1544" s="68"/>
      <c r="K1544" s="32"/>
      <c r="L1544" s="75"/>
      <c r="M1544" s="75"/>
      <c r="N1544" s="70"/>
      <c r="O1544" t="s">
        <v>1567</v>
      </c>
      <c r="P1544" s="76">
        <v>44959.472418981481</v>
      </c>
      <c r="Q1544" t="s">
        <v>2202</v>
      </c>
      <c r="V1544" s="77" t="str">
        <f>HYPERLINK("https://pbs.twimg.com/profile_images/1614031605676253184/n4E7yeWV_normal.jpg")</f>
        <v>https://pbs.twimg.com/profile_images/1614031605676253184/n4E7yeWV_normal.jpg</v>
      </c>
      <c r="W1544" s="76">
        <v>44959.472418981481</v>
      </c>
      <c r="X1544" s="80">
        <v>44959</v>
      </c>
      <c r="Y1544" s="78" t="s">
        <v>3360</v>
      </c>
      <c r="Z1544" s="77" t="str">
        <f>HYPERLINK("https://twitter.com/walmart/status/1621106226657378305")</f>
        <v>https://twitter.com/walmart/status/1621106226657378305</v>
      </c>
      <c r="AC1544" s="78" t="s">
        <v>4425</v>
      </c>
      <c r="AD1544" s="78" t="s">
        <v>4426</v>
      </c>
      <c r="AE1544" t="b">
        <v>0</v>
      </c>
      <c r="AF1544">
        <v>1</v>
      </c>
      <c r="AG1544" s="78" t="s">
        <v>4810</v>
      </c>
      <c r="AH1544" t="b">
        <v>0</v>
      </c>
      <c r="AI1544" t="s">
        <v>4829</v>
      </c>
      <c r="AK1544" s="78" t="s">
        <v>4640</v>
      </c>
      <c r="AL1544" t="b">
        <v>0</v>
      </c>
      <c r="AM1544">
        <v>1</v>
      </c>
      <c r="AN1544" s="78" t="s">
        <v>4640</v>
      </c>
      <c r="AO1544" s="78" t="s">
        <v>4855</v>
      </c>
      <c r="AP1544" t="b">
        <v>0</v>
      </c>
      <c r="AQ1544" s="78" t="s">
        <v>4426</v>
      </c>
      <c r="AR1544" t="s">
        <v>1569</v>
      </c>
      <c r="AS1544">
        <v>0</v>
      </c>
      <c r="AT1544">
        <v>0</v>
      </c>
    </row>
    <row r="1545" spans="1:54" x14ac:dyDescent="0.45">
      <c r="A1545" s="62" t="s">
        <v>1071</v>
      </c>
      <c r="B1545" s="62" t="s">
        <v>242</v>
      </c>
      <c r="C1545" s="63"/>
      <c r="D1545" s="64"/>
      <c r="E1545" s="65"/>
      <c r="F1545" s="66"/>
      <c r="G1545" s="63"/>
      <c r="H1545" s="67"/>
      <c r="I1545" s="68"/>
      <c r="J1545" s="68"/>
      <c r="K1545" s="32"/>
      <c r="L1545" s="75"/>
      <c r="M1545" s="75"/>
      <c r="N1545" s="70"/>
      <c r="O1545" t="s">
        <v>1568</v>
      </c>
      <c r="P1545" s="76">
        <v>44959.066550925927</v>
      </c>
      <c r="Q1545" t="s">
        <v>2218</v>
      </c>
      <c r="V1545" s="77" t="str">
        <f>HYPERLINK("https://pbs.twimg.com/profile_images/1392255552244363276/yCeLTPJb_normal.jpg")</f>
        <v>https://pbs.twimg.com/profile_images/1392255552244363276/yCeLTPJb_normal.jpg</v>
      </c>
      <c r="W1545" s="76">
        <v>44959.066550925927</v>
      </c>
      <c r="X1545" s="80">
        <v>44959</v>
      </c>
      <c r="Y1545" s="78" t="s">
        <v>3385</v>
      </c>
      <c r="Z1545" s="77" t="str">
        <f>HYPERLINK("https://twitter.com/jeremysilbert/status/1620959145657765889")</f>
        <v>https://twitter.com/jeremysilbert/status/1620959145657765889</v>
      </c>
      <c r="AC1545" s="78" t="s">
        <v>4450</v>
      </c>
      <c r="AD1545" s="78" t="s">
        <v>4452</v>
      </c>
      <c r="AE1545" t="b">
        <v>0</v>
      </c>
      <c r="AF1545">
        <v>1</v>
      </c>
      <c r="AG1545" s="78" t="s">
        <v>4819</v>
      </c>
      <c r="AH1545" t="b">
        <v>0</v>
      </c>
      <c r="AI1545" t="s">
        <v>4829</v>
      </c>
      <c r="AK1545" s="78" t="s">
        <v>4640</v>
      </c>
      <c r="AL1545" t="b">
        <v>0</v>
      </c>
      <c r="AM1545">
        <v>0</v>
      </c>
      <c r="AN1545" s="78" t="s">
        <v>4640</v>
      </c>
      <c r="AO1545" s="78" t="s">
        <v>4849</v>
      </c>
      <c r="AP1545" t="b">
        <v>0</v>
      </c>
      <c r="AQ1545" s="78" t="s">
        <v>4452</v>
      </c>
      <c r="AR1545" t="s">
        <v>179</v>
      </c>
      <c r="AS1545">
        <v>0</v>
      </c>
      <c r="AT1545">
        <v>0</v>
      </c>
    </row>
    <row r="1546" spans="1:54" x14ac:dyDescent="0.45">
      <c r="A1546" s="62" t="s">
        <v>1071</v>
      </c>
      <c r="B1546" s="62" t="s">
        <v>1072</v>
      </c>
      <c r="C1546" s="63"/>
      <c r="D1546" s="64"/>
      <c r="E1546" s="65"/>
      <c r="F1546" s="66"/>
      <c r="G1546" s="63"/>
      <c r="H1546" s="67"/>
      <c r="I1546" s="68"/>
      <c r="J1546" s="68"/>
      <c r="K1546" s="32"/>
      <c r="L1546" s="75"/>
      <c r="M1546" s="75"/>
      <c r="N1546" s="70"/>
      <c r="O1546" t="s">
        <v>1567</v>
      </c>
      <c r="P1546" s="76">
        <v>44959.066550925927</v>
      </c>
      <c r="Q1546" t="s">
        <v>2218</v>
      </c>
      <c r="V1546" s="77" t="str">
        <f>HYPERLINK("https://pbs.twimg.com/profile_images/1392255552244363276/yCeLTPJb_normal.jpg")</f>
        <v>https://pbs.twimg.com/profile_images/1392255552244363276/yCeLTPJb_normal.jpg</v>
      </c>
      <c r="W1546" s="76">
        <v>44959.066550925927</v>
      </c>
      <c r="X1546" s="80">
        <v>44959</v>
      </c>
      <c r="Y1546" s="78" t="s">
        <v>3385</v>
      </c>
      <c r="Z1546" s="77" t="str">
        <f>HYPERLINK("https://twitter.com/jeremysilbert/status/1620959145657765889")</f>
        <v>https://twitter.com/jeremysilbert/status/1620959145657765889</v>
      </c>
      <c r="AC1546" s="78" t="s">
        <v>4450</v>
      </c>
      <c r="AD1546" s="78" t="s">
        <v>4452</v>
      </c>
      <c r="AE1546" t="b">
        <v>0</v>
      </c>
      <c r="AF1546">
        <v>1</v>
      </c>
      <c r="AG1546" s="78" t="s">
        <v>4819</v>
      </c>
      <c r="AH1546" t="b">
        <v>0</v>
      </c>
      <c r="AI1546" t="s">
        <v>4829</v>
      </c>
      <c r="AK1546" s="78" t="s">
        <v>4640</v>
      </c>
      <c r="AL1546" t="b">
        <v>0</v>
      </c>
      <c r="AM1546">
        <v>0</v>
      </c>
      <c r="AN1546" s="78" t="s">
        <v>4640</v>
      </c>
      <c r="AO1546" s="78" t="s">
        <v>4849</v>
      </c>
      <c r="AP1546" t="b">
        <v>0</v>
      </c>
      <c r="AQ1546" s="78" t="s">
        <v>4452</v>
      </c>
      <c r="AR1546" t="s">
        <v>179</v>
      </c>
      <c r="AS1546">
        <v>0</v>
      </c>
      <c r="AT1546">
        <v>0</v>
      </c>
    </row>
    <row r="1547" spans="1:54" x14ac:dyDescent="0.45">
      <c r="A1547" s="62" t="s">
        <v>1072</v>
      </c>
      <c r="B1547" s="62" t="s">
        <v>242</v>
      </c>
      <c r="C1547" s="63"/>
      <c r="D1547" s="64"/>
      <c r="E1547" s="65"/>
      <c r="F1547" s="66"/>
      <c r="G1547" s="63"/>
      <c r="H1547" s="67"/>
      <c r="I1547" s="68"/>
      <c r="J1547" s="68"/>
      <c r="K1547" s="32"/>
      <c r="L1547" s="75"/>
      <c r="M1547" s="75"/>
      <c r="N1547" s="70"/>
      <c r="O1547" t="s">
        <v>1568</v>
      </c>
      <c r="P1547" s="76">
        <v>44958.869155092594</v>
      </c>
      <c r="Q1547" t="s">
        <v>2220</v>
      </c>
      <c r="V1547" s="77" t="str">
        <f>HYPERLINK("https://pbs.twimg.com/profile_images/1580231000076046336/i4I2CVG-_normal.jpg")</f>
        <v>https://pbs.twimg.com/profile_images/1580231000076046336/i4I2CVG-_normal.jpg</v>
      </c>
      <c r="W1547" s="76">
        <v>44958.869155092594</v>
      </c>
      <c r="X1547" s="80">
        <v>44958</v>
      </c>
      <c r="Y1547" s="78" t="s">
        <v>3387</v>
      </c>
      <c r="Z1547" s="77" t="str">
        <f>HYPERLINK("https://twitter.com/finksta/status/1620887610095796227")</f>
        <v>https://twitter.com/finksta/status/1620887610095796227</v>
      </c>
      <c r="AC1547" s="78" t="s">
        <v>4452</v>
      </c>
      <c r="AE1547" t="b">
        <v>0</v>
      </c>
      <c r="AF1547">
        <v>1</v>
      </c>
      <c r="AG1547" s="78" t="s">
        <v>4640</v>
      </c>
      <c r="AH1547" t="b">
        <v>0</v>
      </c>
      <c r="AI1547" t="s">
        <v>4829</v>
      </c>
      <c r="AK1547" s="78" t="s">
        <v>4640</v>
      </c>
      <c r="AL1547" t="b">
        <v>0</v>
      </c>
      <c r="AM1547">
        <v>0</v>
      </c>
      <c r="AN1547" s="78" t="s">
        <v>4640</v>
      </c>
      <c r="AO1547" s="78" t="s">
        <v>4856</v>
      </c>
      <c r="AP1547" t="b">
        <v>0</v>
      </c>
      <c r="AQ1547" s="78" t="s">
        <v>4452</v>
      </c>
      <c r="AR1547" t="s">
        <v>179</v>
      </c>
      <c r="AS1547">
        <v>0</v>
      </c>
      <c r="AT1547">
        <v>0</v>
      </c>
    </row>
    <row r="1548" spans="1:54" x14ac:dyDescent="0.45">
      <c r="A1548" s="62" t="s">
        <v>1079</v>
      </c>
      <c r="B1548" s="62" t="s">
        <v>242</v>
      </c>
      <c r="C1548" s="63"/>
      <c r="D1548" s="64"/>
      <c r="E1548" s="65"/>
      <c r="F1548" s="66"/>
      <c r="G1548" s="63"/>
      <c r="H1548" s="67"/>
      <c r="I1548" s="68"/>
      <c r="J1548" s="68"/>
      <c r="K1548" s="32"/>
      <c r="L1548" s="75"/>
      <c r="M1548" s="75"/>
      <c r="N1548" s="70"/>
      <c r="O1548" t="s">
        <v>1568</v>
      </c>
      <c r="P1548" s="76">
        <v>44959.563368055555</v>
      </c>
      <c r="Q1548" t="s">
        <v>2227</v>
      </c>
      <c r="U1548" s="77" t="str">
        <f>HYPERLINK("https://pbs.twimg.com/media/Fn9xfxHX0AAIVGY.jpg")</f>
        <v>https://pbs.twimg.com/media/Fn9xfxHX0AAIVGY.jpg</v>
      </c>
      <c r="V1548" s="77" t="str">
        <f>HYPERLINK("https://pbs.twimg.com/media/Fn9xfxHX0AAIVGY.jpg")</f>
        <v>https://pbs.twimg.com/media/Fn9xfxHX0AAIVGY.jpg</v>
      </c>
      <c r="W1548" s="76">
        <v>44959.563368055555</v>
      </c>
      <c r="X1548" s="80">
        <v>44959</v>
      </c>
      <c r="Y1548" s="78" t="s">
        <v>3395</v>
      </c>
      <c r="Z1548" s="77" t="str">
        <f>HYPERLINK("https://twitter.com/jenneccentric/status/1621139184269365250")</f>
        <v>https://twitter.com/jenneccentric/status/1621139184269365250</v>
      </c>
      <c r="AC1548" s="78" t="s">
        <v>4460</v>
      </c>
      <c r="AE1548" t="b">
        <v>0</v>
      </c>
      <c r="AF1548">
        <v>1</v>
      </c>
      <c r="AG1548" s="78" t="s">
        <v>4640</v>
      </c>
      <c r="AH1548" t="b">
        <v>0</v>
      </c>
      <c r="AI1548" t="s">
        <v>4829</v>
      </c>
      <c r="AK1548" s="78" t="s">
        <v>4640</v>
      </c>
      <c r="AL1548" t="b">
        <v>0</v>
      </c>
      <c r="AM1548">
        <v>0</v>
      </c>
      <c r="AN1548" s="78" t="s">
        <v>4640</v>
      </c>
      <c r="AO1548" s="78" t="s">
        <v>4850</v>
      </c>
      <c r="AP1548" t="b">
        <v>0</v>
      </c>
      <c r="AQ1548" s="78" t="s">
        <v>4460</v>
      </c>
      <c r="AR1548" t="s">
        <v>179</v>
      </c>
      <c r="AS1548">
        <v>0</v>
      </c>
      <c r="AT1548">
        <v>0</v>
      </c>
      <c r="AU1548" t="s">
        <v>4897</v>
      </c>
      <c r="AV1548" t="s">
        <v>4899</v>
      </c>
      <c r="AW1548" t="s">
        <v>4901</v>
      </c>
      <c r="AX1548" t="s">
        <v>4926</v>
      </c>
      <c r="AY1548" t="s">
        <v>4951</v>
      </c>
      <c r="AZ1548" t="s">
        <v>4974</v>
      </c>
      <c r="BA1548" t="s">
        <v>4975</v>
      </c>
      <c r="BB1548" s="77" t="str">
        <f>HYPERLINK("https://api.twitter.com/1.1/geo/id/5e1c91065bc30991.json")</f>
        <v>https://api.twitter.com/1.1/geo/id/5e1c91065bc30991.json</v>
      </c>
    </row>
    <row r="1549" spans="1:54" x14ac:dyDescent="0.45">
      <c r="A1549" s="62" t="s">
        <v>1081</v>
      </c>
      <c r="B1549" s="62" t="s">
        <v>242</v>
      </c>
      <c r="C1549" s="63"/>
      <c r="D1549" s="64"/>
      <c r="E1549" s="65"/>
      <c r="F1549" s="66"/>
      <c r="G1549" s="63"/>
      <c r="H1549" s="67"/>
      <c r="I1549" s="68"/>
      <c r="J1549" s="68"/>
      <c r="K1549" s="32"/>
      <c r="L1549" s="75"/>
      <c r="M1549" s="75"/>
      <c r="N1549" s="70"/>
      <c r="O1549" t="s">
        <v>1568</v>
      </c>
      <c r="P1549" s="76">
        <v>44959.569537037038</v>
      </c>
      <c r="Q1549" t="s">
        <v>2229</v>
      </c>
      <c r="U1549" s="77" t="str">
        <f>HYPERLINK("https://pbs.twimg.com/media/Fn9zhxjakAgTy3B.jpg")</f>
        <v>https://pbs.twimg.com/media/Fn9zhxjakAgTy3B.jpg</v>
      </c>
      <c r="V1549" s="77" t="str">
        <f>HYPERLINK("https://pbs.twimg.com/media/Fn9zhxjakAgTy3B.jpg")</f>
        <v>https://pbs.twimg.com/media/Fn9zhxjakAgTy3B.jpg</v>
      </c>
      <c r="W1549" s="76">
        <v>44959.569537037038</v>
      </c>
      <c r="X1549" s="80">
        <v>44959</v>
      </c>
      <c r="Y1549" s="78" t="s">
        <v>3397</v>
      </c>
      <c r="Z1549" s="77" t="str">
        <f>HYPERLINK("https://twitter.com/hinataswish/status/1621141418566914053")</f>
        <v>https://twitter.com/hinataswish/status/1621141418566914053</v>
      </c>
      <c r="AC1549" s="78" t="s">
        <v>4462</v>
      </c>
      <c r="AE1549" t="b">
        <v>0</v>
      </c>
      <c r="AF1549">
        <v>1</v>
      </c>
      <c r="AG1549" s="78" t="s">
        <v>4640</v>
      </c>
      <c r="AH1549" t="b">
        <v>0</v>
      </c>
      <c r="AI1549" t="s">
        <v>4829</v>
      </c>
      <c r="AK1549" s="78" t="s">
        <v>4640</v>
      </c>
      <c r="AL1549" t="b">
        <v>0</v>
      </c>
      <c r="AM1549">
        <v>0</v>
      </c>
      <c r="AN1549" s="78" t="s">
        <v>4640</v>
      </c>
      <c r="AO1549" s="78" t="s">
        <v>4849</v>
      </c>
      <c r="AP1549" t="b">
        <v>0</v>
      </c>
      <c r="AQ1549" s="78" t="s">
        <v>4462</v>
      </c>
      <c r="AR1549" t="s">
        <v>179</v>
      </c>
      <c r="AS1549">
        <v>0</v>
      </c>
      <c r="AT1549">
        <v>0</v>
      </c>
    </row>
    <row r="1550" spans="1:54" x14ac:dyDescent="0.45">
      <c r="A1550" s="62" t="s">
        <v>1084</v>
      </c>
      <c r="B1550" s="62" t="s">
        <v>1187</v>
      </c>
      <c r="C1550" s="63"/>
      <c r="D1550" s="64"/>
      <c r="E1550" s="65"/>
      <c r="F1550" s="66"/>
      <c r="G1550" s="63"/>
      <c r="H1550" s="67"/>
      <c r="I1550" s="68"/>
      <c r="J1550" s="68"/>
      <c r="K1550" s="32"/>
      <c r="L1550" s="75"/>
      <c r="M1550" s="75"/>
      <c r="N1550" s="70"/>
      <c r="O1550" t="s">
        <v>1568</v>
      </c>
      <c r="P1550" s="76">
        <v>44958.662800925929</v>
      </c>
      <c r="Q1550" t="s">
        <v>1643</v>
      </c>
      <c r="V1550" s="77" t="str">
        <f>HYPERLINK("https://pbs.twimg.com/profile_images/1613571325116780547/WKFWEBby_normal.jpg")</f>
        <v>https://pbs.twimg.com/profile_images/1613571325116780547/WKFWEBby_normal.jpg</v>
      </c>
      <c r="W1550" s="76">
        <v>44958.662800925929</v>
      </c>
      <c r="X1550" s="80">
        <v>44958</v>
      </c>
      <c r="Y1550" s="78" t="s">
        <v>3400</v>
      </c>
      <c r="Z1550" s="77" t="str">
        <f>HYPERLINK("https://twitter.com/arielinvests/status/1620812828591661056")</f>
        <v>https://twitter.com/arielinvests/status/1620812828591661056</v>
      </c>
      <c r="AC1550" s="78" t="s">
        <v>4465</v>
      </c>
      <c r="AD1550" s="78" t="s">
        <v>4634</v>
      </c>
      <c r="AE1550" t="b">
        <v>0</v>
      </c>
      <c r="AF1550">
        <v>1</v>
      </c>
      <c r="AG1550" s="78" t="s">
        <v>4823</v>
      </c>
      <c r="AH1550" t="b">
        <v>0</v>
      </c>
      <c r="AI1550" t="s">
        <v>4829</v>
      </c>
      <c r="AK1550" s="78" t="s">
        <v>4640</v>
      </c>
      <c r="AL1550" t="b">
        <v>0</v>
      </c>
      <c r="AM1550">
        <v>1</v>
      </c>
      <c r="AN1550" s="78" t="s">
        <v>4640</v>
      </c>
      <c r="AO1550" s="78" t="s">
        <v>4851</v>
      </c>
      <c r="AP1550" t="b">
        <v>0</v>
      </c>
      <c r="AQ1550" s="78" t="s">
        <v>4634</v>
      </c>
      <c r="AR1550" t="s">
        <v>179</v>
      </c>
      <c r="AS1550">
        <v>0</v>
      </c>
      <c r="AT1550">
        <v>0</v>
      </c>
    </row>
    <row r="1551" spans="1:54" x14ac:dyDescent="0.45">
      <c r="A1551" s="62" t="s">
        <v>1084</v>
      </c>
      <c r="B1551" s="62" t="s">
        <v>1188</v>
      </c>
      <c r="C1551" s="63"/>
      <c r="D1551" s="64"/>
      <c r="E1551" s="65"/>
      <c r="F1551" s="66"/>
      <c r="G1551" s="63"/>
      <c r="H1551" s="67"/>
      <c r="I1551" s="68"/>
      <c r="J1551" s="68"/>
      <c r="K1551" s="32"/>
      <c r="L1551" s="75"/>
      <c r="M1551" s="75"/>
      <c r="N1551" s="70"/>
      <c r="O1551" t="s">
        <v>1568</v>
      </c>
      <c r="P1551" s="76">
        <v>44958.662800925929</v>
      </c>
      <c r="Q1551" t="s">
        <v>1643</v>
      </c>
      <c r="V1551" s="77" t="str">
        <f>HYPERLINK("https://pbs.twimg.com/profile_images/1613571325116780547/WKFWEBby_normal.jpg")</f>
        <v>https://pbs.twimg.com/profile_images/1613571325116780547/WKFWEBby_normal.jpg</v>
      </c>
      <c r="W1551" s="76">
        <v>44958.662800925929</v>
      </c>
      <c r="X1551" s="80">
        <v>44958</v>
      </c>
      <c r="Y1551" s="78" t="s">
        <v>3400</v>
      </c>
      <c r="Z1551" s="77" t="str">
        <f>HYPERLINK("https://twitter.com/arielinvests/status/1620812828591661056")</f>
        <v>https://twitter.com/arielinvests/status/1620812828591661056</v>
      </c>
      <c r="AC1551" s="78" t="s">
        <v>4465</v>
      </c>
      <c r="AD1551" s="78" t="s">
        <v>4634</v>
      </c>
      <c r="AE1551" t="b">
        <v>0</v>
      </c>
      <c r="AF1551">
        <v>1</v>
      </c>
      <c r="AG1551" s="78" t="s">
        <v>4823</v>
      </c>
      <c r="AH1551" t="b">
        <v>0</v>
      </c>
      <c r="AI1551" t="s">
        <v>4829</v>
      </c>
      <c r="AK1551" s="78" t="s">
        <v>4640</v>
      </c>
      <c r="AL1551" t="b">
        <v>0</v>
      </c>
      <c r="AM1551">
        <v>1</v>
      </c>
      <c r="AN1551" s="78" t="s">
        <v>4640</v>
      </c>
      <c r="AO1551" s="78" t="s">
        <v>4851</v>
      </c>
      <c r="AP1551" t="b">
        <v>0</v>
      </c>
      <c r="AQ1551" s="78" t="s">
        <v>4634</v>
      </c>
      <c r="AR1551" t="s">
        <v>179</v>
      </c>
      <c r="AS1551">
        <v>0</v>
      </c>
      <c r="AT1551">
        <v>0</v>
      </c>
    </row>
    <row r="1552" spans="1:54" x14ac:dyDescent="0.45">
      <c r="A1552" s="62" t="s">
        <v>1084</v>
      </c>
      <c r="B1552" s="62" t="s">
        <v>1189</v>
      </c>
      <c r="C1552" s="63"/>
      <c r="D1552" s="64"/>
      <c r="E1552" s="65"/>
      <c r="F1552" s="66"/>
      <c r="G1552" s="63"/>
      <c r="H1552" s="67"/>
      <c r="I1552" s="68"/>
      <c r="J1552" s="68"/>
      <c r="K1552" s="32"/>
      <c r="L1552" s="75"/>
      <c r="M1552" s="75"/>
      <c r="N1552" s="70"/>
      <c r="O1552" t="s">
        <v>1568</v>
      </c>
      <c r="P1552" s="76">
        <v>44958.662800925929</v>
      </c>
      <c r="Q1552" t="s">
        <v>1643</v>
      </c>
      <c r="V1552" s="77" t="str">
        <f>HYPERLINK("https://pbs.twimg.com/profile_images/1613571325116780547/WKFWEBby_normal.jpg")</f>
        <v>https://pbs.twimg.com/profile_images/1613571325116780547/WKFWEBby_normal.jpg</v>
      </c>
      <c r="W1552" s="76">
        <v>44958.662800925929</v>
      </c>
      <c r="X1552" s="80">
        <v>44958</v>
      </c>
      <c r="Y1552" s="78" t="s">
        <v>3400</v>
      </c>
      <c r="Z1552" s="77" t="str">
        <f>HYPERLINK("https://twitter.com/arielinvests/status/1620812828591661056")</f>
        <v>https://twitter.com/arielinvests/status/1620812828591661056</v>
      </c>
      <c r="AC1552" s="78" t="s">
        <v>4465</v>
      </c>
      <c r="AD1552" s="78" t="s">
        <v>4634</v>
      </c>
      <c r="AE1552" t="b">
        <v>0</v>
      </c>
      <c r="AF1552">
        <v>1</v>
      </c>
      <c r="AG1552" s="78" t="s">
        <v>4823</v>
      </c>
      <c r="AH1552" t="b">
        <v>0</v>
      </c>
      <c r="AI1552" t="s">
        <v>4829</v>
      </c>
      <c r="AK1552" s="78" t="s">
        <v>4640</v>
      </c>
      <c r="AL1552" t="b">
        <v>0</v>
      </c>
      <c r="AM1552">
        <v>1</v>
      </c>
      <c r="AN1552" s="78" t="s">
        <v>4640</v>
      </c>
      <c r="AO1552" s="78" t="s">
        <v>4851</v>
      </c>
      <c r="AP1552" t="b">
        <v>0</v>
      </c>
      <c r="AQ1552" s="78" t="s">
        <v>4634</v>
      </c>
      <c r="AR1552" t="s">
        <v>179</v>
      </c>
      <c r="AS1552">
        <v>0</v>
      </c>
      <c r="AT1552">
        <v>0</v>
      </c>
    </row>
    <row r="1553" spans="1:46" x14ac:dyDescent="0.45">
      <c r="A1553" s="62" t="s">
        <v>1084</v>
      </c>
      <c r="B1553" s="62" t="s">
        <v>1190</v>
      </c>
      <c r="C1553" s="63"/>
      <c r="D1553" s="64"/>
      <c r="E1553" s="65"/>
      <c r="F1553" s="66"/>
      <c r="G1553" s="63"/>
      <c r="H1553" s="67"/>
      <c r="I1553" s="68"/>
      <c r="J1553" s="68"/>
      <c r="K1553" s="32"/>
      <c r="L1553" s="75"/>
      <c r="M1553" s="75"/>
      <c r="N1553" s="70"/>
      <c r="O1553" t="s">
        <v>1568</v>
      </c>
      <c r="P1553" s="76">
        <v>44958.662800925929</v>
      </c>
      <c r="Q1553" t="s">
        <v>1643</v>
      </c>
      <c r="V1553" s="77" t="str">
        <f>HYPERLINK("https://pbs.twimg.com/profile_images/1613571325116780547/WKFWEBby_normal.jpg")</f>
        <v>https://pbs.twimg.com/profile_images/1613571325116780547/WKFWEBby_normal.jpg</v>
      </c>
      <c r="W1553" s="76">
        <v>44958.662800925929</v>
      </c>
      <c r="X1553" s="80">
        <v>44958</v>
      </c>
      <c r="Y1553" s="78" t="s">
        <v>3400</v>
      </c>
      <c r="Z1553" s="77" t="str">
        <f>HYPERLINK("https://twitter.com/arielinvests/status/1620812828591661056")</f>
        <v>https://twitter.com/arielinvests/status/1620812828591661056</v>
      </c>
      <c r="AC1553" s="78" t="s">
        <v>4465</v>
      </c>
      <c r="AD1553" s="78" t="s">
        <v>4634</v>
      </c>
      <c r="AE1553" t="b">
        <v>0</v>
      </c>
      <c r="AF1553">
        <v>1</v>
      </c>
      <c r="AG1553" s="78" t="s">
        <v>4823</v>
      </c>
      <c r="AH1553" t="b">
        <v>0</v>
      </c>
      <c r="AI1553" t="s">
        <v>4829</v>
      </c>
      <c r="AK1553" s="78" t="s">
        <v>4640</v>
      </c>
      <c r="AL1553" t="b">
        <v>0</v>
      </c>
      <c r="AM1553">
        <v>1</v>
      </c>
      <c r="AN1553" s="78" t="s">
        <v>4640</v>
      </c>
      <c r="AO1553" s="78" t="s">
        <v>4851</v>
      </c>
      <c r="AP1553" t="b">
        <v>0</v>
      </c>
      <c r="AQ1553" s="78" t="s">
        <v>4634</v>
      </c>
      <c r="AR1553" t="s">
        <v>179</v>
      </c>
      <c r="AS1553">
        <v>0</v>
      </c>
      <c r="AT1553">
        <v>0</v>
      </c>
    </row>
    <row r="1554" spans="1:46" x14ac:dyDescent="0.45">
      <c r="A1554" s="62" t="s">
        <v>1084</v>
      </c>
      <c r="B1554" s="62" t="s">
        <v>1191</v>
      </c>
      <c r="C1554" s="63"/>
      <c r="D1554" s="64"/>
      <c r="E1554" s="65"/>
      <c r="F1554" s="66"/>
      <c r="G1554" s="63"/>
      <c r="H1554" s="67"/>
      <c r="I1554" s="68"/>
      <c r="J1554" s="68"/>
      <c r="K1554" s="32"/>
      <c r="L1554" s="75"/>
      <c r="M1554" s="75"/>
      <c r="N1554" s="70"/>
      <c r="O1554" t="s">
        <v>1568</v>
      </c>
      <c r="P1554" s="76">
        <v>44958.662800925929</v>
      </c>
      <c r="Q1554" t="s">
        <v>1643</v>
      </c>
      <c r="V1554" s="77" t="str">
        <f>HYPERLINK("https://pbs.twimg.com/profile_images/1613571325116780547/WKFWEBby_normal.jpg")</f>
        <v>https://pbs.twimg.com/profile_images/1613571325116780547/WKFWEBby_normal.jpg</v>
      </c>
      <c r="W1554" s="76">
        <v>44958.662800925929</v>
      </c>
      <c r="X1554" s="80">
        <v>44958</v>
      </c>
      <c r="Y1554" s="78" t="s">
        <v>3400</v>
      </c>
      <c r="Z1554" s="77" t="str">
        <f>HYPERLINK("https://twitter.com/arielinvests/status/1620812828591661056")</f>
        <v>https://twitter.com/arielinvests/status/1620812828591661056</v>
      </c>
      <c r="AC1554" s="78" t="s">
        <v>4465</v>
      </c>
      <c r="AD1554" s="78" t="s">
        <v>4634</v>
      </c>
      <c r="AE1554" t="b">
        <v>0</v>
      </c>
      <c r="AF1554">
        <v>1</v>
      </c>
      <c r="AG1554" s="78" t="s">
        <v>4823</v>
      </c>
      <c r="AH1554" t="b">
        <v>0</v>
      </c>
      <c r="AI1554" t="s">
        <v>4829</v>
      </c>
      <c r="AK1554" s="78" t="s">
        <v>4640</v>
      </c>
      <c r="AL1554" t="b">
        <v>0</v>
      </c>
      <c r="AM1554">
        <v>1</v>
      </c>
      <c r="AN1554" s="78" t="s">
        <v>4640</v>
      </c>
      <c r="AO1554" s="78" t="s">
        <v>4851</v>
      </c>
      <c r="AP1554" t="b">
        <v>0</v>
      </c>
      <c r="AQ1554" s="78" t="s">
        <v>4634</v>
      </c>
      <c r="AR1554" t="s">
        <v>179</v>
      </c>
      <c r="AS1554">
        <v>0</v>
      </c>
      <c r="AT1554">
        <v>0</v>
      </c>
    </row>
    <row r="1555" spans="1:46" x14ac:dyDescent="0.45">
      <c r="A1555" s="62" t="s">
        <v>1084</v>
      </c>
      <c r="B1555" s="62" t="s">
        <v>1192</v>
      </c>
      <c r="C1555" s="63"/>
      <c r="D1555" s="64"/>
      <c r="E1555" s="65"/>
      <c r="F1555" s="66"/>
      <c r="G1555" s="63"/>
      <c r="H1555" s="67"/>
      <c r="I1555" s="68"/>
      <c r="J1555" s="68"/>
      <c r="K1555" s="32"/>
      <c r="L1555" s="75"/>
      <c r="M1555" s="75"/>
      <c r="N1555" s="70"/>
      <c r="O1555" t="s">
        <v>1568</v>
      </c>
      <c r="P1555" s="76">
        <v>44958.662800925929</v>
      </c>
      <c r="Q1555" t="s">
        <v>1643</v>
      </c>
      <c r="V1555" s="77" t="str">
        <f>HYPERLINK("https://pbs.twimg.com/profile_images/1613571325116780547/WKFWEBby_normal.jpg")</f>
        <v>https://pbs.twimg.com/profile_images/1613571325116780547/WKFWEBby_normal.jpg</v>
      </c>
      <c r="W1555" s="76">
        <v>44958.662800925929</v>
      </c>
      <c r="X1555" s="80">
        <v>44958</v>
      </c>
      <c r="Y1555" s="78" t="s">
        <v>3400</v>
      </c>
      <c r="Z1555" s="77" t="str">
        <f>HYPERLINK("https://twitter.com/arielinvests/status/1620812828591661056")</f>
        <v>https://twitter.com/arielinvests/status/1620812828591661056</v>
      </c>
      <c r="AC1555" s="78" t="s">
        <v>4465</v>
      </c>
      <c r="AD1555" s="78" t="s">
        <v>4634</v>
      </c>
      <c r="AE1555" t="b">
        <v>0</v>
      </c>
      <c r="AF1555">
        <v>1</v>
      </c>
      <c r="AG1555" s="78" t="s">
        <v>4823</v>
      </c>
      <c r="AH1555" t="b">
        <v>0</v>
      </c>
      <c r="AI1555" t="s">
        <v>4829</v>
      </c>
      <c r="AK1555" s="78" t="s">
        <v>4640</v>
      </c>
      <c r="AL1555" t="b">
        <v>0</v>
      </c>
      <c r="AM1555">
        <v>1</v>
      </c>
      <c r="AN1555" s="78" t="s">
        <v>4640</v>
      </c>
      <c r="AO1555" s="78" t="s">
        <v>4851</v>
      </c>
      <c r="AP1555" t="b">
        <v>0</v>
      </c>
      <c r="AQ1555" s="78" t="s">
        <v>4634</v>
      </c>
      <c r="AR1555" t="s">
        <v>179</v>
      </c>
      <c r="AS1555">
        <v>0</v>
      </c>
      <c r="AT1555">
        <v>0</v>
      </c>
    </row>
    <row r="1556" spans="1:46" x14ac:dyDescent="0.45">
      <c r="A1556" s="62" t="s">
        <v>1084</v>
      </c>
      <c r="B1556" s="62" t="s">
        <v>1193</v>
      </c>
      <c r="C1556" s="63"/>
      <c r="D1556" s="64"/>
      <c r="E1556" s="65"/>
      <c r="F1556" s="66"/>
      <c r="G1556" s="63"/>
      <c r="H1556" s="67"/>
      <c r="I1556" s="68"/>
      <c r="J1556" s="68"/>
      <c r="K1556" s="32"/>
      <c r="L1556" s="75"/>
      <c r="M1556" s="75"/>
      <c r="N1556" s="70"/>
      <c r="O1556" t="s">
        <v>1568</v>
      </c>
      <c r="P1556" s="76">
        <v>44958.662800925929</v>
      </c>
      <c r="Q1556" t="s">
        <v>1643</v>
      </c>
      <c r="V1556" s="77" t="str">
        <f>HYPERLINK("https://pbs.twimg.com/profile_images/1613571325116780547/WKFWEBby_normal.jpg")</f>
        <v>https://pbs.twimg.com/profile_images/1613571325116780547/WKFWEBby_normal.jpg</v>
      </c>
      <c r="W1556" s="76">
        <v>44958.662800925929</v>
      </c>
      <c r="X1556" s="80">
        <v>44958</v>
      </c>
      <c r="Y1556" s="78" t="s">
        <v>3400</v>
      </c>
      <c r="Z1556" s="77" t="str">
        <f>HYPERLINK("https://twitter.com/arielinvests/status/1620812828591661056")</f>
        <v>https://twitter.com/arielinvests/status/1620812828591661056</v>
      </c>
      <c r="AC1556" s="78" t="s">
        <v>4465</v>
      </c>
      <c r="AD1556" s="78" t="s">
        <v>4634</v>
      </c>
      <c r="AE1556" t="b">
        <v>0</v>
      </c>
      <c r="AF1556">
        <v>1</v>
      </c>
      <c r="AG1556" s="78" t="s">
        <v>4823</v>
      </c>
      <c r="AH1556" t="b">
        <v>0</v>
      </c>
      <c r="AI1556" t="s">
        <v>4829</v>
      </c>
      <c r="AK1556" s="78" t="s">
        <v>4640</v>
      </c>
      <c r="AL1556" t="b">
        <v>0</v>
      </c>
      <c r="AM1556">
        <v>1</v>
      </c>
      <c r="AN1556" s="78" t="s">
        <v>4640</v>
      </c>
      <c r="AO1556" s="78" t="s">
        <v>4851</v>
      </c>
      <c r="AP1556" t="b">
        <v>0</v>
      </c>
      <c r="AQ1556" s="78" t="s">
        <v>4634</v>
      </c>
      <c r="AR1556" t="s">
        <v>179</v>
      </c>
      <c r="AS1556">
        <v>0</v>
      </c>
      <c r="AT1556">
        <v>0</v>
      </c>
    </row>
    <row r="1557" spans="1:46" x14ac:dyDescent="0.45">
      <c r="A1557" s="62" t="s">
        <v>1084</v>
      </c>
      <c r="B1557" s="62" t="s">
        <v>1194</v>
      </c>
      <c r="C1557" s="63"/>
      <c r="D1557" s="64"/>
      <c r="E1557" s="65"/>
      <c r="F1557" s="66"/>
      <c r="G1557" s="63"/>
      <c r="H1557" s="67"/>
      <c r="I1557" s="68"/>
      <c r="J1557" s="68"/>
      <c r="K1557" s="32"/>
      <c r="L1557" s="75"/>
      <c r="M1557" s="75"/>
      <c r="N1557" s="70"/>
      <c r="O1557" t="s">
        <v>1568</v>
      </c>
      <c r="P1557" s="76">
        <v>44958.662800925929</v>
      </c>
      <c r="Q1557" t="s">
        <v>1643</v>
      </c>
      <c r="V1557" s="77" t="str">
        <f>HYPERLINK("https://pbs.twimg.com/profile_images/1613571325116780547/WKFWEBby_normal.jpg")</f>
        <v>https://pbs.twimg.com/profile_images/1613571325116780547/WKFWEBby_normal.jpg</v>
      </c>
      <c r="W1557" s="76">
        <v>44958.662800925929</v>
      </c>
      <c r="X1557" s="80">
        <v>44958</v>
      </c>
      <c r="Y1557" s="78" t="s">
        <v>3400</v>
      </c>
      <c r="Z1557" s="77" t="str">
        <f>HYPERLINK("https://twitter.com/arielinvests/status/1620812828591661056")</f>
        <v>https://twitter.com/arielinvests/status/1620812828591661056</v>
      </c>
      <c r="AC1557" s="78" t="s">
        <v>4465</v>
      </c>
      <c r="AD1557" s="78" t="s">
        <v>4634</v>
      </c>
      <c r="AE1557" t="b">
        <v>0</v>
      </c>
      <c r="AF1557">
        <v>1</v>
      </c>
      <c r="AG1557" s="78" t="s">
        <v>4823</v>
      </c>
      <c r="AH1557" t="b">
        <v>0</v>
      </c>
      <c r="AI1557" t="s">
        <v>4829</v>
      </c>
      <c r="AK1557" s="78" t="s">
        <v>4640</v>
      </c>
      <c r="AL1557" t="b">
        <v>0</v>
      </c>
      <c r="AM1557">
        <v>1</v>
      </c>
      <c r="AN1557" s="78" t="s">
        <v>4640</v>
      </c>
      <c r="AO1557" s="78" t="s">
        <v>4851</v>
      </c>
      <c r="AP1557" t="b">
        <v>0</v>
      </c>
      <c r="AQ1557" s="78" t="s">
        <v>4634</v>
      </c>
      <c r="AR1557" t="s">
        <v>179</v>
      </c>
      <c r="AS1557">
        <v>0</v>
      </c>
      <c r="AT1557">
        <v>0</v>
      </c>
    </row>
    <row r="1558" spans="1:46" x14ac:dyDescent="0.45">
      <c r="A1558" s="62" t="s">
        <v>1084</v>
      </c>
      <c r="B1558" s="62" t="s">
        <v>1195</v>
      </c>
      <c r="C1558" s="63"/>
      <c r="D1558" s="64"/>
      <c r="E1558" s="65"/>
      <c r="F1558" s="66"/>
      <c r="G1558" s="63"/>
      <c r="H1558" s="67"/>
      <c r="I1558" s="68"/>
      <c r="J1558" s="68"/>
      <c r="K1558" s="32"/>
      <c r="L1558" s="75"/>
      <c r="M1558" s="75"/>
      <c r="N1558" s="70"/>
      <c r="O1558" t="s">
        <v>1568</v>
      </c>
      <c r="P1558" s="76">
        <v>44958.662800925929</v>
      </c>
      <c r="Q1558" t="s">
        <v>1643</v>
      </c>
      <c r="V1558" s="77" t="str">
        <f>HYPERLINK("https://pbs.twimg.com/profile_images/1613571325116780547/WKFWEBby_normal.jpg")</f>
        <v>https://pbs.twimg.com/profile_images/1613571325116780547/WKFWEBby_normal.jpg</v>
      </c>
      <c r="W1558" s="76">
        <v>44958.662800925929</v>
      </c>
      <c r="X1558" s="80">
        <v>44958</v>
      </c>
      <c r="Y1558" s="78" t="s">
        <v>3400</v>
      </c>
      <c r="Z1558" s="77" t="str">
        <f>HYPERLINK("https://twitter.com/arielinvests/status/1620812828591661056")</f>
        <v>https://twitter.com/arielinvests/status/1620812828591661056</v>
      </c>
      <c r="AC1558" s="78" t="s">
        <v>4465</v>
      </c>
      <c r="AD1558" s="78" t="s">
        <v>4634</v>
      </c>
      <c r="AE1558" t="b">
        <v>0</v>
      </c>
      <c r="AF1558">
        <v>1</v>
      </c>
      <c r="AG1558" s="78" t="s">
        <v>4823</v>
      </c>
      <c r="AH1558" t="b">
        <v>0</v>
      </c>
      <c r="AI1558" t="s">
        <v>4829</v>
      </c>
      <c r="AK1558" s="78" t="s">
        <v>4640</v>
      </c>
      <c r="AL1558" t="b">
        <v>0</v>
      </c>
      <c r="AM1558">
        <v>1</v>
      </c>
      <c r="AN1558" s="78" t="s">
        <v>4640</v>
      </c>
      <c r="AO1558" s="78" t="s">
        <v>4851</v>
      </c>
      <c r="AP1558" t="b">
        <v>0</v>
      </c>
      <c r="AQ1558" s="78" t="s">
        <v>4634</v>
      </c>
      <c r="AR1558" t="s">
        <v>179</v>
      </c>
      <c r="AS1558">
        <v>0</v>
      </c>
      <c r="AT1558">
        <v>0</v>
      </c>
    </row>
    <row r="1559" spans="1:46" x14ac:dyDescent="0.45">
      <c r="A1559" s="62" t="s">
        <v>1084</v>
      </c>
      <c r="B1559" s="62" t="s">
        <v>1196</v>
      </c>
      <c r="C1559" s="63"/>
      <c r="D1559" s="64"/>
      <c r="E1559" s="65"/>
      <c r="F1559" s="66"/>
      <c r="G1559" s="63"/>
      <c r="H1559" s="67"/>
      <c r="I1559" s="68"/>
      <c r="J1559" s="68"/>
      <c r="K1559" s="32"/>
      <c r="L1559" s="75"/>
      <c r="M1559" s="75"/>
      <c r="N1559" s="70"/>
      <c r="O1559" t="s">
        <v>1568</v>
      </c>
      <c r="P1559" s="76">
        <v>44958.662800925929</v>
      </c>
      <c r="Q1559" t="s">
        <v>1643</v>
      </c>
      <c r="V1559" s="77" t="str">
        <f>HYPERLINK("https://pbs.twimg.com/profile_images/1613571325116780547/WKFWEBby_normal.jpg")</f>
        <v>https://pbs.twimg.com/profile_images/1613571325116780547/WKFWEBby_normal.jpg</v>
      </c>
      <c r="W1559" s="76">
        <v>44958.662800925929</v>
      </c>
      <c r="X1559" s="80">
        <v>44958</v>
      </c>
      <c r="Y1559" s="78" t="s">
        <v>3400</v>
      </c>
      <c r="Z1559" s="77" t="str">
        <f>HYPERLINK("https://twitter.com/arielinvests/status/1620812828591661056")</f>
        <v>https://twitter.com/arielinvests/status/1620812828591661056</v>
      </c>
      <c r="AC1559" s="78" t="s">
        <v>4465</v>
      </c>
      <c r="AD1559" s="78" t="s">
        <v>4634</v>
      </c>
      <c r="AE1559" t="b">
        <v>0</v>
      </c>
      <c r="AF1559">
        <v>1</v>
      </c>
      <c r="AG1559" s="78" t="s">
        <v>4823</v>
      </c>
      <c r="AH1559" t="b">
        <v>0</v>
      </c>
      <c r="AI1559" t="s">
        <v>4829</v>
      </c>
      <c r="AK1559" s="78" t="s">
        <v>4640</v>
      </c>
      <c r="AL1559" t="b">
        <v>0</v>
      </c>
      <c r="AM1559">
        <v>1</v>
      </c>
      <c r="AN1559" s="78" t="s">
        <v>4640</v>
      </c>
      <c r="AO1559" s="78" t="s">
        <v>4851</v>
      </c>
      <c r="AP1559" t="b">
        <v>0</v>
      </c>
      <c r="AQ1559" s="78" t="s">
        <v>4634</v>
      </c>
      <c r="AR1559" t="s">
        <v>179</v>
      </c>
      <c r="AS1559">
        <v>0</v>
      </c>
      <c r="AT1559">
        <v>0</v>
      </c>
    </row>
    <row r="1560" spans="1:46" x14ac:dyDescent="0.45">
      <c r="A1560" s="62" t="s">
        <v>1084</v>
      </c>
      <c r="B1560" s="62" t="s">
        <v>1197</v>
      </c>
      <c r="C1560" s="63"/>
      <c r="D1560" s="64"/>
      <c r="E1560" s="65"/>
      <c r="F1560" s="66"/>
      <c r="G1560" s="63"/>
      <c r="H1560" s="67"/>
      <c r="I1560" s="68"/>
      <c r="J1560" s="68"/>
      <c r="K1560" s="32"/>
      <c r="L1560" s="75"/>
      <c r="M1560" s="75"/>
      <c r="N1560" s="70"/>
      <c r="O1560" t="s">
        <v>1568</v>
      </c>
      <c r="P1560" s="76">
        <v>44958.662800925929</v>
      </c>
      <c r="Q1560" t="s">
        <v>1643</v>
      </c>
      <c r="V1560" s="77" t="str">
        <f>HYPERLINK("https://pbs.twimg.com/profile_images/1613571325116780547/WKFWEBby_normal.jpg")</f>
        <v>https://pbs.twimg.com/profile_images/1613571325116780547/WKFWEBby_normal.jpg</v>
      </c>
      <c r="W1560" s="76">
        <v>44958.662800925929</v>
      </c>
      <c r="X1560" s="80">
        <v>44958</v>
      </c>
      <c r="Y1560" s="78" t="s">
        <v>3400</v>
      </c>
      <c r="Z1560" s="77" t="str">
        <f>HYPERLINK("https://twitter.com/arielinvests/status/1620812828591661056")</f>
        <v>https://twitter.com/arielinvests/status/1620812828591661056</v>
      </c>
      <c r="AC1560" s="78" t="s">
        <v>4465</v>
      </c>
      <c r="AD1560" s="78" t="s">
        <v>4634</v>
      </c>
      <c r="AE1560" t="b">
        <v>0</v>
      </c>
      <c r="AF1560">
        <v>1</v>
      </c>
      <c r="AG1560" s="78" t="s">
        <v>4823</v>
      </c>
      <c r="AH1560" t="b">
        <v>0</v>
      </c>
      <c r="AI1560" t="s">
        <v>4829</v>
      </c>
      <c r="AK1560" s="78" t="s">
        <v>4640</v>
      </c>
      <c r="AL1560" t="b">
        <v>0</v>
      </c>
      <c r="AM1560">
        <v>1</v>
      </c>
      <c r="AN1560" s="78" t="s">
        <v>4640</v>
      </c>
      <c r="AO1560" s="78" t="s">
        <v>4851</v>
      </c>
      <c r="AP1560" t="b">
        <v>0</v>
      </c>
      <c r="AQ1560" s="78" t="s">
        <v>4634</v>
      </c>
      <c r="AR1560" t="s">
        <v>179</v>
      </c>
      <c r="AS1560">
        <v>0</v>
      </c>
      <c r="AT1560">
        <v>0</v>
      </c>
    </row>
    <row r="1561" spans="1:46" x14ac:dyDescent="0.45">
      <c r="A1561" s="62" t="s">
        <v>1084</v>
      </c>
      <c r="B1561" s="62" t="s">
        <v>242</v>
      </c>
      <c r="C1561" s="63"/>
      <c r="D1561" s="64"/>
      <c r="E1561" s="65"/>
      <c r="F1561" s="66"/>
      <c r="G1561" s="63"/>
      <c r="H1561" s="67"/>
      <c r="I1561" s="68"/>
      <c r="J1561" s="68"/>
      <c r="K1561" s="32"/>
      <c r="L1561" s="75"/>
      <c r="M1561" s="75"/>
      <c r="N1561" s="70"/>
      <c r="O1561" t="s">
        <v>1568</v>
      </c>
      <c r="P1561" s="76">
        <v>44958.662800925929</v>
      </c>
      <c r="Q1561" t="s">
        <v>1643</v>
      </c>
      <c r="V1561" s="77" t="str">
        <f>HYPERLINK("https://pbs.twimg.com/profile_images/1613571325116780547/WKFWEBby_normal.jpg")</f>
        <v>https://pbs.twimg.com/profile_images/1613571325116780547/WKFWEBby_normal.jpg</v>
      </c>
      <c r="W1561" s="76">
        <v>44958.662800925929</v>
      </c>
      <c r="X1561" s="80">
        <v>44958</v>
      </c>
      <c r="Y1561" s="78" t="s">
        <v>3400</v>
      </c>
      <c r="Z1561" s="77" t="str">
        <f>HYPERLINK("https://twitter.com/arielinvests/status/1620812828591661056")</f>
        <v>https://twitter.com/arielinvests/status/1620812828591661056</v>
      </c>
      <c r="AC1561" s="78" t="s">
        <v>4465</v>
      </c>
      <c r="AD1561" s="78" t="s">
        <v>4634</v>
      </c>
      <c r="AE1561" t="b">
        <v>0</v>
      </c>
      <c r="AF1561">
        <v>1</v>
      </c>
      <c r="AG1561" s="78" t="s">
        <v>4823</v>
      </c>
      <c r="AH1561" t="b">
        <v>0</v>
      </c>
      <c r="AI1561" t="s">
        <v>4829</v>
      </c>
      <c r="AK1561" s="78" t="s">
        <v>4640</v>
      </c>
      <c r="AL1561" t="b">
        <v>0</v>
      </c>
      <c r="AM1561">
        <v>1</v>
      </c>
      <c r="AN1561" s="78" t="s">
        <v>4640</v>
      </c>
      <c r="AO1561" s="78" t="s">
        <v>4851</v>
      </c>
      <c r="AP1561" t="b">
        <v>0</v>
      </c>
      <c r="AQ1561" s="78" t="s">
        <v>4634</v>
      </c>
      <c r="AR1561" t="s">
        <v>179</v>
      </c>
      <c r="AS1561">
        <v>0</v>
      </c>
      <c r="AT1561">
        <v>0</v>
      </c>
    </row>
    <row r="1562" spans="1:46" x14ac:dyDescent="0.45">
      <c r="A1562" s="62" t="s">
        <v>1094</v>
      </c>
      <c r="B1562" s="62" t="s">
        <v>242</v>
      </c>
      <c r="C1562" s="63"/>
      <c r="D1562" s="64"/>
      <c r="E1562" s="65"/>
      <c r="F1562" s="66"/>
      <c r="G1562" s="63"/>
      <c r="H1562" s="67"/>
      <c r="I1562" s="68"/>
      <c r="J1562" s="68"/>
      <c r="K1562" s="32"/>
      <c r="L1562" s="75"/>
      <c r="M1562" s="75"/>
      <c r="N1562" s="70"/>
      <c r="O1562" t="s">
        <v>1567</v>
      </c>
      <c r="P1562" s="76">
        <v>44959.594386574077</v>
      </c>
      <c r="Q1562" t="s">
        <v>2239</v>
      </c>
      <c r="V1562" s="77" t="str">
        <f>HYPERLINK("https://pbs.twimg.com/profile_images/1615443789920755723/NGPWOOJz_normal.jpg")</f>
        <v>https://pbs.twimg.com/profile_images/1615443789920755723/NGPWOOJz_normal.jpg</v>
      </c>
      <c r="W1562" s="76">
        <v>44959.594386574077</v>
      </c>
      <c r="X1562" s="80">
        <v>44959</v>
      </c>
      <c r="Y1562" s="78" t="s">
        <v>3411</v>
      </c>
      <c r="Z1562" s="77" t="str">
        <f>HYPERLINK("https://twitter.com/artiedraws/status/1621150426468065281")</f>
        <v>https://twitter.com/artiedraws/status/1621150426468065281</v>
      </c>
      <c r="AC1562" s="78" t="s">
        <v>4476</v>
      </c>
      <c r="AE1562" t="b">
        <v>0</v>
      </c>
      <c r="AF1562">
        <v>1</v>
      </c>
      <c r="AG1562" s="78" t="s">
        <v>4639</v>
      </c>
      <c r="AH1562" t="b">
        <v>0</v>
      </c>
      <c r="AI1562" t="s">
        <v>4829</v>
      </c>
      <c r="AK1562" s="78" t="s">
        <v>4640</v>
      </c>
      <c r="AL1562" t="b">
        <v>0</v>
      </c>
      <c r="AM1562">
        <v>0</v>
      </c>
      <c r="AN1562" s="78" t="s">
        <v>4640</v>
      </c>
      <c r="AO1562" s="78" t="s">
        <v>4851</v>
      </c>
      <c r="AP1562" t="b">
        <v>0</v>
      </c>
      <c r="AQ1562" s="78" t="s">
        <v>4476</v>
      </c>
      <c r="AR1562" t="s">
        <v>179</v>
      </c>
      <c r="AS1562">
        <v>0</v>
      </c>
      <c r="AT1562">
        <v>0</v>
      </c>
    </row>
    <row r="1563" spans="1:46" x14ac:dyDescent="0.45">
      <c r="A1563" s="62" t="s">
        <v>217</v>
      </c>
      <c r="B1563" s="62" t="s">
        <v>1566</v>
      </c>
      <c r="C1563" s="63"/>
      <c r="D1563" s="64"/>
      <c r="E1563" s="65"/>
      <c r="F1563" s="66"/>
      <c r="G1563" s="63"/>
      <c r="H1563" s="67"/>
      <c r="I1563" s="68"/>
      <c r="J1563" s="68"/>
      <c r="K1563" s="32"/>
      <c r="L1563" s="69"/>
      <c r="M1563" s="69"/>
      <c r="N1563" s="70"/>
      <c r="O1563" t="s">
        <v>1568</v>
      </c>
      <c r="P1563" s="76">
        <v>44958.27952546296</v>
      </c>
      <c r="Q1563" t="s">
        <v>1571</v>
      </c>
      <c r="V1563" s="79" t="str">
        <f>HYPERLINK("https://pbs.twimg.com/profile_images/1619972449977655297/Uls49rtq_normal.jpg")</f>
        <v>https://pbs.twimg.com/profile_images/1619972449977655297/Uls49rtq_normal.jpg</v>
      </c>
      <c r="W1563" s="76">
        <v>44958.27952546296</v>
      </c>
      <c r="X1563" s="80">
        <v>44958</v>
      </c>
      <c r="Y1563" s="78" t="s">
        <v>2420</v>
      </c>
      <c r="Z1563" s="79" t="str">
        <f>HYPERLINK("https://twitter.com/sber2dth/status/1620673936018083840")</f>
        <v>https://twitter.com/sber2dth/status/1620673936018083840</v>
      </c>
      <c r="AC1563" s="78" t="s">
        <v>3435</v>
      </c>
      <c r="AD1563" s="78" t="s">
        <v>4500</v>
      </c>
      <c r="AE1563" t="b">
        <v>0</v>
      </c>
      <c r="AF1563">
        <v>0</v>
      </c>
      <c r="AG1563" s="78" t="s">
        <v>4639</v>
      </c>
      <c r="AH1563" t="b">
        <v>0</v>
      </c>
      <c r="AI1563" t="s">
        <v>4829</v>
      </c>
      <c r="AK1563" s="78" t="s">
        <v>4640</v>
      </c>
      <c r="AL1563" t="b">
        <v>0</v>
      </c>
      <c r="AM1563">
        <v>0</v>
      </c>
      <c r="AN1563" s="78" t="s">
        <v>4640</v>
      </c>
      <c r="AO1563" s="78" t="s">
        <v>4849</v>
      </c>
      <c r="AP1563" t="b">
        <v>0</v>
      </c>
      <c r="AQ1563" s="78" t="s">
        <v>4500</v>
      </c>
      <c r="AR1563" t="s">
        <v>179</v>
      </c>
      <c r="AS1563">
        <v>0</v>
      </c>
      <c r="AT1563">
        <v>0</v>
      </c>
    </row>
    <row r="1564" spans="1:46" x14ac:dyDescent="0.45">
      <c r="A1564" s="62" t="s">
        <v>217</v>
      </c>
      <c r="B1564" s="62" t="s">
        <v>242</v>
      </c>
      <c r="C1564" s="63"/>
      <c r="D1564" s="64"/>
      <c r="E1564" s="65"/>
      <c r="F1564" s="66"/>
      <c r="G1564" s="63"/>
      <c r="H1564" s="67"/>
      <c r="I1564" s="68"/>
      <c r="J1564" s="68"/>
      <c r="K1564" s="32"/>
      <c r="L1564" s="75"/>
      <c r="M1564" s="75"/>
      <c r="N1564" s="70"/>
      <c r="O1564" t="s">
        <v>1567</v>
      </c>
      <c r="P1564" s="76">
        <v>44958.27952546296</v>
      </c>
      <c r="Q1564" t="s">
        <v>1571</v>
      </c>
      <c r="V1564" s="77" t="str">
        <f>HYPERLINK("https://pbs.twimg.com/profile_images/1619972449977655297/Uls49rtq_normal.jpg")</f>
        <v>https://pbs.twimg.com/profile_images/1619972449977655297/Uls49rtq_normal.jpg</v>
      </c>
      <c r="W1564" s="76">
        <v>44958.27952546296</v>
      </c>
      <c r="X1564" s="80">
        <v>44958</v>
      </c>
      <c r="Y1564" s="78" t="s">
        <v>2420</v>
      </c>
      <c r="Z1564" s="77" t="str">
        <f>HYPERLINK("https://twitter.com/sber2dth/status/1620673936018083840")</f>
        <v>https://twitter.com/sber2dth/status/1620673936018083840</v>
      </c>
      <c r="AC1564" s="78" t="s">
        <v>3435</v>
      </c>
      <c r="AD1564" s="78" t="s">
        <v>4500</v>
      </c>
      <c r="AE1564" t="b">
        <v>0</v>
      </c>
      <c r="AF1564">
        <v>0</v>
      </c>
      <c r="AG1564" s="78" t="s">
        <v>4639</v>
      </c>
      <c r="AH1564" t="b">
        <v>0</v>
      </c>
      <c r="AI1564" t="s">
        <v>4829</v>
      </c>
      <c r="AK1564" s="78" t="s">
        <v>4640</v>
      </c>
      <c r="AL1564" t="b">
        <v>0</v>
      </c>
      <c r="AM1564">
        <v>0</v>
      </c>
      <c r="AN1564" s="78" t="s">
        <v>4640</v>
      </c>
      <c r="AO1564" s="78" t="s">
        <v>4849</v>
      </c>
      <c r="AP1564" t="b">
        <v>0</v>
      </c>
      <c r="AQ1564" s="78" t="s">
        <v>4500</v>
      </c>
      <c r="AR1564" t="s">
        <v>179</v>
      </c>
      <c r="AS1564">
        <v>0</v>
      </c>
      <c r="AT1564">
        <v>0</v>
      </c>
    </row>
    <row r="1565" spans="1:46" x14ac:dyDescent="0.45">
      <c r="A1565" s="62" t="s">
        <v>218</v>
      </c>
      <c r="B1565" s="62" t="s">
        <v>1105</v>
      </c>
      <c r="C1565" s="63"/>
      <c r="D1565" s="64"/>
      <c r="E1565" s="65"/>
      <c r="F1565" s="66"/>
      <c r="G1565" s="63"/>
      <c r="H1565" s="67"/>
      <c r="I1565" s="68"/>
      <c r="J1565" s="68"/>
      <c r="K1565" s="32"/>
      <c r="L1565" s="75"/>
      <c r="M1565" s="75"/>
      <c r="N1565" s="70"/>
      <c r="O1565" t="s">
        <v>1568</v>
      </c>
      <c r="P1565" s="76">
        <v>44958.282361111109</v>
      </c>
      <c r="Q1565" t="s">
        <v>1572</v>
      </c>
      <c r="V1565" s="77" t="str">
        <f>HYPERLINK("https://pbs.twimg.com/profile_images/1536191839836983297/tydtftl6_normal.jpg")</f>
        <v>https://pbs.twimg.com/profile_images/1536191839836983297/tydtftl6_normal.jpg</v>
      </c>
      <c r="W1565" s="76">
        <v>44958.282361111109</v>
      </c>
      <c r="X1565" s="80">
        <v>44958</v>
      </c>
      <c r="Y1565" s="78" t="s">
        <v>2421</v>
      </c>
      <c r="Z1565" s="77" t="str">
        <f>HYPERLINK("https://twitter.com/flyyestcoopeva/status/1620674961450082305")</f>
        <v>https://twitter.com/flyyestcoopeva/status/1620674961450082305</v>
      </c>
      <c r="AC1565" s="78" t="s">
        <v>3436</v>
      </c>
      <c r="AE1565" t="b">
        <v>0</v>
      </c>
      <c r="AF1565">
        <v>0</v>
      </c>
      <c r="AG1565" s="78" t="s">
        <v>4640</v>
      </c>
      <c r="AH1565" t="b">
        <v>0</v>
      </c>
      <c r="AI1565" t="s">
        <v>4829</v>
      </c>
      <c r="AK1565" s="78" t="s">
        <v>4640</v>
      </c>
      <c r="AL1565" t="b">
        <v>0</v>
      </c>
      <c r="AM1565">
        <v>0</v>
      </c>
      <c r="AN1565" s="78" t="s">
        <v>4640</v>
      </c>
      <c r="AO1565" s="78" t="s">
        <v>4849</v>
      </c>
      <c r="AP1565" t="b">
        <v>0</v>
      </c>
      <c r="AQ1565" s="78" t="s">
        <v>3436</v>
      </c>
      <c r="AR1565" t="s">
        <v>179</v>
      </c>
      <c r="AS1565">
        <v>0</v>
      </c>
      <c r="AT1565">
        <v>0</v>
      </c>
    </row>
    <row r="1566" spans="1:46" x14ac:dyDescent="0.45">
      <c r="A1566" s="62" t="s">
        <v>218</v>
      </c>
      <c r="B1566" s="62" t="s">
        <v>242</v>
      </c>
      <c r="C1566" s="63"/>
      <c r="D1566" s="64"/>
      <c r="E1566" s="65"/>
      <c r="F1566" s="66"/>
      <c r="G1566" s="63"/>
      <c r="H1566" s="67"/>
      <c r="I1566" s="68"/>
      <c r="J1566" s="68"/>
      <c r="K1566" s="32"/>
      <c r="L1566" s="75"/>
      <c r="M1566" s="75"/>
      <c r="N1566" s="70"/>
      <c r="O1566" t="s">
        <v>1568</v>
      </c>
      <c r="P1566" s="76">
        <v>44958.282361111109</v>
      </c>
      <c r="Q1566" t="s">
        <v>1572</v>
      </c>
      <c r="V1566" s="77" t="str">
        <f>HYPERLINK("https://pbs.twimg.com/profile_images/1536191839836983297/tydtftl6_normal.jpg")</f>
        <v>https://pbs.twimg.com/profile_images/1536191839836983297/tydtftl6_normal.jpg</v>
      </c>
      <c r="W1566" s="76">
        <v>44958.282361111109</v>
      </c>
      <c r="X1566" s="80">
        <v>44958</v>
      </c>
      <c r="Y1566" s="78" t="s">
        <v>2421</v>
      </c>
      <c r="Z1566" s="77" t="str">
        <f>HYPERLINK("https://twitter.com/flyyestcoopeva/status/1620674961450082305")</f>
        <v>https://twitter.com/flyyestcoopeva/status/1620674961450082305</v>
      </c>
      <c r="AC1566" s="78" t="s">
        <v>3436</v>
      </c>
      <c r="AE1566" t="b">
        <v>0</v>
      </c>
      <c r="AF1566">
        <v>0</v>
      </c>
      <c r="AG1566" s="78" t="s">
        <v>4640</v>
      </c>
      <c r="AH1566" t="b">
        <v>0</v>
      </c>
      <c r="AI1566" t="s">
        <v>4829</v>
      </c>
      <c r="AK1566" s="78" t="s">
        <v>4640</v>
      </c>
      <c r="AL1566" t="b">
        <v>0</v>
      </c>
      <c r="AM1566">
        <v>0</v>
      </c>
      <c r="AN1566" s="78" t="s">
        <v>4640</v>
      </c>
      <c r="AO1566" s="78" t="s">
        <v>4849</v>
      </c>
      <c r="AP1566" t="b">
        <v>0</v>
      </c>
      <c r="AQ1566" s="78" t="s">
        <v>3436</v>
      </c>
      <c r="AR1566" t="s">
        <v>179</v>
      </c>
      <c r="AS1566">
        <v>0</v>
      </c>
      <c r="AT1566">
        <v>0</v>
      </c>
    </row>
    <row r="1567" spans="1:46" x14ac:dyDescent="0.45">
      <c r="A1567" s="62" t="s">
        <v>219</v>
      </c>
      <c r="B1567" s="62" t="s">
        <v>242</v>
      </c>
      <c r="C1567" s="63"/>
      <c r="D1567" s="64"/>
      <c r="E1567" s="65"/>
      <c r="F1567" s="66"/>
      <c r="G1567" s="63"/>
      <c r="H1567" s="67"/>
      <c r="I1567" s="68"/>
      <c r="J1567" s="68"/>
      <c r="K1567" s="32"/>
      <c r="L1567" s="75"/>
      <c r="M1567" s="75"/>
      <c r="N1567" s="70"/>
      <c r="O1567" t="s">
        <v>1568</v>
      </c>
      <c r="P1567" s="76">
        <v>44958.285914351851</v>
      </c>
      <c r="Q1567" t="s">
        <v>1573</v>
      </c>
      <c r="V1567" s="77" t="str">
        <f>HYPERLINK("https://pbs.twimg.com/profile_images/1614516500378828800/luflPE2i_normal.jpg")</f>
        <v>https://pbs.twimg.com/profile_images/1614516500378828800/luflPE2i_normal.jpg</v>
      </c>
      <c r="W1567" s="76">
        <v>44958.285914351851</v>
      </c>
      <c r="X1567" s="80">
        <v>44958</v>
      </c>
      <c r="Y1567" s="78" t="s">
        <v>2422</v>
      </c>
      <c r="Z1567" s="77" t="str">
        <f>HYPERLINK("https://twitter.com/dalton_hend/status/1620676249013075968")</f>
        <v>https://twitter.com/dalton_hend/status/1620676249013075968</v>
      </c>
      <c r="AC1567" s="78" t="s">
        <v>3437</v>
      </c>
      <c r="AD1567" s="78" t="s">
        <v>4501</v>
      </c>
      <c r="AE1567" t="b">
        <v>0</v>
      </c>
      <c r="AF1567">
        <v>0</v>
      </c>
      <c r="AG1567" s="78" t="s">
        <v>4641</v>
      </c>
      <c r="AH1567" t="b">
        <v>0</v>
      </c>
      <c r="AI1567" t="s">
        <v>4829</v>
      </c>
      <c r="AK1567" s="78" t="s">
        <v>4640</v>
      </c>
      <c r="AL1567" t="b">
        <v>0</v>
      </c>
      <c r="AM1567">
        <v>0</v>
      </c>
      <c r="AN1567" s="78" t="s">
        <v>4640</v>
      </c>
      <c r="AO1567" s="78" t="s">
        <v>4849</v>
      </c>
      <c r="AP1567" t="b">
        <v>0</v>
      </c>
      <c r="AQ1567" s="78" t="s">
        <v>4501</v>
      </c>
      <c r="AR1567" t="s">
        <v>179</v>
      </c>
      <c r="AS1567">
        <v>0</v>
      </c>
      <c r="AT1567">
        <v>0</v>
      </c>
    </row>
    <row r="1568" spans="1:46" x14ac:dyDescent="0.45">
      <c r="A1568" s="62" t="s">
        <v>219</v>
      </c>
      <c r="B1568" s="62" t="s">
        <v>1106</v>
      </c>
      <c r="C1568" s="63"/>
      <c r="D1568" s="64"/>
      <c r="E1568" s="65"/>
      <c r="F1568" s="66"/>
      <c r="G1568" s="63"/>
      <c r="H1568" s="67"/>
      <c r="I1568" s="68"/>
      <c r="J1568" s="68"/>
      <c r="K1568" s="32"/>
      <c r="L1568" s="75"/>
      <c r="M1568" s="75"/>
      <c r="N1568" s="70"/>
      <c r="O1568" t="s">
        <v>1568</v>
      </c>
      <c r="P1568" s="76">
        <v>44958.285914351851</v>
      </c>
      <c r="Q1568" t="s">
        <v>1573</v>
      </c>
      <c r="V1568" s="77" t="str">
        <f>HYPERLINK("https://pbs.twimg.com/profile_images/1614516500378828800/luflPE2i_normal.jpg")</f>
        <v>https://pbs.twimg.com/profile_images/1614516500378828800/luflPE2i_normal.jpg</v>
      </c>
      <c r="W1568" s="76">
        <v>44958.285914351851</v>
      </c>
      <c r="X1568" s="80">
        <v>44958</v>
      </c>
      <c r="Y1568" s="78" t="s">
        <v>2422</v>
      </c>
      <c r="Z1568" s="77" t="str">
        <f>HYPERLINK("https://twitter.com/dalton_hend/status/1620676249013075968")</f>
        <v>https://twitter.com/dalton_hend/status/1620676249013075968</v>
      </c>
      <c r="AC1568" s="78" t="s">
        <v>3437</v>
      </c>
      <c r="AD1568" s="78" t="s">
        <v>4501</v>
      </c>
      <c r="AE1568" t="b">
        <v>0</v>
      </c>
      <c r="AF1568">
        <v>0</v>
      </c>
      <c r="AG1568" s="78" t="s">
        <v>4641</v>
      </c>
      <c r="AH1568" t="b">
        <v>0</v>
      </c>
      <c r="AI1568" t="s">
        <v>4829</v>
      </c>
      <c r="AK1568" s="78" t="s">
        <v>4640</v>
      </c>
      <c r="AL1568" t="b">
        <v>0</v>
      </c>
      <c r="AM1568">
        <v>0</v>
      </c>
      <c r="AN1568" s="78" t="s">
        <v>4640</v>
      </c>
      <c r="AO1568" s="78" t="s">
        <v>4849</v>
      </c>
      <c r="AP1568" t="b">
        <v>0</v>
      </c>
      <c r="AQ1568" s="78" t="s">
        <v>4501</v>
      </c>
      <c r="AR1568" t="s">
        <v>179</v>
      </c>
      <c r="AS1568">
        <v>0</v>
      </c>
      <c r="AT1568">
        <v>0</v>
      </c>
    </row>
    <row r="1569" spans="1:46" x14ac:dyDescent="0.45">
      <c r="A1569" s="62" t="s">
        <v>219</v>
      </c>
      <c r="B1569" s="62" t="s">
        <v>1107</v>
      </c>
      <c r="C1569" s="63"/>
      <c r="D1569" s="64"/>
      <c r="E1569" s="65"/>
      <c r="F1569" s="66"/>
      <c r="G1569" s="63"/>
      <c r="H1569" s="67"/>
      <c r="I1569" s="68"/>
      <c r="J1569" s="68"/>
      <c r="K1569" s="32"/>
      <c r="L1569" s="75"/>
      <c r="M1569" s="75"/>
      <c r="N1569" s="70"/>
      <c r="O1569" t="s">
        <v>1567</v>
      </c>
      <c r="P1569" s="76">
        <v>44958.285914351851</v>
      </c>
      <c r="Q1569" t="s">
        <v>1573</v>
      </c>
      <c r="V1569" s="77" t="str">
        <f>HYPERLINK("https://pbs.twimg.com/profile_images/1614516500378828800/luflPE2i_normal.jpg")</f>
        <v>https://pbs.twimg.com/profile_images/1614516500378828800/luflPE2i_normal.jpg</v>
      </c>
      <c r="W1569" s="76">
        <v>44958.285914351851</v>
      </c>
      <c r="X1569" s="80">
        <v>44958</v>
      </c>
      <c r="Y1569" s="78" t="s">
        <v>2422</v>
      </c>
      <c r="Z1569" s="77" t="str">
        <f>HYPERLINK("https://twitter.com/dalton_hend/status/1620676249013075968")</f>
        <v>https://twitter.com/dalton_hend/status/1620676249013075968</v>
      </c>
      <c r="AC1569" s="78" t="s">
        <v>3437</v>
      </c>
      <c r="AD1569" s="78" t="s">
        <v>4501</v>
      </c>
      <c r="AE1569" t="b">
        <v>0</v>
      </c>
      <c r="AF1569">
        <v>0</v>
      </c>
      <c r="AG1569" s="78" t="s">
        <v>4641</v>
      </c>
      <c r="AH1569" t="b">
        <v>0</v>
      </c>
      <c r="AI1569" t="s">
        <v>4829</v>
      </c>
      <c r="AK1569" s="78" t="s">
        <v>4640</v>
      </c>
      <c r="AL1569" t="b">
        <v>0</v>
      </c>
      <c r="AM1569">
        <v>0</v>
      </c>
      <c r="AN1569" s="78" t="s">
        <v>4640</v>
      </c>
      <c r="AO1569" s="78" t="s">
        <v>4849</v>
      </c>
      <c r="AP1569" t="b">
        <v>0</v>
      </c>
      <c r="AQ1569" s="78" t="s">
        <v>4501</v>
      </c>
      <c r="AR1569" t="s">
        <v>179</v>
      </c>
      <c r="AS1569">
        <v>0</v>
      </c>
      <c r="AT1569">
        <v>0</v>
      </c>
    </row>
    <row r="1570" spans="1:46" x14ac:dyDescent="0.45">
      <c r="A1570" s="62" t="s">
        <v>221</v>
      </c>
      <c r="B1570" s="62" t="s">
        <v>242</v>
      </c>
      <c r="C1570" s="63"/>
      <c r="D1570" s="64"/>
      <c r="E1570" s="65"/>
      <c r="F1570" s="66"/>
      <c r="G1570" s="63"/>
      <c r="H1570" s="67"/>
      <c r="I1570" s="68"/>
      <c r="J1570" s="68"/>
      <c r="K1570" s="32"/>
      <c r="L1570" s="75"/>
      <c r="M1570" s="75"/>
      <c r="N1570" s="70"/>
      <c r="O1570" t="s">
        <v>1569</v>
      </c>
      <c r="P1570" s="76">
        <v>44958.291944444441</v>
      </c>
      <c r="Q1570" t="s">
        <v>1575</v>
      </c>
      <c r="V1570" s="77" t="str">
        <f>HYPERLINK("https://pbs.twimg.com/profile_images/1547233885360369665/TUN2BIfq_normal.jpg")</f>
        <v>https://pbs.twimg.com/profile_images/1547233885360369665/TUN2BIfq_normal.jpg</v>
      </c>
      <c r="W1570" s="76">
        <v>44958.291944444441</v>
      </c>
      <c r="X1570" s="80">
        <v>44958</v>
      </c>
      <c r="Y1570" s="78" t="s">
        <v>2424</v>
      </c>
      <c r="Z1570" s="77" t="str">
        <f>HYPERLINK("https://twitter.com/kylala81848300/status/1620678434996514822")</f>
        <v>https://twitter.com/kylala81848300/status/1620678434996514822</v>
      </c>
      <c r="AC1570" s="78" t="s">
        <v>3439</v>
      </c>
      <c r="AE1570" t="b">
        <v>0</v>
      </c>
      <c r="AF1570">
        <v>0</v>
      </c>
      <c r="AG1570" s="78" t="s">
        <v>4640</v>
      </c>
      <c r="AH1570" t="b">
        <v>0</v>
      </c>
      <c r="AI1570" t="s">
        <v>4829</v>
      </c>
      <c r="AK1570" s="78" t="s">
        <v>4640</v>
      </c>
      <c r="AL1570" t="b">
        <v>0</v>
      </c>
      <c r="AM1570">
        <v>60</v>
      </c>
      <c r="AN1570" s="78" t="s">
        <v>4488</v>
      </c>
      <c r="AO1570" s="78" t="s">
        <v>4851</v>
      </c>
      <c r="AP1570" t="b">
        <v>0</v>
      </c>
      <c r="AQ1570" s="78" t="s">
        <v>4488</v>
      </c>
      <c r="AR1570" t="s">
        <v>179</v>
      </c>
      <c r="AS1570">
        <v>0</v>
      </c>
      <c r="AT1570">
        <v>0</v>
      </c>
    </row>
    <row r="1571" spans="1:46" x14ac:dyDescent="0.45">
      <c r="A1571" s="62" t="s">
        <v>225</v>
      </c>
      <c r="B1571" s="62" t="s">
        <v>1116</v>
      </c>
      <c r="C1571" s="63"/>
      <c r="D1571" s="64"/>
      <c r="E1571" s="65"/>
      <c r="F1571" s="66"/>
      <c r="G1571" s="63"/>
      <c r="H1571" s="67"/>
      <c r="I1571" s="68"/>
      <c r="J1571" s="68"/>
      <c r="K1571" s="32"/>
      <c r="L1571" s="75"/>
      <c r="M1571" s="75"/>
      <c r="N1571" s="70"/>
      <c r="O1571" t="s">
        <v>1567</v>
      </c>
      <c r="P1571" s="76">
        <v>44958.301678240743</v>
      </c>
      <c r="Q1571" t="s">
        <v>1579</v>
      </c>
      <c r="V1571" s="77" t="str">
        <f>HYPERLINK("https://pbs.twimg.com/profile_images/1621076990789812224/V4c2N9Ul_normal.jpg")</f>
        <v>https://pbs.twimg.com/profile_images/1621076990789812224/V4c2N9Ul_normal.jpg</v>
      </c>
      <c r="W1571" s="76">
        <v>44958.301678240743</v>
      </c>
      <c r="X1571" s="80">
        <v>44958</v>
      </c>
      <c r="Y1571" s="78" t="s">
        <v>2428</v>
      </c>
      <c r="Z1571" s="77" t="str">
        <f>HYPERLINK("https://twitter.com/nucicoms/status/1620681962414551041")</f>
        <v>https://twitter.com/nucicoms/status/1620681962414551041</v>
      </c>
      <c r="AC1571" s="78" t="s">
        <v>3443</v>
      </c>
      <c r="AD1571" s="78" t="s">
        <v>4503</v>
      </c>
      <c r="AE1571" t="b">
        <v>0</v>
      </c>
      <c r="AF1571">
        <v>0</v>
      </c>
      <c r="AG1571" s="78" t="s">
        <v>4645</v>
      </c>
      <c r="AH1571" t="b">
        <v>0</v>
      </c>
      <c r="AI1571" t="s">
        <v>4829</v>
      </c>
      <c r="AK1571" s="78" t="s">
        <v>4640</v>
      </c>
      <c r="AL1571" t="b">
        <v>0</v>
      </c>
      <c r="AM1571">
        <v>0</v>
      </c>
      <c r="AN1571" s="78" t="s">
        <v>4640</v>
      </c>
      <c r="AO1571" s="78" t="s">
        <v>4850</v>
      </c>
      <c r="AP1571" t="b">
        <v>0</v>
      </c>
      <c r="AQ1571" s="78" t="s">
        <v>4503</v>
      </c>
      <c r="AR1571" t="s">
        <v>179</v>
      </c>
      <c r="AS1571">
        <v>0</v>
      </c>
      <c r="AT1571">
        <v>0</v>
      </c>
    </row>
    <row r="1572" spans="1:46" x14ac:dyDescent="0.45">
      <c r="A1572" s="62" t="s">
        <v>225</v>
      </c>
      <c r="B1572" s="62" t="s">
        <v>242</v>
      </c>
      <c r="C1572" s="63"/>
      <c r="D1572" s="64"/>
      <c r="E1572" s="65"/>
      <c r="F1572" s="66"/>
      <c r="G1572" s="63"/>
      <c r="H1572" s="67"/>
      <c r="I1572" s="68"/>
      <c r="J1572" s="68"/>
      <c r="K1572" s="32"/>
      <c r="L1572" s="75"/>
      <c r="M1572" s="75"/>
      <c r="N1572" s="70"/>
      <c r="O1572" t="s">
        <v>1568</v>
      </c>
      <c r="P1572" s="76">
        <v>44958.301678240743</v>
      </c>
      <c r="Q1572" t="s">
        <v>1579</v>
      </c>
      <c r="V1572" s="77" t="str">
        <f>HYPERLINK("https://pbs.twimg.com/profile_images/1621076990789812224/V4c2N9Ul_normal.jpg")</f>
        <v>https://pbs.twimg.com/profile_images/1621076990789812224/V4c2N9Ul_normal.jpg</v>
      </c>
      <c r="W1572" s="76">
        <v>44958.301678240743</v>
      </c>
      <c r="X1572" s="80">
        <v>44958</v>
      </c>
      <c r="Y1572" s="78" t="s">
        <v>2428</v>
      </c>
      <c r="Z1572" s="77" t="str">
        <f>HYPERLINK("https://twitter.com/nucicoms/status/1620681962414551041")</f>
        <v>https://twitter.com/nucicoms/status/1620681962414551041</v>
      </c>
      <c r="AC1572" s="78" t="s">
        <v>3443</v>
      </c>
      <c r="AD1572" s="78" t="s">
        <v>4503</v>
      </c>
      <c r="AE1572" t="b">
        <v>0</v>
      </c>
      <c r="AF1572">
        <v>0</v>
      </c>
      <c r="AG1572" s="78" t="s">
        <v>4645</v>
      </c>
      <c r="AH1572" t="b">
        <v>0</v>
      </c>
      <c r="AI1572" t="s">
        <v>4829</v>
      </c>
      <c r="AK1572" s="78" t="s">
        <v>4640</v>
      </c>
      <c r="AL1572" t="b">
        <v>0</v>
      </c>
      <c r="AM1572">
        <v>0</v>
      </c>
      <c r="AN1572" s="78" t="s">
        <v>4640</v>
      </c>
      <c r="AO1572" s="78" t="s">
        <v>4850</v>
      </c>
      <c r="AP1572" t="b">
        <v>0</v>
      </c>
      <c r="AQ1572" s="78" t="s">
        <v>4503</v>
      </c>
      <c r="AR1572" t="s">
        <v>179</v>
      </c>
      <c r="AS1572">
        <v>0</v>
      </c>
      <c r="AT1572">
        <v>0</v>
      </c>
    </row>
    <row r="1573" spans="1:46" x14ac:dyDescent="0.45">
      <c r="A1573" s="62" t="s">
        <v>225</v>
      </c>
      <c r="B1573" s="62" t="s">
        <v>1117</v>
      </c>
      <c r="C1573" s="63"/>
      <c r="D1573" s="64"/>
      <c r="E1573" s="65"/>
      <c r="F1573" s="66"/>
      <c r="G1573" s="63"/>
      <c r="H1573" s="67"/>
      <c r="I1573" s="68"/>
      <c r="J1573" s="68"/>
      <c r="K1573" s="32"/>
      <c r="L1573" s="75"/>
      <c r="M1573" s="75"/>
      <c r="N1573" s="70"/>
      <c r="O1573" t="s">
        <v>1568</v>
      </c>
      <c r="P1573" s="76">
        <v>44958.301678240743</v>
      </c>
      <c r="Q1573" t="s">
        <v>1579</v>
      </c>
      <c r="V1573" s="77" t="str">
        <f>HYPERLINK("https://pbs.twimg.com/profile_images/1621076990789812224/V4c2N9Ul_normal.jpg")</f>
        <v>https://pbs.twimg.com/profile_images/1621076990789812224/V4c2N9Ul_normal.jpg</v>
      </c>
      <c r="W1573" s="76">
        <v>44958.301678240743</v>
      </c>
      <c r="X1573" s="80">
        <v>44958</v>
      </c>
      <c r="Y1573" s="78" t="s">
        <v>2428</v>
      </c>
      <c r="Z1573" s="77" t="str">
        <f>HYPERLINK("https://twitter.com/nucicoms/status/1620681962414551041")</f>
        <v>https://twitter.com/nucicoms/status/1620681962414551041</v>
      </c>
      <c r="AC1573" s="78" t="s">
        <v>3443</v>
      </c>
      <c r="AD1573" s="78" t="s">
        <v>4503</v>
      </c>
      <c r="AE1573" t="b">
        <v>0</v>
      </c>
      <c r="AF1573">
        <v>0</v>
      </c>
      <c r="AG1573" s="78" t="s">
        <v>4645</v>
      </c>
      <c r="AH1573" t="b">
        <v>0</v>
      </c>
      <c r="AI1573" t="s">
        <v>4829</v>
      </c>
      <c r="AK1573" s="78" t="s">
        <v>4640</v>
      </c>
      <c r="AL1573" t="b">
        <v>0</v>
      </c>
      <c r="AM1573">
        <v>0</v>
      </c>
      <c r="AN1573" s="78" t="s">
        <v>4640</v>
      </c>
      <c r="AO1573" s="78" t="s">
        <v>4850</v>
      </c>
      <c r="AP1573" t="b">
        <v>0</v>
      </c>
      <c r="AQ1573" s="78" t="s">
        <v>4503</v>
      </c>
      <c r="AR1573" t="s">
        <v>179</v>
      </c>
      <c r="AS1573">
        <v>0</v>
      </c>
      <c r="AT1573">
        <v>0</v>
      </c>
    </row>
    <row r="1574" spans="1:46" x14ac:dyDescent="0.45">
      <c r="A1574" s="62" t="s">
        <v>227</v>
      </c>
      <c r="B1574" s="62" t="s">
        <v>1118</v>
      </c>
      <c r="C1574" s="63"/>
      <c r="D1574" s="64"/>
      <c r="E1574" s="65"/>
      <c r="F1574" s="66"/>
      <c r="G1574" s="63"/>
      <c r="H1574" s="67"/>
      <c r="I1574" s="68"/>
      <c r="J1574" s="68"/>
      <c r="K1574" s="32"/>
      <c r="L1574" s="75"/>
      <c r="M1574" s="75"/>
      <c r="N1574" s="70"/>
      <c r="O1574" t="s">
        <v>1567</v>
      </c>
      <c r="P1574" s="76">
        <v>44958.307337962964</v>
      </c>
      <c r="Q1574" t="s">
        <v>1581</v>
      </c>
      <c r="V1574" s="77" t="str">
        <f>HYPERLINK("https://pbs.twimg.com/profile_images/1533674818255454209/xCfvaAnV_normal.jpg")</f>
        <v>https://pbs.twimg.com/profile_images/1533674818255454209/xCfvaAnV_normal.jpg</v>
      </c>
      <c r="W1574" s="76">
        <v>44958.307337962964</v>
      </c>
      <c r="X1574" s="80">
        <v>44958</v>
      </c>
      <c r="Y1574" s="78" t="s">
        <v>2430</v>
      </c>
      <c r="Z1574" s="77" t="str">
        <f>HYPERLINK("https://twitter.com/oldtehanu/status/1620684014356172801")</f>
        <v>https://twitter.com/oldtehanu/status/1620684014356172801</v>
      </c>
      <c r="AC1574" s="78" t="s">
        <v>3445</v>
      </c>
      <c r="AD1574" s="78" t="s">
        <v>4504</v>
      </c>
      <c r="AE1574" t="b">
        <v>0</v>
      </c>
      <c r="AF1574">
        <v>0</v>
      </c>
      <c r="AG1574" s="78" t="s">
        <v>4647</v>
      </c>
      <c r="AH1574" t="b">
        <v>0</v>
      </c>
      <c r="AI1574" t="s">
        <v>4829</v>
      </c>
      <c r="AK1574" s="78" t="s">
        <v>4640</v>
      </c>
      <c r="AL1574" t="b">
        <v>0</v>
      </c>
      <c r="AM1574">
        <v>0</v>
      </c>
      <c r="AN1574" s="78" t="s">
        <v>4640</v>
      </c>
      <c r="AO1574" s="78" t="s">
        <v>4851</v>
      </c>
      <c r="AP1574" t="b">
        <v>0</v>
      </c>
      <c r="AQ1574" s="78" t="s">
        <v>4504</v>
      </c>
      <c r="AR1574" t="s">
        <v>179</v>
      </c>
      <c r="AS1574">
        <v>0</v>
      </c>
      <c r="AT1574">
        <v>0</v>
      </c>
    </row>
    <row r="1575" spans="1:46" x14ac:dyDescent="0.45">
      <c r="A1575" s="62" t="s">
        <v>227</v>
      </c>
      <c r="B1575" s="62" t="s">
        <v>242</v>
      </c>
      <c r="C1575" s="63"/>
      <c r="D1575" s="64"/>
      <c r="E1575" s="65"/>
      <c r="F1575" s="66"/>
      <c r="G1575" s="63"/>
      <c r="H1575" s="67"/>
      <c r="I1575" s="68"/>
      <c r="J1575" s="68"/>
      <c r="K1575" s="32"/>
      <c r="L1575" s="75"/>
      <c r="M1575" s="75"/>
      <c r="N1575" s="70"/>
      <c r="O1575" t="s">
        <v>1568</v>
      </c>
      <c r="P1575" s="76">
        <v>44958.307337962964</v>
      </c>
      <c r="Q1575" t="s">
        <v>1581</v>
      </c>
      <c r="V1575" s="77" t="str">
        <f>HYPERLINK("https://pbs.twimg.com/profile_images/1533674818255454209/xCfvaAnV_normal.jpg")</f>
        <v>https://pbs.twimg.com/profile_images/1533674818255454209/xCfvaAnV_normal.jpg</v>
      </c>
      <c r="W1575" s="76">
        <v>44958.307337962964</v>
      </c>
      <c r="X1575" s="80">
        <v>44958</v>
      </c>
      <c r="Y1575" s="78" t="s">
        <v>2430</v>
      </c>
      <c r="Z1575" s="77" t="str">
        <f>HYPERLINK("https://twitter.com/oldtehanu/status/1620684014356172801")</f>
        <v>https://twitter.com/oldtehanu/status/1620684014356172801</v>
      </c>
      <c r="AC1575" s="78" t="s">
        <v>3445</v>
      </c>
      <c r="AD1575" s="78" t="s">
        <v>4504</v>
      </c>
      <c r="AE1575" t="b">
        <v>0</v>
      </c>
      <c r="AF1575">
        <v>0</v>
      </c>
      <c r="AG1575" s="78" t="s">
        <v>4647</v>
      </c>
      <c r="AH1575" t="b">
        <v>0</v>
      </c>
      <c r="AI1575" t="s">
        <v>4829</v>
      </c>
      <c r="AK1575" s="78" t="s">
        <v>4640</v>
      </c>
      <c r="AL1575" t="b">
        <v>0</v>
      </c>
      <c r="AM1575">
        <v>0</v>
      </c>
      <c r="AN1575" s="78" t="s">
        <v>4640</v>
      </c>
      <c r="AO1575" s="78" t="s">
        <v>4851</v>
      </c>
      <c r="AP1575" t="b">
        <v>0</v>
      </c>
      <c r="AQ1575" s="78" t="s">
        <v>4504</v>
      </c>
      <c r="AR1575" t="s">
        <v>179</v>
      </c>
      <c r="AS1575">
        <v>0</v>
      </c>
      <c r="AT1575">
        <v>0</v>
      </c>
    </row>
    <row r="1576" spans="1:46" x14ac:dyDescent="0.45">
      <c r="A1576" s="62" t="s">
        <v>232</v>
      </c>
      <c r="B1576" s="62" t="s">
        <v>242</v>
      </c>
      <c r="C1576" s="63"/>
      <c r="D1576" s="64"/>
      <c r="E1576" s="65"/>
      <c r="F1576" s="66"/>
      <c r="G1576" s="63"/>
      <c r="H1576" s="67"/>
      <c r="I1576" s="68"/>
      <c r="J1576" s="68"/>
      <c r="K1576" s="32"/>
      <c r="L1576" s="75"/>
      <c r="M1576" s="75"/>
      <c r="N1576" s="70"/>
      <c r="O1576" t="s">
        <v>1567</v>
      </c>
      <c r="P1576" s="76">
        <v>44958.326562499999</v>
      </c>
      <c r="Q1576" t="s">
        <v>1585</v>
      </c>
      <c r="V1576" s="77" t="str">
        <f>HYPERLINK("https://pbs.twimg.com/profile_images/1536543138/knoppix_normal.jpg")</f>
        <v>https://pbs.twimg.com/profile_images/1536543138/knoppix_normal.jpg</v>
      </c>
      <c r="W1576" s="76">
        <v>44958.326562499999</v>
      </c>
      <c r="X1576" s="80">
        <v>44958</v>
      </c>
      <c r="Y1576" s="78" t="s">
        <v>2435</v>
      </c>
      <c r="Z1576" s="77" t="str">
        <f>HYPERLINK("https://twitter.com/acrolisx/status/1620690982080778243")</f>
        <v>https://twitter.com/acrolisx/status/1620690982080778243</v>
      </c>
      <c r="AC1576" s="78" t="s">
        <v>3450</v>
      </c>
      <c r="AE1576" t="b">
        <v>0</v>
      </c>
      <c r="AF1576">
        <v>0</v>
      </c>
      <c r="AG1576" s="78" t="s">
        <v>4639</v>
      </c>
      <c r="AH1576" t="b">
        <v>0</v>
      </c>
      <c r="AI1576" t="s">
        <v>4829</v>
      </c>
      <c r="AK1576" s="78" t="s">
        <v>4640</v>
      </c>
      <c r="AL1576" t="b">
        <v>0</v>
      </c>
      <c r="AM1576">
        <v>0</v>
      </c>
      <c r="AN1576" s="78" t="s">
        <v>4640</v>
      </c>
      <c r="AO1576" s="78" t="s">
        <v>4850</v>
      </c>
      <c r="AP1576" t="b">
        <v>0</v>
      </c>
      <c r="AQ1576" s="78" t="s">
        <v>3450</v>
      </c>
      <c r="AR1576" t="s">
        <v>179</v>
      </c>
      <c r="AS1576">
        <v>0</v>
      </c>
      <c r="AT1576">
        <v>0</v>
      </c>
    </row>
    <row r="1577" spans="1:46" x14ac:dyDescent="0.45">
      <c r="A1577" s="62" t="s">
        <v>233</v>
      </c>
      <c r="B1577" s="62" t="s">
        <v>1132</v>
      </c>
      <c r="C1577" s="63"/>
      <c r="D1577" s="64"/>
      <c r="E1577" s="65"/>
      <c r="F1577" s="66"/>
      <c r="G1577" s="63"/>
      <c r="H1577" s="67"/>
      <c r="I1577" s="68"/>
      <c r="J1577" s="68"/>
      <c r="K1577" s="32"/>
      <c r="L1577" s="75"/>
      <c r="M1577" s="75"/>
      <c r="N1577" s="70"/>
      <c r="O1577" t="s">
        <v>1567</v>
      </c>
      <c r="P1577" s="76">
        <v>44958.334548611114</v>
      </c>
      <c r="Q1577" t="s">
        <v>1586</v>
      </c>
      <c r="V1577" s="77" t="str">
        <f>HYPERLINK("https://pbs.twimg.com/profile_images/553960870154600448/KQ1cG2eq_normal.jpeg")</f>
        <v>https://pbs.twimg.com/profile_images/553960870154600448/KQ1cG2eq_normal.jpeg</v>
      </c>
      <c r="W1577" s="76">
        <v>44958.334548611114</v>
      </c>
      <c r="X1577" s="80">
        <v>44958</v>
      </c>
      <c r="Y1577" s="78" t="s">
        <v>2436</v>
      </c>
      <c r="Z1577" s="77" t="str">
        <f>HYPERLINK("https://twitter.com/cindyaubrey/status/1620693875525304321")</f>
        <v>https://twitter.com/cindyaubrey/status/1620693875525304321</v>
      </c>
      <c r="AC1577" s="78" t="s">
        <v>3451</v>
      </c>
      <c r="AD1577" s="78" t="s">
        <v>4505</v>
      </c>
      <c r="AE1577" t="b">
        <v>0</v>
      </c>
      <c r="AF1577">
        <v>0</v>
      </c>
      <c r="AG1577" s="78" t="s">
        <v>4648</v>
      </c>
      <c r="AH1577" t="b">
        <v>0</v>
      </c>
      <c r="AI1577" t="s">
        <v>4829</v>
      </c>
      <c r="AK1577" s="78" t="s">
        <v>4640</v>
      </c>
      <c r="AL1577" t="b">
        <v>0</v>
      </c>
      <c r="AM1577">
        <v>0</v>
      </c>
      <c r="AN1577" s="78" t="s">
        <v>4640</v>
      </c>
      <c r="AO1577" s="78" t="s">
        <v>4849</v>
      </c>
      <c r="AP1577" t="b">
        <v>0</v>
      </c>
      <c r="AQ1577" s="78" t="s">
        <v>4505</v>
      </c>
      <c r="AR1577" t="s">
        <v>179</v>
      </c>
      <c r="AS1577">
        <v>0</v>
      </c>
      <c r="AT1577">
        <v>0</v>
      </c>
    </row>
    <row r="1578" spans="1:46" x14ac:dyDescent="0.45">
      <c r="A1578" s="62" t="s">
        <v>233</v>
      </c>
      <c r="B1578" s="62" t="s">
        <v>242</v>
      </c>
      <c r="C1578" s="63"/>
      <c r="D1578" s="64"/>
      <c r="E1578" s="65"/>
      <c r="F1578" s="66"/>
      <c r="G1578" s="63"/>
      <c r="H1578" s="67"/>
      <c r="I1578" s="68"/>
      <c r="J1578" s="68"/>
      <c r="K1578" s="32"/>
      <c r="L1578" s="75"/>
      <c r="M1578" s="75"/>
      <c r="N1578" s="70"/>
      <c r="O1578" t="s">
        <v>1568</v>
      </c>
      <c r="P1578" s="76">
        <v>44958.334548611114</v>
      </c>
      <c r="Q1578" t="s">
        <v>1586</v>
      </c>
      <c r="V1578" s="77" t="str">
        <f>HYPERLINK("https://pbs.twimg.com/profile_images/553960870154600448/KQ1cG2eq_normal.jpeg")</f>
        <v>https://pbs.twimg.com/profile_images/553960870154600448/KQ1cG2eq_normal.jpeg</v>
      </c>
      <c r="W1578" s="76">
        <v>44958.334548611114</v>
      </c>
      <c r="X1578" s="80">
        <v>44958</v>
      </c>
      <c r="Y1578" s="78" t="s">
        <v>2436</v>
      </c>
      <c r="Z1578" s="77" t="str">
        <f>HYPERLINK("https://twitter.com/cindyaubrey/status/1620693875525304321")</f>
        <v>https://twitter.com/cindyaubrey/status/1620693875525304321</v>
      </c>
      <c r="AC1578" s="78" t="s">
        <v>3451</v>
      </c>
      <c r="AD1578" s="78" t="s">
        <v>4505</v>
      </c>
      <c r="AE1578" t="b">
        <v>0</v>
      </c>
      <c r="AF1578">
        <v>0</v>
      </c>
      <c r="AG1578" s="78" t="s">
        <v>4648</v>
      </c>
      <c r="AH1578" t="b">
        <v>0</v>
      </c>
      <c r="AI1578" t="s">
        <v>4829</v>
      </c>
      <c r="AK1578" s="78" t="s">
        <v>4640</v>
      </c>
      <c r="AL1578" t="b">
        <v>0</v>
      </c>
      <c r="AM1578">
        <v>0</v>
      </c>
      <c r="AN1578" s="78" t="s">
        <v>4640</v>
      </c>
      <c r="AO1578" s="78" t="s">
        <v>4849</v>
      </c>
      <c r="AP1578" t="b">
        <v>0</v>
      </c>
      <c r="AQ1578" s="78" t="s">
        <v>4505</v>
      </c>
      <c r="AR1578" t="s">
        <v>179</v>
      </c>
      <c r="AS1578">
        <v>0</v>
      </c>
      <c r="AT1578">
        <v>0</v>
      </c>
    </row>
    <row r="1579" spans="1:46" x14ac:dyDescent="0.45">
      <c r="A1579" s="62" t="s">
        <v>234</v>
      </c>
      <c r="B1579" s="62" t="s">
        <v>242</v>
      </c>
      <c r="C1579" s="63"/>
      <c r="D1579" s="64"/>
      <c r="E1579" s="65"/>
      <c r="F1579" s="66"/>
      <c r="G1579" s="63"/>
      <c r="H1579" s="67"/>
      <c r="I1579" s="68"/>
      <c r="J1579" s="68"/>
      <c r="K1579" s="32"/>
      <c r="L1579" s="75"/>
      <c r="M1579" s="75"/>
      <c r="N1579" s="70"/>
      <c r="O1579" t="s">
        <v>1568</v>
      </c>
      <c r="P1579" s="76">
        <v>44958.333865740744</v>
      </c>
      <c r="Q1579" t="s">
        <v>1587</v>
      </c>
      <c r="V1579" s="77" t="str">
        <f>HYPERLINK("https://pbs.twimg.com/profile_images/1583353137007566849/I0Z7Q_en_normal.png")</f>
        <v>https://pbs.twimg.com/profile_images/1583353137007566849/I0Z7Q_en_normal.png</v>
      </c>
      <c r="W1579" s="76">
        <v>44958.333865740744</v>
      </c>
      <c r="X1579" s="80">
        <v>44958</v>
      </c>
      <c r="Y1579" s="78" t="s">
        <v>2437</v>
      </c>
      <c r="Z1579" s="77" t="str">
        <f>HYPERLINK("https://twitter.com/degen_jordan/status/1620693627579297792")</f>
        <v>https://twitter.com/degen_jordan/status/1620693627579297792</v>
      </c>
      <c r="AC1579" s="78" t="s">
        <v>3452</v>
      </c>
      <c r="AD1579" s="78" t="s">
        <v>4506</v>
      </c>
      <c r="AE1579" t="b">
        <v>0</v>
      </c>
      <c r="AF1579">
        <v>0</v>
      </c>
      <c r="AG1579" s="78" t="s">
        <v>4649</v>
      </c>
      <c r="AH1579" t="b">
        <v>0</v>
      </c>
      <c r="AI1579" t="s">
        <v>4829</v>
      </c>
      <c r="AK1579" s="78" t="s">
        <v>4640</v>
      </c>
      <c r="AL1579" t="b">
        <v>0</v>
      </c>
      <c r="AM1579">
        <v>0</v>
      </c>
      <c r="AN1579" s="78" t="s">
        <v>4640</v>
      </c>
      <c r="AO1579" s="78" t="s">
        <v>4849</v>
      </c>
      <c r="AP1579" t="b">
        <v>0</v>
      </c>
      <c r="AQ1579" s="78" t="s">
        <v>4506</v>
      </c>
      <c r="AR1579" t="s">
        <v>179</v>
      </c>
      <c r="AS1579">
        <v>0</v>
      </c>
      <c r="AT1579">
        <v>0</v>
      </c>
    </row>
    <row r="1580" spans="1:46" x14ac:dyDescent="0.45">
      <c r="A1580" s="62" t="s">
        <v>234</v>
      </c>
      <c r="B1580" s="62" t="s">
        <v>235</v>
      </c>
      <c r="C1580" s="63"/>
      <c r="D1580" s="64"/>
      <c r="E1580" s="65"/>
      <c r="F1580" s="66"/>
      <c r="G1580" s="63"/>
      <c r="H1580" s="67"/>
      <c r="I1580" s="68"/>
      <c r="J1580" s="68"/>
      <c r="K1580" s="32"/>
      <c r="L1580" s="75"/>
      <c r="M1580" s="75"/>
      <c r="N1580" s="70"/>
      <c r="O1580" t="s">
        <v>1567</v>
      </c>
      <c r="P1580" s="76">
        <v>44958.333865740744</v>
      </c>
      <c r="Q1580" t="s">
        <v>1587</v>
      </c>
      <c r="V1580" s="77" t="str">
        <f>HYPERLINK("https://pbs.twimg.com/profile_images/1583353137007566849/I0Z7Q_en_normal.png")</f>
        <v>https://pbs.twimg.com/profile_images/1583353137007566849/I0Z7Q_en_normal.png</v>
      </c>
      <c r="W1580" s="76">
        <v>44958.333865740744</v>
      </c>
      <c r="X1580" s="80">
        <v>44958</v>
      </c>
      <c r="Y1580" s="78" t="s">
        <v>2437</v>
      </c>
      <c r="Z1580" s="77" t="str">
        <f>HYPERLINK("https://twitter.com/degen_jordan/status/1620693627579297792")</f>
        <v>https://twitter.com/degen_jordan/status/1620693627579297792</v>
      </c>
      <c r="AC1580" s="78" t="s">
        <v>3452</v>
      </c>
      <c r="AD1580" s="78" t="s">
        <v>4506</v>
      </c>
      <c r="AE1580" t="b">
        <v>0</v>
      </c>
      <c r="AF1580">
        <v>0</v>
      </c>
      <c r="AG1580" s="78" t="s">
        <v>4649</v>
      </c>
      <c r="AH1580" t="b">
        <v>0</v>
      </c>
      <c r="AI1580" t="s">
        <v>4829</v>
      </c>
      <c r="AK1580" s="78" t="s">
        <v>4640</v>
      </c>
      <c r="AL1580" t="b">
        <v>0</v>
      </c>
      <c r="AM1580">
        <v>0</v>
      </c>
      <c r="AN1580" s="78" t="s">
        <v>4640</v>
      </c>
      <c r="AO1580" s="78" t="s">
        <v>4849</v>
      </c>
      <c r="AP1580" t="b">
        <v>0</v>
      </c>
      <c r="AQ1580" s="78" t="s">
        <v>4506</v>
      </c>
      <c r="AR1580" t="s">
        <v>179</v>
      </c>
      <c r="AS1580">
        <v>0</v>
      </c>
      <c r="AT1580">
        <v>0</v>
      </c>
    </row>
    <row r="1581" spans="1:46" x14ac:dyDescent="0.45">
      <c r="A1581" s="62" t="s">
        <v>235</v>
      </c>
      <c r="B1581" s="62" t="s">
        <v>234</v>
      </c>
      <c r="C1581" s="63"/>
      <c r="D1581" s="64"/>
      <c r="E1581" s="65"/>
      <c r="F1581" s="66"/>
      <c r="G1581" s="63"/>
      <c r="H1581" s="67"/>
      <c r="I1581" s="68"/>
      <c r="J1581" s="68"/>
      <c r="K1581" s="32"/>
      <c r="L1581" s="75"/>
      <c r="M1581" s="75"/>
      <c r="N1581" s="70"/>
      <c r="O1581" t="s">
        <v>1567</v>
      </c>
      <c r="P1581" s="76">
        <v>44958.335879629631</v>
      </c>
      <c r="Q1581" t="s">
        <v>1588</v>
      </c>
      <c r="V1581" s="77" t="str">
        <f>HYPERLINK("https://pbs.twimg.com/profile_images/1615585532330889216/V5YBNBBW_normal.png")</f>
        <v>https://pbs.twimg.com/profile_images/1615585532330889216/V5YBNBBW_normal.png</v>
      </c>
      <c r="W1581" s="76">
        <v>44958.335879629631</v>
      </c>
      <c r="X1581" s="80">
        <v>44958</v>
      </c>
      <c r="Y1581" s="78" t="s">
        <v>2438</v>
      </c>
      <c r="Z1581" s="77" t="str">
        <f>HYPERLINK("https://twitter.com/ponzishorter/status/1620694356461064192")</f>
        <v>https://twitter.com/ponzishorter/status/1620694356461064192</v>
      </c>
      <c r="AC1581" s="78" t="s">
        <v>3453</v>
      </c>
      <c r="AD1581" s="78" t="s">
        <v>3452</v>
      </c>
      <c r="AE1581" t="b">
        <v>0</v>
      </c>
      <c r="AF1581">
        <v>0</v>
      </c>
      <c r="AG1581" s="78" t="s">
        <v>4650</v>
      </c>
      <c r="AH1581" t="b">
        <v>0</v>
      </c>
      <c r="AI1581" t="s">
        <v>4829</v>
      </c>
      <c r="AK1581" s="78" t="s">
        <v>4640</v>
      </c>
      <c r="AL1581" t="b">
        <v>0</v>
      </c>
      <c r="AM1581">
        <v>0</v>
      </c>
      <c r="AN1581" s="78" t="s">
        <v>4640</v>
      </c>
      <c r="AO1581" s="78" t="s">
        <v>4849</v>
      </c>
      <c r="AP1581" t="b">
        <v>0</v>
      </c>
      <c r="AQ1581" s="78" t="s">
        <v>3452</v>
      </c>
      <c r="AR1581" t="s">
        <v>179</v>
      </c>
      <c r="AS1581">
        <v>0</v>
      </c>
      <c r="AT1581">
        <v>0</v>
      </c>
    </row>
    <row r="1582" spans="1:46" x14ac:dyDescent="0.45">
      <c r="A1582" s="62" t="s">
        <v>235</v>
      </c>
      <c r="B1582" s="62" t="s">
        <v>242</v>
      </c>
      <c r="C1582" s="63"/>
      <c r="D1582" s="64"/>
      <c r="E1582" s="65"/>
      <c r="F1582" s="66"/>
      <c r="G1582" s="63"/>
      <c r="H1582" s="67"/>
      <c r="I1582" s="68"/>
      <c r="J1582" s="68"/>
      <c r="K1582" s="32"/>
      <c r="L1582" s="75"/>
      <c r="M1582" s="75"/>
      <c r="N1582" s="70"/>
      <c r="O1582" t="s">
        <v>1568</v>
      </c>
      <c r="P1582" s="76">
        <v>44958.335879629631</v>
      </c>
      <c r="Q1582" t="s">
        <v>1588</v>
      </c>
      <c r="V1582" s="77" t="str">
        <f>HYPERLINK("https://pbs.twimg.com/profile_images/1615585532330889216/V5YBNBBW_normal.png")</f>
        <v>https://pbs.twimg.com/profile_images/1615585532330889216/V5YBNBBW_normal.png</v>
      </c>
      <c r="W1582" s="76">
        <v>44958.335879629631</v>
      </c>
      <c r="X1582" s="80">
        <v>44958</v>
      </c>
      <c r="Y1582" s="78" t="s">
        <v>2438</v>
      </c>
      <c r="Z1582" s="77" t="str">
        <f>HYPERLINK("https://twitter.com/ponzishorter/status/1620694356461064192")</f>
        <v>https://twitter.com/ponzishorter/status/1620694356461064192</v>
      </c>
      <c r="AC1582" s="78" t="s">
        <v>3453</v>
      </c>
      <c r="AD1582" s="78" t="s">
        <v>3452</v>
      </c>
      <c r="AE1582" t="b">
        <v>0</v>
      </c>
      <c r="AF1582">
        <v>0</v>
      </c>
      <c r="AG1582" s="78" t="s">
        <v>4650</v>
      </c>
      <c r="AH1582" t="b">
        <v>0</v>
      </c>
      <c r="AI1582" t="s">
        <v>4829</v>
      </c>
      <c r="AK1582" s="78" t="s">
        <v>4640</v>
      </c>
      <c r="AL1582" t="b">
        <v>0</v>
      </c>
      <c r="AM1582">
        <v>0</v>
      </c>
      <c r="AN1582" s="78" t="s">
        <v>4640</v>
      </c>
      <c r="AO1582" s="78" t="s">
        <v>4849</v>
      </c>
      <c r="AP1582" t="b">
        <v>0</v>
      </c>
      <c r="AQ1582" s="78" t="s">
        <v>3452</v>
      </c>
      <c r="AR1582" t="s">
        <v>179</v>
      </c>
      <c r="AS1582">
        <v>0</v>
      </c>
      <c r="AT1582">
        <v>0</v>
      </c>
    </row>
    <row r="1583" spans="1:46" x14ac:dyDescent="0.45">
      <c r="A1583" s="62" t="s">
        <v>238</v>
      </c>
      <c r="B1583" s="62" t="s">
        <v>1144</v>
      </c>
      <c r="C1583" s="63"/>
      <c r="D1583" s="64"/>
      <c r="E1583" s="65"/>
      <c r="F1583" s="66"/>
      <c r="G1583" s="63"/>
      <c r="H1583" s="67"/>
      <c r="I1583" s="68"/>
      <c r="J1583" s="68"/>
      <c r="K1583" s="32"/>
      <c r="L1583" s="75"/>
      <c r="M1583" s="75"/>
      <c r="N1583" s="70"/>
      <c r="O1583" t="s">
        <v>1568</v>
      </c>
      <c r="P1583" s="76">
        <v>44958.351099537038</v>
      </c>
      <c r="Q1583" t="s">
        <v>1590</v>
      </c>
      <c r="V1583" s="77" t="str">
        <f>HYPERLINK("https://pbs.twimg.com/profile_images/1491421921841487890/rrXHVuzq_normal.jpg")</f>
        <v>https://pbs.twimg.com/profile_images/1491421921841487890/rrXHVuzq_normal.jpg</v>
      </c>
      <c r="W1583" s="76">
        <v>44958.351099537038</v>
      </c>
      <c r="X1583" s="80">
        <v>44958</v>
      </c>
      <c r="Y1583" s="78" t="s">
        <v>2442</v>
      </c>
      <c r="Z1583" s="77" t="str">
        <f>HYPERLINK("https://twitter.com/chefkawasaki_/status/1620699874386915330")</f>
        <v>https://twitter.com/chefkawasaki_/status/1620699874386915330</v>
      </c>
      <c r="AC1583" s="78" t="s">
        <v>3457</v>
      </c>
      <c r="AD1583" s="78" t="s">
        <v>4507</v>
      </c>
      <c r="AE1583" t="b">
        <v>0</v>
      </c>
      <c r="AF1583">
        <v>0</v>
      </c>
      <c r="AG1583" s="78" t="s">
        <v>4651</v>
      </c>
      <c r="AH1583" t="b">
        <v>0</v>
      </c>
      <c r="AI1583" t="s">
        <v>4829</v>
      </c>
      <c r="AK1583" s="78" t="s">
        <v>4640</v>
      </c>
      <c r="AL1583" t="b">
        <v>0</v>
      </c>
      <c r="AM1583">
        <v>0</v>
      </c>
      <c r="AN1583" s="78" t="s">
        <v>4640</v>
      </c>
      <c r="AO1583" s="78" t="s">
        <v>4850</v>
      </c>
      <c r="AP1583" t="b">
        <v>0</v>
      </c>
      <c r="AQ1583" s="78" t="s">
        <v>4507</v>
      </c>
      <c r="AR1583" t="s">
        <v>179</v>
      </c>
      <c r="AS1583">
        <v>0</v>
      </c>
      <c r="AT1583">
        <v>0</v>
      </c>
    </row>
    <row r="1584" spans="1:46" x14ac:dyDescent="0.45">
      <c r="A1584" s="62" t="s">
        <v>238</v>
      </c>
      <c r="B1584" s="62" t="s">
        <v>1145</v>
      </c>
      <c r="C1584" s="63"/>
      <c r="D1584" s="64"/>
      <c r="E1584" s="65"/>
      <c r="F1584" s="66"/>
      <c r="G1584" s="63"/>
      <c r="H1584" s="67"/>
      <c r="I1584" s="68"/>
      <c r="J1584" s="68"/>
      <c r="K1584" s="32"/>
      <c r="L1584" s="75"/>
      <c r="M1584" s="75"/>
      <c r="N1584" s="70"/>
      <c r="O1584" t="s">
        <v>1567</v>
      </c>
      <c r="P1584" s="76">
        <v>44958.351099537038</v>
      </c>
      <c r="Q1584" t="s">
        <v>1590</v>
      </c>
      <c r="V1584" s="77" t="str">
        <f>HYPERLINK("https://pbs.twimg.com/profile_images/1491421921841487890/rrXHVuzq_normal.jpg")</f>
        <v>https://pbs.twimg.com/profile_images/1491421921841487890/rrXHVuzq_normal.jpg</v>
      </c>
      <c r="W1584" s="76">
        <v>44958.351099537038</v>
      </c>
      <c r="X1584" s="80">
        <v>44958</v>
      </c>
      <c r="Y1584" s="78" t="s">
        <v>2442</v>
      </c>
      <c r="Z1584" s="77" t="str">
        <f>HYPERLINK("https://twitter.com/chefkawasaki_/status/1620699874386915330")</f>
        <v>https://twitter.com/chefkawasaki_/status/1620699874386915330</v>
      </c>
      <c r="AC1584" s="78" t="s">
        <v>3457</v>
      </c>
      <c r="AD1584" s="78" t="s">
        <v>4507</v>
      </c>
      <c r="AE1584" t="b">
        <v>0</v>
      </c>
      <c r="AF1584">
        <v>0</v>
      </c>
      <c r="AG1584" s="78" t="s">
        <v>4651</v>
      </c>
      <c r="AH1584" t="b">
        <v>0</v>
      </c>
      <c r="AI1584" t="s">
        <v>4829</v>
      </c>
      <c r="AK1584" s="78" t="s">
        <v>4640</v>
      </c>
      <c r="AL1584" t="b">
        <v>0</v>
      </c>
      <c r="AM1584">
        <v>0</v>
      </c>
      <c r="AN1584" s="78" t="s">
        <v>4640</v>
      </c>
      <c r="AO1584" s="78" t="s">
        <v>4850</v>
      </c>
      <c r="AP1584" t="b">
        <v>0</v>
      </c>
      <c r="AQ1584" s="78" t="s">
        <v>4507</v>
      </c>
      <c r="AR1584" t="s">
        <v>179</v>
      </c>
      <c r="AS1584">
        <v>0</v>
      </c>
      <c r="AT1584">
        <v>0</v>
      </c>
    </row>
    <row r="1585" spans="1:54" x14ac:dyDescent="0.45">
      <c r="A1585" s="62" t="s">
        <v>238</v>
      </c>
      <c r="B1585" s="62" t="s">
        <v>242</v>
      </c>
      <c r="C1585" s="63"/>
      <c r="D1585" s="64"/>
      <c r="E1585" s="65"/>
      <c r="F1585" s="66"/>
      <c r="G1585" s="63"/>
      <c r="H1585" s="67"/>
      <c r="I1585" s="68"/>
      <c r="J1585" s="68"/>
      <c r="K1585" s="32"/>
      <c r="L1585" s="75"/>
      <c r="M1585" s="75"/>
      <c r="N1585" s="70"/>
      <c r="O1585" t="s">
        <v>1568</v>
      </c>
      <c r="P1585" s="76">
        <v>44958.351099537038</v>
      </c>
      <c r="Q1585" t="s">
        <v>1590</v>
      </c>
      <c r="V1585" s="77" t="str">
        <f>HYPERLINK("https://pbs.twimg.com/profile_images/1491421921841487890/rrXHVuzq_normal.jpg")</f>
        <v>https://pbs.twimg.com/profile_images/1491421921841487890/rrXHVuzq_normal.jpg</v>
      </c>
      <c r="W1585" s="76">
        <v>44958.351099537038</v>
      </c>
      <c r="X1585" s="80">
        <v>44958</v>
      </c>
      <c r="Y1585" s="78" t="s">
        <v>2442</v>
      </c>
      <c r="Z1585" s="77" t="str">
        <f>HYPERLINK("https://twitter.com/chefkawasaki_/status/1620699874386915330")</f>
        <v>https://twitter.com/chefkawasaki_/status/1620699874386915330</v>
      </c>
      <c r="AC1585" s="78" t="s">
        <v>3457</v>
      </c>
      <c r="AD1585" s="78" t="s">
        <v>4507</v>
      </c>
      <c r="AE1585" t="b">
        <v>0</v>
      </c>
      <c r="AF1585">
        <v>0</v>
      </c>
      <c r="AG1585" s="78" t="s">
        <v>4651</v>
      </c>
      <c r="AH1585" t="b">
        <v>0</v>
      </c>
      <c r="AI1585" t="s">
        <v>4829</v>
      </c>
      <c r="AK1585" s="78" t="s">
        <v>4640</v>
      </c>
      <c r="AL1585" t="b">
        <v>0</v>
      </c>
      <c r="AM1585">
        <v>0</v>
      </c>
      <c r="AN1585" s="78" t="s">
        <v>4640</v>
      </c>
      <c r="AO1585" s="78" t="s">
        <v>4850</v>
      </c>
      <c r="AP1585" t="b">
        <v>0</v>
      </c>
      <c r="AQ1585" s="78" t="s">
        <v>4507</v>
      </c>
      <c r="AR1585" t="s">
        <v>179</v>
      </c>
      <c r="AS1585">
        <v>0</v>
      </c>
      <c r="AT1585">
        <v>0</v>
      </c>
    </row>
    <row r="1586" spans="1:54" x14ac:dyDescent="0.45">
      <c r="A1586" s="62" t="s">
        <v>240</v>
      </c>
      <c r="B1586" s="62" t="s">
        <v>1146</v>
      </c>
      <c r="C1586" s="63"/>
      <c r="D1586" s="64"/>
      <c r="E1586" s="65"/>
      <c r="F1586" s="66"/>
      <c r="G1586" s="63"/>
      <c r="H1586" s="67"/>
      <c r="I1586" s="68"/>
      <c r="J1586" s="68"/>
      <c r="K1586" s="32"/>
      <c r="L1586" s="75"/>
      <c r="M1586" s="75"/>
      <c r="N1586" s="70"/>
      <c r="O1586" t="s">
        <v>1568</v>
      </c>
      <c r="P1586" s="76">
        <v>44958.365659722222</v>
      </c>
      <c r="Q1586" t="s">
        <v>1592</v>
      </c>
      <c r="V1586" s="77" t="str">
        <f>HYPERLINK("https://pbs.twimg.com/profile_images/1331306437755060225/ReIlfqxe_normal.jpg")</f>
        <v>https://pbs.twimg.com/profile_images/1331306437755060225/ReIlfqxe_normal.jpg</v>
      </c>
      <c r="W1586" s="76">
        <v>44958.365659722222</v>
      </c>
      <c r="X1586" s="80">
        <v>44958</v>
      </c>
      <c r="Y1586" s="78" t="s">
        <v>2444</v>
      </c>
      <c r="Z1586" s="77" t="str">
        <f>HYPERLINK("https://twitter.com/amie3752/status/1620705148321542144")</f>
        <v>https://twitter.com/amie3752/status/1620705148321542144</v>
      </c>
      <c r="AC1586" s="78" t="s">
        <v>3459</v>
      </c>
      <c r="AD1586" s="78" t="s">
        <v>4508</v>
      </c>
      <c r="AE1586" t="b">
        <v>0</v>
      </c>
      <c r="AF1586">
        <v>0</v>
      </c>
      <c r="AG1586" s="78" t="s">
        <v>4652</v>
      </c>
      <c r="AH1586" t="b">
        <v>0</v>
      </c>
      <c r="AI1586" t="s">
        <v>4829</v>
      </c>
      <c r="AK1586" s="78" t="s">
        <v>4640</v>
      </c>
      <c r="AL1586" t="b">
        <v>0</v>
      </c>
      <c r="AM1586">
        <v>0</v>
      </c>
      <c r="AN1586" s="78" t="s">
        <v>4640</v>
      </c>
      <c r="AO1586" s="78" t="s">
        <v>4849</v>
      </c>
      <c r="AP1586" t="b">
        <v>0</v>
      </c>
      <c r="AQ1586" s="78" t="s">
        <v>4508</v>
      </c>
      <c r="AR1586" t="s">
        <v>179</v>
      </c>
      <c r="AS1586">
        <v>0</v>
      </c>
      <c r="AT1586">
        <v>0</v>
      </c>
    </row>
    <row r="1587" spans="1:54" x14ac:dyDescent="0.45">
      <c r="A1587" s="62" t="s">
        <v>240</v>
      </c>
      <c r="B1587" s="62" t="s">
        <v>1147</v>
      </c>
      <c r="C1587" s="63"/>
      <c r="D1587" s="64"/>
      <c r="E1587" s="65"/>
      <c r="F1587" s="66"/>
      <c r="G1587" s="63"/>
      <c r="H1587" s="67"/>
      <c r="I1587" s="68"/>
      <c r="J1587" s="68"/>
      <c r="K1587" s="32"/>
      <c r="L1587" s="75"/>
      <c r="M1587" s="75"/>
      <c r="N1587" s="70"/>
      <c r="O1587" t="s">
        <v>1568</v>
      </c>
      <c r="P1587" s="76">
        <v>44958.365659722222</v>
      </c>
      <c r="Q1587" t="s">
        <v>1592</v>
      </c>
      <c r="V1587" s="77" t="str">
        <f>HYPERLINK("https://pbs.twimg.com/profile_images/1331306437755060225/ReIlfqxe_normal.jpg")</f>
        <v>https://pbs.twimg.com/profile_images/1331306437755060225/ReIlfqxe_normal.jpg</v>
      </c>
      <c r="W1587" s="76">
        <v>44958.365659722222</v>
      </c>
      <c r="X1587" s="80">
        <v>44958</v>
      </c>
      <c r="Y1587" s="78" t="s">
        <v>2444</v>
      </c>
      <c r="Z1587" s="77" t="str">
        <f>HYPERLINK("https://twitter.com/amie3752/status/1620705148321542144")</f>
        <v>https://twitter.com/amie3752/status/1620705148321542144</v>
      </c>
      <c r="AC1587" s="78" t="s">
        <v>3459</v>
      </c>
      <c r="AD1587" s="78" t="s">
        <v>4508</v>
      </c>
      <c r="AE1587" t="b">
        <v>0</v>
      </c>
      <c r="AF1587">
        <v>0</v>
      </c>
      <c r="AG1587" s="78" t="s">
        <v>4652</v>
      </c>
      <c r="AH1587" t="b">
        <v>0</v>
      </c>
      <c r="AI1587" t="s">
        <v>4829</v>
      </c>
      <c r="AK1587" s="78" t="s">
        <v>4640</v>
      </c>
      <c r="AL1587" t="b">
        <v>0</v>
      </c>
      <c r="AM1587">
        <v>0</v>
      </c>
      <c r="AN1587" s="78" t="s">
        <v>4640</v>
      </c>
      <c r="AO1587" s="78" t="s">
        <v>4849</v>
      </c>
      <c r="AP1587" t="b">
        <v>0</v>
      </c>
      <c r="AQ1587" s="78" t="s">
        <v>4508</v>
      </c>
      <c r="AR1587" t="s">
        <v>179</v>
      </c>
      <c r="AS1587">
        <v>0</v>
      </c>
      <c r="AT1587">
        <v>0</v>
      </c>
    </row>
    <row r="1588" spans="1:54" x14ac:dyDescent="0.45">
      <c r="A1588" s="62" t="s">
        <v>240</v>
      </c>
      <c r="B1588" s="62" t="s">
        <v>1148</v>
      </c>
      <c r="C1588" s="63"/>
      <c r="D1588" s="64"/>
      <c r="E1588" s="65"/>
      <c r="F1588" s="66"/>
      <c r="G1588" s="63"/>
      <c r="H1588" s="67"/>
      <c r="I1588" s="68"/>
      <c r="J1588" s="68"/>
      <c r="K1588" s="32"/>
      <c r="L1588" s="75"/>
      <c r="M1588" s="75"/>
      <c r="N1588" s="70"/>
      <c r="O1588" t="s">
        <v>1567</v>
      </c>
      <c r="P1588" s="76">
        <v>44958.365659722222</v>
      </c>
      <c r="Q1588" t="s">
        <v>1592</v>
      </c>
      <c r="V1588" s="77" t="str">
        <f>HYPERLINK("https://pbs.twimg.com/profile_images/1331306437755060225/ReIlfqxe_normal.jpg")</f>
        <v>https://pbs.twimg.com/profile_images/1331306437755060225/ReIlfqxe_normal.jpg</v>
      </c>
      <c r="W1588" s="76">
        <v>44958.365659722222</v>
      </c>
      <c r="X1588" s="80">
        <v>44958</v>
      </c>
      <c r="Y1588" s="78" t="s">
        <v>2444</v>
      </c>
      <c r="Z1588" s="77" t="str">
        <f>HYPERLINK("https://twitter.com/amie3752/status/1620705148321542144")</f>
        <v>https://twitter.com/amie3752/status/1620705148321542144</v>
      </c>
      <c r="AC1588" s="78" t="s">
        <v>3459</v>
      </c>
      <c r="AD1588" s="78" t="s">
        <v>4508</v>
      </c>
      <c r="AE1588" t="b">
        <v>0</v>
      </c>
      <c r="AF1588">
        <v>0</v>
      </c>
      <c r="AG1588" s="78" t="s">
        <v>4652</v>
      </c>
      <c r="AH1588" t="b">
        <v>0</v>
      </c>
      <c r="AI1588" t="s">
        <v>4829</v>
      </c>
      <c r="AK1588" s="78" t="s">
        <v>4640</v>
      </c>
      <c r="AL1588" t="b">
        <v>0</v>
      </c>
      <c r="AM1588">
        <v>0</v>
      </c>
      <c r="AN1588" s="78" t="s">
        <v>4640</v>
      </c>
      <c r="AO1588" s="78" t="s">
        <v>4849</v>
      </c>
      <c r="AP1588" t="b">
        <v>0</v>
      </c>
      <c r="AQ1588" s="78" t="s">
        <v>4508</v>
      </c>
      <c r="AR1588" t="s">
        <v>179</v>
      </c>
      <c r="AS1588">
        <v>0</v>
      </c>
      <c r="AT1588">
        <v>0</v>
      </c>
    </row>
    <row r="1589" spans="1:54" x14ac:dyDescent="0.45">
      <c r="A1589" s="62" t="s">
        <v>240</v>
      </c>
      <c r="B1589" s="62" t="s">
        <v>242</v>
      </c>
      <c r="C1589" s="63"/>
      <c r="D1589" s="64"/>
      <c r="E1589" s="65"/>
      <c r="F1589" s="66"/>
      <c r="G1589" s="63"/>
      <c r="H1589" s="67"/>
      <c r="I1589" s="68"/>
      <c r="J1589" s="68"/>
      <c r="K1589" s="32"/>
      <c r="L1589" s="75"/>
      <c r="M1589" s="75"/>
      <c r="N1589" s="70"/>
      <c r="O1589" t="s">
        <v>1568</v>
      </c>
      <c r="P1589" s="76">
        <v>44958.365659722222</v>
      </c>
      <c r="Q1589" t="s">
        <v>1592</v>
      </c>
      <c r="V1589" s="77" t="str">
        <f>HYPERLINK("https://pbs.twimg.com/profile_images/1331306437755060225/ReIlfqxe_normal.jpg")</f>
        <v>https://pbs.twimg.com/profile_images/1331306437755060225/ReIlfqxe_normal.jpg</v>
      </c>
      <c r="W1589" s="76">
        <v>44958.365659722222</v>
      </c>
      <c r="X1589" s="80">
        <v>44958</v>
      </c>
      <c r="Y1589" s="78" t="s">
        <v>2444</v>
      </c>
      <c r="Z1589" s="77" t="str">
        <f>HYPERLINK("https://twitter.com/amie3752/status/1620705148321542144")</f>
        <v>https://twitter.com/amie3752/status/1620705148321542144</v>
      </c>
      <c r="AC1589" s="78" t="s">
        <v>3459</v>
      </c>
      <c r="AD1589" s="78" t="s">
        <v>4508</v>
      </c>
      <c r="AE1589" t="b">
        <v>0</v>
      </c>
      <c r="AF1589">
        <v>0</v>
      </c>
      <c r="AG1589" s="78" t="s">
        <v>4652</v>
      </c>
      <c r="AH1589" t="b">
        <v>0</v>
      </c>
      <c r="AI1589" t="s">
        <v>4829</v>
      </c>
      <c r="AK1589" s="78" t="s">
        <v>4640</v>
      </c>
      <c r="AL1589" t="b">
        <v>0</v>
      </c>
      <c r="AM1589">
        <v>0</v>
      </c>
      <c r="AN1589" s="78" t="s">
        <v>4640</v>
      </c>
      <c r="AO1589" s="78" t="s">
        <v>4849</v>
      </c>
      <c r="AP1589" t="b">
        <v>0</v>
      </c>
      <c r="AQ1589" s="78" t="s">
        <v>4508</v>
      </c>
      <c r="AR1589" t="s">
        <v>179</v>
      </c>
      <c r="AS1589">
        <v>0</v>
      </c>
      <c r="AT1589">
        <v>0</v>
      </c>
    </row>
    <row r="1590" spans="1:54" x14ac:dyDescent="0.45">
      <c r="A1590" s="62" t="s">
        <v>243</v>
      </c>
      <c r="B1590" s="62" t="s">
        <v>242</v>
      </c>
      <c r="C1590" s="63"/>
      <c r="D1590" s="64"/>
      <c r="E1590" s="65"/>
      <c r="F1590" s="66"/>
      <c r="G1590" s="63"/>
      <c r="H1590" s="67"/>
      <c r="I1590" s="68"/>
      <c r="J1590" s="68"/>
      <c r="K1590" s="32"/>
      <c r="L1590" s="75"/>
      <c r="M1590" s="75"/>
      <c r="N1590" s="70"/>
      <c r="O1590" t="s">
        <v>1569</v>
      </c>
      <c r="P1590" s="76">
        <v>44958.395902777775</v>
      </c>
      <c r="Q1590" t="s">
        <v>1593</v>
      </c>
      <c r="V1590" s="77" t="str">
        <f>HYPERLINK("https://pbs.twimg.com/profile_images/1563508734818586629/f9V9-80I_normal.jpg")</f>
        <v>https://pbs.twimg.com/profile_images/1563508734818586629/f9V9-80I_normal.jpg</v>
      </c>
      <c r="W1590" s="76">
        <v>44958.395902777775</v>
      </c>
      <c r="X1590" s="80">
        <v>44958</v>
      </c>
      <c r="Y1590" s="78" t="s">
        <v>2448</v>
      </c>
      <c r="Z1590" s="77" t="str">
        <f>HYPERLINK("https://twitter.com/jeonsleeve/status/1620716108469923841")</f>
        <v>https://twitter.com/jeonsleeve/status/1620716108469923841</v>
      </c>
      <c r="AC1590" s="78" t="s">
        <v>3463</v>
      </c>
      <c r="AE1590" t="b">
        <v>0</v>
      </c>
      <c r="AF1590">
        <v>0</v>
      </c>
      <c r="AG1590" s="78" t="s">
        <v>4640</v>
      </c>
      <c r="AH1590" t="b">
        <v>0</v>
      </c>
      <c r="AI1590" t="s">
        <v>4829</v>
      </c>
      <c r="AK1590" s="78" t="s">
        <v>4640</v>
      </c>
      <c r="AL1590" t="b">
        <v>0</v>
      </c>
      <c r="AM1590">
        <v>1</v>
      </c>
      <c r="AN1590" s="78" t="s">
        <v>3461</v>
      </c>
      <c r="AO1590" s="78" t="s">
        <v>4849</v>
      </c>
      <c r="AP1590" t="b">
        <v>0</v>
      </c>
      <c r="AQ1590" s="78" t="s">
        <v>3461</v>
      </c>
      <c r="AR1590" t="s">
        <v>179</v>
      </c>
      <c r="AS1590">
        <v>0</v>
      </c>
      <c r="AT1590">
        <v>0</v>
      </c>
    </row>
    <row r="1591" spans="1:54" x14ac:dyDescent="0.45">
      <c r="A1591" s="62" t="s">
        <v>245</v>
      </c>
      <c r="B1591" s="62" t="s">
        <v>242</v>
      </c>
      <c r="C1591" s="63"/>
      <c r="D1591" s="64"/>
      <c r="E1591" s="65"/>
      <c r="F1591" s="66"/>
      <c r="G1591" s="63"/>
      <c r="H1591" s="67"/>
      <c r="I1591" s="68"/>
      <c r="J1591" s="68"/>
      <c r="K1591" s="32"/>
      <c r="L1591" s="75"/>
      <c r="M1591" s="75"/>
      <c r="N1591" s="70"/>
      <c r="O1591" t="s">
        <v>1567</v>
      </c>
      <c r="P1591" s="76">
        <v>44958.406458333331</v>
      </c>
      <c r="Q1591" t="s">
        <v>1596</v>
      </c>
      <c r="V1591" s="77" t="str">
        <f>HYPERLINK("https://abs.twimg.com/sticky/default_profile_images/default_profile_normal.png")</f>
        <v>https://abs.twimg.com/sticky/default_profile_images/default_profile_normal.png</v>
      </c>
      <c r="W1591" s="76">
        <v>44958.406458333331</v>
      </c>
      <c r="X1591" s="80">
        <v>44958</v>
      </c>
      <c r="Y1591" s="78" t="s">
        <v>2450</v>
      </c>
      <c r="Z1591" s="77" t="str">
        <f>HYPERLINK("https://twitter.com/debbyquashen/status/1620719935566811137")</f>
        <v>https://twitter.com/debbyquashen/status/1620719935566811137</v>
      </c>
      <c r="AC1591" s="78" t="s">
        <v>3465</v>
      </c>
      <c r="AE1591" t="b">
        <v>0</v>
      </c>
      <c r="AF1591">
        <v>0</v>
      </c>
      <c r="AG1591" s="78" t="s">
        <v>4639</v>
      </c>
      <c r="AH1591" t="b">
        <v>0</v>
      </c>
      <c r="AI1591" t="s">
        <v>4829</v>
      </c>
      <c r="AK1591" s="78" t="s">
        <v>4640</v>
      </c>
      <c r="AL1591" t="b">
        <v>0</v>
      </c>
      <c r="AM1591">
        <v>0</v>
      </c>
      <c r="AN1591" s="78" t="s">
        <v>4640</v>
      </c>
      <c r="AO1591" s="78" t="s">
        <v>4851</v>
      </c>
      <c r="AP1591" t="b">
        <v>0</v>
      </c>
      <c r="AQ1591" s="78" t="s">
        <v>3465</v>
      </c>
      <c r="AR1591" t="s">
        <v>179</v>
      </c>
      <c r="AS1591">
        <v>0</v>
      </c>
      <c r="AT1591">
        <v>0</v>
      </c>
    </row>
    <row r="1592" spans="1:54" x14ac:dyDescent="0.45">
      <c r="A1592" s="62" t="s">
        <v>246</v>
      </c>
      <c r="B1592" s="62" t="s">
        <v>242</v>
      </c>
      <c r="C1592" s="63"/>
      <c r="D1592" s="64"/>
      <c r="E1592" s="65"/>
      <c r="F1592" s="66"/>
      <c r="G1592" s="63"/>
      <c r="H1592" s="67"/>
      <c r="I1592" s="68"/>
      <c r="J1592" s="68"/>
      <c r="K1592" s="32"/>
      <c r="L1592" s="75"/>
      <c r="M1592" s="75"/>
      <c r="N1592" s="70"/>
      <c r="O1592" t="s">
        <v>1570</v>
      </c>
      <c r="P1592" s="76">
        <v>44958.407777777778</v>
      </c>
      <c r="Q1592" t="s">
        <v>1597</v>
      </c>
      <c r="U1592" s="77" t="str">
        <f>HYPERLINK("https://pbs.twimg.com/media/Fn21cCpaEAIoT8g.jpg")</f>
        <v>https://pbs.twimg.com/media/Fn21cCpaEAIoT8g.jpg</v>
      </c>
      <c r="V1592" s="77" t="str">
        <f>HYPERLINK("https://pbs.twimg.com/media/Fn21cCpaEAIoT8g.jpg")</f>
        <v>https://pbs.twimg.com/media/Fn21cCpaEAIoT8g.jpg</v>
      </c>
      <c r="W1592" s="76">
        <v>44958.407777777778</v>
      </c>
      <c r="X1592" s="80">
        <v>44958</v>
      </c>
      <c r="Y1592" s="78" t="s">
        <v>2451</v>
      </c>
      <c r="Z1592" s="77" t="str">
        <f>HYPERLINK("https://twitter.com/soupermario/status/1620720410802397184")</f>
        <v>https://twitter.com/soupermario/status/1620720410802397184</v>
      </c>
      <c r="AC1592" s="78" t="s">
        <v>3466</v>
      </c>
      <c r="AE1592" t="b">
        <v>0</v>
      </c>
      <c r="AF1592">
        <v>0</v>
      </c>
      <c r="AG1592" s="78" t="s">
        <v>4640</v>
      </c>
      <c r="AH1592" t="b">
        <v>0</v>
      </c>
      <c r="AI1592" t="s">
        <v>4829</v>
      </c>
      <c r="AK1592" s="78" t="s">
        <v>4640</v>
      </c>
      <c r="AL1592" t="b">
        <v>0</v>
      </c>
      <c r="AM1592">
        <v>13</v>
      </c>
      <c r="AN1592" s="78" t="s">
        <v>4342</v>
      </c>
      <c r="AO1592" s="78" t="s">
        <v>4849</v>
      </c>
      <c r="AP1592" t="b">
        <v>0</v>
      </c>
      <c r="AQ1592" s="78" t="s">
        <v>4342</v>
      </c>
      <c r="AR1592" t="s">
        <v>179</v>
      </c>
      <c r="AS1592">
        <v>0</v>
      </c>
      <c r="AT1592">
        <v>0</v>
      </c>
    </row>
    <row r="1593" spans="1:54" x14ac:dyDescent="0.45">
      <c r="A1593" s="62" t="s">
        <v>246</v>
      </c>
      <c r="B1593" s="62" t="s">
        <v>992</v>
      </c>
      <c r="C1593" s="63"/>
      <c r="D1593" s="64"/>
      <c r="E1593" s="65"/>
      <c r="F1593" s="66"/>
      <c r="G1593" s="63"/>
      <c r="H1593" s="67"/>
      <c r="I1593" s="68"/>
      <c r="J1593" s="68"/>
      <c r="K1593" s="32"/>
      <c r="L1593" s="75"/>
      <c r="M1593" s="75"/>
      <c r="N1593" s="70"/>
      <c r="O1593" t="s">
        <v>1569</v>
      </c>
      <c r="P1593" s="76">
        <v>44958.407777777778</v>
      </c>
      <c r="Q1593" t="s">
        <v>1597</v>
      </c>
      <c r="U1593" s="77" t="str">
        <f>HYPERLINK("https://pbs.twimg.com/media/Fn21cCpaEAIoT8g.jpg")</f>
        <v>https://pbs.twimg.com/media/Fn21cCpaEAIoT8g.jpg</v>
      </c>
      <c r="V1593" s="77" t="str">
        <f>HYPERLINK("https://pbs.twimg.com/media/Fn21cCpaEAIoT8g.jpg")</f>
        <v>https://pbs.twimg.com/media/Fn21cCpaEAIoT8g.jpg</v>
      </c>
      <c r="W1593" s="76">
        <v>44958.407777777778</v>
      </c>
      <c r="X1593" s="80">
        <v>44958</v>
      </c>
      <c r="Y1593" s="78" t="s">
        <v>2451</v>
      </c>
      <c r="Z1593" s="77" t="str">
        <f>HYPERLINK("https://twitter.com/soupermario/status/1620720410802397184")</f>
        <v>https://twitter.com/soupermario/status/1620720410802397184</v>
      </c>
      <c r="AC1593" s="78" t="s">
        <v>3466</v>
      </c>
      <c r="AE1593" t="b">
        <v>0</v>
      </c>
      <c r="AF1593">
        <v>0</v>
      </c>
      <c r="AG1593" s="78" t="s">
        <v>4640</v>
      </c>
      <c r="AH1593" t="b">
        <v>0</v>
      </c>
      <c r="AI1593" t="s">
        <v>4829</v>
      </c>
      <c r="AK1593" s="78" t="s">
        <v>4640</v>
      </c>
      <c r="AL1593" t="b">
        <v>0</v>
      </c>
      <c r="AM1593">
        <v>13</v>
      </c>
      <c r="AN1593" s="78" t="s">
        <v>4342</v>
      </c>
      <c r="AO1593" s="78" t="s">
        <v>4849</v>
      </c>
      <c r="AP1593" t="b">
        <v>0</v>
      </c>
      <c r="AQ1593" s="78" t="s">
        <v>4342</v>
      </c>
      <c r="AR1593" t="s">
        <v>179</v>
      </c>
      <c r="AS1593">
        <v>0</v>
      </c>
      <c r="AT1593">
        <v>0</v>
      </c>
    </row>
    <row r="1594" spans="1:54" x14ac:dyDescent="0.45">
      <c r="A1594" s="62" t="s">
        <v>250</v>
      </c>
      <c r="B1594" s="62" t="s">
        <v>242</v>
      </c>
      <c r="C1594" s="63"/>
      <c r="D1594" s="64"/>
      <c r="E1594" s="65"/>
      <c r="F1594" s="66"/>
      <c r="G1594" s="63"/>
      <c r="H1594" s="67"/>
      <c r="I1594" s="68"/>
      <c r="J1594" s="68"/>
      <c r="K1594" s="32"/>
      <c r="L1594" s="75"/>
      <c r="M1594" s="75"/>
      <c r="N1594" s="70"/>
      <c r="O1594" t="s">
        <v>1568</v>
      </c>
      <c r="P1594" s="76">
        <v>44958.432002314818</v>
      </c>
      <c r="Q1594" t="s">
        <v>1599</v>
      </c>
      <c r="V1594" s="77" t="str">
        <f>HYPERLINK("https://pbs.twimg.com/profile_images/1412196969796280325/MGHgLawA_normal.jpg")</f>
        <v>https://pbs.twimg.com/profile_images/1412196969796280325/MGHgLawA_normal.jpg</v>
      </c>
      <c r="W1594" s="76">
        <v>44958.432002314818</v>
      </c>
      <c r="X1594" s="80">
        <v>44958</v>
      </c>
      <c r="Y1594" s="78" t="s">
        <v>2455</v>
      </c>
      <c r="Z1594" s="77" t="str">
        <f>HYPERLINK("https://twitter.com/hopeihave2/status/1620729192915632128")</f>
        <v>https://twitter.com/hopeihave2/status/1620729192915632128</v>
      </c>
      <c r="AC1594" s="78" t="s">
        <v>3470</v>
      </c>
      <c r="AD1594" s="78" t="s">
        <v>4511</v>
      </c>
      <c r="AE1594" t="b">
        <v>0</v>
      </c>
      <c r="AF1594">
        <v>0</v>
      </c>
      <c r="AG1594" s="78" t="s">
        <v>4655</v>
      </c>
      <c r="AH1594" t="b">
        <v>0</v>
      </c>
      <c r="AI1594" t="s">
        <v>4829</v>
      </c>
      <c r="AK1594" s="78" t="s">
        <v>4640</v>
      </c>
      <c r="AL1594" t="b">
        <v>0</v>
      </c>
      <c r="AM1594">
        <v>0</v>
      </c>
      <c r="AN1594" s="78" t="s">
        <v>4640</v>
      </c>
      <c r="AO1594" s="78" t="s">
        <v>4852</v>
      </c>
      <c r="AP1594" t="b">
        <v>0</v>
      </c>
      <c r="AQ1594" s="78" t="s">
        <v>4511</v>
      </c>
      <c r="AR1594" t="s">
        <v>179</v>
      </c>
      <c r="AS1594">
        <v>0</v>
      </c>
      <c r="AT1594">
        <v>0</v>
      </c>
    </row>
    <row r="1595" spans="1:54" x14ac:dyDescent="0.45">
      <c r="A1595" s="62" t="s">
        <v>250</v>
      </c>
      <c r="B1595" s="62" t="s">
        <v>1151</v>
      </c>
      <c r="C1595" s="63"/>
      <c r="D1595" s="64"/>
      <c r="E1595" s="65"/>
      <c r="F1595" s="66"/>
      <c r="G1595" s="63"/>
      <c r="H1595" s="67"/>
      <c r="I1595" s="68"/>
      <c r="J1595" s="68"/>
      <c r="K1595" s="32"/>
      <c r="L1595" s="75"/>
      <c r="M1595" s="75"/>
      <c r="N1595" s="70"/>
      <c r="O1595" t="s">
        <v>1567</v>
      </c>
      <c r="P1595" s="76">
        <v>44958.432002314818</v>
      </c>
      <c r="Q1595" t="s">
        <v>1599</v>
      </c>
      <c r="V1595" s="77" t="str">
        <f>HYPERLINK("https://pbs.twimg.com/profile_images/1412196969796280325/MGHgLawA_normal.jpg")</f>
        <v>https://pbs.twimg.com/profile_images/1412196969796280325/MGHgLawA_normal.jpg</v>
      </c>
      <c r="W1595" s="76">
        <v>44958.432002314818</v>
      </c>
      <c r="X1595" s="80">
        <v>44958</v>
      </c>
      <c r="Y1595" s="78" t="s">
        <v>2455</v>
      </c>
      <c r="Z1595" s="77" t="str">
        <f>HYPERLINK("https://twitter.com/hopeihave2/status/1620729192915632128")</f>
        <v>https://twitter.com/hopeihave2/status/1620729192915632128</v>
      </c>
      <c r="AC1595" s="78" t="s">
        <v>3470</v>
      </c>
      <c r="AD1595" s="78" t="s">
        <v>4511</v>
      </c>
      <c r="AE1595" t="b">
        <v>0</v>
      </c>
      <c r="AF1595">
        <v>0</v>
      </c>
      <c r="AG1595" s="78" t="s">
        <v>4655</v>
      </c>
      <c r="AH1595" t="b">
        <v>0</v>
      </c>
      <c r="AI1595" t="s">
        <v>4829</v>
      </c>
      <c r="AK1595" s="78" t="s">
        <v>4640</v>
      </c>
      <c r="AL1595" t="b">
        <v>0</v>
      </c>
      <c r="AM1595">
        <v>0</v>
      </c>
      <c r="AN1595" s="78" t="s">
        <v>4640</v>
      </c>
      <c r="AO1595" s="78" t="s">
        <v>4852</v>
      </c>
      <c r="AP1595" t="b">
        <v>0</v>
      </c>
      <c r="AQ1595" s="78" t="s">
        <v>4511</v>
      </c>
      <c r="AR1595" t="s">
        <v>179</v>
      </c>
      <c r="AS1595">
        <v>0</v>
      </c>
      <c r="AT1595">
        <v>0</v>
      </c>
    </row>
    <row r="1596" spans="1:54" x14ac:dyDescent="0.45">
      <c r="A1596" s="62" t="s">
        <v>251</v>
      </c>
      <c r="B1596" s="62" t="s">
        <v>242</v>
      </c>
      <c r="C1596" s="63"/>
      <c r="D1596" s="64"/>
      <c r="E1596" s="65"/>
      <c r="F1596" s="66"/>
      <c r="G1596" s="63"/>
      <c r="H1596" s="67"/>
      <c r="I1596" s="68"/>
      <c r="J1596" s="68"/>
      <c r="K1596" s="32"/>
      <c r="L1596" s="75"/>
      <c r="M1596" s="75"/>
      <c r="N1596" s="70"/>
      <c r="O1596" t="s">
        <v>1568</v>
      </c>
      <c r="P1596" s="76">
        <v>44958.434976851851</v>
      </c>
      <c r="Q1596" t="s">
        <v>1600</v>
      </c>
      <c r="V1596" s="77" t="str">
        <f>HYPERLINK("https://pbs.twimg.com/profile_images/1301428097858764801/SpW8rbvw_normal.jpg")</f>
        <v>https://pbs.twimg.com/profile_images/1301428097858764801/SpW8rbvw_normal.jpg</v>
      </c>
      <c r="W1596" s="76">
        <v>44958.434976851851</v>
      </c>
      <c r="X1596" s="80">
        <v>44958</v>
      </c>
      <c r="Y1596" s="78" t="s">
        <v>2456</v>
      </c>
      <c r="Z1596" s="77" t="str">
        <f>HYPERLINK("https://twitter.com/sourabh78722891/status/1620730270856142852")</f>
        <v>https://twitter.com/sourabh78722891/status/1620730270856142852</v>
      </c>
      <c r="AC1596" s="78" t="s">
        <v>3471</v>
      </c>
      <c r="AE1596" t="b">
        <v>0</v>
      </c>
      <c r="AF1596">
        <v>0</v>
      </c>
      <c r="AG1596" s="78" t="s">
        <v>4640</v>
      </c>
      <c r="AH1596" t="b">
        <v>0</v>
      </c>
      <c r="AI1596" t="s">
        <v>4829</v>
      </c>
      <c r="AK1596" s="78" t="s">
        <v>4640</v>
      </c>
      <c r="AL1596" t="b">
        <v>0</v>
      </c>
      <c r="AM1596">
        <v>0</v>
      </c>
      <c r="AN1596" s="78" t="s">
        <v>4640</v>
      </c>
      <c r="AO1596" s="78" t="s">
        <v>4850</v>
      </c>
      <c r="AP1596" t="b">
        <v>0</v>
      </c>
      <c r="AQ1596" s="78" t="s">
        <v>3471</v>
      </c>
      <c r="AR1596" t="s">
        <v>179</v>
      </c>
      <c r="AS1596">
        <v>0</v>
      </c>
      <c r="AT1596">
        <v>0</v>
      </c>
      <c r="AU1596" t="s">
        <v>4873</v>
      </c>
      <c r="AV1596" t="s">
        <v>4898</v>
      </c>
      <c r="AW1596" t="s">
        <v>4900</v>
      </c>
      <c r="AX1596" t="s">
        <v>4902</v>
      </c>
      <c r="AY1596" t="s">
        <v>4927</v>
      </c>
      <c r="AZ1596" t="s">
        <v>4952</v>
      </c>
      <c r="BA1596" t="s">
        <v>4975</v>
      </c>
      <c r="BB1596" s="77" t="str">
        <f>HYPERLINK("https://api.twitter.com/1.1/geo/id/745c4b5b6ae7b56f.json")</f>
        <v>https://api.twitter.com/1.1/geo/id/745c4b5b6ae7b56f.json</v>
      </c>
    </row>
    <row r="1597" spans="1:54" x14ac:dyDescent="0.45">
      <c r="A1597" s="62" t="s">
        <v>251</v>
      </c>
      <c r="B1597" s="62" t="s">
        <v>1110</v>
      </c>
      <c r="C1597" s="63"/>
      <c r="D1597" s="64"/>
      <c r="E1597" s="65"/>
      <c r="F1597" s="66"/>
      <c r="G1597" s="63"/>
      <c r="H1597" s="67"/>
      <c r="I1597" s="68"/>
      <c r="J1597" s="68"/>
      <c r="K1597" s="32"/>
      <c r="L1597" s="75"/>
      <c r="M1597" s="75"/>
      <c r="N1597" s="70"/>
      <c r="O1597" t="s">
        <v>1568</v>
      </c>
      <c r="P1597" s="76">
        <v>44958.434976851851</v>
      </c>
      <c r="Q1597" t="s">
        <v>1600</v>
      </c>
      <c r="V1597" s="77" t="str">
        <f>HYPERLINK("https://pbs.twimg.com/profile_images/1301428097858764801/SpW8rbvw_normal.jpg")</f>
        <v>https://pbs.twimg.com/profile_images/1301428097858764801/SpW8rbvw_normal.jpg</v>
      </c>
      <c r="W1597" s="76">
        <v>44958.434976851851</v>
      </c>
      <c r="X1597" s="80">
        <v>44958</v>
      </c>
      <c r="Y1597" s="78" t="s">
        <v>2456</v>
      </c>
      <c r="Z1597" s="77" t="str">
        <f>HYPERLINK("https://twitter.com/sourabh78722891/status/1620730270856142852")</f>
        <v>https://twitter.com/sourabh78722891/status/1620730270856142852</v>
      </c>
      <c r="AC1597" s="78" t="s">
        <v>3471</v>
      </c>
      <c r="AE1597" t="b">
        <v>0</v>
      </c>
      <c r="AF1597">
        <v>0</v>
      </c>
      <c r="AG1597" s="78" t="s">
        <v>4640</v>
      </c>
      <c r="AH1597" t="b">
        <v>0</v>
      </c>
      <c r="AI1597" t="s">
        <v>4829</v>
      </c>
      <c r="AK1597" s="78" t="s">
        <v>4640</v>
      </c>
      <c r="AL1597" t="b">
        <v>0</v>
      </c>
      <c r="AM1597">
        <v>0</v>
      </c>
      <c r="AN1597" s="78" t="s">
        <v>4640</v>
      </c>
      <c r="AO1597" s="78" t="s">
        <v>4850</v>
      </c>
      <c r="AP1597" t="b">
        <v>0</v>
      </c>
      <c r="AQ1597" s="78" t="s">
        <v>3471</v>
      </c>
      <c r="AR1597" t="s">
        <v>179</v>
      </c>
      <c r="AS1597">
        <v>0</v>
      </c>
      <c r="AT1597">
        <v>0</v>
      </c>
      <c r="AU1597" t="s">
        <v>4873</v>
      </c>
      <c r="AV1597" t="s">
        <v>4898</v>
      </c>
      <c r="AW1597" t="s">
        <v>4900</v>
      </c>
      <c r="AX1597" t="s">
        <v>4902</v>
      </c>
      <c r="AY1597" t="s">
        <v>4927</v>
      </c>
      <c r="AZ1597" t="s">
        <v>4952</v>
      </c>
      <c r="BA1597" t="s">
        <v>4975</v>
      </c>
      <c r="BB1597" s="77" t="str">
        <f>HYPERLINK("https://api.twitter.com/1.1/geo/id/745c4b5b6ae7b56f.json")</f>
        <v>https://api.twitter.com/1.1/geo/id/745c4b5b6ae7b56f.json</v>
      </c>
    </row>
    <row r="1598" spans="1:54" x14ac:dyDescent="0.45">
      <c r="A1598" s="62" t="s">
        <v>251</v>
      </c>
      <c r="B1598" s="62" t="s">
        <v>1109</v>
      </c>
      <c r="C1598" s="63"/>
      <c r="D1598" s="64"/>
      <c r="E1598" s="65"/>
      <c r="F1598" s="66"/>
      <c r="G1598" s="63"/>
      <c r="H1598" s="67"/>
      <c r="I1598" s="68"/>
      <c r="J1598" s="68"/>
      <c r="K1598" s="32"/>
      <c r="L1598" s="75"/>
      <c r="M1598" s="75"/>
      <c r="N1598" s="70"/>
      <c r="O1598" t="s">
        <v>1568</v>
      </c>
      <c r="P1598" s="76">
        <v>44958.434976851851</v>
      </c>
      <c r="Q1598" t="s">
        <v>1600</v>
      </c>
      <c r="V1598" s="77" t="str">
        <f>HYPERLINK("https://pbs.twimg.com/profile_images/1301428097858764801/SpW8rbvw_normal.jpg")</f>
        <v>https://pbs.twimg.com/profile_images/1301428097858764801/SpW8rbvw_normal.jpg</v>
      </c>
      <c r="W1598" s="76">
        <v>44958.434976851851</v>
      </c>
      <c r="X1598" s="80">
        <v>44958</v>
      </c>
      <c r="Y1598" s="78" t="s">
        <v>2456</v>
      </c>
      <c r="Z1598" s="77" t="str">
        <f>HYPERLINK("https://twitter.com/sourabh78722891/status/1620730270856142852")</f>
        <v>https://twitter.com/sourabh78722891/status/1620730270856142852</v>
      </c>
      <c r="AC1598" s="78" t="s">
        <v>3471</v>
      </c>
      <c r="AE1598" t="b">
        <v>0</v>
      </c>
      <c r="AF1598">
        <v>0</v>
      </c>
      <c r="AG1598" s="78" t="s">
        <v>4640</v>
      </c>
      <c r="AH1598" t="b">
        <v>0</v>
      </c>
      <c r="AI1598" t="s">
        <v>4829</v>
      </c>
      <c r="AK1598" s="78" t="s">
        <v>4640</v>
      </c>
      <c r="AL1598" t="b">
        <v>0</v>
      </c>
      <c r="AM1598">
        <v>0</v>
      </c>
      <c r="AN1598" s="78" t="s">
        <v>4640</v>
      </c>
      <c r="AO1598" s="78" t="s">
        <v>4850</v>
      </c>
      <c r="AP1598" t="b">
        <v>0</v>
      </c>
      <c r="AQ1598" s="78" t="s">
        <v>3471</v>
      </c>
      <c r="AR1598" t="s">
        <v>179</v>
      </c>
      <c r="AS1598">
        <v>0</v>
      </c>
      <c r="AT1598">
        <v>0</v>
      </c>
      <c r="AU1598" t="s">
        <v>4873</v>
      </c>
      <c r="AV1598" t="s">
        <v>4898</v>
      </c>
      <c r="AW1598" t="s">
        <v>4900</v>
      </c>
      <c r="AX1598" t="s">
        <v>4902</v>
      </c>
      <c r="AY1598" t="s">
        <v>4927</v>
      </c>
      <c r="AZ1598" t="s">
        <v>4952</v>
      </c>
      <c r="BA1598" t="s">
        <v>4975</v>
      </c>
      <c r="BB1598" s="77" t="str">
        <f>HYPERLINK("https://api.twitter.com/1.1/geo/id/745c4b5b6ae7b56f.json")</f>
        <v>https://api.twitter.com/1.1/geo/id/745c4b5b6ae7b56f.json</v>
      </c>
    </row>
    <row r="1599" spans="1:54" x14ac:dyDescent="0.45">
      <c r="A1599" s="62" t="s">
        <v>253</v>
      </c>
      <c r="B1599" s="62" t="s">
        <v>1152</v>
      </c>
      <c r="C1599" s="63"/>
      <c r="D1599" s="64"/>
      <c r="E1599" s="65"/>
      <c r="F1599" s="66"/>
      <c r="G1599" s="63"/>
      <c r="H1599" s="67"/>
      <c r="I1599" s="68"/>
      <c r="J1599" s="68"/>
      <c r="K1599" s="32"/>
      <c r="L1599" s="75"/>
      <c r="M1599" s="75"/>
      <c r="N1599" s="70"/>
      <c r="O1599" t="s">
        <v>1570</v>
      </c>
      <c r="P1599" s="76">
        <v>44958.436701388891</v>
      </c>
      <c r="Q1599" t="s">
        <v>1601</v>
      </c>
      <c r="U1599" s="77" t="str">
        <f>HYPERLINK("https://pbs.twimg.com/amplify_video_thumb/1619196022684631041/img/oEkcH94coRGjyMvK.jpg")</f>
        <v>https://pbs.twimg.com/amplify_video_thumb/1619196022684631041/img/oEkcH94coRGjyMvK.jpg</v>
      </c>
      <c r="V1599" s="77" t="str">
        <f>HYPERLINK("https://pbs.twimg.com/amplify_video_thumb/1619196022684631041/img/oEkcH94coRGjyMvK.jpg")</f>
        <v>https://pbs.twimg.com/amplify_video_thumb/1619196022684631041/img/oEkcH94coRGjyMvK.jpg</v>
      </c>
      <c r="W1599" s="76">
        <v>44958.436701388891</v>
      </c>
      <c r="X1599" s="80">
        <v>44958</v>
      </c>
      <c r="Y1599" s="78" t="s">
        <v>2458</v>
      </c>
      <c r="Z1599" s="77" t="str">
        <f>HYPERLINK("https://twitter.com/digicess/status/1620730891944468481")</f>
        <v>https://twitter.com/digicess/status/1620730891944468481</v>
      </c>
      <c r="AC1599" s="78" t="s">
        <v>3473</v>
      </c>
      <c r="AE1599" t="b">
        <v>0</v>
      </c>
      <c r="AF1599">
        <v>0</v>
      </c>
      <c r="AG1599" s="78" t="s">
        <v>4640</v>
      </c>
      <c r="AH1599" t="b">
        <v>0</v>
      </c>
      <c r="AI1599" t="s">
        <v>4829</v>
      </c>
      <c r="AK1599" s="78" t="s">
        <v>4640</v>
      </c>
      <c r="AL1599" t="b">
        <v>0</v>
      </c>
      <c r="AM1599">
        <v>24</v>
      </c>
      <c r="AN1599" s="78" t="s">
        <v>3472</v>
      </c>
      <c r="AO1599" s="78" t="s">
        <v>4849</v>
      </c>
      <c r="AP1599" t="b">
        <v>0</v>
      </c>
      <c r="AQ1599" s="78" t="s">
        <v>3472</v>
      </c>
      <c r="AR1599" t="s">
        <v>179</v>
      </c>
      <c r="AS1599">
        <v>0</v>
      </c>
      <c r="AT1599">
        <v>0</v>
      </c>
    </row>
    <row r="1600" spans="1:54" x14ac:dyDescent="0.45">
      <c r="A1600" s="62" t="s">
        <v>253</v>
      </c>
      <c r="B1600" s="62" t="s">
        <v>252</v>
      </c>
      <c r="C1600" s="63"/>
      <c r="D1600" s="64"/>
      <c r="E1600" s="65"/>
      <c r="F1600" s="66"/>
      <c r="G1600" s="63"/>
      <c r="H1600" s="67"/>
      <c r="I1600" s="68"/>
      <c r="J1600" s="68"/>
      <c r="K1600" s="32"/>
      <c r="L1600" s="75"/>
      <c r="M1600" s="75"/>
      <c r="N1600" s="70"/>
      <c r="O1600" t="s">
        <v>1569</v>
      </c>
      <c r="P1600" s="76">
        <v>44958.436701388891</v>
      </c>
      <c r="Q1600" t="s">
        <v>1601</v>
      </c>
      <c r="U1600" s="77" t="str">
        <f>HYPERLINK("https://pbs.twimg.com/amplify_video_thumb/1619196022684631041/img/oEkcH94coRGjyMvK.jpg")</f>
        <v>https://pbs.twimg.com/amplify_video_thumb/1619196022684631041/img/oEkcH94coRGjyMvK.jpg</v>
      </c>
      <c r="V1600" s="77" t="str">
        <f>HYPERLINK("https://pbs.twimg.com/amplify_video_thumb/1619196022684631041/img/oEkcH94coRGjyMvK.jpg")</f>
        <v>https://pbs.twimg.com/amplify_video_thumb/1619196022684631041/img/oEkcH94coRGjyMvK.jpg</v>
      </c>
      <c r="W1600" s="76">
        <v>44958.436701388891</v>
      </c>
      <c r="X1600" s="80">
        <v>44958</v>
      </c>
      <c r="Y1600" s="78" t="s">
        <v>2458</v>
      </c>
      <c r="Z1600" s="77" t="str">
        <f>HYPERLINK("https://twitter.com/digicess/status/1620730891944468481")</f>
        <v>https://twitter.com/digicess/status/1620730891944468481</v>
      </c>
      <c r="AC1600" s="78" t="s">
        <v>3473</v>
      </c>
      <c r="AE1600" t="b">
        <v>0</v>
      </c>
      <c r="AF1600">
        <v>0</v>
      </c>
      <c r="AG1600" s="78" t="s">
        <v>4640</v>
      </c>
      <c r="AH1600" t="b">
        <v>0</v>
      </c>
      <c r="AI1600" t="s">
        <v>4829</v>
      </c>
      <c r="AK1600" s="78" t="s">
        <v>4640</v>
      </c>
      <c r="AL1600" t="b">
        <v>0</v>
      </c>
      <c r="AM1600">
        <v>24</v>
      </c>
      <c r="AN1600" s="78" t="s">
        <v>3472</v>
      </c>
      <c r="AO1600" s="78" t="s">
        <v>4849</v>
      </c>
      <c r="AP1600" t="b">
        <v>0</v>
      </c>
      <c r="AQ1600" s="78" t="s">
        <v>3472</v>
      </c>
      <c r="AR1600" t="s">
        <v>179</v>
      </c>
      <c r="AS1600">
        <v>0</v>
      </c>
      <c r="AT1600">
        <v>0</v>
      </c>
    </row>
    <row r="1601" spans="1:54" x14ac:dyDescent="0.45">
      <c r="A1601" s="62" t="s">
        <v>253</v>
      </c>
      <c r="B1601" s="62" t="s">
        <v>242</v>
      </c>
      <c r="C1601" s="63"/>
      <c r="D1601" s="64"/>
      <c r="E1601" s="65"/>
      <c r="F1601" s="66"/>
      <c r="G1601" s="63"/>
      <c r="H1601" s="67"/>
      <c r="I1601" s="68"/>
      <c r="J1601" s="68"/>
      <c r="K1601" s="32"/>
      <c r="L1601" s="75"/>
      <c r="M1601" s="75"/>
      <c r="N1601" s="70"/>
      <c r="O1601" t="s">
        <v>1570</v>
      </c>
      <c r="P1601" s="76">
        <v>44958.436701388891</v>
      </c>
      <c r="Q1601" t="s">
        <v>1601</v>
      </c>
      <c r="U1601" s="77" t="str">
        <f>HYPERLINK("https://pbs.twimg.com/amplify_video_thumb/1619196022684631041/img/oEkcH94coRGjyMvK.jpg")</f>
        <v>https://pbs.twimg.com/amplify_video_thumb/1619196022684631041/img/oEkcH94coRGjyMvK.jpg</v>
      </c>
      <c r="V1601" s="77" t="str">
        <f>HYPERLINK("https://pbs.twimg.com/amplify_video_thumb/1619196022684631041/img/oEkcH94coRGjyMvK.jpg")</f>
        <v>https://pbs.twimg.com/amplify_video_thumb/1619196022684631041/img/oEkcH94coRGjyMvK.jpg</v>
      </c>
      <c r="W1601" s="76">
        <v>44958.436701388891</v>
      </c>
      <c r="X1601" s="80">
        <v>44958</v>
      </c>
      <c r="Y1601" s="78" t="s">
        <v>2458</v>
      </c>
      <c r="Z1601" s="77" t="str">
        <f>HYPERLINK("https://twitter.com/digicess/status/1620730891944468481")</f>
        <v>https://twitter.com/digicess/status/1620730891944468481</v>
      </c>
      <c r="AC1601" s="78" t="s">
        <v>3473</v>
      </c>
      <c r="AE1601" t="b">
        <v>0</v>
      </c>
      <c r="AF1601">
        <v>0</v>
      </c>
      <c r="AG1601" s="78" t="s">
        <v>4640</v>
      </c>
      <c r="AH1601" t="b">
        <v>0</v>
      </c>
      <c r="AI1601" t="s">
        <v>4829</v>
      </c>
      <c r="AK1601" s="78" t="s">
        <v>4640</v>
      </c>
      <c r="AL1601" t="b">
        <v>0</v>
      </c>
      <c r="AM1601">
        <v>24</v>
      </c>
      <c r="AN1601" s="78" t="s">
        <v>3472</v>
      </c>
      <c r="AO1601" s="78" t="s">
        <v>4849</v>
      </c>
      <c r="AP1601" t="b">
        <v>0</v>
      </c>
      <c r="AQ1601" s="78" t="s">
        <v>3472</v>
      </c>
      <c r="AR1601" t="s">
        <v>179</v>
      </c>
      <c r="AS1601">
        <v>0</v>
      </c>
      <c r="AT1601">
        <v>0</v>
      </c>
    </row>
    <row r="1602" spans="1:54" x14ac:dyDescent="0.45">
      <c r="A1602" s="62" t="s">
        <v>254</v>
      </c>
      <c r="B1602" s="62" t="s">
        <v>242</v>
      </c>
      <c r="C1602" s="63"/>
      <c r="D1602" s="64"/>
      <c r="E1602" s="65"/>
      <c r="F1602" s="66"/>
      <c r="G1602" s="63"/>
      <c r="H1602" s="67"/>
      <c r="I1602" s="68"/>
      <c r="J1602" s="68"/>
      <c r="K1602" s="32"/>
      <c r="L1602" s="75"/>
      <c r="M1602" s="75"/>
      <c r="N1602" s="70"/>
      <c r="O1602" t="s">
        <v>1569</v>
      </c>
      <c r="P1602" s="76">
        <v>44958.446168981478</v>
      </c>
      <c r="Q1602" t="s">
        <v>1602</v>
      </c>
      <c r="V1602" s="77" t="str">
        <f>HYPERLINK("https://pbs.twimg.com/profile_images/1614962355569311744/fIgvVlXZ_normal.jpg")</f>
        <v>https://pbs.twimg.com/profile_images/1614962355569311744/fIgvVlXZ_normal.jpg</v>
      </c>
      <c r="W1602" s="76">
        <v>44958.446168981478</v>
      </c>
      <c r="X1602" s="80">
        <v>44958</v>
      </c>
      <c r="Y1602" s="78" t="s">
        <v>2460</v>
      </c>
      <c r="Z1602" s="77" t="str">
        <f>HYPERLINK("https://twitter.com/alwearydad/status/1620734325980545025")</f>
        <v>https://twitter.com/alwearydad/status/1620734325980545025</v>
      </c>
      <c r="AC1602" s="78" t="s">
        <v>3475</v>
      </c>
      <c r="AE1602" t="b">
        <v>0</v>
      </c>
      <c r="AF1602">
        <v>0</v>
      </c>
      <c r="AG1602" s="78" t="s">
        <v>4640</v>
      </c>
      <c r="AH1602" t="b">
        <v>0</v>
      </c>
      <c r="AI1602" t="s">
        <v>4829</v>
      </c>
      <c r="AK1602" s="78" t="s">
        <v>4640</v>
      </c>
      <c r="AL1602" t="b">
        <v>0</v>
      </c>
      <c r="AM1602">
        <v>1</v>
      </c>
      <c r="AN1602" s="78" t="s">
        <v>3474</v>
      </c>
      <c r="AO1602" s="78" t="s">
        <v>4852</v>
      </c>
      <c r="AP1602" t="b">
        <v>0</v>
      </c>
      <c r="AQ1602" s="78" t="s">
        <v>3474</v>
      </c>
      <c r="AR1602" t="s">
        <v>179</v>
      </c>
      <c r="AS1602">
        <v>0</v>
      </c>
      <c r="AT1602">
        <v>0</v>
      </c>
    </row>
    <row r="1603" spans="1:54" x14ac:dyDescent="0.45">
      <c r="A1603" s="62" t="s">
        <v>259</v>
      </c>
      <c r="B1603" s="62" t="s">
        <v>258</v>
      </c>
      <c r="C1603" s="63"/>
      <c r="D1603" s="64"/>
      <c r="E1603" s="65"/>
      <c r="F1603" s="66"/>
      <c r="G1603" s="63"/>
      <c r="H1603" s="67"/>
      <c r="I1603" s="68"/>
      <c r="J1603" s="68"/>
      <c r="K1603" s="32"/>
      <c r="L1603" s="75"/>
      <c r="M1603" s="75"/>
      <c r="N1603" s="70"/>
      <c r="O1603" t="s">
        <v>1569</v>
      </c>
      <c r="P1603" s="76">
        <v>44958.464062500003</v>
      </c>
      <c r="Q1603" t="s">
        <v>1605</v>
      </c>
      <c r="U1603" s="77" t="str">
        <f>HYPERLINK("https://pbs.twimg.com/ext_tw_video_thumb/1537459513577680899/pu/img/orfoXJ5jcfVeilQC.jpg")</f>
        <v>https://pbs.twimg.com/ext_tw_video_thumb/1537459513577680899/pu/img/orfoXJ5jcfVeilQC.jpg</v>
      </c>
      <c r="V1603" s="77" t="str">
        <f>HYPERLINK("https://pbs.twimg.com/ext_tw_video_thumb/1537459513577680899/pu/img/orfoXJ5jcfVeilQC.jpg")</f>
        <v>https://pbs.twimg.com/ext_tw_video_thumb/1537459513577680899/pu/img/orfoXJ5jcfVeilQC.jpg</v>
      </c>
      <c r="W1603" s="76">
        <v>44958.464062500003</v>
      </c>
      <c r="X1603" s="80">
        <v>44958</v>
      </c>
      <c r="Y1603" s="78" t="s">
        <v>2465</v>
      </c>
      <c r="Z1603" s="77" t="str">
        <f>HYPERLINK("https://twitter.com/direct7e/status/1620740807555977217")</f>
        <v>https://twitter.com/direct7e/status/1620740807555977217</v>
      </c>
      <c r="AC1603" s="78" t="s">
        <v>3480</v>
      </c>
      <c r="AE1603" t="b">
        <v>0</v>
      </c>
      <c r="AF1603">
        <v>0</v>
      </c>
      <c r="AG1603" s="78" t="s">
        <v>4640</v>
      </c>
      <c r="AH1603" t="b">
        <v>0</v>
      </c>
      <c r="AI1603" t="s">
        <v>4829</v>
      </c>
      <c r="AK1603" s="78" t="s">
        <v>4640</v>
      </c>
      <c r="AL1603" t="b">
        <v>0</v>
      </c>
      <c r="AM1603">
        <v>9</v>
      </c>
      <c r="AN1603" s="78" t="s">
        <v>3479</v>
      </c>
      <c r="AO1603" s="78" t="s">
        <v>4850</v>
      </c>
      <c r="AP1603" t="b">
        <v>0</v>
      </c>
      <c r="AQ1603" s="78" t="s">
        <v>3479</v>
      </c>
      <c r="AR1603" t="s">
        <v>179</v>
      </c>
      <c r="AS1603">
        <v>0</v>
      </c>
      <c r="AT1603">
        <v>0</v>
      </c>
    </row>
    <row r="1604" spans="1:54" x14ac:dyDescent="0.45">
      <c r="A1604" s="62" t="s">
        <v>259</v>
      </c>
      <c r="B1604" s="62" t="s">
        <v>242</v>
      </c>
      <c r="C1604" s="63"/>
      <c r="D1604" s="64"/>
      <c r="E1604" s="65"/>
      <c r="F1604" s="66"/>
      <c r="G1604" s="63"/>
      <c r="H1604" s="67"/>
      <c r="I1604" s="68"/>
      <c r="J1604" s="68"/>
      <c r="K1604" s="32"/>
      <c r="L1604" s="75"/>
      <c r="M1604" s="75"/>
      <c r="N1604" s="70"/>
      <c r="O1604" t="s">
        <v>1570</v>
      </c>
      <c r="P1604" s="76">
        <v>44958.464062500003</v>
      </c>
      <c r="Q1604" t="s">
        <v>1605</v>
      </c>
      <c r="U1604" s="77" t="str">
        <f>HYPERLINK("https://pbs.twimg.com/ext_tw_video_thumb/1537459513577680899/pu/img/orfoXJ5jcfVeilQC.jpg")</f>
        <v>https://pbs.twimg.com/ext_tw_video_thumb/1537459513577680899/pu/img/orfoXJ5jcfVeilQC.jpg</v>
      </c>
      <c r="V1604" s="77" t="str">
        <f>HYPERLINK("https://pbs.twimg.com/ext_tw_video_thumb/1537459513577680899/pu/img/orfoXJ5jcfVeilQC.jpg")</f>
        <v>https://pbs.twimg.com/ext_tw_video_thumb/1537459513577680899/pu/img/orfoXJ5jcfVeilQC.jpg</v>
      </c>
      <c r="W1604" s="76">
        <v>44958.464062500003</v>
      </c>
      <c r="X1604" s="80">
        <v>44958</v>
      </c>
      <c r="Y1604" s="78" t="s">
        <v>2465</v>
      </c>
      <c r="Z1604" s="77" t="str">
        <f>HYPERLINK("https://twitter.com/direct7e/status/1620740807555977217")</f>
        <v>https://twitter.com/direct7e/status/1620740807555977217</v>
      </c>
      <c r="AC1604" s="78" t="s">
        <v>3480</v>
      </c>
      <c r="AE1604" t="b">
        <v>0</v>
      </c>
      <c r="AF1604">
        <v>0</v>
      </c>
      <c r="AG1604" s="78" t="s">
        <v>4640</v>
      </c>
      <c r="AH1604" t="b">
        <v>0</v>
      </c>
      <c r="AI1604" t="s">
        <v>4829</v>
      </c>
      <c r="AK1604" s="78" t="s">
        <v>4640</v>
      </c>
      <c r="AL1604" t="b">
        <v>0</v>
      </c>
      <c r="AM1604">
        <v>9</v>
      </c>
      <c r="AN1604" s="78" t="s">
        <v>3479</v>
      </c>
      <c r="AO1604" s="78" t="s">
        <v>4850</v>
      </c>
      <c r="AP1604" t="b">
        <v>0</v>
      </c>
      <c r="AQ1604" s="78" t="s">
        <v>3479</v>
      </c>
      <c r="AR1604" t="s">
        <v>179</v>
      </c>
      <c r="AS1604">
        <v>0</v>
      </c>
      <c r="AT1604">
        <v>0</v>
      </c>
    </row>
    <row r="1605" spans="1:54" x14ac:dyDescent="0.45">
      <c r="A1605" s="62" t="s">
        <v>264</v>
      </c>
      <c r="B1605" s="62" t="s">
        <v>242</v>
      </c>
      <c r="C1605" s="63"/>
      <c r="D1605" s="64"/>
      <c r="E1605" s="65"/>
      <c r="F1605" s="66"/>
      <c r="G1605" s="63"/>
      <c r="H1605" s="67"/>
      <c r="I1605" s="68"/>
      <c r="J1605" s="68"/>
      <c r="K1605" s="32"/>
      <c r="L1605" s="75"/>
      <c r="M1605" s="75"/>
      <c r="N1605" s="70"/>
      <c r="O1605" t="s">
        <v>1567</v>
      </c>
      <c r="P1605" s="76">
        <v>44958.481435185182</v>
      </c>
      <c r="Q1605" t="s">
        <v>1610</v>
      </c>
      <c r="V1605" s="77" t="str">
        <f>HYPERLINK("https://pbs.twimg.com/profile_images/1515768793980674060/GqHWcXHH_normal.jpg")</f>
        <v>https://pbs.twimg.com/profile_images/1515768793980674060/GqHWcXHH_normal.jpg</v>
      </c>
      <c r="W1605" s="76">
        <v>44958.481435185182</v>
      </c>
      <c r="X1605" s="80">
        <v>44958</v>
      </c>
      <c r="Y1605" s="78" t="s">
        <v>2470</v>
      </c>
      <c r="Z1605" s="77" t="str">
        <f>HYPERLINK("https://twitter.com/midgetmoma/status/1620747106297479169")</f>
        <v>https://twitter.com/midgetmoma/status/1620747106297479169</v>
      </c>
      <c r="AC1605" s="78" t="s">
        <v>3485</v>
      </c>
      <c r="AE1605" t="b">
        <v>0</v>
      </c>
      <c r="AF1605">
        <v>0</v>
      </c>
      <c r="AG1605" s="78" t="s">
        <v>4639</v>
      </c>
      <c r="AH1605" t="b">
        <v>0</v>
      </c>
      <c r="AI1605" t="s">
        <v>4829</v>
      </c>
      <c r="AK1605" s="78" t="s">
        <v>4640</v>
      </c>
      <c r="AL1605" t="b">
        <v>0</v>
      </c>
      <c r="AM1605">
        <v>0</v>
      </c>
      <c r="AN1605" s="78" t="s">
        <v>4640</v>
      </c>
      <c r="AO1605" s="78" t="s">
        <v>4849</v>
      </c>
      <c r="AP1605" t="b">
        <v>0</v>
      </c>
      <c r="AQ1605" s="78" t="s">
        <v>3485</v>
      </c>
      <c r="AR1605" t="s">
        <v>179</v>
      </c>
      <c r="AS1605">
        <v>0</v>
      </c>
      <c r="AT1605">
        <v>0</v>
      </c>
      <c r="AU1605" t="s">
        <v>4874</v>
      </c>
      <c r="AV1605" t="s">
        <v>4899</v>
      </c>
      <c r="AW1605" t="s">
        <v>4901</v>
      </c>
      <c r="AX1605" t="s">
        <v>4903</v>
      </c>
      <c r="AY1605" t="s">
        <v>4928</v>
      </c>
      <c r="AZ1605" t="s">
        <v>4953</v>
      </c>
      <c r="BA1605" t="s">
        <v>4975</v>
      </c>
      <c r="BB1605" s="77" t="str">
        <f>HYPERLINK("https://api.twitter.com/1.1/geo/id/e2eb5f0e0fbdb6a7.json")</f>
        <v>https://api.twitter.com/1.1/geo/id/e2eb5f0e0fbdb6a7.json</v>
      </c>
    </row>
    <row r="1606" spans="1:54" x14ac:dyDescent="0.45">
      <c r="A1606" s="62" t="s">
        <v>265</v>
      </c>
      <c r="B1606" s="62" t="s">
        <v>1155</v>
      </c>
      <c r="C1606" s="63"/>
      <c r="D1606" s="64"/>
      <c r="E1606" s="65"/>
      <c r="F1606" s="66"/>
      <c r="G1606" s="63"/>
      <c r="H1606" s="67"/>
      <c r="I1606" s="68"/>
      <c r="J1606" s="68"/>
      <c r="K1606" s="32"/>
      <c r="L1606" s="75"/>
      <c r="M1606" s="75"/>
      <c r="N1606" s="70"/>
      <c r="O1606" t="s">
        <v>1568</v>
      </c>
      <c r="P1606" s="76">
        <v>44958.428773148145</v>
      </c>
      <c r="Q1606" t="s">
        <v>1611</v>
      </c>
      <c r="U1606" s="77" t="str">
        <f>HYPERLINK("https://pbs.twimg.com/ext_tw_video_thumb/1620727917713002497/pu/img/O2p22gl8o98smHmr.jpg")</f>
        <v>https://pbs.twimg.com/ext_tw_video_thumb/1620727917713002497/pu/img/O2p22gl8o98smHmr.jpg</v>
      </c>
      <c r="V1606" s="77" t="str">
        <f>HYPERLINK("https://pbs.twimg.com/ext_tw_video_thumb/1620727917713002497/pu/img/O2p22gl8o98smHmr.jpg")</f>
        <v>https://pbs.twimg.com/ext_tw_video_thumb/1620727917713002497/pu/img/O2p22gl8o98smHmr.jpg</v>
      </c>
      <c r="W1606" s="76">
        <v>44958.428773148145</v>
      </c>
      <c r="X1606" s="80">
        <v>44958</v>
      </c>
      <c r="Y1606" s="78" t="s">
        <v>2471</v>
      </c>
      <c r="Z1606" s="77" t="str">
        <f>HYPERLINK("https://twitter.com/rossdimattei/status/1620728022306553857")</f>
        <v>https://twitter.com/rossdimattei/status/1620728022306553857</v>
      </c>
      <c r="AC1606" s="78" t="s">
        <v>3486</v>
      </c>
      <c r="AD1606" s="78" t="s">
        <v>4514</v>
      </c>
      <c r="AE1606" t="b">
        <v>0</v>
      </c>
      <c r="AF1606">
        <v>0</v>
      </c>
      <c r="AG1606" s="78" t="s">
        <v>4658</v>
      </c>
      <c r="AH1606" t="b">
        <v>0</v>
      </c>
      <c r="AI1606" t="s">
        <v>4829</v>
      </c>
      <c r="AK1606" s="78" t="s">
        <v>4640</v>
      </c>
      <c r="AL1606" t="b">
        <v>0</v>
      </c>
      <c r="AM1606">
        <v>0</v>
      </c>
      <c r="AN1606" s="78" t="s">
        <v>4640</v>
      </c>
      <c r="AO1606" s="78" t="s">
        <v>4849</v>
      </c>
      <c r="AP1606" t="b">
        <v>0</v>
      </c>
      <c r="AQ1606" s="78" t="s">
        <v>4514</v>
      </c>
      <c r="AR1606" t="s">
        <v>179</v>
      </c>
      <c r="AS1606">
        <v>0</v>
      </c>
      <c r="AT1606">
        <v>0</v>
      </c>
      <c r="AU1606" t="s">
        <v>4875</v>
      </c>
      <c r="AV1606" t="s">
        <v>4899</v>
      </c>
      <c r="AW1606" t="s">
        <v>4901</v>
      </c>
      <c r="AX1606" t="s">
        <v>4904</v>
      </c>
      <c r="AY1606" t="s">
        <v>4929</v>
      </c>
      <c r="AZ1606" t="s">
        <v>4954</v>
      </c>
      <c r="BA1606" t="s">
        <v>4975</v>
      </c>
      <c r="BB1606" s="77" t="str">
        <f>HYPERLINK("https://api.twitter.com/1.1/geo/id/bec68a93372eb249.json")</f>
        <v>https://api.twitter.com/1.1/geo/id/bec68a93372eb249.json</v>
      </c>
    </row>
    <row r="1607" spans="1:54" x14ac:dyDescent="0.45">
      <c r="A1607" s="62" t="s">
        <v>266</v>
      </c>
      <c r="B1607" s="62" t="s">
        <v>1155</v>
      </c>
      <c r="C1607" s="63"/>
      <c r="D1607" s="64"/>
      <c r="E1607" s="65"/>
      <c r="F1607" s="66"/>
      <c r="G1607" s="63"/>
      <c r="H1607" s="67"/>
      <c r="I1607" s="68"/>
      <c r="J1607" s="68"/>
      <c r="K1607" s="32"/>
      <c r="L1607" s="75"/>
      <c r="M1607" s="75"/>
      <c r="N1607" s="70"/>
      <c r="O1607" t="s">
        <v>1568</v>
      </c>
      <c r="P1607" s="76">
        <v>44958.492002314815</v>
      </c>
      <c r="Q1607" t="s">
        <v>1612</v>
      </c>
      <c r="V1607" s="77" t="str">
        <f>HYPERLINK("https://pbs.twimg.com/profile_images/1521420381675999232/vnFQEqAj_normal.jpg")</f>
        <v>https://pbs.twimg.com/profile_images/1521420381675999232/vnFQEqAj_normal.jpg</v>
      </c>
      <c r="W1607" s="76">
        <v>44958.492002314815</v>
      </c>
      <c r="X1607" s="80">
        <v>44958</v>
      </c>
      <c r="Y1607" s="78" t="s">
        <v>2472</v>
      </c>
      <c r="Z1607" s="77" t="str">
        <f>HYPERLINK("https://twitter.com/njknight1436/status/1620750935738970113")</f>
        <v>https://twitter.com/njknight1436/status/1620750935738970113</v>
      </c>
      <c r="AC1607" s="78" t="s">
        <v>3487</v>
      </c>
      <c r="AD1607" s="78" t="s">
        <v>3486</v>
      </c>
      <c r="AE1607" t="b">
        <v>0</v>
      </c>
      <c r="AF1607">
        <v>0</v>
      </c>
      <c r="AG1607" s="78" t="s">
        <v>4658</v>
      </c>
      <c r="AH1607" t="b">
        <v>0</v>
      </c>
      <c r="AI1607" t="s">
        <v>4829</v>
      </c>
      <c r="AK1607" s="78" t="s">
        <v>4640</v>
      </c>
      <c r="AL1607" t="b">
        <v>0</v>
      </c>
      <c r="AM1607">
        <v>0</v>
      </c>
      <c r="AN1607" s="78" t="s">
        <v>4640</v>
      </c>
      <c r="AO1607" s="78" t="s">
        <v>4850</v>
      </c>
      <c r="AP1607" t="b">
        <v>0</v>
      </c>
      <c r="AQ1607" s="78" t="s">
        <v>3486</v>
      </c>
      <c r="AR1607" t="s">
        <v>179</v>
      </c>
      <c r="AS1607">
        <v>0</v>
      </c>
      <c r="AT1607">
        <v>0</v>
      </c>
    </row>
    <row r="1608" spans="1:54" x14ac:dyDescent="0.45">
      <c r="A1608" s="62" t="s">
        <v>265</v>
      </c>
      <c r="B1608" s="62" t="s">
        <v>242</v>
      </c>
      <c r="C1608" s="63"/>
      <c r="D1608" s="64"/>
      <c r="E1608" s="65"/>
      <c r="F1608" s="66"/>
      <c r="G1608" s="63"/>
      <c r="H1608" s="67"/>
      <c r="I1608" s="68"/>
      <c r="J1608" s="68"/>
      <c r="K1608" s="32"/>
      <c r="L1608" s="75"/>
      <c r="M1608" s="75"/>
      <c r="N1608" s="70"/>
      <c r="O1608" t="s">
        <v>1568</v>
      </c>
      <c r="P1608" s="76">
        <v>44958.428773148145</v>
      </c>
      <c r="Q1608" t="s">
        <v>1611</v>
      </c>
      <c r="U1608" s="77" t="str">
        <f>HYPERLINK("https://pbs.twimg.com/ext_tw_video_thumb/1620727917713002497/pu/img/O2p22gl8o98smHmr.jpg")</f>
        <v>https://pbs.twimg.com/ext_tw_video_thumb/1620727917713002497/pu/img/O2p22gl8o98smHmr.jpg</v>
      </c>
      <c r="V1608" s="77" t="str">
        <f>HYPERLINK("https://pbs.twimg.com/ext_tw_video_thumb/1620727917713002497/pu/img/O2p22gl8o98smHmr.jpg")</f>
        <v>https://pbs.twimg.com/ext_tw_video_thumb/1620727917713002497/pu/img/O2p22gl8o98smHmr.jpg</v>
      </c>
      <c r="W1608" s="76">
        <v>44958.428773148145</v>
      </c>
      <c r="X1608" s="80">
        <v>44958</v>
      </c>
      <c r="Y1608" s="78" t="s">
        <v>2471</v>
      </c>
      <c r="Z1608" s="77" t="str">
        <f>HYPERLINK("https://twitter.com/rossdimattei/status/1620728022306553857")</f>
        <v>https://twitter.com/rossdimattei/status/1620728022306553857</v>
      </c>
      <c r="AC1608" s="78" t="s">
        <v>3486</v>
      </c>
      <c r="AD1608" s="78" t="s">
        <v>4514</v>
      </c>
      <c r="AE1608" t="b">
        <v>0</v>
      </c>
      <c r="AF1608">
        <v>0</v>
      </c>
      <c r="AG1608" s="78" t="s">
        <v>4658</v>
      </c>
      <c r="AH1608" t="b">
        <v>0</v>
      </c>
      <c r="AI1608" t="s">
        <v>4829</v>
      </c>
      <c r="AK1608" s="78" t="s">
        <v>4640</v>
      </c>
      <c r="AL1608" t="b">
        <v>0</v>
      </c>
      <c r="AM1608">
        <v>0</v>
      </c>
      <c r="AN1608" s="78" t="s">
        <v>4640</v>
      </c>
      <c r="AO1608" s="78" t="s">
        <v>4849</v>
      </c>
      <c r="AP1608" t="b">
        <v>0</v>
      </c>
      <c r="AQ1608" s="78" t="s">
        <v>4514</v>
      </c>
      <c r="AR1608" t="s">
        <v>179</v>
      </c>
      <c r="AS1608">
        <v>0</v>
      </c>
      <c r="AT1608">
        <v>0</v>
      </c>
      <c r="AU1608" t="s">
        <v>4875</v>
      </c>
      <c r="AV1608" t="s">
        <v>4899</v>
      </c>
      <c r="AW1608" t="s">
        <v>4901</v>
      </c>
      <c r="AX1608" t="s">
        <v>4904</v>
      </c>
      <c r="AY1608" t="s">
        <v>4929</v>
      </c>
      <c r="AZ1608" t="s">
        <v>4954</v>
      </c>
      <c r="BA1608" t="s">
        <v>4975</v>
      </c>
      <c r="BB1608" s="77" t="str">
        <f>HYPERLINK("https://api.twitter.com/1.1/geo/id/bec68a93372eb249.json")</f>
        <v>https://api.twitter.com/1.1/geo/id/bec68a93372eb249.json</v>
      </c>
    </row>
    <row r="1609" spans="1:54" x14ac:dyDescent="0.45">
      <c r="A1609" s="62" t="s">
        <v>266</v>
      </c>
      <c r="B1609" s="62" t="s">
        <v>265</v>
      </c>
      <c r="C1609" s="63"/>
      <c r="D1609" s="64"/>
      <c r="E1609" s="65"/>
      <c r="F1609" s="66"/>
      <c r="G1609" s="63"/>
      <c r="H1609" s="67"/>
      <c r="I1609" s="68"/>
      <c r="J1609" s="68"/>
      <c r="K1609" s="32"/>
      <c r="L1609" s="75"/>
      <c r="M1609" s="75"/>
      <c r="N1609" s="70"/>
      <c r="O1609" t="s">
        <v>1567</v>
      </c>
      <c r="P1609" s="76">
        <v>44958.492002314815</v>
      </c>
      <c r="Q1609" t="s">
        <v>1612</v>
      </c>
      <c r="V1609" s="77" t="str">
        <f>HYPERLINK("https://pbs.twimg.com/profile_images/1521420381675999232/vnFQEqAj_normal.jpg")</f>
        <v>https://pbs.twimg.com/profile_images/1521420381675999232/vnFQEqAj_normal.jpg</v>
      </c>
      <c r="W1609" s="76">
        <v>44958.492002314815</v>
      </c>
      <c r="X1609" s="80">
        <v>44958</v>
      </c>
      <c r="Y1609" s="78" t="s">
        <v>2472</v>
      </c>
      <c r="Z1609" s="77" t="str">
        <f>HYPERLINK("https://twitter.com/njknight1436/status/1620750935738970113")</f>
        <v>https://twitter.com/njknight1436/status/1620750935738970113</v>
      </c>
      <c r="AC1609" s="78" t="s">
        <v>3487</v>
      </c>
      <c r="AD1609" s="78" t="s">
        <v>3486</v>
      </c>
      <c r="AE1609" t="b">
        <v>0</v>
      </c>
      <c r="AF1609">
        <v>0</v>
      </c>
      <c r="AG1609" s="78" t="s">
        <v>4658</v>
      </c>
      <c r="AH1609" t="b">
        <v>0</v>
      </c>
      <c r="AI1609" t="s">
        <v>4829</v>
      </c>
      <c r="AK1609" s="78" t="s">
        <v>4640</v>
      </c>
      <c r="AL1609" t="b">
        <v>0</v>
      </c>
      <c r="AM1609">
        <v>0</v>
      </c>
      <c r="AN1609" s="78" t="s">
        <v>4640</v>
      </c>
      <c r="AO1609" s="78" t="s">
        <v>4850</v>
      </c>
      <c r="AP1609" t="b">
        <v>0</v>
      </c>
      <c r="AQ1609" s="78" t="s">
        <v>3486</v>
      </c>
      <c r="AR1609" t="s">
        <v>179</v>
      </c>
      <c r="AS1609">
        <v>0</v>
      </c>
      <c r="AT1609">
        <v>0</v>
      </c>
    </row>
    <row r="1610" spans="1:54" x14ac:dyDescent="0.45">
      <c r="A1610" s="62" t="s">
        <v>266</v>
      </c>
      <c r="B1610" s="62" t="s">
        <v>242</v>
      </c>
      <c r="C1610" s="63"/>
      <c r="D1610" s="64"/>
      <c r="E1610" s="65"/>
      <c r="F1610" s="66"/>
      <c r="G1610" s="63"/>
      <c r="H1610" s="67"/>
      <c r="I1610" s="68"/>
      <c r="J1610" s="68"/>
      <c r="K1610" s="32"/>
      <c r="L1610" s="75"/>
      <c r="M1610" s="75"/>
      <c r="N1610" s="70"/>
      <c r="O1610" t="s">
        <v>1568</v>
      </c>
      <c r="P1610" s="76">
        <v>44958.492002314815</v>
      </c>
      <c r="Q1610" t="s">
        <v>1612</v>
      </c>
      <c r="V1610" s="77" t="str">
        <f>HYPERLINK("https://pbs.twimg.com/profile_images/1521420381675999232/vnFQEqAj_normal.jpg")</f>
        <v>https://pbs.twimg.com/profile_images/1521420381675999232/vnFQEqAj_normal.jpg</v>
      </c>
      <c r="W1610" s="76">
        <v>44958.492002314815</v>
      </c>
      <c r="X1610" s="80">
        <v>44958</v>
      </c>
      <c r="Y1610" s="78" t="s">
        <v>2472</v>
      </c>
      <c r="Z1610" s="77" t="str">
        <f>HYPERLINK("https://twitter.com/njknight1436/status/1620750935738970113")</f>
        <v>https://twitter.com/njknight1436/status/1620750935738970113</v>
      </c>
      <c r="AC1610" s="78" t="s">
        <v>3487</v>
      </c>
      <c r="AD1610" s="78" t="s">
        <v>3486</v>
      </c>
      <c r="AE1610" t="b">
        <v>0</v>
      </c>
      <c r="AF1610">
        <v>0</v>
      </c>
      <c r="AG1610" s="78" t="s">
        <v>4658</v>
      </c>
      <c r="AH1610" t="b">
        <v>0</v>
      </c>
      <c r="AI1610" t="s">
        <v>4829</v>
      </c>
      <c r="AK1610" s="78" t="s">
        <v>4640</v>
      </c>
      <c r="AL1610" t="b">
        <v>0</v>
      </c>
      <c r="AM1610">
        <v>0</v>
      </c>
      <c r="AN1610" s="78" t="s">
        <v>4640</v>
      </c>
      <c r="AO1610" s="78" t="s">
        <v>4850</v>
      </c>
      <c r="AP1610" t="b">
        <v>0</v>
      </c>
      <c r="AQ1610" s="78" t="s">
        <v>3486</v>
      </c>
      <c r="AR1610" t="s">
        <v>179</v>
      </c>
      <c r="AS1610">
        <v>0</v>
      </c>
      <c r="AT1610">
        <v>0</v>
      </c>
    </row>
    <row r="1611" spans="1:54" x14ac:dyDescent="0.45">
      <c r="A1611" s="62" t="s">
        <v>269</v>
      </c>
      <c r="B1611" s="62" t="s">
        <v>1111</v>
      </c>
      <c r="C1611" s="63"/>
      <c r="D1611" s="64"/>
      <c r="E1611" s="65"/>
      <c r="F1611" s="66"/>
      <c r="G1611" s="63"/>
      <c r="H1611" s="67"/>
      <c r="I1611" s="68"/>
      <c r="J1611" s="68"/>
      <c r="K1611" s="32"/>
      <c r="L1611" s="75"/>
      <c r="M1611" s="75"/>
      <c r="N1611" s="70"/>
      <c r="O1611" t="s">
        <v>1568</v>
      </c>
      <c r="P1611" s="76">
        <v>44958.494259259256</v>
      </c>
      <c r="Q1611" t="s">
        <v>1613</v>
      </c>
      <c r="V1611" s="77" t="str">
        <f>HYPERLINK("https://pbs.twimg.com/profile_images/1562988775176900608/0PQucb2x_normal.jpg")</f>
        <v>https://pbs.twimg.com/profile_images/1562988775176900608/0PQucb2x_normal.jpg</v>
      </c>
      <c r="W1611" s="76">
        <v>44958.494259259256</v>
      </c>
      <c r="X1611" s="80">
        <v>44958</v>
      </c>
      <c r="Y1611" s="78" t="s">
        <v>2475</v>
      </c>
      <c r="Z1611" s="77" t="str">
        <f>HYPERLINK("https://twitter.com/andy_bowling_/status/1620751750662868992")</f>
        <v>https://twitter.com/andy_bowling_/status/1620751750662868992</v>
      </c>
      <c r="AC1611" s="78" t="s">
        <v>3490</v>
      </c>
      <c r="AE1611" t="b">
        <v>0</v>
      </c>
      <c r="AF1611">
        <v>0</v>
      </c>
      <c r="AG1611" s="78" t="s">
        <v>4639</v>
      </c>
      <c r="AH1611" t="b">
        <v>0</v>
      </c>
      <c r="AI1611" t="s">
        <v>4829</v>
      </c>
      <c r="AK1611" s="78" t="s">
        <v>4640</v>
      </c>
      <c r="AL1611" t="b">
        <v>0</v>
      </c>
      <c r="AM1611">
        <v>0</v>
      </c>
      <c r="AN1611" s="78" t="s">
        <v>4640</v>
      </c>
      <c r="AO1611" s="78" t="s">
        <v>4850</v>
      </c>
      <c r="AP1611" t="b">
        <v>0</v>
      </c>
      <c r="AQ1611" s="78" t="s">
        <v>3490</v>
      </c>
      <c r="AR1611" t="s">
        <v>179</v>
      </c>
      <c r="AS1611">
        <v>0</v>
      </c>
      <c r="AT1611">
        <v>0</v>
      </c>
    </row>
    <row r="1612" spans="1:54" x14ac:dyDescent="0.45">
      <c r="A1612" s="62" t="s">
        <v>269</v>
      </c>
      <c r="B1612" s="62" t="s">
        <v>242</v>
      </c>
      <c r="C1612" s="63"/>
      <c r="D1612" s="64"/>
      <c r="E1612" s="65"/>
      <c r="F1612" s="66"/>
      <c r="G1612" s="63"/>
      <c r="H1612" s="67"/>
      <c r="I1612" s="68"/>
      <c r="J1612" s="68"/>
      <c r="K1612" s="32"/>
      <c r="L1612" s="75"/>
      <c r="M1612" s="75"/>
      <c r="N1612" s="70"/>
      <c r="O1612" t="s">
        <v>1567</v>
      </c>
      <c r="P1612" s="76">
        <v>44958.494259259256</v>
      </c>
      <c r="Q1612" t="s">
        <v>1613</v>
      </c>
      <c r="V1612" s="77" t="str">
        <f>HYPERLINK("https://pbs.twimg.com/profile_images/1562988775176900608/0PQucb2x_normal.jpg")</f>
        <v>https://pbs.twimg.com/profile_images/1562988775176900608/0PQucb2x_normal.jpg</v>
      </c>
      <c r="W1612" s="76">
        <v>44958.494259259256</v>
      </c>
      <c r="X1612" s="80">
        <v>44958</v>
      </c>
      <c r="Y1612" s="78" t="s">
        <v>2475</v>
      </c>
      <c r="Z1612" s="77" t="str">
        <f>HYPERLINK("https://twitter.com/andy_bowling_/status/1620751750662868992")</f>
        <v>https://twitter.com/andy_bowling_/status/1620751750662868992</v>
      </c>
      <c r="AC1612" s="78" t="s">
        <v>3490</v>
      </c>
      <c r="AE1612" t="b">
        <v>0</v>
      </c>
      <c r="AF1612">
        <v>0</v>
      </c>
      <c r="AG1612" s="78" t="s">
        <v>4639</v>
      </c>
      <c r="AH1612" t="b">
        <v>0</v>
      </c>
      <c r="AI1612" t="s">
        <v>4829</v>
      </c>
      <c r="AK1612" s="78" t="s">
        <v>4640</v>
      </c>
      <c r="AL1612" t="b">
        <v>0</v>
      </c>
      <c r="AM1612">
        <v>0</v>
      </c>
      <c r="AN1612" s="78" t="s">
        <v>4640</v>
      </c>
      <c r="AO1612" s="78" t="s">
        <v>4850</v>
      </c>
      <c r="AP1612" t="b">
        <v>0</v>
      </c>
      <c r="AQ1612" s="78" t="s">
        <v>3490</v>
      </c>
      <c r="AR1612" t="s">
        <v>179</v>
      </c>
      <c r="AS1612">
        <v>0</v>
      </c>
      <c r="AT1612">
        <v>0</v>
      </c>
    </row>
    <row r="1613" spans="1:54" x14ac:dyDescent="0.45">
      <c r="A1613" s="62" t="s">
        <v>270</v>
      </c>
      <c r="B1613" s="62" t="s">
        <v>242</v>
      </c>
      <c r="C1613" s="63"/>
      <c r="D1613" s="64"/>
      <c r="E1613" s="65"/>
      <c r="F1613" s="66"/>
      <c r="G1613" s="63"/>
      <c r="H1613" s="67"/>
      <c r="I1613" s="68"/>
      <c r="J1613" s="68"/>
      <c r="K1613" s="32"/>
      <c r="L1613" s="75"/>
      <c r="M1613" s="75"/>
      <c r="N1613" s="70"/>
      <c r="O1613" t="s">
        <v>1568</v>
      </c>
      <c r="P1613" s="76">
        <v>44958.497974537036</v>
      </c>
      <c r="Q1613" t="s">
        <v>1614</v>
      </c>
      <c r="V1613" s="77" t="str">
        <f>HYPERLINK("https://pbs.twimg.com/profile_images/1334458955666513920/_vWXnM14_normal.jpg")</f>
        <v>https://pbs.twimg.com/profile_images/1334458955666513920/_vWXnM14_normal.jpg</v>
      </c>
      <c r="W1613" s="76">
        <v>44958.497974537036</v>
      </c>
      <c r="X1613" s="80">
        <v>44958</v>
      </c>
      <c r="Y1613" s="78" t="s">
        <v>2476</v>
      </c>
      <c r="Z1613" s="77" t="str">
        <f>HYPERLINK("https://twitter.com/bjsmith120216/status/1620753097432899586")</f>
        <v>https://twitter.com/bjsmith120216/status/1620753097432899586</v>
      </c>
      <c r="AC1613" s="78" t="s">
        <v>3491</v>
      </c>
      <c r="AE1613" t="b">
        <v>0</v>
      </c>
      <c r="AF1613">
        <v>0</v>
      </c>
      <c r="AG1613" s="78" t="s">
        <v>4640</v>
      </c>
      <c r="AH1613" t="b">
        <v>0</v>
      </c>
      <c r="AI1613" t="s">
        <v>4829</v>
      </c>
      <c r="AK1613" s="78" t="s">
        <v>4640</v>
      </c>
      <c r="AL1613" t="b">
        <v>0</v>
      </c>
      <c r="AM1613">
        <v>0</v>
      </c>
      <c r="AN1613" s="78" t="s">
        <v>4640</v>
      </c>
      <c r="AO1613" s="78" t="s">
        <v>4850</v>
      </c>
      <c r="AP1613" t="b">
        <v>0</v>
      </c>
      <c r="AQ1613" s="78" t="s">
        <v>3491</v>
      </c>
      <c r="AR1613" t="s">
        <v>179</v>
      </c>
      <c r="AS1613">
        <v>0</v>
      </c>
      <c r="AT1613">
        <v>0</v>
      </c>
    </row>
    <row r="1614" spans="1:54" x14ac:dyDescent="0.45">
      <c r="A1614" s="62" t="s">
        <v>270</v>
      </c>
      <c r="B1614" s="62" t="s">
        <v>1156</v>
      </c>
      <c r="C1614" s="63"/>
      <c r="D1614" s="64"/>
      <c r="E1614" s="65"/>
      <c r="F1614" s="66"/>
      <c r="G1614" s="63"/>
      <c r="H1614" s="67"/>
      <c r="I1614" s="68"/>
      <c r="J1614" s="68"/>
      <c r="K1614" s="32"/>
      <c r="L1614" s="75"/>
      <c r="M1614" s="75"/>
      <c r="N1614" s="70"/>
      <c r="O1614" t="s">
        <v>1568</v>
      </c>
      <c r="P1614" s="76">
        <v>44958.497974537036</v>
      </c>
      <c r="Q1614" t="s">
        <v>1614</v>
      </c>
      <c r="V1614" s="77" t="str">
        <f>HYPERLINK("https://pbs.twimg.com/profile_images/1334458955666513920/_vWXnM14_normal.jpg")</f>
        <v>https://pbs.twimg.com/profile_images/1334458955666513920/_vWXnM14_normal.jpg</v>
      </c>
      <c r="W1614" s="76">
        <v>44958.497974537036</v>
      </c>
      <c r="X1614" s="80">
        <v>44958</v>
      </c>
      <c r="Y1614" s="78" t="s">
        <v>2476</v>
      </c>
      <c r="Z1614" s="77" t="str">
        <f>HYPERLINK("https://twitter.com/bjsmith120216/status/1620753097432899586")</f>
        <v>https://twitter.com/bjsmith120216/status/1620753097432899586</v>
      </c>
      <c r="AC1614" s="78" t="s">
        <v>3491</v>
      </c>
      <c r="AE1614" t="b">
        <v>0</v>
      </c>
      <c r="AF1614">
        <v>0</v>
      </c>
      <c r="AG1614" s="78" t="s">
        <v>4640</v>
      </c>
      <c r="AH1614" t="b">
        <v>0</v>
      </c>
      <c r="AI1614" t="s">
        <v>4829</v>
      </c>
      <c r="AK1614" s="78" t="s">
        <v>4640</v>
      </c>
      <c r="AL1614" t="b">
        <v>0</v>
      </c>
      <c r="AM1614">
        <v>0</v>
      </c>
      <c r="AN1614" s="78" t="s">
        <v>4640</v>
      </c>
      <c r="AO1614" s="78" t="s">
        <v>4850</v>
      </c>
      <c r="AP1614" t="b">
        <v>0</v>
      </c>
      <c r="AQ1614" s="78" t="s">
        <v>3491</v>
      </c>
      <c r="AR1614" t="s">
        <v>179</v>
      </c>
      <c r="AS1614">
        <v>0</v>
      </c>
      <c r="AT1614">
        <v>0</v>
      </c>
    </row>
    <row r="1615" spans="1:54" x14ac:dyDescent="0.45">
      <c r="A1615" s="62" t="s">
        <v>270</v>
      </c>
      <c r="B1615" s="62" t="s">
        <v>1157</v>
      </c>
      <c r="C1615" s="63"/>
      <c r="D1615" s="64"/>
      <c r="E1615" s="65"/>
      <c r="F1615" s="66"/>
      <c r="G1615" s="63"/>
      <c r="H1615" s="67"/>
      <c r="I1615" s="68"/>
      <c r="J1615" s="68"/>
      <c r="K1615" s="32"/>
      <c r="L1615" s="75"/>
      <c r="M1615" s="75"/>
      <c r="N1615" s="70"/>
      <c r="O1615" t="s">
        <v>1568</v>
      </c>
      <c r="P1615" s="76">
        <v>44958.497974537036</v>
      </c>
      <c r="Q1615" t="s">
        <v>1614</v>
      </c>
      <c r="V1615" s="77" t="str">
        <f>HYPERLINK("https://pbs.twimg.com/profile_images/1334458955666513920/_vWXnM14_normal.jpg")</f>
        <v>https://pbs.twimg.com/profile_images/1334458955666513920/_vWXnM14_normal.jpg</v>
      </c>
      <c r="W1615" s="76">
        <v>44958.497974537036</v>
      </c>
      <c r="X1615" s="80">
        <v>44958</v>
      </c>
      <c r="Y1615" s="78" t="s">
        <v>2476</v>
      </c>
      <c r="Z1615" s="77" t="str">
        <f>HYPERLINK("https://twitter.com/bjsmith120216/status/1620753097432899586")</f>
        <v>https://twitter.com/bjsmith120216/status/1620753097432899586</v>
      </c>
      <c r="AC1615" s="78" t="s">
        <v>3491</v>
      </c>
      <c r="AE1615" t="b">
        <v>0</v>
      </c>
      <c r="AF1615">
        <v>0</v>
      </c>
      <c r="AG1615" s="78" t="s">
        <v>4640</v>
      </c>
      <c r="AH1615" t="b">
        <v>0</v>
      </c>
      <c r="AI1615" t="s">
        <v>4829</v>
      </c>
      <c r="AK1615" s="78" t="s">
        <v>4640</v>
      </c>
      <c r="AL1615" t="b">
        <v>0</v>
      </c>
      <c r="AM1615">
        <v>0</v>
      </c>
      <c r="AN1615" s="78" t="s">
        <v>4640</v>
      </c>
      <c r="AO1615" s="78" t="s">
        <v>4850</v>
      </c>
      <c r="AP1615" t="b">
        <v>0</v>
      </c>
      <c r="AQ1615" s="78" t="s">
        <v>3491</v>
      </c>
      <c r="AR1615" t="s">
        <v>179</v>
      </c>
      <c r="AS1615">
        <v>0</v>
      </c>
      <c r="AT1615">
        <v>0</v>
      </c>
    </row>
    <row r="1616" spans="1:54" x14ac:dyDescent="0.45">
      <c r="A1616" s="62" t="s">
        <v>272</v>
      </c>
      <c r="B1616" s="62" t="s">
        <v>1158</v>
      </c>
      <c r="C1616" s="63"/>
      <c r="D1616" s="64"/>
      <c r="E1616" s="65"/>
      <c r="F1616" s="66"/>
      <c r="G1616" s="63"/>
      <c r="H1616" s="67"/>
      <c r="I1616" s="68"/>
      <c r="J1616" s="68"/>
      <c r="K1616" s="32"/>
      <c r="L1616" s="75"/>
      <c r="M1616" s="75"/>
      <c r="N1616" s="70"/>
      <c r="O1616" t="s">
        <v>1567</v>
      </c>
      <c r="P1616" s="76">
        <v>44958.514652777776</v>
      </c>
      <c r="Q1616" t="s">
        <v>1616</v>
      </c>
      <c r="V1616" s="77" t="str">
        <f>HYPERLINK("https://pbs.twimg.com/profile_images/1609939360719290376/1FLe0T7b_normal.jpg")</f>
        <v>https://pbs.twimg.com/profile_images/1609939360719290376/1FLe0T7b_normal.jpg</v>
      </c>
      <c r="W1616" s="76">
        <v>44958.514652777776</v>
      </c>
      <c r="X1616" s="80">
        <v>44958</v>
      </c>
      <c r="Y1616" s="78" t="s">
        <v>2478</v>
      </c>
      <c r="Z1616" s="77" t="str">
        <f>HYPERLINK("https://twitter.com/thebuckramadan1/status/1620759140514791425")</f>
        <v>https://twitter.com/thebuckramadan1/status/1620759140514791425</v>
      </c>
      <c r="AC1616" s="78" t="s">
        <v>3493</v>
      </c>
      <c r="AE1616" t="b">
        <v>0</v>
      </c>
      <c r="AF1616">
        <v>0</v>
      </c>
      <c r="AG1616" s="78" t="s">
        <v>4659</v>
      </c>
      <c r="AH1616" t="b">
        <v>0</v>
      </c>
      <c r="AI1616" t="s">
        <v>4829</v>
      </c>
      <c r="AK1616" s="78" t="s">
        <v>4640</v>
      </c>
      <c r="AL1616" t="b">
        <v>0</v>
      </c>
      <c r="AM1616">
        <v>0</v>
      </c>
      <c r="AN1616" s="78" t="s">
        <v>4640</v>
      </c>
      <c r="AO1616" s="78" t="s">
        <v>4849</v>
      </c>
      <c r="AP1616" t="b">
        <v>0</v>
      </c>
      <c r="AQ1616" s="78" t="s">
        <v>3493</v>
      </c>
      <c r="AR1616" t="s">
        <v>179</v>
      </c>
      <c r="AS1616">
        <v>0</v>
      </c>
      <c r="AT1616">
        <v>0</v>
      </c>
    </row>
    <row r="1617" spans="1:54" x14ac:dyDescent="0.45">
      <c r="A1617" s="62" t="s">
        <v>272</v>
      </c>
      <c r="B1617" s="62" t="s">
        <v>1159</v>
      </c>
      <c r="C1617" s="63"/>
      <c r="D1617" s="64"/>
      <c r="E1617" s="65"/>
      <c r="F1617" s="66"/>
      <c r="G1617" s="63"/>
      <c r="H1617" s="67"/>
      <c r="I1617" s="68"/>
      <c r="J1617" s="68"/>
      <c r="K1617" s="32"/>
      <c r="L1617" s="75"/>
      <c r="M1617" s="75"/>
      <c r="N1617" s="70"/>
      <c r="O1617" t="s">
        <v>1568</v>
      </c>
      <c r="P1617" s="76">
        <v>44958.514652777776</v>
      </c>
      <c r="Q1617" t="s">
        <v>1616</v>
      </c>
      <c r="V1617" s="77" t="str">
        <f>HYPERLINK("https://pbs.twimg.com/profile_images/1609939360719290376/1FLe0T7b_normal.jpg")</f>
        <v>https://pbs.twimg.com/profile_images/1609939360719290376/1FLe0T7b_normal.jpg</v>
      </c>
      <c r="W1617" s="76">
        <v>44958.514652777776</v>
      </c>
      <c r="X1617" s="80">
        <v>44958</v>
      </c>
      <c r="Y1617" s="78" t="s">
        <v>2478</v>
      </c>
      <c r="Z1617" s="77" t="str">
        <f>HYPERLINK("https://twitter.com/thebuckramadan1/status/1620759140514791425")</f>
        <v>https://twitter.com/thebuckramadan1/status/1620759140514791425</v>
      </c>
      <c r="AC1617" s="78" t="s">
        <v>3493</v>
      </c>
      <c r="AE1617" t="b">
        <v>0</v>
      </c>
      <c r="AF1617">
        <v>0</v>
      </c>
      <c r="AG1617" s="78" t="s">
        <v>4659</v>
      </c>
      <c r="AH1617" t="b">
        <v>0</v>
      </c>
      <c r="AI1617" t="s">
        <v>4829</v>
      </c>
      <c r="AK1617" s="78" t="s">
        <v>4640</v>
      </c>
      <c r="AL1617" t="b">
        <v>0</v>
      </c>
      <c r="AM1617">
        <v>0</v>
      </c>
      <c r="AN1617" s="78" t="s">
        <v>4640</v>
      </c>
      <c r="AO1617" s="78" t="s">
        <v>4849</v>
      </c>
      <c r="AP1617" t="b">
        <v>0</v>
      </c>
      <c r="AQ1617" s="78" t="s">
        <v>3493</v>
      </c>
      <c r="AR1617" t="s">
        <v>179</v>
      </c>
      <c r="AS1617">
        <v>0</v>
      </c>
      <c r="AT1617">
        <v>0</v>
      </c>
    </row>
    <row r="1618" spans="1:54" x14ac:dyDescent="0.45">
      <c r="A1618" s="62" t="s">
        <v>272</v>
      </c>
      <c r="B1618" s="62" t="s">
        <v>1160</v>
      </c>
      <c r="C1618" s="63"/>
      <c r="D1618" s="64"/>
      <c r="E1618" s="65"/>
      <c r="F1618" s="66"/>
      <c r="G1618" s="63"/>
      <c r="H1618" s="67"/>
      <c r="I1618" s="68"/>
      <c r="J1618" s="68"/>
      <c r="K1618" s="32"/>
      <c r="L1618" s="75"/>
      <c r="M1618" s="75"/>
      <c r="N1618" s="70"/>
      <c r="O1618" t="s">
        <v>1568</v>
      </c>
      <c r="P1618" s="76">
        <v>44958.514652777776</v>
      </c>
      <c r="Q1618" t="s">
        <v>1616</v>
      </c>
      <c r="V1618" s="77" t="str">
        <f>HYPERLINK("https://pbs.twimg.com/profile_images/1609939360719290376/1FLe0T7b_normal.jpg")</f>
        <v>https://pbs.twimg.com/profile_images/1609939360719290376/1FLe0T7b_normal.jpg</v>
      </c>
      <c r="W1618" s="76">
        <v>44958.514652777776</v>
      </c>
      <c r="X1618" s="80">
        <v>44958</v>
      </c>
      <c r="Y1618" s="78" t="s">
        <v>2478</v>
      </c>
      <c r="Z1618" s="77" t="str">
        <f>HYPERLINK("https://twitter.com/thebuckramadan1/status/1620759140514791425")</f>
        <v>https://twitter.com/thebuckramadan1/status/1620759140514791425</v>
      </c>
      <c r="AC1618" s="78" t="s">
        <v>3493</v>
      </c>
      <c r="AE1618" t="b">
        <v>0</v>
      </c>
      <c r="AF1618">
        <v>0</v>
      </c>
      <c r="AG1618" s="78" t="s">
        <v>4659</v>
      </c>
      <c r="AH1618" t="b">
        <v>0</v>
      </c>
      <c r="AI1618" t="s">
        <v>4829</v>
      </c>
      <c r="AK1618" s="78" t="s">
        <v>4640</v>
      </c>
      <c r="AL1618" t="b">
        <v>0</v>
      </c>
      <c r="AM1618">
        <v>0</v>
      </c>
      <c r="AN1618" s="78" t="s">
        <v>4640</v>
      </c>
      <c r="AO1618" s="78" t="s">
        <v>4849</v>
      </c>
      <c r="AP1618" t="b">
        <v>0</v>
      </c>
      <c r="AQ1618" s="78" t="s">
        <v>3493</v>
      </c>
      <c r="AR1618" t="s">
        <v>179</v>
      </c>
      <c r="AS1618">
        <v>0</v>
      </c>
      <c r="AT1618">
        <v>0</v>
      </c>
    </row>
    <row r="1619" spans="1:54" x14ac:dyDescent="0.45">
      <c r="A1619" s="62" t="s">
        <v>272</v>
      </c>
      <c r="B1619" s="62" t="s">
        <v>242</v>
      </c>
      <c r="C1619" s="63"/>
      <c r="D1619" s="64"/>
      <c r="E1619" s="65"/>
      <c r="F1619" s="66"/>
      <c r="G1619" s="63"/>
      <c r="H1619" s="67"/>
      <c r="I1619" s="68"/>
      <c r="J1619" s="68"/>
      <c r="K1619" s="32"/>
      <c r="L1619" s="75"/>
      <c r="M1619" s="75"/>
      <c r="N1619" s="70"/>
      <c r="O1619" t="s">
        <v>1568</v>
      </c>
      <c r="P1619" s="76">
        <v>44958.514652777776</v>
      </c>
      <c r="Q1619" t="s">
        <v>1616</v>
      </c>
      <c r="V1619" s="77" t="str">
        <f>HYPERLINK("https://pbs.twimg.com/profile_images/1609939360719290376/1FLe0T7b_normal.jpg")</f>
        <v>https://pbs.twimg.com/profile_images/1609939360719290376/1FLe0T7b_normal.jpg</v>
      </c>
      <c r="W1619" s="76">
        <v>44958.514652777776</v>
      </c>
      <c r="X1619" s="80">
        <v>44958</v>
      </c>
      <c r="Y1619" s="78" t="s">
        <v>2478</v>
      </c>
      <c r="Z1619" s="77" t="str">
        <f>HYPERLINK("https://twitter.com/thebuckramadan1/status/1620759140514791425")</f>
        <v>https://twitter.com/thebuckramadan1/status/1620759140514791425</v>
      </c>
      <c r="AC1619" s="78" t="s">
        <v>3493</v>
      </c>
      <c r="AE1619" t="b">
        <v>0</v>
      </c>
      <c r="AF1619">
        <v>0</v>
      </c>
      <c r="AG1619" s="78" t="s">
        <v>4659</v>
      </c>
      <c r="AH1619" t="b">
        <v>0</v>
      </c>
      <c r="AI1619" t="s">
        <v>4829</v>
      </c>
      <c r="AK1619" s="78" t="s">
        <v>4640</v>
      </c>
      <c r="AL1619" t="b">
        <v>0</v>
      </c>
      <c r="AM1619">
        <v>0</v>
      </c>
      <c r="AN1619" s="78" t="s">
        <v>4640</v>
      </c>
      <c r="AO1619" s="78" t="s">
        <v>4849</v>
      </c>
      <c r="AP1619" t="b">
        <v>0</v>
      </c>
      <c r="AQ1619" s="78" t="s">
        <v>3493</v>
      </c>
      <c r="AR1619" t="s">
        <v>179</v>
      </c>
      <c r="AS1619">
        <v>0</v>
      </c>
      <c r="AT1619">
        <v>0</v>
      </c>
    </row>
    <row r="1620" spans="1:54" x14ac:dyDescent="0.45">
      <c r="A1620" s="62" t="s">
        <v>276</v>
      </c>
      <c r="B1620" s="62" t="s">
        <v>1111</v>
      </c>
      <c r="C1620" s="63"/>
      <c r="D1620" s="64"/>
      <c r="E1620" s="65"/>
      <c r="F1620" s="66"/>
      <c r="G1620" s="63"/>
      <c r="H1620" s="67"/>
      <c r="I1620" s="68"/>
      <c r="J1620" s="68"/>
      <c r="K1620" s="32"/>
      <c r="L1620" s="75"/>
      <c r="M1620" s="75"/>
      <c r="N1620" s="70"/>
      <c r="O1620" t="s">
        <v>1568</v>
      </c>
      <c r="P1620" s="76">
        <v>44958.522766203707</v>
      </c>
      <c r="Q1620" t="s">
        <v>1619</v>
      </c>
      <c r="U1620" s="77" t="str">
        <f>HYPERLINK("https://pbs.twimg.com/media/Fn4ahZ7XEAAID0n.jpg")</f>
        <v>https://pbs.twimg.com/media/Fn4ahZ7XEAAID0n.jpg</v>
      </c>
      <c r="V1620" s="77" t="str">
        <f>HYPERLINK("https://pbs.twimg.com/media/Fn4ahZ7XEAAID0n.jpg")</f>
        <v>https://pbs.twimg.com/media/Fn4ahZ7XEAAID0n.jpg</v>
      </c>
      <c r="W1620" s="76">
        <v>44958.522766203707</v>
      </c>
      <c r="X1620" s="80">
        <v>44958</v>
      </c>
      <c r="Y1620" s="78" t="s">
        <v>2482</v>
      </c>
      <c r="Z1620" s="77" t="str">
        <f>HYPERLINK("https://twitter.com/stephmomof1/status/1620762082265399296")</f>
        <v>https://twitter.com/stephmomof1/status/1620762082265399296</v>
      </c>
      <c r="AC1620" s="78" t="s">
        <v>3497</v>
      </c>
      <c r="AE1620" t="b">
        <v>0</v>
      </c>
      <c r="AF1620">
        <v>0</v>
      </c>
      <c r="AG1620" s="78" t="s">
        <v>4660</v>
      </c>
      <c r="AH1620" t="b">
        <v>0</v>
      </c>
      <c r="AI1620" t="s">
        <v>4829</v>
      </c>
      <c r="AK1620" s="78" t="s">
        <v>4640</v>
      </c>
      <c r="AL1620" t="b">
        <v>0</v>
      </c>
      <c r="AM1620">
        <v>0</v>
      </c>
      <c r="AN1620" s="78" t="s">
        <v>4640</v>
      </c>
      <c r="AO1620" s="78" t="s">
        <v>4850</v>
      </c>
      <c r="AP1620" t="b">
        <v>0</v>
      </c>
      <c r="AQ1620" s="78" t="s">
        <v>3497</v>
      </c>
      <c r="AR1620" t="s">
        <v>179</v>
      </c>
      <c r="AS1620">
        <v>0</v>
      </c>
      <c r="AT1620">
        <v>0</v>
      </c>
    </row>
    <row r="1621" spans="1:54" x14ac:dyDescent="0.45">
      <c r="A1621" s="62" t="s">
        <v>276</v>
      </c>
      <c r="B1621" s="62" t="s">
        <v>242</v>
      </c>
      <c r="C1621" s="63"/>
      <c r="D1621" s="64"/>
      <c r="E1621" s="65"/>
      <c r="F1621" s="66"/>
      <c r="G1621" s="63"/>
      <c r="H1621" s="67"/>
      <c r="I1621" s="68"/>
      <c r="J1621" s="68"/>
      <c r="K1621" s="32"/>
      <c r="L1621" s="75"/>
      <c r="M1621" s="75"/>
      <c r="N1621" s="70"/>
      <c r="O1621" t="s">
        <v>1568</v>
      </c>
      <c r="P1621" s="76">
        <v>44958.522766203707</v>
      </c>
      <c r="Q1621" t="s">
        <v>1619</v>
      </c>
      <c r="U1621" s="77" t="str">
        <f>HYPERLINK("https://pbs.twimg.com/media/Fn4ahZ7XEAAID0n.jpg")</f>
        <v>https://pbs.twimg.com/media/Fn4ahZ7XEAAID0n.jpg</v>
      </c>
      <c r="V1621" s="77" t="str">
        <f>HYPERLINK("https://pbs.twimg.com/media/Fn4ahZ7XEAAID0n.jpg")</f>
        <v>https://pbs.twimg.com/media/Fn4ahZ7XEAAID0n.jpg</v>
      </c>
      <c r="W1621" s="76">
        <v>44958.522766203707</v>
      </c>
      <c r="X1621" s="80">
        <v>44958</v>
      </c>
      <c r="Y1621" s="78" t="s">
        <v>2482</v>
      </c>
      <c r="Z1621" s="77" t="str">
        <f>HYPERLINK("https://twitter.com/stephmomof1/status/1620762082265399296")</f>
        <v>https://twitter.com/stephmomof1/status/1620762082265399296</v>
      </c>
      <c r="AC1621" s="78" t="s">
        <v>3497</v>
      </c>
      <c r="AE1621" t="b">
        <v>0</v>
      </c>
      <c r="AF1621">
        <v>0</v>
      </c>
      <c r="AG1621" s="78" t="s">
        <v>4660</v>
      </c>
      <c r="AH1621" t="b">
        <v>0</v>
      </c>
      <c r="AI1621" t="s">
        <v>4829</v>
      </c>
      <c r="AK1621" s="78" t="s">
        <v>4640</v>
      </c>
      <c r="AL1621" t="b">
        <v>0</v>
      </c>
      <c r="AM1621">
        <v>0</v>
      </c>
      <c r="AN1621" s="78" t="s">
        <v>4640</v>
      </c>
      <c r="AO1621" s="78" t="s">
        <v>4850</v>
      </c>
      <c r="AP1621" t="b">
        <v>0</v>
      </c>
      <c r="AQ1621" s="78" t="s">
        <v>3497</v>
      </c>
      <c r="AR1621" t="s">
        <v>179</v>
      </c>
      <c r="AS1621">
        <v>0</v>
      </c>
      <c r="AT1621">
        <v>0</v>
      </c>
    </row>
    <row r="1622" spans="1:54" x14ac:dyDescent="0.45">
      <c r="A1622" s="62" t="s">
        <v>276</v>
      </c>
      <c r="B1622" s="62" t="s">
        <v>1163</v>
      </c>
      <c r="C1622" s="63"/>
      <c r="D1622" s="64"/>
      <c r="E1622" s="65"/>
      <c r="F1622" s="66"/>
      <c r="G1622" s="63"/>
      <c r="H1622" s="67"/>
      <c r="I1622" s="68"/>
      <c r="J1622" s="68"/>
      <c r="K1622" s="32"/>
      <c r="L1622" s="75"/>
      <c r="M1622" s="75"/>
      <c r="N1622" s="70"/>
      <c r="O1622" t="s">
        <v>1567</v>
      </c>
      <c r="P1622" s="76">
        <v>44958.522766203707</v>
      </c>
      <c r="Q1622" t="s">
        <v>1619</v>
      </c>
      <c r="U1622" s="77" t="str">
        <f>HYPERLINK("https://pbs.twimg.com/media/Fn4ahZ7XEAAID0n.jpg")</f>
        <v>https://pbs.twimg.com/media/Fn4ahZ7XEAAID0n.jpg</v>
      </c>
      <c r="V1622" s="77" t="str">
        <f>HYPERLINK("https://pbs.twimg.com/media/Fn4ahZ7XEAAID0n.jpg")</f>
        <v>https://pbs.twimg.com/media/Fn4ahZ7XEAAID0n.jpg</v>
      </c>
      <c r="W1622" s="76">
        <v>44958.522766203707</v>
      </c>
      <c r="X1622" s="80">
        <v>44958</v>
      </c>
      <c r="Y1622" s="78" t="s">
        <v>2482</v>
      </c>
      <c r="Z1622" s="77" t="str">
        <f>HYPERLINK("https://twitter.com/stephmomof1/status/1620762082265399296")</f>
        <v>https://twitter.com/stephmomof1/status/1620762082265399296</v>
      </c>
      <c r="AC1622" s="78" t="s">
        <v>3497</v>
      </c>
      <c r="AE1622" t="b">
        <v>0</v>
      </c>
      <c r="AF1622">
        <v>0</v>
      </c>
      <c r="AG1622" s="78" t="s">
        <v>4660</v>
      </c>
      <c r="AH1622" t="b">
        <v>0</v>
      </c>
      <c r="AI1622" t="s">
        <v>4829</v>
      </c>
      <c r="AK1622" s="78" t="s">
        <v>4640</v>
      </c>
      <c r="AL1622" t="b">
        <v>0</v>
      </c>
      <c r="AM1622">
        <v>0</v>
      </c>
      <c r="AN1622" s="78" t="s">
        <v>4640</v>
      </c>
      <c r="AO1622" s="78" t="s">
        <v>4850</v>
      </c>
      <c r="AP1622" t="b">
        <v>0</v>
      </c>
      <c r="AQ1622" s="78" t="s">
        <v>3497</v>
      </c>
      <c r="AR1622" t="s">
        <v>179</v>
      </c>
      <c r="AS1622">
        <v>0</v>
      </c>
      <c r="AT1622">
        <v>0</v>
      </c>
    </row>
    <row r="1623" spans="1:54" x14ac:dyDescent="0.45">
      <c r="A1623" s="62" t="s">
        <v>278</v>
      </c>
      <c r="B1623" s="62" t="s">
        <v>1164</v>
      </c>
      <c r="C1623" s="63"/>
      <c r="D1623" s="64"/>
      <c r="E1623" s="65"/>
      <c r="F1623" s="66"/>
      <c r="G1623" s="63"/>
      <c r="H1623" s="67"/>
      <c r="I1623" s="68"/>
      <c r="J1623" s="68"/>
      <c r="K1623" s="32"/>
      <c r="L1623" s="75"/>
      <c r="M1623" s="75"/>
      <c r="N1623" s="70"/>
      <c r="O1623" t="s">
        <v>1568</v>
      </c>
      <c r="P1623" s="76">
        <v>44958.526678240742</v>
      </c>
      <c r="Q1623" t="s">
        <v>1620</v>
      </c>
      <c r="V1623" s="77" t="str">
        <f>HYPERLINK("https://pbs.twimg.com/profile_images/1547429038968524800/LZ3JK0d6_normal.jpg")</f>
        <v>https://pbs.twimg.com/profile_images/1547429038968524800/LZ3JK0d6_normal.jpg</v>
      </c>
      <c r="W1623" s="76">
        <v>44958.526678240742</v>
      </c>
      <c r="X1623" s="80">
        <v>44958</v>
      </c>
      <c r="Y1623" s="78" t="s">
        <v>2484</v>
      </c>
      <c r="Z1623" s="77" t="str">
        <f>HYPERLINK("https://twitter.com/snowboard_p/status/1620763500019879937")</f>
        <v>https://twitter.com/snowboard_p/status/1620763500019879937</v>
      </c>
      <c r="AC1623" s="78" t="s">
        <v>3499</v>
      </c>
      <c r="AE1623" t="b">
        <v>0</v>
      </c>
      <c r="AF1623">
        <v>0</v>
      </c>
      <c r="AG1623" s="78" t="s">
        <v>4640</v>
      </c>
      <c r="AH1623" t="b">
        <v>0</v>
      </c>
      <c r="AI1623" t="s">
        <v>4829</v>
      </c>
      <c r="AK1623" s="78" t="s">
        <v>4640</v>
      </c>
      <c r="AL1623" t="b">
        <v>0</v>
      </c>
      <c r="AM1623">
        <v>0</v>
      </c>
      <c r="AN1623" s="78" t="s">
        <v>4640</v>
      </c>
      <c r="AO1623" s="78" t="s">
        <v>4849</v>
      </c>
      <c r="AP1623" t="b">
        <v>0</v>
      </c>
      <c r="AQ1623" s="78" t="s">
        <v>3499</v>
      </c>
      <c r="AR1623" t="s">
        <v>179</v>
      </c>
      <c r="AS1623">
        <v>0</v>
      </c>
      <c r="AT1623">
        <v>0</v>
      </c>
      <c r="AU1623" t="s">
        <v>4877</v>
      </c>
      <c r="AV1623" t="s">
        <v>4899</v>
      </c>
      <c r="AW1623" t="s">
        <v>4901</v>
      </c>
      <c r="AX1623" t="s">
        <v>4906</v>
      </c>
      <c r="AY1623" t="s">
        <v>4931</v>
      </c>
      <c r="AZ1623" t="s">
        <v>4956</v>
      </c>
      <c r="BA1623" t="s">
        <v>4975</v>
      </c>
      <c r="BB1623" s="77" t="str">
        <f>HYPERLINK("https://api.twitter.com/1.1/geo/id/01a9a39529b27f36.json")</f>
        <v>https://api.twitter.com/1.1/geo/id/01a9a39529b27f36.json</v>
      </c>
    </row>
    <row r="1624" spans="1:54" x14ac:dyDescent="0.45">
      <c r="A1624" s="62" t="s">
        <v>278</v>
      </c>
      <c r="B1624" s="62" t="s">
        <v>242</v>
      </c>
      <c r="C1624" s="63"/>
      <c r="D1624" s="64"/>
      <c r="E1624" s="65"/>
      <c r="F1624" s="66"/>
      <c r="G1624" s="63"/>
      <c r="H1624" s="67"/>
      <c r="I1624" s="68"/>
      <c r="J1624" s="68"/>
      <c r="K1624" s="32"/>
      <c r="L1624" s="75"/>
      <c r="M1624" s="75"/>
      <c r="N1624" s="70"/>
      <c r="O1624" t="s">
        <v>1568</v>
      </c>
      <c r="P1624" s="76">
        <v>44958.526678240742</v>
      </c>
      <c r="Q1624" t="s">
        <v>1620</v>
      </c>
      <c r="V1624" s="77" t="str">
        <f>HYPERLINK("https://pbs.twimg.com/profile_images/1547429038968524800/LZ3JK0d6_normal.jpg")</f>
        <v>https://pbs.twimg.com/profile_images/1547429038968524800/LZ3JK0d6_normal.jpg</v>
      </c>
      <c r="W1624" s="76">
        <v>44958.526678240742</v>
      </c>
      <c r="X1624" s="80">
        <v>44958</v>
      </c>
      <c r="Y1624" s="78" t="s">
        <v>2484</v>
      </c>
      <c r="Z1624" s="77" t="str">
        <f>HYPERLINK("https://twitter.com/snowboard_p/status/1620763500019879937")</f>
        <v>https://twitter.com/snowboard_p/status/1620763500019879937</v>
      </c>
      <c r="AC1624" s="78" t="s">
        <v>3499</v>
      </c>
      <c r="AE1624" t="b">
        <v>0</v>
      </c>
      <c r="AF1624">
        <v>0</v>
      </c>
      <c r="AG1624" s="78" t="s">
        <v>4640</v>
      </c>
      <c r="AH1624" t="b">
        <v>0</v>
      </c>
      <c r="AI1624" t="s">
        <v>4829</v>
      </c>
      <c r="AK1624" s="78" t="s">
        <v>4640</v>
      </c>
      <c r="AL1624" t="b">
        <v>0</v>
      </c>
      <c r="AM1624">
        <v>0</v>
      </c>
      <c r="AN1624" s="78" t="s">
        <v>4640</v>
      </c>
      <c r="AO1624" s="78" t="s">
        <v>4849</v>
      </c>
      <c r="AP1624" t="b">
        <v>0</v>
      </c>
      <c r="AQ1624" s="78" t="s">
        <v>3499</v>
      </c>
      <c r="AR1624" t="s">
        <v>179</v>
      </c>
      <c r="AS1624">
        <v>0</v>
      </c>
      <c r="AT1624">
        <v>0</v>
      </c>
      <c r="AU1624" t="s">
        <v>4877</v>
      </c>
      <c r="AV1624" t="s">
        <v>4899</v>
      </c>
      <c r="AW1624" t="s">
        <v>4901</v>
      </c>
      <c r="AX1624" t="s">
        <v>4906</v>
      </c>
      <c r="AY1624" t="s">
        <v>4931</v>
      </c>
      <c r="AZ1624" t="s">
        <v>4956</v>
      </c>
      <c r="BA1624" t="s">
        <v>4975</v>
      </c>
      <c r="BB1624" s="77" t="str">
        <f>HYPERLINK("https://api.twitter.com/1.1/geo/id/01a9a39529b27f36.json")</f>
        <v>https://api.twitter.com/1.1/geo/id/01a9a39529b27f36.json</v>
      </c>
    </row>
    <row r="1625" spans="1:54" x14ac:dyDescent="0.45">
      <c r="A1625" s="62" t="s">
        <v>279</v>
      </c>
      <c r="B1625" s="62" t="s">
        <v>1165</v>
      </c>
      <c r="C1625" s="63"/>
      <c r="D1625" s="64"/>
      <c r="E1625" s="65"/>
      <c r="F1625" s="66"/>
      <c r="G1625" s="63"/>
      <c r="H1625" s="67"/>
      <c r="I1625" s="68"/>
      <c r="J1625" s="68"/>
      <c r="K1625" s="32"/>
      <c r="L1625" s="75"/>
      <c r="M1625" s="75"/>
      <c r="N1625" s="70"/>
      <c r="O1625" t="s">
        <v>1567</v>
      </c>
      <c r="P1625" s="76">
        <v>44958.534618055557</v>
      </c>
      <c r="Q1625" t="s">
        <v>1621</v>
      </c>
      <c r="V1625" s="77" t="str">
        <f>HYPERLINK("https://pbs.twimg.com/profile_images/443041986564472833/-EqI0yO8_normal.jpeg")</f>
        <v>https://pbs.twimg.com/profile_images/443041986564472833/-EqI0yO8_normal.jpeg</v>
      </c>
      <c r="W1625" s="76">
        <v>44958.534618055557</v>
      </c>
      <c r="X1625" s="80">
        <v>44958</v>
      </c>
      <c r="Y1625" s="78" t="s">
        <v>2485</v>
      </c>
      <c r="Z1625" s="77" t="str">
        <f>HYPERLINK("https://twitter.com/4ever0range/status/1620766377467592705")</f>
        <v>https://twitter.com/4ever0range/status/1620766377467592705</v>
      </c>
      <c r="AC1625" s="78" t="s">
        <v>3500</v>
      </c>
      <c r="AE1625" t="b">
        <v>0</v>
      </c>
      <c r="AF1625">
        <v>0</v>
      </c>
      <c r="AG1625" s="78" t="s">
        <v>4661</v>
      </c>
      <c r="AH1625" t="b">
        <v>0</v>
      </c>
      <c r="AI1625" t="s">
        <v>4829</v>
      </c>
      <c r="AK1625" s="78" t="s">
        <v>4640</v>
      </c>
      <c r="AL1625" t="b">
        <v>0</v>
      </c>
      <c r="AM1625">
        <v>0</v>
      </c>
      <c r="AN1625" s="78" t="s">
        <v>4640</v>
      </c>
      <c r="AO1625" s="78" t="s">
        <v>4850</v>
      </c>
      <c r="AP1625" t="b">
        <v>0</v>
      </c>
      <c r="AQ1625" s="78" t="s">
        <v>3500</v>
      </c>
      <c r="AR1625" t="s">
        <v>179</v>
      </c>
      <c r="AS1625">
        <v>0</v>
      </c>
      <c r="AT1625">
        <v>0</v>
      </c>
    </row>
    <row r="1626" spans="1:54" x14ac:dyDescent="0.45">
      <c r="A1626" s="62" t="s">
        <v>279</v>
      </c>
      <c r="B1626" s="62" t="s">
        <v>1165</v>
      </c>
      <c r="C1626" s="63"/>
      <c r="D1626" s="64"/>
      <c r="E1626" s="65"/>
      <c r="F1626" s="66"/>
      <c r="G1626" s="63"/>
      <c r="H1626" s="67"/>
      <c r="I1626" s="68"/>
      <c r="J1626" s="68"/>
      <c r="K1626" s="32"/>
      <c r="L1626" s="75"/>
      <c r="M1626" s="75"/>
      <c r="N1626" s="70"/>
      <c r="O1626" t="s">
        <v>1567</v>
      </c>
      <c r="P1626" s="76">
        <v>44958.536030092589</v>
      </c>
      <c r="Q1626" t="s">
        <v>1622</v>
      </c>
      <c r="V1626" s="77" t="str">
        <f>HYPERLINK("https://pbs.twimg.com/profile_images/443041986564472833/-EqI0yO8_normal.jpeg")</f>
        <v>https://pbs.twimg.com/profile_images/443041986564472833/-EqI0yO8_normal.jpeg</v>
      </c>
      <c r="W1626" s="76">
        <v>44958.536030092589</v>
      </c>
      <c r="X1626" s="80">
        <v>44958</v>
      </c>
      <c r="Y1626" s="78" t="s">
        <v>2486</v>
      </c>
      <c r="Z1626" s="77" t="str">
        <f>HYPERLINK("https://twitter.com/4ever0range/status/1620766891374710785")</f>
        <v>https://twitter.com/4ever0range/status/1620766891374710785</v>
      </c>
      <c r="AC1626" s="78" t="s">
        <v>3501</v>
      </c>
      <c r="AE1626" t="b">
        <v>0</v>
      </c>
      <c r="AF1626">
        <v>0</v>
      </c>
      <c r="AG1626" s="78" t="s">
        <v>4661</v>
      </c>
      <c r="AH1626" t="b">
        <v>0</v>
      </c>
      <c r="AI1626" t="s">
        <v>4829</v>
      </c>
      <c r="AK1626" s="78" t="s">
        <v>4640</v>
      </c>
      <c r="AL1626" t="b">
        <v>0</v>
      </c>
      <c r="AM1626">
        <v>0</v>
      </c>
      <c r="AN1626" s="78" t="s">
        <v>4640</v>
      </c>
      <c r="AO1626" s="78" t="s">
        <v>4850</v>
      </c>
      <c r="AP1626" t="b">
        <v>0</v>
      </c>
      <c r="AQ1626" s="78" t="s">
        <v>3501</v>
      </c>
      <c r="AR1626" t="s">
        <v>179</v>
      </c>
      <c r="AS1626">
        <v>0</v>
      </c>
      <c r="AT1626">
        <v>0</v>
      </c>
    </row>
    <row r="1627" spans="1:54" x14ac:dyDescent="0.45">
      <c r="A1627" s="62" t="s">
        <v>279</v>
      </c>
      <c r="B1627" s="62" t="s">
        <v>242</v>
      </c>
      <c r="C1627" s="63"/>
      <c r="D1627" s="64"/>
      <c r="E1627" s="65"/>
      <c r="F1627" s="66"/>
      <c r="G1627" s="63"/>
      <c r="H1627" s="67"/>
      <c r="I1627" s="68"/>
      <c r="J1627" s="68"/>
      <c r="K1627" s="32"/>
      <c r="L1627" s="75"/>
      <c r="M1627" s="75"/>
      <c r="N1627" s="70"/>
      <c r="O1627" t="s">
        <v>1568</v>
      </c>
      <c r="P1627" s="76">
        <v>44958.534618055557</v>
      </c>
      <c r="Q1627" t="s">
        <v>1621</v>
      </c>
      <c r="V1627" s="77" t="str">
        <f>HYPERLINK("https://pbs.twimg.com/profile_images/443041986564472833/-EqI0yO8_normal.jpeg")</f>
        <v>https://pbs.twimg.com/profile_images/443041986564472833/-EqI0yO8_normal.jpeg</v>
      </c>
      <c r="W1627" s="76">
        <v>44958.534618055557</v>
      </c>
      <c r="X1627" s="80">
        <v>44958</v>
      </c>
      <c r="Y1627" s="78" t="s">
        <v>2485</v>
      </c>
      <c r="Z1627" s="77" t="str">
        <f>HYPERLINK("https://twitter.com/4ever0range/status/1620766377467592705")</f>
        <v>https://twitter.com/4ever0range/status/1620766377467592705</v>
      </c>
      <c r="AC1627" s="78" t="s">
        <v>3500</v>
      </c>
      <c r="AE1627" t="b">
        <v>0</v>
      </c>
      <c r="AF1627">
        <v>0</v>
      </c>
      <c r="AG1627" s="78" t="s">
        <v>4661</v>
      </c>
      <c r="AH1627" t="b">
        <v>0</v>
      </c>
      <c r="AI1627" t="s">
        <v>4829</v>
      </c>
      <c r="AK1627" s="78" t="s">
        <v>4640</v>
      </c>
      <c r="AL1627" t="b">
        <v>0</v>
      </c>
      <c r="AM1627">
        <v>0</v>
      </c>
      <c r="AN1627" s="78" t="s">
        <v>4640</v>
      </c>
      <c r="AO1627" s="78" t="s">
        <v>4850</v>
      </c>
      <c r="AP1627" t="b">
        <v>0</v>
      </c>
      <c r="AQ1627" s="78" t="s">
        <v>3500</v>
      </c>
      <c r="AR1627" t="s">
        <v>179</v>
      </c>
      <c r="AS1627">
        <v>0</v>
      </c>
      <c r="AT1627">
        <v>0</v>
      </c>
    </row>
    <row r="1628" spans="1:54" x14ac:dyDescent="0.45">
      <c r="A1628" s="62" t="s">
        <v>279</v>
      </c>
      <c r="B1628" s="62" t="s">
        <v>242</v>
      </c>
      <c r="C1628" s="63"/>
      <c r="D1628" s="64"/>
      <c r="E1628" s="65"/>
      <c r="F1628" s="66"/>
      <c r="G1628" s="63"/>
      <c r="H1628" s="67"/>
      <c r="I1628" s="68"/>
      <c r="J1628" s="68"/>
      <c r="K1628" s="32"/>
      <c r="L1628" s="75"/>
      <c r="M1628" s="75"/>
      <c r="N1628" s="70"/>
      <c r="O1628" t="s">
        <v>1568</v>
      </c>
      <c r="P1628" s="76">
        <v>44958.536030092589</v>
      </c>
      <c r="Q1628" t="s">
        <v>1622</v>
      </c>
      <c r="V1628" s="77" t="str">
        <f>HYPERLINK("https://pbs.twimg.com/profile_images/443041986564472833/-EqI0yO8_normal.jpeg")</f>
        <v>https://pbs.twimg.com/profile_images/443041986564472833/-EqI0yO8_normal.jpeg</v>
      </c>
      <c r="W1628" s="76">
        <v>44958.536030092589</v>
      </c>
      <c r="X1628" s="80">
        <v>44958</v>
      </c>
      <c r="Y1628" s="78" t="s">
        <v>2486</v>
      </c>
      <c r="Z1628" s="77" t="str">
        <f>HYPERLINK("https://twitter.com/4ever0range/status/1620766891374710785")</f>
        <v>https://twitter.com/4ever0range/status/1620766891374710785</v>
      </c>
      <c r="AC1628" s="78" t="s">
        <v>3501</v>
      </c>
      <c r="AE1628" t="b">
        <v>0</v>
      </c>
      <c r="AF1628">
        <v>0</v>
      </c>
      <c r="AG1628" s="78" t="s">
        <v>4661</v>
      </c>
      <c r="AH1628" t="b">
        <v>0</v>
      </c>
      <c r="AI1628" t="s">
        <v>4829</v>
      </c>
      <c r="AK1628" s="78" t="s">
        <v>4640</v>
      </c>
      <c r="AL1628" t="b">
        <v>0</v>
      </c>
      <c r="AM1628">
        <v>0</v>
      </c>
      <c r="AN1628" s="78" t="s">
        <v>4640</v>
      </c>
      <c r="AO1628" s="78" t="s">
        <v>4850</v>
      </c>
      <c r="AP1628" t="b">
        <v>0</v>
      </c>
      <c r="AQ1628" s="78" t="s">
        <v>3501</v>
      </c>
      <c r="AR1628" t="s">
        <v>179</v>
      </c>
      <c r="AS1628">
        <v>0</v>
      </c>
      <c r="AT1628">
        <v>0</v>
      </c>
    </row>
    <row r="1629" spans="1:54" x14ac:dyDescent="0.45">
      <c r="A1629" s="62" t="s">
        <v>281</v>
      </c>
      <c r="B1629" s="62" t="s">
        <v>242</v>
      </c>
      <c r="C1629" s="63"/>
      <c r="D1629" s="64"/>
      <c r="E1629" s="65"/>
      <c r="F1629" s="66"/>
      <c r="G1629" s="63"/>
      <c r="H1629" s="67"/>
      <c r="I1629" s="68"/>
      <c r="J1629" s="68"/>
      <c r="K1629" s="32"/>
      <c r="L1629" s="75"/>
      <c r="M1629" s="75"/>
      <c r="N1629" s="70"/>
      <c r="O1629" t="s">
        <v>1567</v>
      </c>
      <c r="P1629" s="76">
        <v>44958.538877314815</v>
      </c>
      <c r="Q1629" t="s">
        <v>1624</v>
      </c>
      <c r="V1629" s="77" t="str">
        <f>HYPERLINK("https://abs.twimg.com/sticky/default_profile_images/default_profile_normal.png")</f>
        <v>https://abs.twimg.com/sticky/default_profile_images/default_profile_normal.png</v>
      </c>
      <c r="W1629" s="76">
        <v>44958.538877314815</v>
      </c>
      <c r="X1629" s="80">
        <v>44958</v>
      </c>
      <c r="Y1629" s="78" t="s">
        <v>2488</v>
      </c>
      <c r="Z1629" s="77" t="str">
        <f>HYPERLINK("https://twitter.com/ritchie92174681/status/1620767923001511937")</f>
        <v>https://twitter.com/ritchie92174681/status/1620767923001511937</v>
      </c>
      <c r="AC1629" s="78" t="s">
        <v>3503</v>
      </c>
      <c r="AD1629" s="78" t="s">
        <v>4498</v>
      </c>
      <c r="AE1629" t="b">
        <v>0</v>
      </c>
      <c r="AF1629">
        <v>0</v>
      </c>
      <c r="AG1629" s="78" t="s">
        <v>4639</v>
      </c>
      <c r="AH1629" t="b">
        <v>0</v>
      </c>
      <c r="AI1629" t="s">
        <v>4829</v>
      </c>
      <c r="AK1629" s="78" t="s">
        <v>4640</v>
      </c>
      <c r="AL1629" t="b">
        <v>0</v>
      </c>
      <c r="AM1629">
        <v>0</v>
      </c>
      <c r="AN1629" s="78" t="s">
        <v>4640</v>
      </c>
      <c r="AO1629" s="78" t="s">
        <v>4850</v>
      </c>
      <c r="AP1629" t="b">
        <v>0</v>
      </c>
      <c r="AQ1629" s="78" t="s">
        <v>4498</v>
      </c>
      <c r="AR1629" t="s">
        <v>179</v>
      </c>
      <c r="AS1629">
        <v>0</v>
      </c>
      <c r="AT1629">
        <v>0</v>
      </c>
      <c r="AU1629" t="s">
        <v>4878</v>
      </c>
      <c r="AV1629" t="s">
        <v>4899</v>
      </c>
      <c r="AW1629" t="s">
        <v>4901</v>
      </c>
      <c r="AX1629" t="s">
        <v>4907</v>
      </c>
      <c r="AY1629" t="s">
        <v>4932</v>
      </c>
      <c r="AZ1629" t="s">
        <v>4957</v>
      </c>
      <c r="BA1629" t="s">
        <v>4975</v>
      </c>
      <c r="BB1629" s="77" t="str">
        <f>HYPERLINK("https://api.twitter.com/1.1/geo/id/f48302f1e4c23f59.json")</f>
        <v>https://api.twitter.com/1.1/geo/id/f48302f1e4c23f59.json</v>
      </c>
    </row>
    <row r="1630" spans="1:54" x14ac:dyDescent="0.45">
      <c r="A1630" s="62" t="s">
        <v>282</v>
      </c>
      <c r="B1630" s="62" t="s">
        <v>242</v>
      </c>
      <c r="C1630" s="63"/>
      <c r="D1630" s="64"/>
      <c r="E1630" s="65"/>
      <c r="F1630" s="66"/>
      <c r="G1630" s="63"/>
      <c r="H1630" s="67"/>
      <c r="I1630" s="68"/>
      <c r="J1630" s="68"/>
      <c r="K1630" s="32"/>
      <c r="L1630" s="75"/>
      <c r="M1630" s="75"/>
      <c r="N1630" s="70"/>
      <c r="O1630" t="s">
        <v>1569</v>
      </c>
      <c r="P1630" s="76">
        <v>44958.541076388887</v>
      </c>
      <c r="Q1630" t="s">
        <v>1625</v>
      </c>
      <c r="V1630" s="77" t="str">
        <f>HYPERLINK("https://pbs.twimg.com/profile_images/1564911947169992706/MByj3xyW_normal.jpg")</f>
        <v>https://pbs.twimg.com/profile_images/1564911947169992706/MByj3xyW_normal.jpg</v>
      </c>
      <c r="W1630" s="76">
        <v>44958.541076388887</v>
      </c>
      <c r="X1630" s="80">
        <v>44958</v>
      </c>
      <c r="Y1630" s="78" t="s">
        <v>2489</v>
      </c>
      <c r="Z1630" s="77" t="str">
        <f>HYPERLINK("https://twitter.com/jngshngmih1/status/1620768717578854400")</f>
        <v>https://twitter.com/jngshngmih1/status/1620768717578854400</v>
      </c>
      <c r="AC1630" s="78" t="s">
        <v>3504</v>
      </c>
      <c r="AE1630" t="b">
        <v>0</v>
      </c>
      <c r="AF1630">
        <v>0</v>
      </c>
      <c r="AG1630" s="78" t="s">
        <v>4640</v>
      </c>
      <c r="AH1630" t="b">
        <v>0</v>
      </c>
      <c r="AI1630" t="s">
        <v>4829</v>
      </c>
      <c r="AK1630" s="78" t="s">
        <v>4640</v>
      </c>
      <c r="AL1630" t="b">
        <v>0</v>
      </c>
      <c r="AM1630">
        <v>30</v>
      </c>
      <c r="AN1630" s="78" t="s">
        <v>4489</v>
      </c>
      <c r="AO1630" s="78" t="s">
        <v>4851</v>
      </c>
      <c r="AP1630" t="b">
        <v>0</v>
      </c>
      <c r="AQ1630" s="78" t="s">
        <v>4489</v>
      </c>
      <c r="AR1630" t="s">
        <v>179</v>
      </c>
      <c r="AS1630">
        <v>0</v>
      </c>
      <c r="AT1630">
        <v>0</v>
      </c>
    </row>
    <row r="1631" spans="1:54" x14ac:dyDescent="0.45">
      <c r="A1631" s="62" t="s">
        <v>283</v>
      </c>
      <c r="B1631" s="62" t="s">
        <v>242</v>
      </c>
      <c r="C1631" s="63"/>
      <c r="D1631" s="64"/>
      <c r="E1631" s="65"/>
      <c r="F1631" s="66"/>
      <c r="G1631" s="63"/>
      <c r="H1631" s="67"/>
      <c r="I1631" s="68"/>
      <c r="J1631" s="68"/>
      <c r="K1631" s="32"/>
      <c r="L1631" s="75"/>
      <c r="M1631" s="75"/>
      <c r="N1631" s="70"/>
      <c r="O1631" t="s">
        <v>1568</v>
      </c>
      <c r="P1631" s="76">
        <v>44958.542187500003</v>
      </c>
      <c r="Q1631" t="s">
        <v>1626</v>
      </c>
      <c r="V1631" s="77" t="str">
        <f>HYPERLINK("https://pbs.twimg.com/profile_images/1572588206696108033/lMv8PwqX_normal.jpg")</f>
        <v>https://pbs.twimg.com/profile_images/1572588206696108033/lMv8PwqX_normal.jpg</v>
      </c>
      <c r="W1631" s="76">
        <v>44958.542187500003</v>
      </c>
      <c r="X1631" s="80">
        <v>44958</v>
      </c>
      <c r="Y1631" s="78" t="s">
        <v>2490</v>
      </c>
      <c r="Z1631" s="77" t="str">
        <f>HYPERLINK("https://twitter.com/salvationarmleb/status/1620769122337411072")</f>
        <v>https://twitter.com/salvationarmleb/status/1620769122337411072</v>
      </c>
      <c r="AC1631" s="78" t="s">
        <v>3505</v>
      </c>
      <c r="AE1631" t="b">
        <v>0</v>
      </c>
      <c r="AF1631">
        <v>0</v>
      </c>
      <c r="AG1631" s="78" t="s">
        <v>4640</v>
      </c>
      <c r="AH1631" t="b">
        <v>0</v>
      </c>
      <c r="AI1631" t="s">
        <v>4829</v>
      </c>
      <c r="AK1631" s="78" t="s">
        <v>4640</v>
      </c>
      <c r="AL1631" t="b">
        <v>0</v>
      </c>
      <c r="AM1631">
        <v>0</v>
      </c>
      <c r="AN1631" s="78" t="s">
        <v>4640</v>
      </c>
      <c r="AO1631" s="78" t="s">
        <v>4857</v>
      </c>
      <c r="AP1631" t="b">
        <v>0</v>
      </c>
      <c r="AQ1631" s="78" t="s">
        <v>3505</v>
      </c>
      <c r="AR1631" t="s">
        <v>179</v>
      </c>
      <c r="AS1631">
        <v>0</v>
      </c>
      <c r="AT1631">
        <v>0</v>
      </c>
    </row>
    <row r="1632" spans="1:54" x14ac:dyDescent="0.45">
      <c r="A1632" s="62" t="s">
        <v>284</v>
      </c>
      <c r="B1632" s="62" t="s">
        <v>242</v>
      </c>
      <c r="C1632" s="63"/>
      <c r="D1632" s="64"/>
      <c r="E1632" s="65"/>
      <c r="F1632" s="66"/>
      <c r="G1632" s="63"/>
      <c r="H1632" s="67"/>
      <c r="I1632" s="68"/>
      <c r="J1632" s="68"/>
      <c r="K1632" s="32"/>
      <c r="L1632" s="75"/>
      <c r="M1632" s="75"/>
      <c r="N1632" s="70"/>
      <c r="O1632" t="s">
        <v>1567</v>
      </c>
      <c r="P1632" s="76">
        <v>44958.540011574078</v>
      </c>
      <c r="Q1632" t="s">
        <v>1627</v>
      </c>
      <c r="V1632" s="77" t="str">
        <f>HYPERLINK("https://pbs.twimg.com/profile_images/545306421609254913/FlzaeGbc_normal.png")</f>
        <v>https://pbs.twimg.com/profile_images/545306421609254913/FlzaeGbc_normal.png</v>
      </c>
      <c r="W1632" s="76">
        <v>44958.540011574078</v>
      </c>
      <c r="X1632" s="80">
        <v>44958</v>
      </c>
      <c r="Y1632" s="78" t="s">
        <v>2491</v>
      </c>
      <c r="Z1632" s="77" t="str">
        <f>HYPERLINK("https://twitter.com/hexidimentional/status/1620768334399827970")</f>
        <v>https://twitter.com/hexidimentional/status/1620768334399827970</v>
      </c>
      <c r="AC1632" s="78" t="s">
        <v>3506</v>
      </c>
      <c r="AE1632" t="b">
        <v>0</v>
      </c>
      <c r="AF1632">
        <v>0</v>
      </c>
      <c r="AG1632" s="78" t="s">
        <v>4639</v>
      </c>
      <c r="AH1632" t="b">
        <v>0</v>
      </c>
      <c r="AI1632" t="s">
        <v>4829</v>
      </c>
      <c r="AK1632" s="78" t="s">
        <v>4640</v>
      </c>
      <c r="AL1632" t="b">
        <v>0</v>
      </c>
      <c r="AM1632">
        <v>0</v>
      </c>
      <c r="AN1632" s="78" t="s">
        <v>4640</v>
      </c>
      <c r="AO1632" s="78" t="s">
        <v>4851</v>
      </c>
      <c r="AP1632" t="b">
        <v>0</v>
      </c>
      <c r="AQ1632" s="78" t="s">
        <v>3506</v>
      </c>
      <c r="AR1632" t="s">
        <v>179</v>
      </c>
      <c r="AS1632">
        <v>0</v>
      </c>
      <c r="AT1632">
        <v>0</v>
      </c>
    </row>
    <row r="1633" spans="1:46" x14ac:dyDescent="0.45">
      <c r="A1633" s="62" t="s">
        <v>284</v>
      </c>
      <c r="B1633" s="62" t="s">
        <v>242</v>
      </c>
      <c r="C1633" s="63"/>
      <c r="D1633" s="64"/>
      <c r="E1633" s="65"/>
      <c r="F1633" s="66"/>
      <c r="G1633" s="63"/>
      <c r="H1633" s="67"/>
      <c r="I1633" s="68"/>
      <c r="J1633" s="68"/>
      <c r="K1633" s="32"/>
      <c r="L1633" s="75"/>
      <c r="M1633" s="75"/>
      <c r="N1633" s="70"/>
      <c r="O1633" t="s">
        <v>1567</v>
      </c>
      <c r="P1633" s="76">
        <v>44958.544537037036</v>
      </c>
      <c r="Q1633" t="s">
        <v>1628</v>
      </c>
      <c r="U1633" s="77" t="str">
        <f>HYPERLINK("https://pbs.twimg.com/media/Fn4hmCbXoAE-DFW.png")</f>
        <v>https://pbs.twimg.com/media/Fn4hmCbXoAE-DFW.png</v>
      </c>
      <c r="V1633" s="77" t="str">
        <f>HYPERLINK("https://pbs.twimg.com/media/Fn4hmCbXoAE-DFW.png")</f>
        <v>https://pbs.twimg.com/media/Fn4hmCbXoAE-DFW.png</v>
      </c>
      <c r="W1633" s="76">
        <v>44958.544537037036</v>
      </c>
      <c r="X1633" s="80">
        <v>44958</v>
      </c>
      <c r="Y1633" s="78" t="s">
        <v>2492</v>
      </c>
      <c r="Z1633" s="77" t="str">
        <f>HYPERLINK("https://twitter.com/hexidimentional/status/1620769971784794113")</f>
        <v>https://twitter.com/hexidimentional/status/1620769971784794113</v>
      </c>
      <c r="AC1633" s="78" t="s">
        <v>3507</v>
      </c>
      <c r="AD1633" s="78" t="s">
        <v>3506</v>
      </c>
      <c r="AE1633" t="b">
        <v>0</v>
      </c>
      <c r="AF1633">
        <v>0</v>
      </c>
      <c r="AG1633" s="78" t="s">
        <v>4662</v>
      </c>
      <c r="AH1633" t="b">
        <v>0</v>
      </c>
      <c r="AI1633" t="s">
        <v>4829</v>
      </c>
      <c r="AK1633" s="78" t="s">
        <v>4640</v>
      </c>
      <c r="AL1633" t="b">
        <v>0</v>
      </c>
      <c r="AM1633">
        <v>0</v>
      </c>
      <c r="AN1633" s="78" t="s">
        <v>4640</v>
      </c>
      <c r="AO1633" s="78" t="s">
        <v>4851</v>
      </c>
      <c r="AP1633" t="b">
        <v>0</v>
      </c>
      <c r="AQ1633" s="78" t="s">
        <v>3506</v>
      </c>
      <c r="AR1633" t="s">
        <v>179</v>
      </c>
      <c r="AS1633">
        <v>0</v>
      </c>
      <c r="AT1633">
        <v>0</v>
      </c>
    </row>
    <row r="1634" spans="1:46" x14ac:dyDescent="0.45">
      <c r="A1634" s="62" t="s">
        <v>284</v>
      </c>
      <c r="B1634" s="62" t="s">
        <v>242</v>
      </c>
      <c r="C1634" s="63"/>
      <c r="D1634" s="64"/>
      <c r="E1634" s="65"/>
      <c r="F1634" s="66"/>
      <c r="G1634" s="63"/>
      <c r="H1634" s="67"/>
      <c r="I1634" s="68"/>
      <c r="J1634" s="68"/>
      <c r="K1634" s="32"/>
      <c r="L1634" s="75"/>
      <c r="M1634" s="75"/>
      <c r="N1634" s="70"/>
      <c r="O1634" t="s">
        <v>1567</v>
      </c>
      <c r="P1634" s="76">
        <v>44958.546678240738</v>
      </c>
      <c r="Q1634" t="s">
        <v>1629</v>
      </c>
      <c r="U1634" s="77" t="str">
        <f>HYPERLINK("https://pbs.twimg.com/media/Fn4iYaOXgAIHHeT.png")</f>
        <v>https://pbs.twimg.com/media/Fn4iYaOXgAIHHeT.png</v>
      </c>
      <c r="V1634" s="77" t="str">
        <f>HYPERLINK("https://pbs.twimg.com/media/Fn4iYaOXgAIHHeT.png")</f>
        <v>https://pbs.twimg.com/media/Fn4iYaOXgAIHHeT.png</v>
      </c>
      <c r="W1634" s="76">
        <v>44958.546678240738</v>
      </c>
      <c r="X1634" s="80">
        <v>44958</v>
      </c>
      <c r="Y1634" s="78" t="s">
        <v>2493</v>
      </c>
      <c r="Z1634" s="77" t="str">
        <f>HYPERLINK("https://twitter.com/hexidimentional/status/1620770749115170816")</f>
        <v>https://twitter.com/hexidimentional/status/1620770749115170816</v>
      </c>
      <c r="AC1634" s="78" t="s">
        <v>3508</v>
      </c>
      <c r="AD1634" s="78" t="s">
        <v>4498</v>
      </c>
      <c r="AE1634" t="b">
        <v>0</v>
      </c>
      <c r="AF1634">
        <v>0</v>
      </c>
      <c r="AG1634" s="78" t="s">
        <v>4639</v>
      </c>
      <c r="AH1634" t="b">
        <v>0</v>
      </c>
      <c r="AI1634" t="s">
        <v>4829</v>
      </c>
      <c r="AK1634" s="78" t="s">
        <v>4640</v>
      </c>
      <c r="AL1634" t="b">
        <v>0</v>
      </c>
      <c r="AM1634">
        <v>0</v>
      </c>
      <c r="AN1634" s="78" t="s">
        <v>4640</v>
      </c>
      <c r="AO1634" s="78" t="s">
        <v>4851</v>
      </c>
      <c r="AP1634" t="b">
        <v>0</v>
      </c>
      <c r="AQ1634" s="78" t="s">
        <v>4498</v>
      </c>
      <c r="AR1634" t="s">
        <v>179</v>
      </c>
      <c r="AS1634">
        <v>0</v>
      </c>
      <c r="AT1634">
        <v>0</v>
      </c>
    </row>
    <row r="1635" spans="1:46" x14ac:dyDescent="0.45">
      <c r="A1635" s="62" t="s">
        <v>285</v>
      </c>
      <c r="B1635" s="62" t="s">
        <v>1166</v>
      </c>
      <c r="C1635" s="63"/>
      <c r="D1635" s="64"/>
      <c r="E1635" s="65"/>
      <c r="F1635" s="66"/>
      <c r="G1635" s="63"/>
      <c r="H1635" s="67"/>
      <c r="I1635" s="68"/>
      <c r="J1635" s="68"/>
      <c r="K1635" s="32"/>
      <c r="L1635" s="75"/>
      <c r="M1635" s="75"/>
      <c r="N1635" s="70"/>
      <c r="O1635" t="s">
        <v>1568</v>
      </c>
      <c r="P1635" s="76">
        <v>44958.549664351849</v>
      </c>
      <c r="Q1635" t="s">
        <v>1630</v>
      </c>
      <c r="V1635" s="77" t="str">
        <f>HYPERLINK("https://pbs.twimg.com/profile_images/1436470044884602882/OMk11u2X_normal.jpg")</f>
        <v>https://pbs.twimg.com/profile_images/1436470044884602882/OMk11u2X_normal.jpg</v>
      </c>
      <c r="W1635" s="76">
        <v>44958.549664351849</v>
      </c>
      <c r="X1635" s="80">
        <v>44958</v>
      </c>
      <c r="Y1635" s="78" t="s">
        <v>2494</v>
      </c>
      <c r="Z1635" s="77" t="str">
        <f>HYPERLINK("https://twitter.com/mrmrazek89/status/1620771829878226944")</f>
        <v>https://twitter.com/mrmrazek89/status/1620771829878226944</v>
      </c>
      <c r="AC1635" s="78" t="s">
        <v>3509</v>
      </c>
      <c r="AD1635" s="78" t="s">
        <v>4515</v>
      </c>
      <c r="AE1635" t="b">
        <v>0</v>
      </c>
      <c r="AF1635">
        <v>0</v>
      </c>
      <c r="AG1635" s="78" t="s">
        <v>4663</v>
      </c>
      <c r="AH1635" t="b">
        <v>0</v>
      </c>
      <c r="AI1635" t="s">
        <v>4829</v>
      </c>
      <c r="AK1635" s="78" t="s">
        <v>4640</v>
      </c>
      <c r="AL1635" t="b">
        <v>0</v>
      </c>
      <c r="AM1635">
        <v>0</v>
      </c>
      <c r="AN1635" s="78" t="s">
        <v>4640</v>
      </c>
      <c r="AO1635" s="78" t="s">
        <v>4849</v>
      </c>
      <c r="AP1635" t="b">
        <v>0</v>
      </c>
      <c r="AQ1635" s="78" t="s">
        <v>4515</v>
      </c>
      <c r="AR1635" t="s">
        <v>179</v>
      </c>
      <c r="AS1635">
        <v>0</v>
      </c>
      <c r="AT1635">
        <v>0</v>
      </c>
    </row>
    <row r="1636" spans="1:46" x14ac:dyDescent="0.45">
      <c r="A1636" s="62" t="s">
        <v>285</v>
      </c>
      <c r="B1636" s="62" t="s">
        <v>1167</v>
      </c>
      <c r="C1636" s="63"/>
      <c r="D1636" s="64"/>
      <c r="E1636" s="65"/>
      <c r="F1636" s="66"/>
      <c r="G1636" s="63"/>
      <c r="H1636" s="67"/>
      <c r="I1636" s="68"/>
      <c r="J1636" s="68"/>
      <c r="K1636" s="32"/>
      <c r="L1636" s="75"/>
      <c r="M1636" s="75"/>
      <c r="N1636" s="70"/>
      <c r="O1636" t="s">
        <v>1567</v>
      </c>
      <c r="P1636" s="76">
        <v>44958.549664351849</v>
      </c>
      <c r="Q1636" t="s">
        <v>1630</v>
      </c>
      <c r="V1636" s="77" t="str">
        <f>HYPERLINK("https://pbs.twimg.com/profile_images/1436470044884602882/OMk11u2X_normal.jpg")</f>
        <v>https://pbs.twimg.com/profile_images/1436470044884602882/OMk11u2X_normal.jpg</v>
      </c>
      <c r="W1636" s="76">
        <v>44958.549664351849</v>
      </c>
      <c r="X1636" s="80">
        <v>44958</v>
      </c>
      <c r="Y1636" s="78" t="s">
        <v>2494</v>
      </c>
      <c r="Z1636" s="77" t="str">
        <f>HYPERLINK("https://twitter.com/mrmrazek89/status/1620771829878226944")</f>
        <v>https://twitter.com/mrmrazek89/status/1620771829878226944</v>
      </c>
      <c r="AC1636" s="78" t="s">
        <v>3509</v>
      </c>
      <c r="AD1636" s="78" t="s">
        <v>4515</v>
      </c>
      <c r="AE1636" t="b">
        <v>0</v>
      </c>
      <c r="AF1636">
        <v>0</v>
      </c>
      <c r="AG1636" s="78" t="s">
        <v>4663</v>
      </c>
      <c r="AH1636" t="b">
        <v>0</v>
      </c>
      <c r="AI1636" t="s">
        <v>4829</v>
      </c>
      <c r="AK1636" s="78" t="s">
        <v>4640</v>
      </c>
      <c r="AL1636" t="b">
        <v>0</v>
      </c>
      <c r="AM1636">
        <v>0</v>
      </c>
      <c r="AN1636" s="78" t="s">
        <v>4640</v>
      </c>
      <c r="AO1636" s="78" t="s">
        <v>4849</v>
      </c>
      <c r="AP1636" t="b">
        <v>0</v>
      </c>
      <c r="AQ1636" s="78" t="s">
        <v>4515</v>
      </c>
      <c r="AR1636" t="s">
        <v>179</v>
      </c>
      <c r="AS1636">
        <v>0</v>
      </c>
      <c r="AT1636">
        <v>0</v>
      </c>
    </row>
    <row r="1637" spans="1:46" x14ac:dyDescent="0.45">
      <c r="A1637" s="62" t="s">
        <v>285</v>
      </c>
      <c r="B1637" s="62" t="s">
        <v>242</v>
      </c>
      <c r="C1637" s="63"/>
      <c r="D1637" s="64"/>
      <c r="E1637" s="65"/>
      <c r="F1637" s="66"/>
      <c r="G1637" s="63"/>
      <c r="H1637" s="67"/>
      <c r="I1637" s="68"/>
      <c r="J1637" s="68"/>
      <c r="K1637" s="32"/>
      <c r="L1637" s="75"/>
      <c r="M1637" s="75"/>
      <c r="N1637" s="70"/>
      <c r="O1637" t="s">
        <v>1568</v>
      </c>
      <c r="P1637" s="76">
        <v>44958.549664351849</v>
      </c>
      <c r="Q1637" t="s">
        <v>1630</v>
      </c>
      <c r="V1637" s="77" t="str">
        <f>HYPERLINK("https://pbs.twimg.com/profile_images/1436470044884602882/OMk11u2X_normal.jpg")</f>
        <v>https://pbs.twimg.com/profile_images/1436470044884602882/OMk11u2X_normal.jpg</v>
      </c>
      <c r="W1637" s="76">
        <v>44958.549664351849</v>
      </c>
      <c r="X1637" s="80">
        <v>44958</v>
      </c>
      <c r="Y1637" s="78" t="s">
        <v>2494</v>
      </c>
      <c r="Z1637" s="77" t="str">
        <f>HYPERLINK("https://twitter.com/mrmrazek89/status/1620771829878226944")</f>
        <v>https://twitter.com/mrmrazek89/status/1620771829878226944</v>
      </c>
      <c r="AC1637" s="78" t="s">
        <v>3509</v>
      </c>
      <c r="AD1637" s="78" t="s">
        <v>4515</v>
      </c>
      <c r="AE1637" t="b">
        <v>0</v>
      </c>
      <c r="AF1637">
        <v>0</v>
      </c>
      <c r="AG1637" s="78" t="s">
        <v>4663</v>
      </c>
      <c r="AH1637" t="b">
        <v>0</v>
      </c>
      <c r="AI1637" t="s">
        <v>4829</v>
      </c>
      <c r="AK1637" s="78" t="s">
        <v>4640</v>
      </c>
      <c r="AL1637" t="b">
        <v>0</v>
      </c>
      <c r="AM1637">
        <v>0</v>
      </c>
      <c r="AN1637" s="78" t="s">
        <v>4640</v>
      </c>
      <c r="AO1637" s="78" t="s">
        <v>4849</v>
      </c>
      <c r="AP1637" t="b">
        <v>0</v>
      </c>
      <c r="AQ1637" s="78" t="s">
        <v>4515</v>
      </c>
      <c r="AR1637" t="s">
        <v>179</v>
      </c>
      <c r="AS1637">
        <v>0</v>
      </c>
      <c r="AT1637">
        <v>0</v>
      </c>
    </row>
    <row r="1638" spans="1:46" x14ac:dyDescent="0.45">
      <c r="A1638" s="62" t="s">
        <v>286</v>
      </c>
      <c r="B1638" s="62" t="s">
        <v>242</v>
      </c>
      <c r="C1638" s="63"/>
      <c r="D1638" s="64"/>
      <c r="E1638" s="65"/>
      <c r="F1638" s="66"/>
      <c r="G1638" s="63"/>
      <c r="H1638" s="67"/>
      <c r="I1638" s="68"/>
      <c r="J1638" s="68"/>
      <c r="K1638" s="32"/>
      <c r="L1638" s="75"/>
      <c r="M1638" s="75"/>
      <c r="N1638" s="70"/>
      <c r="O1638" t="s">
        <v>1568</v>
      </c>
      <c r="P1638" s="76">
        <v>44958.552268518521</v>
      </c>
      <c r="Q1638" t="s">
        <v>1631</v>
      </c>
      <c r="V1638" s="77" t="str">
        <f>HYPERLINK("https://pbs.twimg.com/profile_images/1122916916069326849/meGfnbOn_normal.jpg")</f>
        <v>https://pbs.twimg.com/profile_images/1122916916069326849/meGfnbOn_normal.jpg</v>
      </c>
      <c r="W1638" s="76">
        <v>44958.552268518521</v>
      </c>
      <c r="X1638" s="80">
        <v>44958</v>
      </c>
      <c r="Y1638" s="78" t="s">
        <v>2495</v>
      </c>
      <c r="Z1638" s="77" t="str">
        <f>HYPERLINK("https://twitter.com/jg_sbalending/status/1620772774674599941")</f>
        <v>https://twitter.com/jg_sbalending/status/1620772774674599941</v>
      </c>
      <c r="AC1638" s="78" t="s">
        <v>3510</v>
      </c>
      <c r="AE1638" t="b">
        <v>0</v>
      </c>
      <c r="AF1638">
        <v>0</v>
      </c>
      <c r="AG1638" s="78" t="s">
        <v>4664</v>
      </c>
      <c r="AH1638" t="b">
        <v>0</v>
      </c>
      <c r="AI1638" t="s">
        <v>4829</v>
      </c>
      <c r="AK1638" s="78" t="s">
        <v>4640</v>
      </c>
      <c r="AL1638" t="b">
        <v>0</v>
      </c>
      <c r="AM1638">
        <v>0</v>
      </c>
      <c r="AN1638" s="78" t="s">
        <v>4640</v>
      </c>
      <c r="AO1638" s="78" t="s">
        <v>4849</v>
      </c>
      <c r="AP1638" t="b">
        <v>0</v>
      </c>
      <c r="AQ1638" s="78" t="s">
        <v>3510</v>
      </c>
      <c r="AR1638" t="s">
        <v>179</v>
      </c>
      <c r="AS1638">
        <v>0</v>
      </c>
      <c r="AT1638">
        <v>0</v>
      </c>
    </row>
    <row r="1639" spans="1:46" x14ac:dyDescent="0.45">
      <c r="A1639" s="62" t="s">
        <v>286</v>
      </c>
      <c r="B1639" s="62" t="s">
        <v>1168</v>
      </c>
      <c r="C1639" s="63"/>
      <c r="D1639" s="64"/>
      <c r="E1639" s="65"/>
      <c r="F1639" s="66"/>
      <c r="G1639" s="63"/>
      <c r="H1639" s="67"/>
      <c r="I1639" s="68"/>
      <c r="J1639" s="68"/>
      <c r="K1639" s="32"/>
      <c r="L1639" s="75"/>
      <c r="M1639" s="75"/>
      <c r="N1639" s="70"/>
      <c r="O1639" t="s">
        <v>1567</v>
      </c>
      <c r="P1639" s="76">
        <v>44958.552268518521</v>
      </c>
      <c r="Q1639" t="s">
        <v>1631</v>
      </c>
      <c r="V1639" s="77" t="str">
        <f>HYPERLINK("https://pbs.twimg.com/profile_images/1122916916069326849/meGfnbOn_normal.jpg")</f>
        <v>https://pbs.twimg.com/profile_images/1122916916069326849/meGfnbOn_normal.jpg</v>
      </c>
      <c r="W1639" s="76">
        <v>44958.552268518521</v>
      </c>
      <c r="X1639" s="80">
        <v>44958</v>
      </c>
      <c r="Y1639" s="78" t="s">
        <v>2495</v>
      </c>
      <c r="Z1639" s="77" t="str">
        <f>HYPERLINK("https://twitter.com/jg_sbalending/status/1620772774674599941")</f>
        <v>https://twitter.com/jg_sbalending/status/1620772774674599941</v>
      </c>
      <c r="AC1639" s="78" t="s">
        <v>3510</v>
      </c>
      <c r="AE1639" t="b">
        <v>0</v>
      </c>
      <c r="AF1639">
        <v>0</v>
      </c>
      <c r="AG1639" s="78" t="s">
        <v>4664</v>
      </c>
      <c r="AH1639" t="b">
        <v>0</v>
      </c>
      <c r="AI1639" t="s">
        <v>4829</v>
      </c>
      <c r="AK1639" s="78" t="s">
        <v>4640</v>
      </c>
      <c r="AL1639" t="b">
        <v>0</v>
      </c>
      <c r="AM1639">
        <v>0</v>
      </c>
      <c r="AN1639" s="78" t="s">
        <v>4640</v>
      </c>
      <c r="AO1639" s="78" t="s">
        <v>4849</v>
      </c>
      <c r="AP1639" t="b">
        <v>0</v>
      </c>
      <c r="AQ1639" s="78" t="s">
        <v>3510</v>
      </c>
      <c r="AR1639" t="s">
        <v>179</v>
      </c>
      <c r="AS1639">
        <v>0</v>
      </c>
      <c r="AT1639">
        <v>0</v>
      </c>
    </row>
    <row r="1640" spans="1:46" x14ac:dyDescent="0.45">
      <c r="A1640" s="62" t="s">
        <v>287</v>
      </c>
      <c r="B1640" s="62" t="s">
        <v>1168</v>
      </c>
      <c r="C1640" s="63"/>
      <c r="D1640" s="64"/>
      <c r="E1640" s="65"/>
      <c r="F1640" s="66"/>
      <c r="G1640" s="63"/>
      <c r="H1640" s="67"/>
      <c r="I1640" s="68"/>
      <c r="J1640" s="68"/>
      <c r="K1640" s="32"/>
      <c r="L1640" s="75"/>
      <c r="M1640" s="75"/>
      <c r="N1640" s="70"/>
      <c r="O1640" t="s">
        <v>1567</v>
      </c>
      <c r="P1640" s="76">
        <v>44958.552581018521</v>
      </c>
      <c r="Q1640" t="s">
        <v>1631</v>
      </c>
      <c r="V1640" s="77" t="str">
        <f>HYPERLINK("https://pbs.twimg.com/profile_images/1595111966988800010/HF4u7j41_normal.jpg")</f>
        <v>https://pbs.twimg.com/profile_images/1595111966988800010/HF4u7j41_normal.jpg</v>
      </c>
      <c r="W1640" s="76">
        <v>44958.552581018521</v>
      </c>
      <c r="X1640" s="80">
        <v>44958</v>
      </c>
      <c r="Y1640" s="78" t="s">
        <v>2496</v>
      </c>
      <c r="Z1640" s="77" t="str">
        <f>HYPERLINK("https://twitter.com/jaygoonetilleke/status/1620772888143097856")</f>
        <v>https://twitter.com/jaygoonetilleke/status/1620772888143097856</v>
      </c>
      <c r="AC1640" s="78" t="s">
        <v>3511</v>
      </c>
      <c r="AE1640" t="b">
        <v>0</v>
      </c>
      <c r="AF1640">
        <v>0</v>
      </c>
      <c r="AG1640" s="78" t="s">
        <v>4664</v>
      </c>
      <c r="AH1640" t="b">
        <v>0</v>
      </c>
      <c r="AI1640" t="s">
        <v>4829</v>
      </c>
      <c r="AK1640" s="78" t="s">
        <v>4640</v>
      </c>
      <c r="AL1640" t="b">
        <v>0</v>
      </c>
      <c r="AM1640">
        <v>0</v>
      </c>
      <c r="AN1640" s="78" t="s">
        <v>4640</v>
      </c>
      <c r="AO1640" s="78" t="s">
        <v>4849</v>
      </c>
      <c r="AP1640" t="b">
        <v>0</v>
      </c>
      <c r="AQ1640" s="78" t="s">
        <v>3511</v>
      </c>
      <c r="AR1640" t="s">
        <v>179</v>
      </c>
      <c r="AS1640">
        <v>0</v>
      </c>
      <c r="AT1640">
        <v>0</v>
      </c>
    </row>
    <row r="1641" spans="1:46" x14ac:dyDescent="0.45">
      <c r="A1641" s="62" t="s">
        <v>287</v>
      </c>
      <c r="B1641" s="62" t="s">
        <v>242</v>
      </c>
      <c r="C1641" s="63"/>
      <c r="D1641" s="64"/>
      <c r="E1641" s="65"/>
      <c r="F1641" s="66"/>
      <c r="G1641" s="63"/>
      <c r="H1641" s="67"/>
      <c r="I1641" s="68"/>
      <c r="J1641" s="68"/>
      <c r="K1641" s="32"/>
      <c r="L1641" s="75"/>
      <c r="M1641" s="75"/>
      <c r="N1641" s="70"/>
      <c r="O1641" t="s">
        <v>1568</v>
      </c>
      <c r="P1641" s="76">
        <v>44958.552581018521</v>
      </c>
      <c r="Q1641" t="s">
        <v>1631</v>
      </c>
      <c r="V1641" s="77" t="str">
        <f>HYPERLINK("https://pbs.twimg.com/profile_images/1595111966988800010/HF4u7j41_normal.jpg")</f>
        <v>https://pbs.twimg.com/profile_images/1595111966988800010/HF4u7j41_normal.jpg</v>
      </c>
      <c r="W1641" s="76">
        <v>44958.552581018521</v>
      </c>
      <c r="X1641" s="80">
        <v>44958</v>
      </c>
      <c r="Y1641" s="78" t="s">
        <v>2496</v>
      </c>
      <c r="Z1641" s="77" t="str">
        <f>HYPERLINK("https://twitter.com/jaygoonetilleke/status/1620772888143097856")</f>
        <v>https://twitter.com/jaygoonetilleke/status/1620772888143097856</v>
      </c>
      <c r="AC1641" s="78" t="s">
        <v>3511</v>
      </c>
      <c r="AE1641" t="b">
        <v>0</v>
      </c>
      <c r="AF1641">
        <v>0</v>
      </c>
      <c r="AG1641" s="78" t="s">
        <v>4664</v>
      </c>
      <c r="AH1641" t="b">
        <v>0</v>
      </c>
      <c r="AI1641" t="s">
        <v>4829</v>
      </c>
      <c r="AK1641" s="78" t="s">
        <v>4640</v>
      </c>
      <c r="AL1641" t="b">
        <v>0</v>
      </c>
      <c r="AM1641">
        <v>0</v>
      </c>
      <c r="AN1641" s="78" t="s">
        <v>4640</v>
      </c>
      <c r="AO1641" s="78" t="s">
        <v>4849</v>
      </c>
      <c r="AP1641" t="b">
        <v>0</v>
      </c>
      <c r="AQ1641" s="78" t="s">
        <v>3511</v>
      </c>
      <c r="AR1641" t="s">
        <v>179</v>
      </c>
      <c r="AS1641">
        <v>0</v>
      </c>
      <c r="AT1641">
        <v>0</v>
      </c>
    </row>
    <row r="1642" spans="1:46" x14ac:dyDescent="0.45">
      <c r="A1642" s="62" t="s">
        <v>290</v>
      </c>
      <c r="B1642" s="62" t="s">
        <v>1176</v>
      </c>
      <c r="C1642" s="63"/>
      <c r="D1642" s="64"/>
      <c r="E1642" s="65"/>
      <c r="F1642" s="66"/>
      <c r="G1642" s="63"/>
      <c r="H1642" s="67"/>
      <c r="I1642" s="68"/>
      <c r="J1642" s="68"/>
      <c r="K1642" s="32"/>
      <c r="L1642" s="75"/>
      <c r="M1642" s="75"/>
      <c r="N1642" s="70"/>
      <c r="O1642" t="s">
        <v>1567</v>
      </c>
      <c r="P1642" s="76">
        <v>44958.565810185188</v>
      </c>
      <c r="Q1642" t="s">
        <v>1634</v>
      </c>
      <c r="V1642" s="77" t="str">
        <f>HYPERLINK("https://pbs.twimg.com/profile_images/775499585569615872/smZu851E_normal.jpg")</f>
        <v>https://pbs.twimg.com/profile_images/775499585569615872/smZu851E_normal.jpg</v>
      </c>
      <c r="W1642" s="76">
        <v>44958.565810185188</v>
      </c>
      <c r="X1642" s="80">
        <v>44958</v>
      </c>
      <c r="Y1642" s="78" t="s">
        <v>2499</v>
      </c>
      <c r="Z1642" s="77" t="str">
        <f>HYPERLINK("https://twitter.com/19matt73/status/1620777680441602049")</f>
        <v>https://twitter.com/19matt73/status/1620777680441602049</v>
      </c>
      <c r="AC1642" s="78" t="s">
        <v>3514</v>
      </c>
      <c r="AD1642" s="78" t="s">
        <v>4517</v>
      </c>
      <c r="AE1642" t="b">
        <v>0</v>
      </c>
      <c r="AF1642">
        <v>0</v>
      </c>
      <c r="AG1642" s="78" t="s">
        <v>4666</v>
      </c>
      <c r="AH1642" t="b">
        <v>0</v>
      </c>
      <c r="AI1642" t="s">
        <v>4829</v>
      </c>
      <c r="AK1642" s="78" t="s">
        <v>4640</v>
      </c>
      <c r="AL1642" t="b">
        <v>0</v>
      </c>
      <c r="AM1642">
        <v>0</v>
      </c>
      <c r="AN1642" s="78" t="s">
        <v>4640</v>
      </c>
      <c r="AO1642" s="78" t="s">
        <v>4849</v>
      </c>
      <c r="AP1642" t="b">
        <v>0</v>
      </c>
      <c r="AQ1642" s="78" t="s">
        <v>4517</v>
      </c>
      <c r="AR1642" t="s">
        <v>179</v>
      </c>
      <c r="AS1642">
        <v>0</v>
      </c>
      <c r="AT1642">
        <v>0</v>
      </c>
    </row>
    <row r="1643" spans="1:46" x14ac:dyDescent="0.45">
      <c r="A1643" s="62" t="s">
        <v>290</v>
      </c>
      <c r="B1643" s="62" t="s">
        <v>242</v>
      </c>
      <c r="C1643" s="63"/>
      <c r="D1643" s="64"/>
      <c r="E1643" s="65"/>
      <c r="F1643" s="66"/>
      <c r="G1643" s="63"/>
      <c r="H1643" s="67"/>
      <c r="I1643" s="68"/>
      <c r="J1643" s="68"/>
      <c r="K1643" s="32"/>
      <c r="L1643" s="75"/>
      <c r="M1643" s="75"/>
      <c r="N1643" s="70"/>
      <c r="O1643" t="s">
        <v>1568</v>
      </c>
      <c r="P1643" s="76">
        <v>44958.565810185188</v>
      </c>
      <c r="Q1643" t="s">
        <v>1634</v>
      </c>
      <c r="V1643" s="77" t="str">
        <f>HYPERLINK("https://pbs.twimg.com/profile_images/775499585569615872/smZu851E_normal.jpg")</f>
        <v>https://pbs.twimg.com/profile_images/775499585569615872/smZu851E_normal.jpg</v>
      </c>
      <c r="W1643" s="76">
        <v>44958.565810185188</v>
      </c>
      <c r="X1643" s="80">
        <v>44958</v>
      </c>
      <c r="Y1643" s="78" t="s">
        <v>2499</v>
      </c>
      <c r="Z1643" s="77" t="str">
        <f>HYPERLINK("https://twitter.com/19matt73/status/1620777680441602049")</f>
        <v>https://twitter.com/19matt73/status/1620777680441602049</v>
      </c>
      <c r="AC1643" s="78" t="s">
        <v>3514</v>
      </c>
      <c r="AD1643" s="78" t="s">
        <v>4517</v>
      </c>
      <c r="AE1643" t="b">
        <v>0</v>
      </c>
      <c r="AF1643">
        <v>0</v>
      </c>
      <c r="AG1643" s="78" t="s">
        <v>4666</v>
      </c>
      <c r="AH1643" t="b">
        <v>0</v>
      </c>
      <c r="AI1643" t="s">
        <v>4829</v>
      </c>
      <c r="AK1643" s="78" t="s">
        <v>4640</v>
      </c>
      <c r="AL1643" t="b">
        <v>0</v>
      </c>
      <c r="AM1643">
        <v>0</v>
      </c>
      <c r="AN1643" s="78" t="s">
        <v>4640</v>
      </c>
      <c r="AO1643" s="78" t="s">
        <v>4849</v>
      </c>
      <c r="AP1643" t="b">
        <v>0</v>
      </c>
      <c r="AQ1643" s="78" t="s">
        <v>4517</v>
      </c>
      <c r="AR1643" t="s">
        <v>179</v>
      </c>
      <c r="AS1643">
        <v>0</v>
      </c>
      <c r="AT1643">
        <v>0</v>
      </c>
    </row>
    <row r="1644" spans="1:46" x14ac:dyDescent="0.45">
      <c r="A1644" s="62" t="s">
        <v>292</v>
      </c>
      <c r="B1644" s="62" t="s">
        <v>242</v>
      </c>
      <c r="C1644" s="63"/>
      <c r="D1644" s="64"/>
      <c r="E1644" s="65"/>
      <c r="F1644" s="66"/>
      <c r="G1644" s="63"/>
      <c r="H1644" s="67"/>
      <c r="I1644" s="68"/>
      <c r="J1644" s="68"/>
      <c r="K1644" s="32"/>
      <c r="L1644" s="75"/>
      <c r="M1644" s="75"/>
      <c r="N1644" s="70"/>
      <c r="O1644" t="s">
        <v>1570</v>
      </c>
      <c r="P1644" s="76">
        <v>44958.56832175926</v>
      </c>
      <c r="Q1644" t="s">
        <v>1597</v>
      </c>
      <c r="U1644" s="77" t="str">
        <f>HYPERLINK("https://pbs.twimg.com/media/Fn21cCpaEAIoT8g.jpg")</f>
        <v>https://pbs.twimg.com/media/Fn21cCpaEAIoT8g.jpg</v>
      </c>
      <c r="V1644" s="77" t="str">
        <f>HYPERLINK("https://pbs.twimg.com/media/Fn21cCpaEAIoT8g.jpg")</f>
        <v>https://pbs.twimg.com/media/Fn21cCpaEAIoT8g.jpg</v>
      </c>
      <c r="W1644" s="76">
        <v>44958.56832175926</v>
      </c>
      <c r="X1644" s="80">
        <v>44958</v>
      </c>
      <c r="Y1644" s="78" t="s">
        <v>2501</v>
      </c>
      <c r="Z1644" s="77" t="str">
        <f>HYPERLINK("https://twitter.com/heathracela/status/1620778592534929408")</f>
        <v>https://twitter.com/heathracela/status/1620778592534929408</v>
      </c>
      <c r="AC1644" s="78" t="s">
        <v>3516</v>
      </c>
      <c r="AE1644" t="b">
        <v>0</v>
      </c>
      <c r="AF1644">
        <v>0</v>
      </c>
      <c r="AG1644" s="78" t="s">
        <v>4640</v>
      </c>
      <c r="AH1644" t="b">
        <v>0</v>
      </c>
      <c r="AI1644" t="s">
        <v>4829</v>
      </c>
      <c r="AK1644" s="78" t="s">
        <v>4640</v>
      </c>
      <c r="AL1644" t="b">
        <v>0</v>
      </c>
      <c r="AM1644">
        <v>13</v>
      </c>
      <c r="AN1644" s="78" t="s">
        <v>4342</v>
      </c>
      <c r="AO1644" s="78" t="s">
        <v>4851</v>
      </c>
      <c r="AP1644" t="b">
        <v>0</v>
      </c>
      <c r="AQ1644" s="78" t="s">
        <v>4342</v>
      </c>
      <c r="AR1644" t="s">
        <v>179</v>
      </c>
      <c r="AS1644">
        <v>0</v>
      </c>
      <c r="AT1644">
        <v>0</v>
      </c>
    </row>
    <row r="1645" spans="1:46" x14ac:dyDescent="0.45">
      <c r="A1645" s="62" t="s">
        <v>292</v>
      </c>
      <c r="B1645" s="62" t="s">
        <v>992</v>
      </c>
      <c r="C1645" s="63"/>
      <c r="D1645" s="64"/>
      <c r="E1645" s="65"/>
      <c r="F1645" s="66"/>
      <c r="G1645" s="63"/>
      <c r="H1645" s="67"/>
      <c r="I1645" s="68"/>
      <c r="J1645" s="68"/>
      <c r="K1645" s="32"/>
      <c r="L1645" s="75"/>
      <c r="M1645" s="75"/>
      <c r="N1645" s="70"/>
      <c r="O1645" t="s">
        <v>1569</v>
      </c>
      <c r="P1645" s="76">
        <v>44958.56832175926</v>
      </c>
      <c r="Q1645" t="s">
        <v>1597</v>
      </c>
      <c r="U1645" s="77" t="str">
        <f>HYPERLINK("https://pbs.twimg.com/media/Fn21cCpaEAIoT8g.jpg")</f>
        <v>https://pbs.twimg.com/media/Fn21cCpaEAIoT8g.jpg</v>
      </c>
      <c r="V1645" s="77" t="str">
        <f>HYPERLINK("https://pbs.twimg.com/media/Fn21cCpaEAIoT8g.jpg")</f>
        <v>https://pbs.twimg.com/media/Fn21cCpaEAIoT8g.jpg</v>
      </c>
      <c r="W1645" s="76">
        <v>44958.56832175926</v>
      </c>
      <c r="X1645" s="80">
        <v>44958</v>
      </c>
      <c r="Y1645" s="78" t="s">
        <v>2501</v>
      </c>
      <c r="Z1645" s="77" t="str">
        <f>HYPERLINK("https://twitter.com/heathracela/status/1620778592534929408")</f>
        <v>https://twitter.com/heathracela/status/1620778592534929408</v>
      </c>
      <c r="AC1645" s="78" t="s">
        <v>3516</v>
      </c>
      <c r="AE1645" t="b">
        <v>0</v>
      </c>
      <c r="AF1645">
        <v>0</v>
      </c>
      <c r="AG1645" s="78" t="s">
        <v>4640</v>
      </c>
      <c r="AH1645" t="b">
        <v>0</v>
      </c>
      <c r="AI1645" t="s">
        <v>4829</v>
      </c>
      <c r="AK1645" s="78" t="s">
        <v>4640</v>
      </c>
      <c r="AL1645" t="b">
        <v>0</v>
      </c>
      <c r="AM1645">
        <v>13</v>
      </c>
      <c r="AN1645" s="78" t="s">
        <v>4342</v>
      </c>
      <c r="AO1645" s="78" t="s">
        <v>4851</v>
      </c>
      <c r="AP1645" t="b">
        <v>0</v>
      </c>
      <c r="AQ1645" s="78" t="s">
        <v>4342</v>
      </c>
      <c r="AR1645" t="s">
        <v>179</v>
      </c>
      <c r="AS1645">
        <v>0</v>
      </c>
      <c r="AT1645">
        <v>0</v>
      </c>
    </row>
    <row r="1646" spans="1:46" x14ac:dyDescent="0.45">
      <c r="A1646" s="62" t="s">
        <v>296</v>
      </c>
      <c r="B1646" s="62" t="s">
        <v>1183</v>
      </c>
      <c r="C1646" s="63"/>
      <c r="D1646" s="64"/>
      <c r="E1646" s="65"/>
      <c r="F1646" s="66"/>
      <c r="G1646" s="63"/>
      <c r="H1646" s="67"/>
      <c r="I1646" s="68"/>
      <c r="J1646" s="68"/>
      <c r="K1646" s="32"/>
      <c r="L1646" s="75"/>
      <c r="M1646" s="75"/>
      <c r="N1646" s="70"/>
      <c r="O1646" t="s">
        <v>1568</v>
      </c>
      <c r="P1646" s="76">
        <v>44958.581689814811</v>
      </c>
      <c r="Q1646" t="s">
        <v>1639</v>
      </c>
      <c r="U1646" s="77" t="str">
        <f>HYPERLINK("https://pbs.twimg.com/media/Fn4t7PEXkAIWHkz.jpg")</f>
        <v>https://pbs.twimg.com/media/Fn4t7PEXkAIWHkz.jpg</v>
      </c>
      <c r="V1646" s="77" t="str">
        <f>HYPERLINK("https://pbs.twimg.com/media/Fn4t7PEXkAIWHkz.jpg")</f>
        <v>https://pbs.twimg.com/media/Fn4t7PEXkAIWHkz.jpg</v>
      </c>
      <c r="W1646" s="76">
        <v>44958.581689814811</v>
      </c>
      <c r="X1646" s="80">
        <v>44958</v>
      </c>
      <c r="Y1646" s="78" t="s">
        <v>2505</v>
      </c>
      <c r="Z1646" s="77" t="str">
        <f>HYPERLINK("https://twitter.com/george_mas/status/1620783435349639168")</f>
        <v>https://twitter.com/george_mas/status/1620783435349639168</v>
      </c>
      <c r="AC1646" s="78" t="s">
        <v>3520</v>
      </c>
      <c r="AE1646" t="b">
        <v>0</v>
      </c>
      <c r="AF1646">
        <v>0</v>
      </c>
      <c r="AG1646" s="78" t="s">
        <v>4667</v>
      </c>
      <c r="AH1646" t="b">
        <v>0</v>
      </c>
      <c r="AI1646" t="s">
        <v>4829</v>
      </c>
      <c r="AK1646" s="78" t="s">
        <v>4640</v>
      </c>
      <c r="AL1646" t="b">
        <v>0</v>
      </c>
      <c r="AM1646">
        <v>0</v>
      </c>
      <c r="AN1646" s="78" t="s">
        <v>4640</v>
      </c>
      <c r="AO1646" s="78" t="s">
        <v>4851</v>
      </c>
      <c r="AP1646" t="b">
        <v>0</v>
      </c>
      <c r="AQ1646" s="78" t="s">
        <v>3520</v>
      </c>
      <c r="AR1646" t="s">
        <v>179</v>
      </c>
      <c r="AS1646">
        <v>0</v>
      </c>
      <c r="AT1646">
        <v>0</v>
      </c>
    </row>
    <row r="1647" spans="1:46" x14ac:dyDescent="0.45">
      <c r="A1647" s="62" t="s">
        <v>296</v>
      </c>
      <c r="B1647" s="62" t="s">
        <v>1184</v>
      </c>
      <c r="C1647" s="63"/>
      <c r="D1647" s="64"/>
      <c r="E1647" s="65"/>
      <c r="F1647" s="66"/>
      <c r="G1647" s="63"/>
      <c r="H1647" s="67"/>
      <c r="I1647" s="68"/>
      <c r="J1647" s="68"/>
      <c r="K1647" s="32"/>
      <c r="L1647" s="75"/>
      <c r="M1647" s="75"/>
      <c r="N1647" s="70"/>
      <c r="O1647" t="s">
        <v>1567</v>
      </c>
      <c r="P1647" s="76">
        <v>44958.581689814811</v>
      </c>
      <c r="Q1647" t="s">
        <v>1639</v>
      </c>
      <c r="U1647" s="77" t="str">
        <f>HYPERLINK("https://pbs.twimg.com/media/Fn4t7PEXkAIWHkz.jpg")</f>
        <v>https://pbs.twimg.com/media/Fn4t7PEXkAIWHkz.jpg</v>
      </c>
      <c r="V1647" s="77" t="str">
        <f>HYPERLINK("https://pbs.twimg.com/media/Fn4t7PEXkAIWHkz.jpg")</f>
        <v>https://pbs.twimg.com/media/Fn4t7PEXkAIWHkz.jpg</v>
      </c>
      <c r="W1647" s="76">
        <v>44958.581689814811</v>
      </c>
      <c r="X1647" s="80">
        <v>44958</v>
      </c>
      <c r="Y1647" s="78" t="s">
        <v>2505</v>
      </c>
      <c r="Z1647" s="77" t="str">
        <f>HYPERLINK("https://twitter.com/george_mas/status/1620783435349639168")</f>
        <v>https://twitter.com/george_mas/status/1620783435349639168</v>
      </c>
      <c r="AC1647" s="78" t="s">
        <v>3520</v>
      </c>
      <c r="AE1647" t="b">
        <v>0</v>
      </c>
      <c r="AF1647">
        <v>0</v>
      </c>
      <c r="AG1647" s="78" t="s">
        <v>4667</v>
      </c>
      <c r="AH1647" t="b">
        <v>0</v>
      </c>
      <c r="AI1647" t="s">
        <v>4829</v>
      </c>
      <c r="AK1647" s="78" t="s">
        <v>4640</v>
      </c>
      <c r="AL1647" t="b">
        <v>0</v>
      </c>
      <c r="AM1647">
        <v>0</v>
      </c>
      <c r="AN1647" s="78" t="s">
        <v>4640</v>
      </c>
      <c r="AO1647" s="78" t="s">
        <v>4851</v>
      </c>
      <c r="AP1647" t="b">
        <v>0</v>
      </c>
      <c r="AQ1647" s="78" t="s">
        <v>3520</v>
      </c>
      <c r="AR1647" t="s">
        <v>179</v>
      </c>
      <c r="AS1647">
        <v>0</v>
      </c>
      <c r="AT1647">
        <v>0</v>
      </c>
    </row>
    <row r="1648" spans="1:46" x14ac:dyDescent="0.45">
      <c r="A1648" s="62" t="s">
        <v>296</v>
      </c>
      <c r="B1648" s="62" t="s">
        <v>242</v>
      </c>
      <c r="C1648" s="63"/>
      <c r="D1648" s="64"/>
      <c r="E1648" s="65"/>
      <c r="F1648" s="66"/>
      <c r="G1648" s="63"/>
      <c r="H1648" s="67"/>
      <c r="I1648" s="68"/>
      <c r="J1648" s="68"/>
      <c r="K1648" s="32"/>
      <c r="L1648" s="75"/>
      <c r="M1648" s="75"/>
      <c r="N1648" s="70"/>
      <c r="O1648" t="s">
        <v>1568</v>
      </c>
      <c r="P1648" s="76">
        <v>44958.581689814811</v>
      </c>
      <c r="Q1648" t="s">
        <v>1639</v>
      </c>
      <c r="U1648" s="77" t="str">
        <f>HYPERLINK("https://pbs.twimg.com/media/Fn4t7PEXkAIWHkz.jpg")</f>
        <v>https://pbs.twimg.com/media/Fn4t7PEXkAIWHkz.jpg</v>
      </c>
      <c r="V1648" s="77" t="str">
        <f>HYPERLINK("https://pbs.twimg.com/media/Fn4t7PEXkAIWHkz.jpg")</f>
        <v>https://pbs.twimg.com/media/Fn4t7PEXkAIWHkz.jpg</v>
      </c>
      <c r="W1648" s="76">
        <v>44958.581689814811</v>
      </c>
      <c r="X1648" s="80">
        <v>44958</v>
      </c>
      <c r="Y1648" s="78" t="s">
        <v>2505</v>
      </c>
      <c r="Z1648" s="77" t="str">
        <f>HYPERLINK("https://twitter.com/george_mas/status/1620783435349639168")</f>
        <v>https://twitter.com/george_mas/status/1620783435349639168</v>
      </c>
      <c r="AC1648" s="78" t="s">
        <v>3520</v>
      </c>
      <c r="AE1648" t="b">
        <v>0</v>
      </c>
      <c r="AF1648">
        <v>0</v>
      </c>
      <c r="AG1648" s="78" t="s">
        <v>4667</v>
      </c>
      <c r="AH1648" t="b">
        <v>0</v>
      </c>
      <c r="AI1648" t="s">
        <v>4829</v>
      </c>
      <c r="AK1648" s="78" t="s">
        <v>4640</v>
      </c>
      <c r="AL1648" t="b">
        <v>0</v>
      </c>
      <c r="AM1648">
        <v>0</v>
      </c>
      <c r="AN1648" s="78" t="s">
        <v>4640</v>
      </c>
      <c r="AO1648" s="78" t="s">
        <v>4851</v>
      </c>
      <c r="AP1648" t="b">
        <v>0</v>
      </c>
      <c r="AQ1648" s="78" t="s">
        <v>3520</v>
      </c>
      <c r="AR1648" t="s">
        <v>179</v>
      </c>
      <c r="AS1648">
        <v>0</v>
      </c>
      <c r="AT1648">
        <v>0</v>
      </c>
    </row>
    <row r="1649" spans="1:46" x14ac:dyDescent="0.45">
      <c r="A1649" s="62" t="s">
        <v>296</v>
      </c>
      <c r="B1649" s="62" t="s">
        <v>1185</v>
      </c>
      <c r="C1649" s="63"/>
      <c r="D1649" s="64"/>
      <c r="E1649" s="65"/>
      <c r="F1649" s="66"/>
      <c r="G1649" s="63"/>
      <c r="H1649" s="67"/>
      <c r="I1649" s="68"/>
      <c r="J1649" s="68"/>
      <c r="K1649" s="32"/>
      <c r="L1649" s="75"/>
      <c r="M1649" s="75"/>
      <c r="N1649" s="70"/>
      <c r="O1649" t="s">
        <v>1568</v>
      </c>
      <c r="P1649" s="76">
        <v>44958.581689814811</v>
      </c>
      <c r="Q1649" t="s">
        <v>1639</v>
      </c>
      <c r="U1649" s="77" t="str">
        <f>HYPERLINK("https://pbs.twimg.com/media/Fn4t7PEXkAIWHkz.jpg")</f>
        <v>https://pbs.twimg.com/media/Fn4t7PEXkAIWHkz.jpg</v>
      </c>
      <c r="V1649" s="77" t="str">
        <f>HYPERLINK("https://pbs.twimg.com/media/Fn4t7PEXkAIWHkz.jpg")</f>
        <v>https://pbs.twimg.com/media/Fn4t7PEXkAIWHkz.jpg</v>
      </c>
      <c r="W1649" s="76">
        <v>44958.581689814811</v>
      </c>
      <c r="X1649" s="80">
        <v>44958</v>
      </c>
      <c r="Y1649" s="78" t="s">
        <v>2505</v>
      </c>
      <c r="Z1649" s="77" t="str">
        <f>HYPERLINK("https://twitter.com/george_mas/status/1620783435349639168")</f>
        <v>https://twitter.com/george_mas/status/1620783435349639168</v>
      </c>
      <c r="AC1649" s="78" t="s">
        <v>3520</v>
      </c>
      <c r="AE1649" t="b">
        <v>0</v>
      </c>
      <c r="AF1649">
        <v>0</v>
      </c>
      <c r="AG1649" s="78" t="s">
        <v>4667</v>
      </c>
      <c r="AH1649" t="b">
        <v>0</v>
      </c>
      <c r="AI1649" t="s">
        <v>4829</v>
      </c>
      <c r="AK1649" s="78" t="s">
        <v>4640</v>
      </c>
      <c r="AL1649" t="b">
        <v>0</v>
      </c>
      <c r="AM1649">
        <v>0</v>
      </c>
      <c r="AN1649" s="78" t="s">
        <v>4640</v>
      </c>
      <c r="AO1649" s="78" t="s">
        <v>4851</v>
      </c>
      <c r="AP1649" t="b">
        <v>0</v>
      </c>
      <c r="AQ1649" s="78" t="s">
        <v>3520</v>
      </c>
      <c r="AR1649" t="s">
        <v>179</v>
      </c>
      <c r="AS1649">
        <v>0</v>
      </c>
      <c r="AT1649">
        <v>0</v>
      </c>
    </row>
    <row r="1650" spans="1:46" x14ac:dyDescent="0.45">
      <c r="A1650" s="62" t="s">
        <v>302</v>
      </c>
      <c r="B1650" s="62" t="s">
        <v>1198</v>
      </c>
      <c r="C1650" s="63"/>
      <c r="D1650" s="64"/>
      <c r="E1650" s="65"/>
      <c r="F1650" s="66"/>
      <c r="G1650" s="63"/>
      <c r="H1650" s="67"/>
      <c r="I1650" s="68"/>
      <c r="J1650" s="68"/>
      <c r="K1650" s="32"/>
      <c r="L1650" s="75"/>
      <c r="M1650" s="75"/>
      <c r="N1650" s="70"/>
      <c r="O1650" t="s">
        <v>1570</v>
      </c>
      <c r="P1650" s="76">
        <v>44958.595000000001</v>
      </c>
      <c r="Q1650" t="s">
        <v>1644</v>
      </c>
      <c r="U1650" s="77" t="str">
        <f>HYPERLINK("https://pbs.twimg.com/media/Fn4xkeYWIAItfLu.jpg")</f>
        <v>https://pbs.twimg.com/media/Fn4xkeYWIAItfLu.jpg</v>
      </c>
      <c r="V1650" s="77" t="str">
        <f>HYPERLINK("https://pbs.twimg.com/media/Fn4xkeYWIAItfLu.jpg")</f>
        <v>https://pbs.twimg.com/media/Fn4xkeYWIAItfLu.jpg</v>
      </c>
      <c r="W1650" s="76">
        <v>44958.595000000001</v>
      </c>
      <c r="X1650" s="80">
        <v>44958</v>
      </c>
      <c r="Y1650" s="78" t="s">
        <v>2511</v>
      </c>
      <c r="Z1650" s="77" t="str">
        <f>HYPERLINK("https://twitter.com/amerine1000/status/1620788260225298433")</f>
        <v>https://twitter.com/amerine1000/status/1620788260225298433</v>
      </c>
      <c r="AC1650" s="78" t="s">
        <v>3526</v>
      </c>
      <c r="AE1650" t="b">
        <v>0</v>
      </c>
      <c r="AF1650">
        <v>0</v>
      </c>
      <c r="AG1650" s="78" t="s">
        <v>4640</v>
      </c>
      <c r="AH1650" t="b">
        <v>0</v>
      </c>
      <c r="AI1650" t="s">
        <v>4829</v>
      </c>
      <c r="AK1650" s="78" t="s">
        <v>4640</v>
      </c>
      <c r="AL1650" t="b">
        <v>0</v>
      </c>
      <c r="AM1650">
        <v>1</v>
      </c>
      <c r="AN1650" s="78" t="s">
        <v>3722</v>
      </c>
      <c r="AO1650" s="78" t="s">
        <v>4849</v>
      </c>
      <c r="AP1650" t="b">
        <v>0</v>
      </c>
      <c r="AQ1650" s="78" t="s">
        <v>3722</v>
      </c>
      <c r="AR1650" t="s">
        <v>179</v>
      </c>
      <c r="AS1650">
        <v>0</v>
      </c>
      <c r="AT1650">
        <v>0</v>
      </c>
    </row>
    <row r="1651" spans="1:46" x14ac:dyDescent="0.45">
      <c r="A1651" s="62" t="s">
        <v>302</v>
      </c>
      <c r="B1651" s="62" t="s">
        <v>1181</v>
      </c>
      <c r="C1651" s="63"/>
      <c r="D1651" s="64"/>
      <c r="E1651" s="65"/>
      <c r="F1651" s="66"/>
      <c r="G1651" s="63"/>
      <c r="H1651" s="67"/>
      <c r="I1651" s="68"/>
      <c r="J1651" s="68"/>
      <c r="K1651" s="32"/>
      <c r="L1651" s="75"/>
      <c r="M1651" s="75"/>
      <c r="N1651" s="70"/>
      <c r="O1651" t="s">
        <v>1570</v>
      </c>
      <c r="P1651" s="76">
        <v>44958.595000000001</v>
      </c>
      <c r="Q1651" t="s">
        <v>1644</v>
      </c>
      <c r="U1651" s="77" t="str">
        <f>HYPERLINK("https://pbs.twimg.com/media/Fn4xkeYWIAItfLu.jpg")</f>
        <v>https://pbs.twimg.com/media/Fn4xkeYWIAItfLu.jpg</v>
      </c>
      <c r="V1651" s="77" t="str">
        <f>HYPERLINK("https://pbs.twimg.com/media/Fn4xkeYWIAItfLu.jpg")</f>
        <v>https://pbs.twimg.com/media/Fn4xkeYWIAItfLu.jpg</v>
      </c>
      <c r="W1651" s="76">
        <v>44958.595000000001</v>
      </c>
      <c r="X1651" s="80">
        <v>44958</v>
      </c>
      <c r="Y1651" s="78" t="s">
        <v>2511</v>
      </c>
      <c r="Z1651" s="77" t="str">
        <f>HYPERLINK("https://twitter.com/amerine1000/status/1620788260225298433")</f>
        <v>https://twitter.com/amerine1000/status/1620788260225298433</v>
      </c>
      <c r="AC1651" s="78" t="s">
        <v>3526</v>
      </c>
      <c r="AE1651" t="b">
        <v>0</v>
      </c>
      <c r="AF1651">
        <v>0</v>
      </c>
      <c r="AG1651" s="78" t="s">
        <v>4640</v>
      </c>
      <c r="AH1651" t="b">
        <v>0</v>
      </c>
      <c r="AI1651" t="s">
        <v>4829</v>
      </c>
      <c r="AK1651" s="78" t="s">
        <v>4640</v>
      </c>
      <c r="AL1651" t="b">
        <v>0</v>
      </c>
      <c r="AM1651">
        <v>1</v>
      </c>
      <c r="AN1651" s="78" t="s">
        <v>3722</v>
      </c>
      <c r="AO1651" s="78" t="s">
        <v>4849</v>
      </c>
      <c r="AP1651" t="b">
        <v>0</v>
      </c>
      <c r="AQ1651" s="78" t="s">
        <v>3722</v>
      </c>
      <c r="AR1651" t="s">
        <v>179</v>
      </c>
      <c r="AS1651">
        <v>0</v>
      </c>
      <c r="AT1651">
        <v>0</v>
      </c>
    </row>
    <row r="1652" spans="1:46" x14ac:dyDescent="0.45">
      <c r="A1652" s="62" t="s">
        <v>302</v>
      </c>
      <c r="B1652" s="62" t="s">
        <v>1199</v>
      </c>
      <c r="C1652" s="63"/>
      <c r="D1652" s="64"/>
      <c r="E1652" s="65"/>
      <c r="F1652" s="66"/>
      <c r="G1652" s="63"/>
      <c r="H1652" s="67"/>
      <c r="I1652" s="68"/>
      <c r="J1652" s="68"/>
      <c r="K1652" s="32"/>
      <c r="L1652" s="75"/>
      <c r="M1652" s="75"/>
      <c r="N1652" s="70"/>
      <c r="O1652" t="s">
        <v>1570</v>
      </c>
      <c r="P1652" s="76">
        <v>44958.595000000001</v>
      </c>
      <c r="Q1652" t="s">
        <v>1644</v>
      </c>
      <c r="U1652" s="77" t="str">
        <f>HYPERLINK("https://pbs.twimg.com/media/Fn4xkeYWIAItfLu.jpg")</f>
        <v>https://pbs.twimg.com/media/Fn4xkeYWIAItfLu.jpg</v>
      </c>
      <c r="V1652" s="77" t="str">
        <f>HYPERLINK("https://pbs.twimg.com/media/Fn4xkeYWIAItfLu.jpg")</f>
        <v>https://pbs.twimg.com/media/Fn4xkeYWIAItfLu.jpg</v>
      </c>
      <c r="W1652" s="76">
        <v>44958.595000000001</v>
      </c>
      <c r="X1652" s="80">
        <v>44958</v>
      </c>
      <c r="Y1652" s="78" t="s">
        <v>2511</v>
      </c>
      <c r="Z1652" s="77" t="str">
        <f>HYPERLINK("https://twitter.com/amerine1000/status/1620788260225298433")</f>
        <v>https://twitter.com/amerine1000/status/1620788260225298433</v>
      </c>
      <c r="AC1652" s="78" t="s">
        <v>3526</v>
      </c>
      <c r="AE1652" t="b">
        <v>0</v>
      </c>
      <c r="AF1652">
        <v>0</v>
      </c>
      <c r="AG1652" s="78" t="s">
        <v>4640</v>
      </c>
      <c r="AH1652" t="b">
        <v>0</v>
      </c>
      <c r="AI1652" t="s">
        <v>4829</v>
      </c>
      <c r="AK1652" s="78" t="s">
        <v>4640</v>
      </c>
      <c r="AL1652" t="b">
        <v>0</v>
      </c>
      <c r="AM1652">
        <v>1</v>
      </c>
      <c r="AN1652" s="78" t="s">
        <v>3722</v>
      </c>
      <c r="AO1652" s="78" t="s">
        <v>4849</v>
      </c>
      <c r="AP1652" t="b">
        <v>0</v>
      </c>
      <c r="AQ1652" s="78" t="s">
        <v>3722</v>
      </c>
      <c r="AR1652" t="s">
        <v>179</v>
      </c>
      <c r="AS1652">
        <v>0</v>
      </c>
      <c r="AT1652">
        <v>0</v>
      </c>
    </row>
    <row r="1653" spans="1:46" x14ac:dyDescent="0.45">
      <c r="A1653" s="62" t="s">
        <v>302</v>
      </c>
      <c r="B1653" s="62" t="s">
        <v>1185</v>
      </c>
      <c r="C1653" s="63"/>
      <c r="D1653" s="64"/>
      <c r="E1653" s="65"/>
      <c r="F1653" s="66"/>
      <c r="G1653" s="63"/>
      <c r="H1653" s="67"/>
      <c r="I1653" s="68"/>
      <c r="J1653" s="68"/>
      <c r="K1653" s="32"/>
      <c r="L1653" s="75"/>
      <c r="M1653" s="75"/>
      <c r="N1653" s="70"/>
      <c r="O1653" t="s">
        <v>1570</v>
      </c>
      <c r="P1653" s="76">
        <v>44958.595000000001</v>
      </c>
      <c r="Q1653" t="s">
        <v>1644</v>
      </c>
      <c r="U1653" s="77" t="str">
        <f>HYPERLINK("https://pbs.twimg.com/media/Fn4xkeYWIAItfLu.jpg")</f>
        <v>https://pbs.twimg.com/media/Fn4xkeYWIAItfLu.jpg</v>
      </c>
      <c r="V1653" s="77" t="str">
        <f>HYPERLINK("https://pbs.twimg.com/media/Fn4xkeYWIAItfLu.jpg")</f>
        <v>https://pbs.twimg.com/media/Fn4xkeYWIAItfLu.jpg</v>
      </c>
      <c r="W1653" s="76">
        <v>44958.595000000001</v>
      </c>
      <c r="X1653" s="80">
        <v>44958</v>
      </c>
      <c r="Y1653" s="78" t="s">
        <v>2511</v>
      </c>
      <c r="Z1653" s="77" t="str">
        <f>HYPERLINK("https://twitter.com/amerine1000/status/1620788260225298433")</f>
        <v>https://twitter.com/amerine1000/status/1620788260225298433</v>
      </c>
      <c r="AC1653" s="78" t="s">
        <v>3526</v>
      </c>
      <c r="AE1653" t="b">
        <v>0</v>
      </c>
      <c r="AF1653">
        <v>0</v>
      </c>
      <c r="AG1653" s="78" t="s">
        <v>4640</v>
      </c>
      <c r="AH1653" t="b">
        <v>0</v>
      </c>
      <c r="AI1653" t="s">
        <v>4829</v>
      </c>
      <c r="AK1653" s="78" t="s">
        <v>4640</v>
      </c>
      <c r="AL1653" t="b">
        <v>0</v>
      </c>
      <c r="AM1653">
        <v>1</v>
      </c>
      <c r="AN1653" s="78" t="s">
        <v>3722</v>
      </c>
      <c r="AO1653" s="78" t="s">
        <v>4849</v>
      </c>
      <c r="AP1653" t="b">
        <v>0</v>
      </c>
      <c r="AQ1653" s="78" t="s">
        <v>3722</v>
      </c>
      <c r="AR1653" t="s">
        <v>179</v>
      </c>
      <c r="AS1653">
        <v>0</v>
      </c>
      <c r="AT1653">
        <v>0</v>
      </c>
    </row>
    <row r="1654" spans="1:46" x14ac:dyDescent="0.45">
      <c r="A1654" s="62" t="s">
        <v>302</v>
      </c>
      <c r="B1654" s="62" t="s">
        <v>242</v>
      </c>
      <c r="C1654" s="63"/>
      <c r="D1654" s="64"/>
      <c r="E1654" s="65"/>
      <c r="F1654" s="66"/>
      <c r="G1654" s="63"/>
      <c r="H1654" s="67"/>
      <c r="I1654" s="68"/>
      <c r="J1654" s="68"/>
      <c r="K1654" s="32"/>
      <c r="L1654" s="75"/>
      <c r="M1654" s="75"/>
      <c r="N1654" s="70"/>
      <c r="O1654" t="s">
        <v>1570</v>
      </c>
      <c r="P1654" s="76">
        <v>44958.595000000001</v>
      </c>
      <c r="Q1654" t="s">
        <v>1644</v>
      </c>
      <c r="U1654" s="77" t="str">
        <f>HYPERLINK("https://pbs.twimg.com/media/Fn4xkeYWIAItfLu.jpg")</f>
        <v>https://pbs.twimg.com/media/Fn4xkeYWIAItfLu.jpg</v>
      </c>
      <c r="V1654" s="77" t="str">
        <f>HYPERLINK("https://pbs.twimg.com/media/Fn4xkeYWIAItfLu.jpg")</f>
        <v>https://pbs.twimg.com/media/Fn4xkeYWIAItfLu.jpg</v>
      </c>
      <c r="W1654" s="76">
        <v>44958.595000000001</v>
      </c>
      <c r="X1654" s="80">
        <v>44958</v>
      </c>
      <c r="Y1654" s="78" t="s">
        <v>2511</v>
      </c>
      <c r="Z1654" s="77" t="str">
        <f>HYPERLINK("https://twitter.com/amerine1000/status/1620788260225298433")</f>
        <v>https://twitter.com/amerine1000/status/1620788260225298433</v>
      </c>
      <c r="AC1654" s="78" t="s">
        <v>3526</v>
      </c>
      <c r="AE1654" t="b">
        <v>0</v>
      </c>
      <c r="AF1654">
        <v>0</v>
      </c>
      <c r="AG1654" s="78" t="s">
        <v>4640</v>
      </c>
      <c r="AH1654" t="b">
        <v>0</v>
      </c>
      <c r="AI1654" t="s">
        <v>4829</v>
      </c>
      <c r="AK1654" s="78" t="s">
        <v>4640</v>
      </c>
      <c r="AL1654" t="b">
        <v>0</v>
      </c>
      <c r="AM1654">
        <v>1</v>
      </c>
      <c r="AN1654" s="78" t="s">
        <v>3722</v>
      </c>
      <c r="AO1654" s="78" t="s">
        <v>4849</v>
      </c>
      <c r="AP1654" t="b">
        <v>0</v>
      </c>
      <c r="AQ1654" s="78" t="s">
        <v>3722</v>
      </c>
      <c r="AR1654" t="s">
        <v>179</v>
      </c>
      <c r="AS1654">
        <v>0</v>
      </c>
      <c r="AT1654">
        <v>0</v>
      </c>
    </row>
    <row r="1655" spans="1:46" x14ac:dyDescent="0.45">
      <c r="A1655" s="62" t="s">
        <v>302</v>
      </c>
      <c r="B1655" s="62" t="s">
        <v>379</v>
      </c>
      <c r="C1655" s="63"/>
      <c r="D1655" s="64"/>
      <c r="E1655" s="65"/>
      <c r="F1655" s="66"/>
      <c r="G1655" s="63"/>
      <c r="H1655" s="67"/>
      <c r="I1655" s="68"/>
      <c r="J1655" s="68"/>
      <c r="K1655" s="32"/>
      <c r="L1655" s="75"/>
      <c r="M1655" s="75"/>
      <c r="N1655" s="70"/>
      <c r="O1655" t="s">
        <v>1569</v>
      </c>
      <c r="P1655" s="76">
        <v>44958.595000000001</v>
      </c>
      <c r="Q1655" t="s">
        <v>1644</v>
      </c>
      <c r="U1655" s="77" t="str">
        <f>HYPERLINK("https://pbs.twimg.com/media/Fn4xkeYWIAItfLu.jpg")</f>
        <v>https://pbs.twimg.com/media/Fn4xkeYWIAItfLu.jpg</v>
      </c>
      <c r="V1655" s="77" t="str">
        <f>HYPERLINK("https://pbs.twimg.com/media/Fn4xkeYWIAItfLu.jpg")</f>
        <v>https://pbs.twimg.com/media/Fn4xkeYWIAItfLu.jpg</v>
      </c>
      <c r="W1655" s="76">
        <v>44958.595000000001</v>
      </c>
      <c r="X1655" s="80">
        <v>44958</v>
      </c>
      <c r="Y1655" s="78" t="s">
        <v>2511</v>
      </c>
      <c r="Z1655" s="77" t="str">
        <f>HYPERLINK("https://twitter.com/amerine1000/status/1620788260225298433")</f>
        <v>https://twitter.com/amerine1000/status/1620788260225298433</v>
      </c>
      <c r="AC1655" s="78" t="s">
        <v>3526</v>
      </c>
      <c r="AE1655" t="b">
        <v>0</v>
      </c>
      <c r="AF1655">
        <v>0</v>
      </c>
      <c r="AG1655" s="78" t="s">
        <v>4640</v>
      </c>
      <c r="AH1655" t="b">
        <v>0</v>
      </c>
      <c r="AI1655" t="s">
        <v>4829</v>
      </c>
      <c r="AK1655" s="78" t="s">
        <v>4640</v>
      </c>
      <c r="AL1655" t="b">
        <v>0</v>
      </c>
      <c r="AM1655">
        <v>1</v>
      </c>
      <c r="AN1655" s="78" t="s">
        <v>3722</v>
      </c>
      <c r="AO1655" s="78" t="s">
        <v>4849</v>
      </c>
      <c r="AP1655" t="b">
        <v>0</v>
      </c>
      <c r="AQ1655" s="78" t="s">
        <v>3722</v>
      </c>
      <c r="AR1655" t="s">
        <v>179</v>
      </c>
      <c r="AS1655">
        <v>0</v>
      </c>
      <c r="AT1655">
        <v>0</v>
      </c>
    </row>
    <row r="1656" spans="1:46" x14ac:dyDescent="0.45">
      <c r="A1656" s="62" t="s">
        <v>304</v>
      </c>
      <c r="B1656" s="62" t="s">
        <v>242</v>
      </c>
      <c r="C1656" s="63"/>
      <c r="D1656" s="64"/>
      <c r="E1656" s="65"/>
      <c r="F1656" s="66"/>
      <c r="G1656" s="63"/>
      <c r="H1656" s="67"/>
      <c r="I1656" s="68"/>
      <c r="J1656" s="68"/>
      <c r="K1656" s="32"/>
      <c r="L1656" s="75"/>
      <c r="M1656" s="75"/>
      <c r="N1656" s="70"/>
      <c r="O1656" t="s">
        <v>1567</v>
      </c>
      <c r="P1656" s="76">
        <v>44958.599942129629</v>
      </c>
      <c r="Q1656" t="s">
        <v>1645</v>
      </c>
      <c r="V1656" s="77" t="str">
        <f>HYPERLINK("https://pbs.twimg.com/profile_images/1599917394889265153/cv--7gLX_normal.jpg")</f>
        <v>https://pbs.twimg.com/profile_images/1599917394889265153/cv--7gLX_normal.jpg</v>
      </c>
      <c r="W1656" s="76">
        <v>44958.599942129629</v>
      </c>
      <c r="X1656" s="80">
        <v>44958</v>
      </c>
      <c r="Y1656" s="78" t="s">
        <v>2513</v>
      </c>
      <c r="Z1656" s="77" t="str">
        <f>HYPERLINK("https://twitter.com/godhasthis17/status/1620790051729805319")</f>
        <v>https://twitter.com/godhasthis17/status/1620790051729805319</v>
      </c>
      <c r="AC1656" s="78" t="s">
        <v>3528</v>
      </c>
      <c r="AD1656" s="78" t="s">
        <v>4498</v>
      </c>
      <c r="AE1656" t="b">
        <v>0</v>
      </c>
      <c r="AF1656">
        <v>0</v>
      </c>
      <c r="AG1656" s="78" t="s">
        <v>4639</v>
      </c>
      <c r="AH1656" t="b">
        <v>0</v>
      </c>
      <c r="AI1656" t="s">
        <v>4829</v>
      </c>
      <c r="AK1656" s="78" t="s">
        <v>4640</v>
      </c>
      <c r="AL1656" t="b">
        <v>0</v>
      </c>
      <c r="AM1656">
        <v>0</v>
      </c>
      <c r="AN1656" s="78" t="s">
        <v>4640</v>
      </c>
      <c r="AO1656" s="78" t="s">
        <v>4849</v>
      </c>
      <c r="AP1656" t="b">
        <v>0</v>
      </c>
      <c r="AQ1656" s="78" t="s">
        <v>4498</v>
      </c>
      <c r="AR1656" t="s">
        <v>179</v>
      </c>
      <c r="AS1656">
        <v>0</v>
      </c>
      <c r="AT1656">
        <v>0</v>
      </c>
    </row>
    <row r="1657" spans="1:46" x14ac:dyDescent="0.45">
      <c r="A1657" s="62" t="s">
        <v>307</v>
      </c>
      <c r="B1657" s="62" t="s">
        <v>242</v>
      </c>
      <c r="C1657" s="63"/>
      <c r="D1657" s="64"/>
      <c r="E1657" s="65"/>
      <c r="F1657" s="66"/>
      <c r="G1657" s="63"/>
      <c r="H1657" s="67"/>
      <c r="I1657" s="68"/>
      <c r="J1657" s="68"/>
      <c r="K1657" s="32"/>
      <c r="L1657" s="75"/>
      <c r="M1657" s="75"/>
      <c r="N1657" s="70"/>
      <c r="O1657" t="s">
        <v>1568</v>
      </c>
      <c r="P1657" s="76">
        <v>44958.602638888886</v>
      </c>
      <c r="Q1657" t="s">
        <v>1652</v>
      </c>
      <c r="V1657" s="77" t="str">
        <f>HYPERLINK("https://pbs.twimg.com/profile_images/1590421010607706115/q4RRrOWL_normal.jpg")</f>
        <v>https://pbs.twimg.com/profile_images/1590421010607706115/q4RRrOWL_normal.jpg</v>
      </c>
      <c r="W1657" s="76">
        <v>44958.602638888886</v>
      </c>
      <c r="X1657" s="80">
        <v>44958</v>
      </c>
      <c r="Y1657" s="78" t="s">
        <v>2520</v>
      </c>
      <c r="Z1657" s="77" t="str">
        <f>HYPERLINK("https://twitter.com/artfan90a/status/1620791026935033856")</f>
        <v>https://twitter.com/artfan90a/status/1620791026935033856</v>
      </c>
      <c r="AC1657" s="78" t="s">
        <v>3535</v>
      </c>
      <c r="AE1657" t="b">
        <v>0</v>
      </c>
      <c r="AF1657">
        <v>0</v>
      </c>
      <c r="AG1657" s="78" t="s">
        <v>4640</v>
      </c>
      <c r="AH1657" t="b">
        <v>0</v>
      </c>
      <c r="AI1657" t="s">
        <v>4829</v>
      </c>
      <c r="AK1657" s="78" t="s">
        <v>4640</v>
      </c>
      <c r="AL1657" t="b">
        <v>0</v>
      </c>
      <c r="AM1657">
        <v>0</v>
      </c>
      <c r="AN1657" s="78" t="s">
        <v>4640</v>
      </c>
      <c r="AO1657" s="78" t="s">
        <v>4851</v>
      </c>
      <c r="AP1657" t="b">
        <v>0</v>
      </c>
      <c r="AQ1657" s="78" t="s">
        <v>3535</v>
      </c>
      <c r="AR1657" t="s">
        <v>179</v>
      </c>
      <c r="AS1657">
        <v>0</v>
      </c>
      <c r="AT1657">
        <v>0</v>
      </c>
    </row>
    <row r="1658" spans="1:46" x14ac:dyDescent="0.45">
      <c r="A1658" s="62" t="s">
        <v>308</v>
      </c>
      <c r="B1658" s="62" t="s">
        <v>242</v>
      </c>
      <c r="C1658" s="63"/>
      <c r="D1658" s="64"/>
      <c r="E1658" s="65"/>
      <c r="F1658" s="66"/>
      <c r="G1658" s="63"/>
      <c r="H1658" s="67"/>
      <c r="I1658" s="68"/>
      <c r="J1658" s="68"/>
      <c r="K1658" s="32"/>
      <c r="L1658" s="75"/>
      <c r="M1658" s="75"/>
      <c r="N1658" s="70"/>
      <c r="O1658" t="s">
        <v>1568</v>
      </c>
      <c r="P1658" s="76">
        <v>44958.603067129632</v>
      </c>
      <c r="Q1658" t="s">
        <v>1653</v>
      </c>
      <c r="V1658" s="77" t="str">
        <f>HYPERLINK("https://pbs.twimg.com/profile_images/980969707502174208/fo8CBXWE_normal.jpg")</f>
        <v>https://pbs.twimg.com/profile_images/980969707502174208/fo8CBXWE_normal.jpg</v>
      </c>
      <c r="W1658" s="76">
        <v>44958.603067129632</v>
      </c>
      <c r="X1658" s="80">
        <v>44958</v>
      </c>
      <c r="Y1658" s="78" t="s">
        <v>2521</v>
      </c>
      <c r="Z1658" s="77" t="str">
        <f>HYPERLINK("https://twitter.com/stacie1216/status/1620791181318946816")</f>
        <v>https://twitter.com/stacie1216/status/1620791181318946816</v>
      </c>
      <c r="AC1658" s="78" t="s">
        <v>3536</v>
      </c>
      <c r="AE1658" t="b">
        <v>0</v>
      </c>
      <c r="AF1658">
        <v>0</v>
      </c>
      <c r="AG1658" s="78" t="s">
        <v>4640</v>
      </c>
      <c r="AH1658" t="b">
        <v>0</v>
      </c>
      <c r="AI1658" t="s">
        <v>4829</v>
      </c>
      <c r="AK1658" s="78" t="s">
        <v>4640</v>
      </c>
      <c r="AL1658" t="b">
        <v>0</v>
      </c>
      <c r="AM1658">
        <v>0</v>
      </c>
      <c r="AN1658" s="78" t="s">
        <v>4640</v>
      </c>
      <c r="AO1658" s="78" t="s">
        <v>4849</v>
      </c>
      <c r="AP1658" t="b">
        <v>0</v>
      </c>
      <c r="AQ1658" s="78" t="s">
        <v>3536</v>
      </c>
      <c r="AR1658" t="s">
        <v>179</v>
      </c>
      <c r="AS1658">
        <v>0</v>
      </c>
      <c r="AT1658">
        <v>0</v>
      </c>
    </row>
    <row r="1659" spans="1:46" x14ac:dyDescent="0.45">
      <c r="A1659" s="62" t="s">
        <v>313</v>
      </c>
      <c r="B1659" s="62" t="s">
        <v>1206</v>
      </c>
      <c r="C1659" s="63"/>
      <c r="D1659" s="64"/>
      <c r="E1659" s="65"/>
      <c r="F1659" s="66"/>
      <c r="G1659" s="63"/>
      <c r="H1659" s="67"/>
      <c r="I1659" s="68"/>
      <c r="J1659" s="68"/>
      <c r="K1659" s="32"/>
      <c r="L1659" s="75"/>
      <c r="M1659" s="75"/>
      <c r="N1659" s="70"/>
      <c r="O1659" t="s">
        <v>1568</v>
      </c>
      <c r="P1659" s="76">
        <v>44958.609583333331</v>
      </c>
      <c r="Q1659" t="s">
        <v>1657</v>
      </c>
      <c r="V1659" s="77" t="str">
        <f>HYPERLINK("https://pbs.twimg.com/profile_images/1349506197829738497/OLew8UDG_normal.jpg")</f>
        <v>https://pbs.twimg.com/profile_images/1349506197829738497/OLew8UDG_normal.jpg</v>
      </c>
      <c r="W1659" s="76">
        <v>44958.609583333331</v>
      </c>
      <c r="X1659" s="80">
        <v>44958</v>
      </c>
      <c r="Y1659" s="78" t="s">
        <v>2526</v>
      </c>
      <c r="Z1659" s="77" t="str">
        <f>HYPERLINK("https://twitter.com/damndawrlean/status/1620793545610383360")</f>
        <v>https://twitter.com/damndawrlean/status/1620793545610383360</v>
      </c>
      <c r="AC1659" s="78" t="s">
        <v>3541</v>
      </c>
      <c r="AD1659" s="78" t="s">
        <v>4522</v>
      </c>
      <c r="AE1659" t="b">
        <v>0</v>
      </c>
      <c r="AF1659">
        <v>0</v>
      </c>
      <c r="AG1659" s="78" t="s">
        <v>4639</v>
      </c>
      <c r="AH1659" t="b">
        <v>0</v>
      </c>
      <c r="AI1659" t="s">
        <v>4829</v>
      </c>
      <c r="AK1659" s="78" t="s">
        <v>4640</v>
      </c>
      <c r="AL1659" t="b">
        <v>0</v>
      </c>
      <c r="AM1659">
        <v>0</v>
      </c>
      <c r="AN1659" s="78" t="s">
        <v>4640</v>
      </c>
      <c r="AO1659" s="78" t="s">
        <v>4851</v>
      </c>
      <c r="AP1659" t="b">
        <v>0</v>
      </c>
      <c r="AQ1659" s="78" t="s">
        <v>4522</v>
      </c>
      <c r="AR1659" t="s">
        <v>179</v>
      </c>
      <c r="AS1659">
        <v>0</v>
      </c>
      <c r="AT1659">
        <v>0</v>
      </c>
    </row>
    <row r="1660" spans="1:46" x14ac:dyDescent="0.45">
      <c r="A1660" s="62" t="s">
        <v>313</v>
      </c>
      <c r="B1660" s="62" t="s">
        <v>242</v>
      </c>
      <c r="C1660" s="63"/>
      <c r="D1660" s="64"/>
      <c r="E1660" s="65"/>
      <c r="F1660" s="66"/>
      <c r="G1660" s="63"/>
      <c r="H1660" s="67"/>
      <c r="I1660" s="68"/>
      <c r="J1660" s="68"/>
      <c r="K1660" s="32"/>
      <c r="L1660" s="75"/>
      <c r="M1660" s="75"/>
      <c r="N1660" s="70"/>
      <c r="O1660" t="s">
        <v>1567</v>
      </c>
      <c r="P1660" s="76">
        <v>44958.609583333331</v>
      </c>
      <c r="Q1660" t="s">
        <v>1657</v>
      </c>
      <c r="V1660" s="77" t="str">
        <f>HYPERLINK("https://pbs.twimg.com/profile_images/1349506197829738497/OLew8UDG_normal.jpg")</f>
        <v>https://pbs.twimg.com/profile_images/1349506197829738497/OLew8UDG_normal.jpg</v>
      </c>
      <c r="W1660" s="76">
        <v>44958.609583333331</v>
      </c>
      <c r="X1660" s="80">
        <v>44958</v>
      </c>
      <c r="Y1660" s="78" t="s">
        <v>2526</v>
      </c>
      <c r="Z1660" s="77" t="str">
        <f>HYPERLINK("https://twitter.com/damndawrlean/status/1620793545610383360")</f>
        <v>https://twitter.com/damndawrlean/status/1620793545610383360</v>
      </c>
      <c r="AC1660" s="78" t="s">
        <v>3541</v>
      </c>
      <c r="AD1660" s="78" t="s">
        <v>4522</v>
      </c>
      <c r="AE1660" t="b">
        <v>0</v>
      </c>
      <c r="AF1660">
        <v>0</v>
      </c>
      <c r="AG1660" s="78" t="s">
        <v>4639</v>
      </c>
      <c r="AH1660" t="b">
        <v>0</v>
      </c>
      <c r="AI1660" t="s">
        <v>4829</v>
      </c>
      <c r="AK1660" s="78" t="s">
        <v>4640</v>
      </c>
      <c r="AL1660" t="b">
        <v>0</v>
      </c>
      <c r="AM1660">
        <v>0</v>
      </c>
      <c r="AN1660" s="78" t="s">
        <v>4640</v>
      </c>
      <c r="AO1660" s="78" t="s">
        <v>4851</v>
      </c>
      <c r="AP1660" t="b">
        <v>0</v>
      </c>
      <c r="AQ1660" s="78" t="s">
        <v>4522</v>
      </c>
      <c r="AR1660" t="s">
        <v>179</v>
      </c>
      <c r="AS1660">
        <v>0</v>
      </c>
      <c r="AT1660">
        <v>0</v>
      </c>
    </row>
    <row r="1661" spans="1:46" x14ac:dyDescent="0.45">
      <c r="A1661" s="62" t="s">
        <v>316</v>
      </c>
      <c r="B1661" s="62" t="s">
        <v>315</v>
      </c>
      <c r="C1661" s="63"/>
      <c r="D1661" s="64"/>
      <c r="E1661" s="65"/>
      <c r="F1661" s="66"/>
      <c r="G1661" s="63"/>
      <c r="H1661" s="67"/>
      <c r="I1661" s="68"/>
      <c r="J1661" s="68"/>
      <c r="K1661" s="32"/>
      <c r="L1661" s="75"/>
      <c r="M1661" s="75"/>
      <c r="N1661" s="70"/>
      <c r="O1661" t="s">
        <v>1568</v>
      </c>
      <c r="P1661" s="76">
        <v>44958.616793981484</v>
      </c>
      <c r="Q1661" t="s">
        <v>1658</v>
      </c>
      <c r="V1661" s="77" t="str">
        <f>HYPERLINK("https://pbs.twimg.com/profile_images/1620406501893447682/HlwA435L_normal.png")</f>
        <v>https://pbs.twimg.com/profile_images/1620406501893447682/HlwA435L_normal.png</v>
      </c>
      <c r="W1661" s="76">
        <v>44958.616793981484</v>
      </c>
      <c r="X1661" s="80">
        <v>44958</v>
      </c>
      <c r="Y1661" s="78" t="s">
        <v>2529</v>
      </c>
      <c r="Z1661" s="77" t="str">
        <f>HYPERLINK("https://twitter.com/faridajibran/status/1620796157797756928")</f>
        <v>https://twitter.com/faridajibran/status/1620796157797756928</v>
      </c>
      <c r="AC1661" s="78" t="s">
        <v>3544</v>
      </c>
      <c r="AD1661" s="78" t="s">
        <v>4523</v>
      </c>
      <c r="AE1661" t="b">
        <v>0</v>
      </c>
      <c r="AF1661">
        <v>0</v>
      </c>
      <c r="AG1661" s="78" t="s">
        <v>4674</v>
      </c>
      <c r="AH1661" t="b">
        <v>0</v>
      </c>
      <c r="AI1661" t="s">
        <v>4829</v>
      </c>
      <c r="AK1661" s="78" t="s">
        <v>4640</v>
      </c>
      <c r="AL1661" t="b">
        <v>0</v>
      </c>
      <c r="AM1661">
        <v>0</v>
      </c>
      <c r="AN1661" s="78" t="s">
        <v>4640</v>
      </c>
      <c r="AO1661" s="78" t="s">
        <v>4851</v>
      </c>
      <c r="AP1661" t="b">
        <v>0</v>
      </c>
      <c r="AQ1661" s="78" t="s">
        <v>4523</v>
      </c>
      <c r="AR1661" t="s">
        <v>179</v>
      </c>
      <c r="AS1661">
        <v>0</v>
      </c>
      <c r="AT1661">
        <v>0</v>
      </c>
    </row>
    <row r="1662" spans="1:46" x14ac:dyDescent="0.45">
      <c r="A1662" s="62" t="s">
        <v>316</v>
      </c>
      <c r="B1662" s="62" t="s">
        <v>315</v>
      </c>
      <c r="C1662" s="63"/>
      <c r="D1662" s="64"/>
      <c r="E1662" s="65"/>
      <c r="F1662" s="66"/>
      <c r="G1662" s="63"/>
      <c r="H1662" s="67"/>
      <c r="I1662" s="68"/>
      <c r="J1662" s="68"/>
      <c r="K1662" s="32"/>
      <c r="L1662" s="75"/>
      <c r="M1662" s="75"/>
      <c r="N1662" s="70"/>
      <c r="O1662" t="s">
        <v>1568</v>
      </c>
      <c r="P1662" s="76">
        <v>44958.616793981484</v>
      </c>
      <c r="Q1662" t="s">
        <v>1659</v>
      </c>
      <c r="V1662" s="77" t="str">
        <f>HYPERLINK("https://pbs.twimg.com/profile_images/1620406501893447682/HlwA435L_normal.png")</f>
        <v>https://pbs.twimg.com/profile_images/1620406501893447682/HlwA435L_normal.png</v>
      </c>
      <c r="W1662" s="76">
        <v>44958.616793981484</v>
      </c>
      <c r="X1662" s="80">
        <v>44958</v>
      </c>
      <c r="Y1662" s="78" t="s">
        <v>2529</v>
      </c>
      <c r="Z1662" s="77" t="str">
        <f>HYPERLINK("https://twitter.com/faridajibran/status/1620796158728863744")</f>
        <v>https://twitter.com/faridajibran/status/1620796158728863744</v>
      </c>
      <c r="AC1662" s="78" t="s">
        <v>3545</v>
      </c>
      <c r="AD1662" s="78" t="s">
        <v>4524</v>
      </c>
      <c r="AE1662" t="b">
        <v>0</v>
      </c>
      <c r="AF1662">
        <v>0</v>
      </c>
      <c r="AG1662" s="78" t="s">
        <v>4674</v>
      </c>
      <c r="AH1662" t="b">
        <v>0</v>
      </c>
      <c r="AI1662" t="s">
        <v>4829</v>
      </c>
      <c r="AK1662" s="78" t="s">
        <v>4640</v>
      </c>
      <c r="AL1662" t="b">
        <v>0</v>
      </c>
      <c r="AM1662">
        <v>0</v>
      </c>
      <c r="AN1662" s="78" t="s">
        <v>4640</v>
      </c>
      <c r="AO1662" s="78" t="s">
        <v>4851</v>
      </c>
      <c r="AP1662" t="b">
        <v>0</v>
      </c>
      <c r="AQ1662" s="78" t="s">
        <v>4524</v>
      </c>
      <c r="AR1662" t="s">
        <v>179</v>
      </c>
      <c r="AS1662">
        <v>0</v>
      </c>
      <c r="AT1662">
        <v>0</v>
      </c>
    </row>
    <row r="1663" spans="1:46" x14ac:dyDescent="0.45">
      <c r="A1663" s="62" t="s">
        <v>316</v>
      </c>
      <c r="B1663" s="62" t="s">
        <v>1207</v>
      </c>
      <c r="C1663" s="63"/>
      <c r="D1663" s="64"/>
      <c r="E1663" s="65"/>
      <c r="F1663" s="66"/>
      <c r="G1663" s="63"/>
      <c r="H1663" s="67"/>
      <c r="I1663" s="68"/>
      <c r="J1663" s="68"/>
      <c r="K1663" s="32"/>
      <c r="L1663" s="75"/>
      <c r="M1663" s="75"/>
      <c r="N1663" s="70"/>
      <c r="O1663" t="s">
        <v>1568</v>
      </c>
      <c r="P1663" s="76">
        <v>44958.616793981484</v>
      </c>
      <c r="Q1663" t="s">
        <v>1658</v>
      </c>
      <c r="V1663" s="77" t="str">
        <f>HYPERLINK("https://pbs.twimg.com/profile_images/1620406501893447682/HlwA435L_normal.png")</f>
        <v>https://pbs.twimg.com/profile_images/1620406501893447682/HlwA435L_normal.png</v>
      </c>
      <c r="W1663" s="76">
        <v>44958.616793981484</v>
      </c>
      <c r="X1663" s="80">
        <v>44958</v>
      </c>
      <c r="Y1663" s="78" t="s">
        <v>2529</v>
      </c>
      <c r="Z1663" s="77" t="str">
        <f>HYPERLINK("https://twitter.com/faridajibran/status/1620796157797756928")</f>
        <v>https://twitter.com/faridajibran/status/1620796157797756928</v>
      </c>
      <c r="AC1663" s="78" t="s">
        <v>3544</v>
      </c>
      <c r="AD1663" s="78" t="s">
        <v>4523</v>
      </c>
      <c r="AE1663" t="b">
        <v>0</v>
      </c>
      <c r="AF1663">
        <v>0</v>
      </c>
      <c r="AG1663" s="78" t="s">
        <v>4674</v>
      </c>
      <c r="AH1663" t="b">
        <v>0</v>
      </c>
      <c r="AI1663" t="s">
        <v>4829</v>
      </c>
      <c r="AK1663" s="78" t="s">
        <v>4640</v>
      </c>
      <c r="AL1663" t="b">
        <v>0</v>
      </c>
      <c r="AM1663">
        <v>0</v>
      </c>
      <c r="AN1663" s="78" t="s">
        <v>4640</v>
      </c>
      <c r="AO1663" s="78" t="s">
        <v>4851</v>
      </c>
      <c r="AP1663" t="b">
        <v>0</v>
      </c>
      <c r="AQ1663" s="78" t="s">
        <v>4523</v>
      </c>
      <c r="AR1663" t="s">
        <v>179</v>
      </c>
      <c r="AS1663">
        <v>0</v>
      </c>
      <c r="AT1663">
        <v>0</v>
      </c>
    </row>
    <row r="1664" spans="1:46" x14ac:dyDescent="0.45">
      <c r="A1664" s="62" t="s">
        <v>316</v>
      </c>
      <c r="B1664" s="62" t="s">
        <v>1207</v>
      </c>
      <c r="C1664" s="63"/>
      <c r="D1664" s="64"/>
      <c r="E1664" s="65"/>
      <c r="F1664" s="66"/>
      <c r="G1664" s="63"/>
      <c r="H1664" s="67"/>
      <c r="I1664" s="68"/>
      <c r="J1664" s="68"/>
      <c r="K1664" s="32"/>
      <c r="L1664" s="75"/>
      <c r="M1664" s="75"/>
      <c r="N1664" s="70"/>
      <c r="O1664" t="s">
        <v>1568</v>
      </c>
      <c r="P1664" s="76">
        <v>44958.616793981484</v>
      </c>
      <c r="Q1664" t="s">
        <v>1659</v>
      </c>
      <c r="V1664" s="77" t="str">
        <f>HYPERLINK("https://pbs.twimg.com/profile_images/1620406501893447682/HlwA435L_normal.png")</f>
        <v>https://pbs.twimg.com/profile_images/1620406501893447682/HlwA435L_normal.png</v>
      </c>
      <c r="W1664" s="76">
        <v>44958.616793981484</v>
      </c>
      <c r="X1664" s="80">
        <v>44958</v>
      </c>
      <c r="Y1664" s="78" t="s">
        <v>2529</v>
      </c>
      <c r="Z1664" s="77" t="str">
        <f>HYPERLINK("https://twitter.com/faridajibran/status/1620796158728863744")</f>
        <v>https://twitter.com/faridajibran/status/1620796158728863744</v>
      </c>
      <c r="AC1664" s="78" t="s">
        <v>3545</v>
      </c>
      <c r="AD1664" s="78" t="s">
        <v>4524</v>
      </c>
      <c r="AE1664" t="b">
        <v>0</v>
      </c>
      <c r="AF1664">
        <v>0</v>
      </c>
      <c r="AG1664" s="78" t="s">
        <v>4674</v>
      </c>
      <c r="AH1664" t="b">
        <v>0</v>
      </c>
      <c r="AI1664" t="s">
        <v>4829</v>
      </c>
      <c r="AK1664" s="78" t="s">
        <v>4640</v>
      </c>
      <c r="AL1664" t="b">
        <v>0</v>
      </c>
      <c r="AM1664">
        <v>0</v>
      </c>
      <c r="AN1664" s="78" t="s">
        <v>4640</v>
      </c>
      <c r="AO1664" s="78" t="s">
        <v>4851</v>
      </c>
      <c r="AP1664" t="b">
        <v>0</v>
      </c>
      <c r="AQ1664" s="78" t="s">
        <v>4524</v>
      </c>
      <c r="AR1664" t="s">
        <v>179</v>
      </c>
      <c r="AS1664">
        <v>0</v>
      </c>
      <c r="AT1664">
        <v>0</v>
      </c>
    </row>
    <row r="1665" spans="1:46" x14ac:dyDescent="0.45">
      <c r="A1665" s="62" t="s">
        <v>316</v>
      </c>
      <c r="B1665" s="62" t="s">
        <v>1208</v>
      </c>
      <c r="C1665" s="63"/>
      <c r="D1665" s="64"/>
      <c r="E1665" s="65"/>
      <c r="F1665" s="66"/>
      <c r="G1665" s="63"/>
      <c r="H1665" s="67"/>
      <c r="I1665" s="68"/>
      <c r="J1665" s="68"/>
      <c r="K1665" s="32"/>
      <c r="L1665" s="75"/>
      <c r="M1665" s="75"/>
      <c r="N1665" s="70"/>
      <c r="O1665" t="s">
        <v>1567</v>
      </c>
      <c r="P1665" s="76">
        <v>44958.616793981484</v>
      </c>
      <c r="Q1665" t="s">
        <v>1658</v>
      </c>
      <c r="V1665" s="77" t="str">
        <f>HYPERLINK("https://pbs.twimg.com/profile_images/1620406501893447682/HlwA435L_normal.png")</f>
        <v>https://pbs.twimg.com/profile_images/1620406501893447682/HlwA435L_normal.png</v>
      </c>
      <c r="W1665" s="76">
        <v>44958.616793981484</v>
      </c>
      <c r="X1665" s="80">
        <v>44958</v>
      </c>
      <c r="Y1665" s="78" t="s">
        <v>2529</v>
      </c>
      <c r="Z1665" s="77" t="str">
        <f>HYPERLINK("https://twitter.com/faridajibran/status/1620796157797756928")</f>
        <v>https://twitter.com/faridajibran/status/1620796157797756928</v>
      </c>
      <c r="AC1665" s="78" t="s">
        <v>3544</v>
      </c>
      <c r="AD1665" s="78" t="s">
        <v>4523</v>
      </c>
      <c r="AE1665" t="b">
        <v>0</v>
      </c>
      <c r="AF1665">
        <v>0</v>
      </c>
      <c r="AG1665" s="78" t="s">
        <v>4674</v>
      </c>
      <c r="AH1665" t="b">
        <v>0</v>
      </c>
      <c r="AI1665" t="s">
        <v>4829</v>
      </c>
      <c r="AK1665" s="78" t="s">
        <v>4640</v>
      </c>
      <c r="AL1665" t="b">
        <v>0</v>
      </c>
      <c r="AM1665">
        <v>0</v>
      </c>
      <c r="AN1665" s="78" t="s">
        <v>4640</v>
      </c>
      <c r="AO1665" s="78" t="s">
        <v>4851</v>
      </c>
      <c r="AP1665" t="b">
        <v>0</v>
      </c>
      <c r="AQ1665" s="78" t="s">
        <v>4523</v>
      </c>
      <c r="AR1665" t="s">
        <v>179</v>
      </c>
      <c r="AS1665">
        <v>0</v>
      </c>
      <c r="AT1665">
        <v>0</v>
      </c>
    </row>
    <row r="1666" spans="1:46" x14ac:dyDescent="0.45">
      <c r="A1666" s="62" t="s">
        <v>316</v>
      </c>
      <c r="B1666" s="62" t="s">
        <v>1208</v>
      </c>
      <c r="C1666" s="63"/>
      <c r="D1666" s="64"/>
      <c r="E1666" s="65"/>
      <c r="F1666" s="66"/>
      <c r="G1666" s="63"/>
      <c r="H1666" s="67"/>
      <c r="I1666" s="68"/>
      <c r="J1666" s="68"/>
      <c r="K1666" s="32"/>
      <c r="L1666" s="75"/>
      <c r="M1666" s="75"/>
      <c r="N1666" s="70"/>
      <c r="O1666" t="s">
        <v>1567</v>
      </c>
      <c r="P1666" s="76">
        <v>44958.616793981484</v>
      </c>
      <c r="Q1666" t="s">
        <v>1659</v>
      </c>
      <c r="V1666" s="77" t="str">
        <f>HYPERLINK("https://pbs.twimg.com/profile_images/1620406501893447682/HlwA435L_normal.png")</f>
        <v>https://pbs.twimg.com/profile_images/1620406501893447682/HlwA435L_normal.png</v>
      </c>
      <c r="W1666" s="76">
        <v>44958.616793981484</v>
      </c>
      <c r="X1666" s="80">
        <v>44958</v>
      </c>
      <c r="Y1666" s="78" t="s">
        <v>2529</v>
      </c>
      <c r="Z1666" s="77" t="str">
        <f>HYPERLINK("https://twitter.com/faridajibran/status/1620796158728863744")</f>
        <v>https://twitter.com/faridajibran/status/1620796158728863744</v>
      </c>
      <c r="AC1666" s="78" t="s">
        <v>3545</v>
      </c>
      <c r="AD1666" s="78" t="s">
        <v>4524</v>
      </c>
      <c r="AE1666" t="b">
        <v>0</v>
      </c>
      <c r="AF1666">
        <v>0</v>
      </c>
      <c r="AG1666" s="78" t="s">
        <v>4674</v>
      </c>
      <c r="AH1666" t="b">
        <v>0</v>
      </c>
      <c r="AI1666" t="s">
        <v>4829</v>
      </c>
      <c r="AK1666" s="78" t="s">
        <v>4640</v>
      </c>
      <c r="AL1666" t="b">
        <v>0</v>
      </c>
      <c r="AM1666">
        <v>0</v>
      </c>
      <c r="AN1666" s="78" t="s">
        <v>4640</v>
      </c>
      <c r="AO1666" s="78" t="s">
        <v>4851</v>
      </c>
      <c r="AP1666" t="b">
        <v>0</v>
      </c>
      <c r="AQ1666" s="78" t="s">
        <v>4524</v>
      </c>
      <c r="AR1666" t="s">
        <v>179</v>
      </c>
      <c r="AS1666">
        <v>0</v>
      </c>
      <c r="AT1666">
        <v>0</v>
      </c>
    </row>
    <row r="1667" spans="1:46" x14ac:dyDescent="0.45">
      <c r="A1667" s="62" t="s">
        <v>316</v>
      </c>
      <c r="B1667" s="62" t="s">
        <v>242</v>
      </c>
      <c r="C1667" s="63"/>
      <c r="D1667" s="64"/>
      <c r="E1667" s="65"/>
      <c r="F1667" s="66"/>
      <c r="G1667" s="63"/>
      <c r="H1667" s="67"/>
      <c r="I1667" s="68"/>
      <c r="J1667" s="68"/>
      <c r="K1667" s="32"/>
      <c r="L1667" s="75"/>
      <c r="M1667" s="75"/>
      <c r="N1667" s="70"/>
      <c r="O1667" t="s">
        <v>1568</v>
      </c>
      <c r="P1667" s="76">
        <v>44958.616793981484</v>
      </c>
      <c r="Q1667" t="s">
        <v>1658</v>
      </c>
      <c r="V1667" s="77" t="str">
        <f>HYPERLINK("https://pbs.twimg.com/profile_images/1620406501893447682/HlwA435L_normal.png")</f>
        <v>https://pbs.twimg.com/profile_images/1620406501893447682/HlwA435L_normal.png</v>
      </c>
      <c r="W1667" s="76">
        <v>44958.616793981484</v>
      </c>
      <c r="X1667" s="80">
        <v>44958</v>
      </c>
      <c r="Y1667" s="78" t="s">
        <v>2529</v>
      </c>
      <c r="Z1667" s="77" t="str">
        <f>HYPERLINK("https://twitter.com/faridajibran/status/1620796157797756928")</f>
        <v>https://twitter.com/faridajibran/status/1620796157797756928</v>
      </c>
      <c r="AC1667" s="78" t="s">
        <v>3544</v>
      </c>
      <c r="AD1667" s="78" t="s">
        <v>4523</v>
      </c>
      <c r="AE1667" t="b">
        <v>0</v>
      </c>
      <c r="AF1667">
        <v>0</v>
      </c>
      <c r="AG1667" s="78" t="s">
        <v>4674</v>
      </c>
      <c r="AH1667" t="b">
        <v>0</v>
      </c>
      <c r="AI1667" t="s">
        <v>4829</v>
      </c>
      <c r="AK1667" s="78" t="s">
        <v>4640</v>
      </c>
      <c r="AL1667" t="b">
        <v>0</v>
      </c>
      <c r="AM1667">
        <v>0</v>
      </c>
      <c r="AN1667" s="78" t="s">
        <v>4640</v>
      </c>
      <c r="AO1667" s="78" t="s">
        <v>4851</v>
      </c>
      <c r="AP1667" t="b">
        <v>0</v>
      </c>
      <c r="AQ1667" s="78" t="s">
        <v>4523</v>
      </c>
      <c r="AR1667" t="s">
        <v>179</v>
      </c>
      <c r="AS1667">
        <v>0</v>
      </c>
      <c r="AT1667">
        <v>0</v>
      </c>
    </row>
    <row r="1668" spans="1:46" x14ac:dyDescent="0.45">
      <c r="A1668" s="62" t="s">
        <v>316</v>
      </c>
      <c r="B1668" s="62" t="s">
        <v>765</v>
      </c>
      <c r="C1668" s="63"/>
      <c r="D1668" s="64"/>
      <c r="E1668" s="65"/>
      <c r="F1668" s="66"/>
      <c r="G1668" s="63"/>
      <c r="H1668" s="67"/>
      <c r="I1668" s="68"/>
      <c r="J1668" s="68"/>
      <c r="K1668" s="32"/>
      <c r="L1668" s="75"/>
      <c r="M1668" s="75"/>
      <c r="N1668" s="70"/>
      <c r="O1668" t="s">
        <v>1568</v>
      </c>
      <c r="P1668" s="76">
        <v>44958.616793981484</v>
      </c>
      <c r="Q1668" t="s">
        <v>1658</v>
      </c>
      <c r="V1668" s="77" t="str">
        <f>HYPERLINK("https://pbs.twimg.com/profile_images/1620406501893447682/HlwA435L_normal.png")</f>
        <v>https://pbs.twimg.com/profile_images/1620406501893447682/HlwA435L_normal.png</v>
      </c>
      <c r="W1668" s="76">
        <v>44958.616793981484</v>
      </c>
      <c r="X1668" s="80">
        <v>44958</v>
      </c>
      <c r="Y1668" s="78" t="s">
        <v>2529</v>
      </c>
      <c r="Z1668" s="77" t="str">
        <f>HYPERLINK("https://twitter.com/faridajibran/status/1620796157797756928")</f>
        <v>https://twitter.com/faridajibran/status/1620796157797756928</v>
      </c>
      <c r="AC1668" s="78" t="s">
        <v>3544</v>
      </c>
      <c r="AD1668" s="78" t="s">
        <v>4523</v>
      </c>
      <c r="AE1668" t="b">
        <v>0</v>
      </c>
      <c r="AF1668">
        <v>0</v>
      </c>
      <c r="AG1668" s="78" t="s">
        <v>4674</v>
      </c>
      <c r="AH1668" t="b">
        <v>0</v>
      </c>
      <c r="AI1668" t="s">
        <v>4829</v>
      </c>
      <c r="AK1668" s="78" t="s">
        <v>4640</v>
      </c>
      <c r="AL1668" t="b">
        <v>0</v>
      </c>
      <c r="AM1668">
        <v>0</v>
      </c>
      <c r="AN1668" s="78" t="s">
        <v>4640</v>
      </c>
      <c r="AO1668" s="78" t="s">
        <v>4851</v>
      </c>
      <c r="AP1668" t="b">
        <v>0</v>
      </c>
      <c r="AQ1668" s="78" t="s">
        <v>4523</v>
      </c>
      <c r="AR1668" t="s">
        <v>179</v>
      </c>
      <c r="AS1668">
        <v>0</v>
      </c>
      <c r="AT1668">
        <v>0</v>
      </c>
    </row>
    <row r="1669" spans="1:46" x14ac:dyDescent="0.45">
      <c r="A1669" s="62" t="s">
        <v>316</v>
      </c>
      <c r="B1669" s="62" t="s">
        <v>242</v>
      </c>
      <c r="C1669" s="63"/>
      <c r="D1669" s="64"/>
      <c r="E1669" s="65"/>
      <c r="F1669" s="66"/>
      <c r="G1669" s="63"/>
      <c r="H1669" s="67"/>
      <c r="I1669" s="68"/>
      <c r="J1669" s="68"/>
      <c r="K1669" s="32"/>
      <c r="L1669" s="75"/>
      <c r="M1669" s="75"/>
      <c r="N1669" s="70"/>
      <c r="O1669" t="s">
        <v>1568</v>
      </c>
      <c r="P1669" s="76">
        <v>44958.616793981484</v>
      </c>
      <c r="Q1669" t="s">
        <v>1659</v>
      </c>
      <c r="V1669" s="77" t="str">
        <f>HYPERLINK("https://pbs.twimg.com/profile_images/1620406501893447682/HlwA435L_normal.png")</f>
        <v>https://pbs.twimg.com/profile_images/1620406501893447682/HlwA435L_normal.png</v>
      </c>
      <c r="W1669" s="76">
        <v>44958.616793981484</v>
      </c>
      <c r="X1669" s="80">
        <v>44958</v>
      </c>
      <c r="Y1669" s="78" t="s">
        <v>2529</v>
      </c>
      <c r="Z1669" s="77" t="str">
        <f>HYPERLINK("https://twitter.com/faridajibran/status/1620796158728863744")</f>
        <v>https://twitter.com/faridajibran/status/1620796158728863744</v>
      </c>
      <c r="AC1669" s="78" t="s">
        <v>3545</v>
      </c>
      <c r="AD1669" s="78" t="s">
        <v>4524</v>
      </c>
      <c r="AE1669" t="b">
        <v>0</v>
      </c>
      <c r="AF1669">
        <v>0</v>
      </c>
      <c r="AG1669" s="78" t="s">
        <v>4674</v>
      </c>
      <c r="AH1669" t="b">
        <v>0</v>
      </c>
      <c r="AI1669" t="s">
        <v>4829</v>
      </c>
      <c r="AK1669" s="78" t="s">
        <v>4640</v>
      </c>
      <c r="AL1669" t="b">
        <v>0</v>
      </c>
      <c r="AM1669">
        <v>0</v>
      </c>
      <c r="AN1669" s="78" t="s">
        <v>4640</v>
      </c>
      <c r="AO1669" s="78" t="s">
        <v>4851</v>
      </c>
      <c r="AP1669" t="b">
        <v>0</v>
      </c>
      <c r="AQ1669" s="78" t="s">
        <v>4524</v>
      </c>
      <c r="AR1669" t="s">
        <v>179</v>
      </c>
      <c r="AS1669">
        <v>0</v>
      </c>
      <c r="AT1669">
        <v>0</v>
      </c>
    </row>
    <row r="1670" spans="1:46" x14ac:dyDescent="0.45">
      <c r="A1670" s="62" t="s">
        <v>316</v>
      </c>
      <c r="B1670" s="62" t="s">
        <v>765</v>
      </c>
      <c r="C1670" s="63"/>
      <c r="D1670" s="64"/>
      <c r="E1670" s="65"/>
      <c r="F1670" s="66"/>
      <c r="G1670" s="63"/>
      <c r="H1670" s="67"/>
      <c r="I1670" s="68"/>
      <c r="J1670" s="68"/>
      <c r="K1670" s="32"/>
      <c r="L1670" s="75"/>
      <c r="M1670" s="75"/>
      <c r="N1670" s="70"/>
      <c r="O1670" t="s">
        <v>1568</v>
      </c>
      <c r="P1670" s="76">
        <v>44958.616793981484</v>
      </c>
      <c r="Q1670" t="s">
        <v>1659</v>
      </c>
      <c r="V1670" s="77" t="str">
        <f>HYPERLINK("https://pbs.twimg.com/profile_images/1620406501893447682/HlwA435L_normal.png")</f>
        <v>https://pbs.twimg.com/profile_images/1620406501893447682/HlwA435L_normal.png</v>
      </c>
      <c r="W1670" s="76">
        <v>44958.616793981484</v>
      </c>
      <c r="X1670" s="80">
        <v>44958</v>
      </c>
      <c r="Y1670" s="78" t="s">
        <v>2529</v>
      </c>
      <c r="Z1670" s="77" t="str">
        <f>HYPERLINK("https://twitter.com/faridajibran/status/1620796158728863744")</f>
        <v>https://twitter.com/faridajibran/status/1620796158728863744</v>
      </c>
      <c r="AC1670" s="78" t="s">
        <v>3545</v>
      </c>
      <c r="AD1670" s="78" t="s">
        <v>4524</v>
      </c>
      <c r="AE1670" t="b">
        <v>0</v>
      </c>
      <c r="AF1670">
        <v>0</v>
      </c>
      <c r="AG1670" s="78" t="s">
        <v>4674</v>
      </c>
      <c r="AH1670" t="b">
        <v>0</v>
      </c>
      <c r="AI1670" t="s">
        <v>4829</v>
      </c>
      <c r="AK1670" s="78" t="s">
        <v>4640</v>
      </c>
      <c r="AL1670" t="b">
        <v>0</v>
      </c>
      <c r="AM1670">
        <v>0</v>
      </c>
      <c r="AN1670" s="78" t="s">
        <v>4640</v>
      </c>
      <c r="AO1670" s="78" t="s">
        <v>4851</v>
      </c>
      <c r="AP1670" t="b">
        <v>0</v>
      </c>
      <c r="AQ1670" s="78" t="s">
        <v>4524</v>
      </c>
      <c r="AR1670" t="s">
        <v>179</v>
      </c>
      <c r="AS1670">
        <v>0</v>
      </c>
      <c r="AT1670">
        <v>0</v>
      </c>
    </row>
    <row r="1671" spans="1:46" x14ac:dyDescent="0.45">
      <c r="A1671" s="62" t="s">
        <v>320</v>
      </c>
      <c r="B1671" s="62" t="s">
        <v>242</v>
      </c>
      <c r="C1671" s="63"/>
      <c r="D1671" s="64"/>
      <c r="E1671" s="65"/>
      <c r="F1671" s="66"/>
      <c r="G1671" s="63"/>
      <c r="H1671" s="67"/>
      <c r="I1671" s="68"/>
      <c r="J1671" s="68"/>
      <c r="K1671" s="32"/>
      <c r="L1671" s="75"/>
      <c r="M1671" s="75"/>
      <c r="N1671" s="70"/>
      <c r="O1671" t="s">
        <v>1567</v>
      </c>
      <c r="P1671" s="76">
        <v>44958.62940972222</v>
      </c>
      <c r="Q1671" t="s">
        <v>1664</v>
      </c>
      <c r="U1671" s="77" t="str">
        <f>HYPERLINK("https://pbs.twimg.com/media/Fn49rApXEAEREBL.jpg")</f>
        <v>https://pbs.twimg.com/media/Fn49rApXEAEREBL.jpg</v>
      </c>
      <c r="V1671" s="77" t="str">
        <f>HYPERLINK("https://pbs.twimg.com/media/Fn49rApXEAEREBL.jpg")</f>
        <v>https://pbs.twimg.com/media/Fn49rApXEAEREBL.jpg</v>
      </c>
      <c r="W1671" s="76">
        <v>44958.62940972222</v>
      </c>
      <c r="X1671" s="80">
        <v>44958</v>
      </c>
      <c r="Y1671" s="78" t="s">
        <v>2534</v>
      </c>
      <c r="Z1671" s="77" t="str">
        <f>HYPERLINK("https://twitter.com/flossin_eth/status/1620800727366127618")</f>
        <v>https://twitter.com/flossin_eth/status/1620800727366127618</v>
      </c>
      <c r="AC1671" s="78" t="s">
        <v>3550</v>
      </c>
      <c r="AD1671" s="78" t="s">
        <v>4526</v>
      </c>
      <c r="AE1671" t="b">
        <v>0</v>
      </c>
      <c r="AF1671">
        <v>0</v>
      </c>
      <c r="AG1671" s="78" t="s">
        <v>4676</v>
      </c>
      <c r="AH1671" t="b">
        <v>0</v>
      </c>
      <c r="AI1671" t="s">
        <v>4829</v>
      </c>
      <c r="AK1671" s="78" t="s">
        <v>4640</v>
      </c>
      <c r="AL1671" t="b">
        <v>0</v>
      </c>
      <c r="AM1671">
        <v>0</v>
      </c>
      <c r="AN1671" s="78" t="s">
        <v>4640</v>
      </c>
      <c r="AO1671" s="78" t="s">
        <v>4849</v>
      </c>
      <c r="AP1671" t="b">
        <v>0</v>
      </c>
      <c r="AQ1671" s="78" t="s">
        <v>4526</v>
      </c>
      <c r="AR1671" t="s">
        <v>179</v>
      </c>
      <c r="AS1671">
        <v>0</v>
      </c>
      <c r="AT1671">
        <v>0</v>
      </c>
    </row>
    <row r="1672" spans="1:46" x14ac:dyDescent="0.45">
      <c r="A1672" s="62" t="s">
        <v>322</v>
      </c>
      <c r="B1672" s="62" t="s">
        <v>242</v>
      </c>
      <c r="C1672" s="63"/>
      <c r="D1672" s="64"/>
      <c r="E1672" s="65"/>
      <c r="F1672" s="66"/>
      <c r="G1672" s="63"/>
      <c r="H1672" s="67"/>
      <c r="I1672" s="68"/>
      <c r="J1672" s="68"/>
      <c r="K1672" s="32"/>
      <c r="L1672" s="75"/>
      <c r="M1672" s="75"/>
      <c r="N1672" s="70"/>
      <c r="O1672" t="s">
        <v>1567</v>
      </c>
      <c r="P1672" s="76">
        <v>44958.632199074076</v>
      </c>
      <c r="Q1672" t="s">
        <v>1667</v>
      </c>
      <c r="U1672" s="77" t="str">
        <f>HYPERLINK("https://pbs.twimg.com/media/Fn4-lqPX0AUC3qr.jpg")</f>
        <v>https://pbs.twimg.com/media/Fn4-lqPX0AUC3qr.jpg</v>
      </c>
      <c r="V1672" s="77" t="str">
        <f>HYPERLINK("https://pbs.twimg.com/media/Fn4-lqPX0AUC3qr.jpg")</f>
        <v>https://pbs.twimg.com/media/Fn4-lqPX0AUC3qr.jpg</v>
      </c>
      <c r="W1672" s="76">
        <v>44958.632199074076</v>
      </c>
      <c r="X1672" s="80">
        <v>44958</v>
      </c>
      <c r="Y1672" s="78" t="s">
        <v>2537</v>
      </c>
      <c r="Z1672" s="77" t="str">
        <f>HYPERLINK("https://twitter.com/suppjules/status/1620801738315034624")</f>
        <v>https://twitter.com/suppjules/status/1620801738315034624</v>
      </c>
      <c r="AC1672" s="78" t="s">
        <v>3553</v>
      </c>
      <c r="AE1672" t="b">
        <v>0</v>
      </c>
      <c r="AF1672">
        <v>0</v>
      </c>
      <c r="AG1672" s="78" t="s">
        <v>4639</v>
      </c>
      <c r="AH1672" t="b">
        <v>0</v>
      </c>
      <c r="AI1672" t="s">
        <v>4829</v>
      </c>
      <c r="AK1672" s="78" t="s">
        <v>4640</v>
      </c>
      <c r="AL1672" t="b">
        <v>0</v>
      </c>
      <c r="AM1672">
        <v>0</v>
      </c>
      <c r="AN1672" s="78" t="s">
        <v>4640</v>
      </c>
      <c r="AO1672" s="78" t="s">
        <v>4850</v>
      </c>
      <c r="AP1672" t="b">
        <v>0</v>
      </c>
      <c r="AQ1672" s="78" t="s">
        <v>3553</v>
      </c>
      <c r="AR1672" t="s">
        <v>179</v>
      </c>
      <c r="AS1672">
        <v>0</v>
      </c>
      <c r="AT1672">
        <v>0</v>
      </c>
    </row>
    <row r="1673" spans="1:46" x14ac:dyDescent="0.45">
      <c r="A1673" s="62" t="s">
        <v>323</v>
      </c>
      <c r="B1673" s="62" t="s">
        <v>1211</v>
      </c>
      <c r="C1673" s="63"/>
      <c r="D1673" s="64"/>
      <c r="E1673" s="65"/>
      <c r="F1673" s="66"/>
      <c r="G1673" s="63"/>
      <c r="H1673" s="67"/>
      <c r="I1673" s="68"/>
      <c r="J1673" s="68"/>
      <c r="K1673" s="32"/>
      <c r="L1673" s="75"/>
      <c r="M1673" s="75"/>
      <c r="N1673" s="70"/>
      <c r="O1673" t="s">
        <v>1568</v>
      </c>
      <c r="P1673" s="76">
        <v>44958.633321759262</v>
      </c>
      <c r="Q1673" t="s">
        <v>1668</v>
      </c>
      <c r="U1673" s="77" t="str">
        <f>HYPERLINK("https://pbs.twimg.com/media/Fn4-9dHX0AU0VJ1.jpg")</f>
        <v>https://pbs.twimg.com/media/Fn4-9dHX0AU0VJ1.jpg</v>
      </c>
      <c r="V1673" s="77" t="str">
        <f>HYPERLINK("https://pbs.twimg.com/media/Fn4-9dHX0AU0VJ1.jpg")</f>
        <v>https://pbs.twimg.com/media/Fn4-9dHX0AU0VJ1.jpg</v>
      </c>
      <c r="W1673" s="76">
        <v>44958.633321759262</v>
      </c>
      <c r="X1673" s="80">
        <v>44958</v>
      </c>
      <c r="Y1673" s="78" t="s">
        <v>2538</v>
      </c>
      <c r="Z1673" s="77" t="str">
        <f>HYPERLINK("https://twitter.com/jordimariec/status/1620802145506455554")</f>
        <v>https://twitter.com/jordimariec/status/1620802145506455554</v>
      </c>
      <c r="AC1673" s="78" t="s">
        <v>3554</v>
      </c>
      <c r="AE1673" t="b">
        <v>0</v>
      </c>
      <c r="AF1673">
        <v>0</v>
      </c>
      <c r="AG1673" s="78" t="s">
        <v>4639</v>
      </c>
      <c r="AH1673" t="b">
        <v>0</v>
      </c>
      <c r="AI1673" t="s">
        <v>4829</v>
      </c>
      <c r="AK1673" s="78" t="s">
        <v>4640</v>
      </c>
      <c r="AL1673" t="b">
        <v>0</v>
      </c>
      <c r="AM1673">
        <v>0</v>
      </c>
      <c r="AN1673" s="78" t="s">
        <v>4640</v>
      </c>
      <c r="AO1673" s="78" t="s">
        <v>4849</v>
      </c>
      <c r="AP1673" t="b">
        <v>0</v>
      </c>
      <c r="AQ1673" s="78" t="s">
        <v>3554</v>
      </c>
      <c r="AR1673" t="s">
        <v>179</v>
      </c>
      <c r="AS1673">
        <v>0</v>
      </c>
      <c r="AT1673">
        <v>0</v>
      </c>
    </row>
    <row r="1674" spans="1:46" x14ac:dyDescent="0.45">
      <c r="A1674" s="62" t="s">
        <v>323</v>
      </c>
      <c r="B1674" s="62" t="s">
        <v>242</v>
      </c>
      <c r="C1674" s="63"/>
      <c r="D1674" s="64"/>
      <c r="E1674" s="65"/>
      <c r="F1674" s="66"/>
      <c r="G1674" s="63"/>
      <c r="H1674" s="67"/>
      <c r="I1674" s="68"/>
      <c r="J1674" s="68"/>
      <c r="K1674" s="32"/>
      <c r="L1674" s="75"/>
      <c r="M1674" s="75"/>
      <c r="N1674" s="70"/>
      <c r="O1674" t="s">
        <v>1567</v>
      </c>
      <c r="P1674" s="76">
        <v>44958.633321759262</v>
      </c>
      <c r="Q1674" t="s">
        <v>1668</v>
      </c>
      <c r="U1674" s="77" t="str">
        <f>HYPERLINK("https://pbs.twimg.com/media/Fn4-9dHX0AU0VJ1.jpg")</f>
        <v>https://pbs.twimg.com/media/Fn4-9dHX0AU0VJ1.jpg</v>
      </c>
      <c r="V1674" s="77" t="str">
        <f>HYPERLINK("https://pbs.twimg.com/media/Fn4-9dHX0AU0VJ1.jpg")</f>
        <v>https://pbs.twimg.com/media/Fn4-9dHX0AU0VJ1.jpg</v>
      </c>
      <c r="W1674" s="76">
        <v>44958.633321759262</v>
      </c>
      <c r="X1674" s="80">
        <v>44958</v>
      </c>
      <c r="Y1674" s="78" t="s">
        <v>2538</v>
      </c>
      <c r="Z1674" s="77" t="str">
        <f>HYPERLINK("https://twitter.com/jordimariec/status/1620802145506455554")</f>
        <v>https://twitter.com/jordimariec/status/1620802145506455554</v>
      </c>
      <c r="AC1674" s="78" t="s">
        <v>3554</v>
      </c>
      <c r="AE1674" t="b">
        <v>0</v>
      </c>
      <c r="AF1674">
        <v>0</v>
      </c>
      <c r="AG1674" s="78" t="s">
        <v>4639</v>
      </c>
      <c r="AH1674" t="b">
        <v>0</v>
      </c>
      <c r="AI1674" t="s">
        <v>4829</v>
      </c>
      <c r="AK1674" s="78" t="s">
        <v>4640</v>
      </c>
      <c r="AL1674" t="b">
        <v>0</v>
      </c>
      <c r="AM1674">
        <v>0</v>
      </c>
      <c r="AN1674" s="78" t="s">
        <v>4640</v>
      </c>
      <c r="AO1674" s="78" t="s">
        <v>4849</v>
      </c>
      <c r="AP1674" t="b">
        <v>0</v>
      </c>
      <c r="AQ1674" s="78" t="s">
        <v>3554</v>
      </c>
      <c r="AR1674" t="s">
        <v>179</v>
      </c>
      <c r="AS1674">
        <v>0</v>
      </c>
      <c r="AT1674">
        <v>0</v>
      </c>
    </row>
    <row r="1675" spans="1:46" x14ac:dyDescent="0.45">
      <c r="A1675" s="62" t="s">
        <v>324</v>
      </c>
      <c r="B1675" s="62" t="s">
        <v>1212</v>
      </c>
      <c r="C1675" s="63"/>
      <c r="D1675" s="64"/>
      <c r="E1675" s="65"/>
      <c r="F1675" s="66"/>
      <c r="G1675" s="63"/>
      <c r="H1675" s="67"/>
      <c r="I1675" s="68"/>
      <c r="J1675" s="68"/>
      <c r="K1675" s="32"/>
      <c r="L1675" s="75"/>
      <c r="M1675" s="75"/>
      <c r="N1675" s="70"/>
      <c r="O1675" t="s">
        <v>1567</v>
      </c>
      <c r="P1675" s="76">
        <v>44958.633321759262</v>
      </c>
      <c r="Q1675" t="s">
        <v>1669</v>
      </c>
      <c r="U1675" s="77" t="str">
        <f>HYPERLINK("https://pbs.twimg.com/media/Fn4-47dXoAEiVSf.jpg")</f>
        <v>https://pbs.twimg.com/media/Fn4-47dXoAEiVSf.jpg</v>
      </c>
      <c r="V1675" s="77" t="str">
        <f>HYPERLINK("https://pbs.twimg.com/media/Fn4-47dXoAEiVSf.jpg")</f>
        <v>https://pbs.twimg.com/media/Fn4-47dXoAEiVSf.jpg</v>
      </c>
      <c r="W1675" s="76">
        <v>44958.633321759262</v>
      </c>
      <c r="X1675" s="80">
        <v>44958</v>
      </c>
      <c r="Y1675" s="78" t="s">
        <v>2538</v>
      </c>
      <c r="Z1675" s="77" t="str">
        <f>HYPERLINK("https://twitter.com/mrmrsbatwonder/status/1620802146215272448")</f>
        <v>https://twitter.com/mrmrsbatwonder/status/1620802146215272448</v>
      </c>
      <c r="AC1675" s="78" t="s">
        <v>3555</v>
      </c>
      <c r="AE1675" t="b">
        <v>0</v>
      </c>
      <c r="AF1675">
        <v>0</v>
      </c>
      <c r="AG1675" s="78" t="s">
        <v>4677</v>
      </c>
      <c r="AH1675" t="b">
        <v>0</v>
      </c>
      <c r="AI1675" t="s">
        <v>4829</v>
      </c>
      <c r="AK1675" s="78" t="s">
        <v>4640</v>
      </c>
      <c r="AL1675" t="b">
        <v>0</v>
      </c>
      <c r="AM1675">
        <v>0</v>
      </c>
      <c r="AN1675" s="78" t="s">
        <v>4640</v>
      </c>
      <c r="AO1675" s="78" t="s">
        <v>4849</v>
      </c>
      <c r="AP1675" t="b">
        <v>0</v>
      </c>
      <c r="AQ1675" s="78" t="s">
        <v>3555</v>
      </c>
      <c r="AR1675" t="s">
        <v>179</v>
      </c>
      <c r="AS1675">
        <v>0</v>
      </c>
      <c r="AT1675">
        <v>0</v>
      </c>
    </row>
    <row r="1676" spans="1:46" x14ac:dyDescent="0.45">
      <c r="A1676" s="62" t="s">
        <v>324</v>
      </c>
      <c r="B1676" s="62" t="s">
        <v>242</v>
      </c>
      <c r="C1676" s="63"/>
      <c r="D1676" s="64"/>
      <c r="E1676" s="65"/>
      <c r="F1676" s="66"/>
      <c r="G1676" s="63"/>
      <c r="H1676" s="67"/>
      <c r="I1676" s="68"/>
      <c r="J1676" s="68"/>
      <c r="K1676" s="32"/>
      <c r="L1676" s="75"/>
      <c r="M1676" s="75"/>
      <c r="N1676" s="70"/>
      <c r="O1676" t="s">
        <v>1568</v>
      </c>
      <c r="P1676" s="76">
        <v>44958.633321759262</v>
      </c>
      <c r="Q1676" t="s">
        <v>1669</v>
      </c>
      <c r="U1676" s="77" t="str">
        <f>HYPERLINK("https://pbs.twimg.com/media/Fn4-47dXoAEiVSf.jpg")</f>
        <v>https://pbs.twimg.com/media/Fn4-47dXoAEiVSf.jpg</v>
      </c>
      <c r="V1676" s="77" t="str">
        <f>HYPERLINK("https://pbs.twimg.com/media/Fn4-47dXoAEiVSf.jpg")</f>
        <v>https://pbs.twimg.com/media/Fn4-47dXoAEiVSf.jpg</v>
      </c>
      <c r="W1676" s="76">
        <v>44958.633321759262</v>
      </c>
      <c r="X1676" s="80">
        <v>44958</v>
      </c>
      <c r="Y1676" s="78" t="s">
        <v>2538</v>
      </c>
      <c r="Z1676" s="77" t="str">
        <f>HYPERLINK("https://twitter.com/mrmrsbatwonder/status/1620802146215272448")</f>
        <v>https://twitter.com/mrmrsbatwonder/status/1620802146215272448</v>
      </c>
      <c r="AC1676" s="78" t="s">
        <v>3555</v>
      </c>
      <c r="AE1676" t="b">
        <v>0</v>
      </c>
      <c r="AF1676">
        <v>0</v>
      </c>
      <c r="AG1676" s="78" t="s">
        <v>4677</v>
      </c>
      <c r="AH1676" t="b">
        <v>0</v>
      </c>
      <c r="AI1676" t="s">
        <v>4829</v>
      </c>
      <c r="AK1676" s="78" t="s">
        <v>4640</v>
      </c>
      <c r="AL1676" t="b">
        <v>0</v>
      </c>
      <c r="AM1676">
        <v>0</v>
      </c>
      <c r="AN1676" s="78" t="s">
        <v>4640</v>
      </c>
      <c r="AO1676" s="78" t="s">
        <v>4849</v>
      </c>
      <c r="AP1676" t="b">
        <v>0</v>
      </c>
      <c r="AQ1676" s="78" t="s">
        <v>3555</v>
      </c>
      <c r="AR1676" t="s">
        <v>179</v>
      </c>
      <c r="AS1676">
        <v>0</v>
      </c>
      <c r="AT1676">
        <v>0</v>
      </c>
    </row>
    <row r="1677" spans="1:46" x14ac:dyDescent="0.45">
      <c r="A1677" s="62" t="s">
        <v>325</v>
      </c>
      <c r="B1677" s="62" t="s">
        <v>1111</v>
      </c>
      <c r="C1677" s="63"/>
      <c r="D1677" s="64"/>
      <c r="E1677" s="65"/>
      <c r="F1677" s="66"/>
      <c r="G1677" s="63"/>
      <c r="H1677" s="67"/>
      <c r="I1677" s="68"/>
      <c r="J1677" s="68"/>
      <c r="K1677" s="32"/>
      <c r="L1677" s="75"/>
      <c r="M1677" s="75"/>
      <c r="N1677" s="70"/>
      <c r="O1677" t="s">
        <v>1568</v>
      </c>
      <c r="P1677" s="76">
        <v>44956.182881944442</v>
      </c>
      <c r="Q1677" t="s">
        <v>1670</v>
      </c>
      <c r="V1677" s="77" t="str">
        <f>HYPERLINK("https://pbs.twimg.com/profile_images/1184490613619617794/jzOLn7rQ_normal.jpg")</f>
        <v>https://pbs.twimg.com/profile_images/1184490613619617794/jzOLn7rQ_normal.jpg</v>
      </c>
      <c r="W1677" s="76">
        <v>44956.182881944442</v>
      </c>
      <c r="X1677" s="80">
        <v>44956</v>
      </c>
      <c r="Y1677" s="78" t="s">
        <v>2539</v>
      </c>
      <c r="Z1677" s="77" t="str">
        <f>HYPERLINK("https://twitter.com/kr__rajesh/status/1619914135441113090")</f>
        <v>https://twitter.com/kr__rajesh/status/1619914135441113090</v>
      </c>
      <c r="AC1677" s="78" t="s">
        <v>3556</v>
      </c>
      <c r="AD1677" s="78" t="s">
        <v>4527</v>
      </c>
      <c r="AE1677" t="b">
        <v>0</v>
      </c>
      <c r="AF1677">
        <v>0</v>
      </c>
      <c r="AG1677" s="78" t="s">
        <v>4678</v>
      </c>
      <c r="AH1677" t="b">
        <v>0</v>
      </c>
      <c r="AI1677" t="s">
        <v>4829</v>
      </c>
      <c r="AK1677" s="78" t="s">
        <v>4640</v>
      </c>
      <c r="AL1677" t="b">
        <v>0</v>
      </c>
      <c r="AM1677">
        <v>1</v>
      </c>
      <c r="AN1677" s="78" t="s">
        <v>4640</v>
      </c>
      <c r="AO1677" s="78" t="s">
        <v>4850</v>
      </c>
      <c r="AP1677" t="b">
        <v>0</v>
      </c>
      <c r="AQ1677" s="78" t="s">
        <v>4527</v>
      </c>
      <c r="AR1677" t="s">
        <v>1569</v>
      </c>
      <c r="AS1677">
        <v>0</v>
      </c>
      <c r="AT1677">
        <v>0</v>
      </c>
    </row>
    <row r="1678" spans="1:46" x14ac:dyDescent="0.45">
      <c r="A1678" s="62" t="s">
        <v>325</v>
      </c>
      <c r="B1678" s="62" t="s">
        <v>242</v>
      </c>
      <c r="C1678" s="63"/>
      <c r="D1678" s="64"/>
      <c r="E1678" s="65"/>
      <c r="F1678" s="66"/>
      <c r="G1678" s="63"/>
      <c r="H1678" s="67"/>
      <c r="I1678" s="68"/>
      <c r="J1678" s="68"/>
      <c r="K1678" s="32"/>
      <c r="L1678" s="75"/>
      <c r="M1678" s="75"/>
      <c r="N1678" s="70"/>
      <c r="O1678" t="s">
        <v>1568</v>
      </c>
      <c r="P1678" s="76">
        <v>44956.182881944442</v>
      </c>
      <c r="Q1678" t="s">
        <v>1670</v>
      </c>
      <c r="V1678" s="77" t="str">
        <f>HYPERLINK("https://pbs.twimg.com/profile_images/1184490613619617794/jzOLn7rQ_normal.jpg")</f>
        <v>https://pbs.twimg.com/profile_images/1184490613619617794/jzOLn7rQ_normal.jpg</v>
      </c>
      <c r="W1678" s="76">
        <v>44956.182881944442</v>
      </c>
      <c r="X1678" s="80">
        <v>44956</v>
      </c>
      <c r="Y1678" s="78" t="s">
        <v>2539</v>
      </c>
      <c r="Z1678" s="77" t="str">
        <f>HYPERLINK("https://twitter.com/kr__rajesh/status/1619914135441113090")</f>
        <v>https://twitter.com/kr__rajesh/status/1619914135441113090</v>
      </c>
      <c r="AC1678" s="78" t="s">
        <v>3556</v>
      </c>
      <c r="AD1678" s="78" t="s">
        <v>4527</v>
      </c>
      <c r="AE1678" t="b">
        <v>0</v>
      </c>
      <c r="AF1678">
        <v>0</v>
      </c>
      <c r="AG1678" s="78" t="s">
        <v>4678</v>
      </c>
      <c r="AH1678" t="b">
        <v>0</v>
      </c>
      <c r="AI1678" t="s">
        <v>4829</v>
      </c>
      <c r="AK1678" s="78" t="s">
        <v>4640</v>
      </c>
      <c r="AL1678" t="b">
        <v>0</v>
      </c>
      <c r="AM1678">
        <v>1</v>
      </c>
      <c r="AN1678" s="78" t="s">
        <v>4640</v>
      </c>
      <c r="AO1678" s="78" t="s">
        <v>4850</v>
      </c>
      <c r="AP1678" t="b">
        <v>0</v>
      </c>
      <c r="AQ1678" s="78" t="s">
        <v>4527</v>
      </c>
      <c r="AR1678" t="s">
        <v>1569</v>
      </c>
      <c r="AS1678">
        <v>0</v>
      </c>
      <c r="AT1678">
        <v>0</v>
      </c>
    </row>
    <row r="1679" spans="1:46" x14ac:dyDescent="0.45">
      <c r="A1679" s="62" t="s">
        <v>325</v>
      </c>
      <c r="B1679" s="62" t="s">
        <v>1110</v>
      </c>
      <c r="C1679" s="63"/>
      <c r="D1679" s="64"/>
      <c r="E1679" s="65"/>
      <c r="F1679" s="66"/>
      <c r="G1679" s="63"/>
      <c r="H1679" s="67"/>
      <c r="I1679" s="68"/>
      <c r="J1679" s="68"/>
      <c r="K1679" s="32"/>
      <c r="L1679" s="75"/>
      <c r="M1679" s="75"/>
      <c r="N1679" s="70"/>
      <c r="O1679" t="s">
        <v>1568</v>
      </c>
      <c r="P1679" s="76">
        <v>44956.182881944442</v>
      </c>
      <c r="Q1679" t="s">
        <v>1670</v>
      </c>
      <c r="V1679" s="77" t="str">
        <f>HYPERLINK("https://pbs.twimg.com/profile_images/1184490613619617794/jzOLn7rQ_normal.jpg")</f>
        <v>https://pbs.twimg.com/profile_images/1184490613619617794/jzOLn7rQ_normal.jpg</v>
      </c>
      <c r="W1679" s="76">
        <v>44956.182881944442</v>
      </c>
      <c r="X1679" s="80">
        <v>44956</v>
      </c>
      <c r="Y1679" s="78" t="s">
        <v>2539</v>
      </c>
      <c r="Z1679" s="77" t="str">
        <f>HYPERLINK("https://twitter.com/kr__rajesh/status/1619914135441113090")</f>
        <v>https://twitter.com/kr__rajesh/status/1619914135441113090</v>
      </c>
      <c r="AC1679" s="78" t="s">
        <v>3556</v>
      </c>
      <c r="AD1679" s="78" t="s">
        <v>4527</v>
      </c>
      <c r="AE1679" t="b">
        <v>0</v>
      </c>
      <c r="AF1679">
        <v>0</v>
      </c>
      <c r="AG1679" s="78" t="s">
        <v>4678</v>
      </c>
      <c r="AH1679" t="b">
        <v>0</v>
      </c>
      <c r="AI1679" t="s">
        <v>4829</v>
      </c>
      <c r="AK1679" s="78" t="s">
        <v>4640</v>
      </c>
      <c r="AL1679" t="b">
        <v>0</v>
      </c>
      <c r="AM1679">
        <v>1</v>
      </c>
      <c r="AN1679" s="78" t="s">
        <v>4640</v>
      </c>
      <c r="AO1679" s="78" t="s">
        <v>4850</v>
      </c>
      <c r="AP1679" t="b">
        <v>0</v>
      </c>
      <c r="AQ1679" s="78" t="s">
        <v>4527</v>
      </c>
      <c r="AR1679" t="s">
        <v>1569</v>
      </c>
      <c r="AS1679">
        <v>0</v>
      </c>
      <c r="AT1679">
        <v>0</v>
      </c>
    </row>
    <row r="1680" spans="1:46" x14ac:dyDescent="0.45">
      <c r="A1680" s="62" t="s">
        <v>325</v>
      </c>
      <c r="B1680" s="62" t="s">
        <v>1109</v>
      </c>
      <c r="C1680" s="63"/>
      <c r="D1680" s="64"/>
      <c r="E1680" s="65"/>
      <c r="F1680" s="66"/>
      <c r="G1680" s="63"/>
      <c r="H1680" s="67"/>
      <c r="I1680" s="68"/>
      <c r="J1680" s="68"/>
      <c r="K1680" s="32"/>
      <c r="L1680" s="75"/>
      <c r="M1680" s="75"/>
      <c r="N1680" s="70"/>
      <c r="O1680" t="s">
        <v>1567</v>
      </c>
      <c r="P1680" s="76">
        <v>44956.182881944442</v>
      </c>
      <c r="Q1680" t="s">
        <v>1670</v>
      </c>
      <c r="V1680" s="77" t="str">
        <f>HYPERLINK("https://pbs.twimg.com/profile_images/1184490613619617794/jzOLn7rQ_normal.jpg")</f>
        <v>https://pbs.twimg.com/profile_images/1184490613619617794/jzOLn7rQ_normal.jpg</v>
      </c>
      <c r="W1680" s="76">
        <v>44956.182881944442</v>
      </c>
      <c r="X1680" s="80">
        <v>44956</v>
      </c>
      <c r="Y1680" s="78" t="s">
        <v>2539</v>
      </c>
      <c r="Z1680" s="77" t="str">
        <f>HYPERLINK("https://twitter.com/kr__rajesh/status/1619914135441113090")</f>
        <v>https://twitter.com/kr__rajesh/status/1619914135441113090</v>
      </c>
      <c r="AC1680" s="78" t="s">
        <v>3556</v>
      </c>
      <c r="AD1680" s="78" t="s">
        <v>4527</v>
      </c>
      <c r="AE1680" t="b">
        <v>0</v>
      </c>
      <c r="AF1680">
        <v>0</v>
      </c>
      <c r="AG1680" s="78" t="s">
        <v>4678</v>
      </c>
      <c r="AH1680" t="b">
        <v>0</v>
      </c>
      <c r="AI1680" t="s">
        <v>4829</v>
      </c>
      <c r="AK1680" s="78" t="s">
        <v>4640</v>
      </c>
      <c r="AL1680" t="b">
        <v>0</v>
      </c>
      <c r="AM1680">
        <v>1</v>
      </c>
      <c r="AN1680" s="78" t="s">
        <v>4640</v>
      </c>
      <c r="AO1680" s="78" t="s">
        <v>4850</v>
      </c>
      <c r="AP1680" t="b">
        <v>0</v>
      </c>
      <c r="AQ1680" s="78" t="s">
        <v>4527</v>
      </c>
      <c r="AR1680" t="s">
        <v>1569</v>
      </c>
      <c r="AS1680">
        <v>0</v>
      </c>
      <c r="AT1680">
        <v>0</v>
      </c>
    </row>
    <row r="1681" spans="1:46" x14ac:dyDescent="0.45">
      <c r="A1681" s="62" t="s">
        <v>325</v>
      </c>
      <c r="B1681" s="62" t="s">
        <v>1111</v>
      </c>
      <c r="C1681" s="63"/>
      <c r="D1681" s="64"/>
      <c r="E1681" s="65"/>
      <c r="F1681" s="66"/>
      <c r="G1681" s="63"/>
      <c r="H1681" s="67"/>
      <c r="I1681" s="68"/>
      <c r="J1681" s="68"/>
      <c r="K1681" s="32"/>
      <c r="L1681" s="75"/>
      <c r="M1681" s="75"/>
      <c r="N1681" s="70"/>
      <c r="O1681" t="s">
        <v>1570</v>
      </c>
      <c r="P1681" s="76">
        <v>44958.633333333331</v>
      </c>
      <c r="Q1681" t="s">
        <v>1670</v>
      </c>
      <c r="V1681" s="77" t="str">
        <f>HYPERLINK("https://pbs.twimg.com/profile_images/1184490613619617794/jzOLn7rQ_normal.jpg")</f>
        <v>https://pbs.twimg.com/profile_images/1184490613619617794/jzOLn7rQ_normal.jpg</v>
      </c>
      <c r="W1681" s="76">
        <v>44958.633333333331</v>
      </c>
      <c r="X1681" s="80">
        <v>44958</v>
      </c>
      <c r="Y1681" s="78" t="s">
        <v>2540</v>
      </c>
      <c r="Z1681" s="77" t="str">
        <f>HYPERLINK("https://twitter.com/kr__rajesh/status/1620802150095020032")</f>
        <v>https://twitter.com/kr__rajesh/status/1620802150095020032</v>
      </c>
      <c r="AC1681" s="78" t="s">
        <v>3557</v>
      </c>
      <c r="AE1681" t="b">
        <v>0</v>
      </c>
      <c r="AF1681">
        <v>0</v>
      </c>
      <c r="AG1681" s="78" t="s">
        <v>4640</v>
      </c>
      <c r="AH1681" t="b">
        <v>0</v>
      </c>
      <c r="AI1681" t="s">
        <v>4829</v>
      </c>
      <c r="AK1681" s="78" t="s">
        <v>4640</v>
      </c>
      <c r="AL1681" t="b">
        <v>0</v>
      </c>
      <c r="AM1681">
        <v>1</v>
      </c>
      <c r="AN1681" s="78" t="s">
        <v>3556</v>
      </c>
      <c r="AO1681" s="78" t="s">
        <v>4850</v>
      </c>
      <c r="AP1681" t="b">
        <v>0</v>
      </c>
      <c r="AQ1681" s="78" t="s">
        <v>3556</v>
      </c>
      <c r="AR1681" t="s">
        <v>179</v>
      </c>
      <c r="AS1681">
        <v>0</v>
      </c>
      <c r="AT1681">
        <v>0</v>
      </c>
    </row>
    <row r="1682" spans="1:46" x14ac:dyDescent="0.45">
      <c r="A1682" s="62" t="s">
        <v>325</v>
      </c>
      <c r="B1682" s="62" t="s">
        <v>242</v>
      </c>
      <c r="C1682" s="63"/>
      <c r="D1682" s="64"/>
      <c r="E1682" s="65"/>
      <c r="F1682" s="66"/>
      <c r="G1682" s="63"/>
      <c r="H1682" s="67"/>
      <c r="I1682" s="68"/>
      <c r="J1682" s="68"/>
      <c r="K1682" s="32"/>
      <c r="L1682" s="75"/>
      <c r="M1682" s="75"/>
      <c r="N1682" s="70"/>
      <c r="O1682" t="s">
        <v>1570</v>
      </c>
      <c r="P1682" s="76">
        <v>44958.633333333331</v>
      </c>
      <c r="Q1682" t="s">
        <v>1670</v>
      </c>
      <c r="V1682" s="77" t="str">
        <f>HYPERLINK("https://pbs.twimg.com/profile_images/1184490613619617794/jzOLn7rQ_normal.jpg")</f>
        <v>https://pbs.twimg.com/profile_images/1184490613619617794/jzOLn7rQ_normal.jpg</v>
      </c>
      <c r="W1682" s="76">
        <v>44958.633333333331</v>
      </c>
      <c r="X1682" s="80">
        <v>44958</v>
      </c>
      <c r="Y1682" s="78" t="s">
        <v>2540</v>
      </c>
      <c r="Z1682" s="77" t="str">
        <f>HYPERLINK("https://twitter.com/kr__rajesh/status/1620802150095020032")</f>
        <v>https://twitter.com/kr__rajesh/status/1620802150095020032</v>
      </c>
      <c r="AC1682" s="78" t="s">
        <v>3557</v>
      </c>
      <c r="AE1682" t="b">
        <v>0</v>
      </c>
      <c r="AF1682">
        <v>0</v>
      </c>
      <c r="AG1682" s="78" t="s">
        <v>4640</v>
      </c>
      <c r="AH1682" t="b">
        <v>0</v>
      </c>
      <c r="AI1682" t="s">
        <v>4829</v>
      </c>
      <c r="AK1682" s="78" t="s">
        <v>4640</v>
      </c>
      <c r="AL1682" t="b">
        <v>0</v>
      </c>
      <c r="AM1682">
        <v>1</v>
      </c>
      <c r="AN1682" s="78" t="s">
        <v>3556</v>
      </c>
      <c r="AO1682" s="78" t="s">
        <v>4850</v>
      </c>
      <c r="AP1682" t="b">
        <v>0</v>
      </c>
      <c r="AQ1682" s="78" t="s">
        <v>3556</v>
      </c>
      <c r="AR1682" t="s">
        <v>179</v>
      </c>
      <c r="AS1682">
        <v>0</v>
      </c>
      <c r="AT1682">
        <v>0</v>
      </c>
    </row>
    <row r="1683" spans="1:46" x14ac:dyDescent="0.45">
      <c r="A1683" s="62" t="s">
        <v>325</v>
      </c>
      <c r="B1683" s="62" t="s">
        <v>1110</v>
      </c>
      <c r="C1683" s="63"/>
      <c r="D1683" s="64"/>
      <c r="E1683" s="65"/>
      <c r="F1683" s="66"/>
      <c r="G1683" s="63"/>
      <c r="H1683" s="67"/>
      <c r="I1683" s="68"/>
      <c r="J1683" s="68"/>
      <c r="K1683" s="32"/>
      <c r="L1683" s="75"/>
      <c r="M1683" s="75"/>
      <c r="N1683" s="70"/>
      <c r="O1683" t="s">
        <v>1570</v>
      </c>
      <c r="P1683" s="76">
        <v>44958.633333333331</v>
      </c>
      <c r="Q1683" t="s">
        <v>1670</v>
      </c>
      <c r="V1683" s="77" t="str">
        <f>HYPERLINK("https://pbs.twimg.com/profile_images/1184490613619617794/jzOLn7rQ_normal.jpg")</f>
        <v>https://pbs.twimg.com/profile_images/1184490613619617794/jzOLn7rQ_normal.jpg</v>
      </c>
      <c r="W1683" s="76">
        <v>44958.633333333331</v>
      </c>
      <c r="X1683" s="80">
        <v>44958</v>
      </c>
      <c r="Y1683" s="78" t="s">
        <v>2540</v>
      </c>
      <c r="Z1683" s="77" t="str">
        <f>HYPERLINK("https://twitter.com/kr__rajesh/status/1620802150095020032")</f>
        <v>https://twitter.com/kr__rajesh/status/1620802150095020032</v>
      </c>
      <c r="AC1683" s="78" t="s">
        <v>3557</v>
      </c>
      <c r="AE1683" t="b">
        <v>0</v>
      </c>
      <c r="AF1683">
        <v>0</v>
      </c>
      <c r="AG1683" s="78" t="s">
        <v>4640</v>
      </c>
      <c r="AH1683" t="b">
        <v>0</v>
      </c>
      <c r="AI1683" t="s">
        <v>4829</v>
      </c>
      <c r="AK1683" s="78" t="s">
        <v>4640</v>
      </c>
      <c r="AL1683" t="b">
        <v>0</v>
      </c>
      <c r="AM1683">
        <v>1</v>
      </c>
      <c r="AN1683" s="78" t="s">
        <v>3556</v>
      </c>
      <c r="AO1683" s="78" t="s">
        <v>4850</v>
      </c>
      <c r="AP1683" t="b">
        <v>0</v>
      </c>
      <c r="AQ1683" s="78" t="s">
        <v>3556</v>
      </c>
      <c r="AR1683" t="s">
        <v>179</v>
      </c>
      <c r="AS1683">
        <v>0</v>
      </c>
      <c r="AT1683">
        <v>0</v>
      </c>
    </row>
    <row r="1684" spans="1:46" x14ac:dyDescent="0.45">
      <c r="A1684" s="62" t="s">
        <v>325</v>
      </c>
      <c r="B1684" s="62" t="s">
        <v>325</v>
      </c>
      <c r="C1684" s="63"/>
      <c r="D1684" s="64"/>
      <c r="E1684" s="65"/>
      <c r="F1684" s="66"/>
      <c r="G1684" s="63"/>
      <c r="H1684" s="67"/>
      <c r="I1684" s="68"/>
      <c r="J1684" s="68"/>
      <c r="K1684" s="32"/>
      <c r="L1684" s="75"/>
      <c r="M1684" s="75"/>
      <c r="N1684" s="70"/>
      <c r="O1684" t="s">
        <v>1569</v>
      </c>
      <c r="P1684" s="76">
        <v>44958.633333333331</v>
      </c>
      <c r="Q1684" t="s">
        <v>1670</v>
      </c>
      <c r="V1684" s="77" t="str">
        <f>HYPERLINK("https://pbs.twimg.com/profile_images/1184490613619617794/jzOLn7rQ_normal.jpg")</f>
        <v>https://pbs.twimg.com/profile_images/1184490613619617794/jzOLn7rQ_normal.jpg</v>
      </c>
      <c r="W1684" s="76">
        <v>44958.633333333331</v>
      </c>
      <c r="X1684" s="80">
        <v>44958</v>
      </c>
      <c r="Y1684" s="78" t="s">
        <v>2540</v>
      </c>
      <c r="Z1684" s="77" t="str">
        <f>HYPERLINK("https://twitter.com/kr__rajesh/status/1620802150095020032")</f>
        <v>https://twitter.com/kr__rajesh/status/1620802150095020032</v>
      </c>
      <c r="AC1684" s="78" t="s">
        <v>3557</v>
      </c>
      <c r="AE1684" t="b">
        <v>0</v>
      </c>
      <c r="AF1684">
        <v>0</v>
      </c>
      <c r="AG1684" s="78" t="s">
        <v>4640</v>
      </c>
      <c r="AH1684" t="b">
        <v>0</v>
      </c>
      <c r="AI1684" t="s">
        <v>4829</v>
      </c>
      <c r="AK1684" s="78" t="s">
        <v>4640</v>
      </c>
      <c r="AL1684" t="b">
        <v>0</v>
      </c>
      <c r="AM1684">
        <v>1</v>
      </c>
      <c r="AN1684" s="78" t="s">
        <v>3556</v>
      </c>
      <c r="AO1684" s="78" t="s">
        <v>4850</v>
      </c>
      <c r="AP1684" t="b">
        <v>0</v>
      </c>
      <c r="AQ1684" s="78" t="s">
        <v>3556</v>
      </c>
      <c r="AR1684" t="s">
        <v>179</v>
      </c>
      <c r="AS1684">
        <v>0</v>
      </c>
      <c r="AT1684">
        <v>0</v>
      </c>
    </row>
    <row r="1685" spans="1:46" x14ac:dyDescent="0.45">
      <c r="A1685" s="62" t="s">
        <v>325</v>
      </c>
      <c r="B1685" s="62" t="s">
        <v>1109</v>
      </c>
      <c r="C1685" s="63"/>
      <c r="D1685" s="64"/>
      <c r="E1685" s="65"/>
      <c r="F1685" s="66"/>
      <c r="G1685" s="63"/>
      <c r="H1685" s="67"/>
      <c r="I1685" s="68"/>
      <c r="J1685" s="68"/>
      <c r="K1685" s="32"/>
      <c r="L1685" s="75"/>
      <c r="M1685" s="75"/>
      <c r="N1685" s="70"/>
      <c r="O1685" t="s">
        <v>1567</v>
      </c>
      <c r="P1685" s="76">
        <v>44958.633333333331</v>
      </c>
      <c r="Q1685" t="s">
        <v>1670</v>
      </c>
      <c r="V1685" s="77" t="str">
        <f>HYPERLINK("https://pbs.twimg.com/profile_images/1184490613619617794/jzOLn7rQ_normal.jpg")</f>
        <v>https://pbs.twimg.com/profile_images/1184490613619617794/jzOLn7rQ_normal.jpg</v>
      </c>
      <c r="W1685" s="76">
        <v>44958.633333333331</v>
      </c>
      <c r="X1685" s="80">
        <v>44958</v>
      </c>
      <c r="Y1685" s="78" t="s">
        <v>2540</v>
      </c>
      <c r="Z1685" s="77" t="str">
        <f>HYPERLINK("https://twitter.com/kr__rajesh/status/1620802150095020032")</f>
        <v>https://twitter.com/kr__rajesh/status/1620802150095020032</v>
      </c>
      <c r="AC1685" s="78" t="s">
        <v>3557</v>
      </c>
      <c r="AE1685" t="b">
        <v>0</v>
      </c>
      <c r="AF1685">
        <v>0</v>
      </c>
      <c r="AG1685" s="78" t="s">
        <v>4640</v>
      </c>
      <c r="AH1685" t="b">
        <v>0</v>
      </c>
      <c r="AI1685" t="s">
        <v>4829</v>
      </c>
      <c r="AK1685" s="78" t="s">
        <v>4640</v>
      </c>
      <c r="AL1685" t="b">
        <v>0</v>
      </c>
      <c r="AM1685">
        <v>1</v>
      </c>
      <c r="AN1685" s="78" t="s">
        <v>3556</v>
      </c>
      <c r="AO1685" s="78" t="s">
        <v>4850</v>
      </c>
      <c r="AP1685" t="b">
        <v>0</v>
      </c>
      <c r="AQ1685" s="78" t="s">
        <v>3556</v>
      </c>
      <c r="AR1685" t="s">
        <v>179</v>
      </c>
      <c r="AS1685">
        <v>0</v>
      </c>
      <c r="AT1685">
        <v>0</v>
      </c>
    </row>
    <row r="1686" spans="1:46" x14ac:dyDescent="0.45">
      <c r="A1686" s="62" t="s">
        <v>325</v>
      </c>
      <c r="B1686" s="62" t="s">
        <v>242</v>
      </c>
      <c r="C1686" s="63"/>
      <c r="D1686" s="64"/>
      <c r="E1686" s="65"/>
      <c r="F1686" s="66"/>
      <c r="G1686" s="63"/>
      <c r="H1686" s="67"/>
      <c r="I1686" s="68"/>
      <c r="J1686" s="68"/>
      <c r="K1686" s="32"/>
      <c r="L1686" s="75"/>
      <c r="M1686" s="75"/>
      <c r="N1686" s="70"/>
      <c r="O1686" t="s">
        <v>1568</v>
      </c>
      <c r="P1686" s="76">
        <v>44958.634050925924</v>
      </c>
      <c r="Q1686" t="s">
        <v>1671</v>
      </c>
      <c r="V1686" s="77" t="str">
        <f>HYPERLINK("https://pbs.twimg.com/profile_images/1184490613619617794/jzOLn7rQ_normal.jpg")</f>
        <v>https://pbs.twimg.com/profile_images/1184490613619617794/jzOLn7rQ_normal.jpg</v>
      </c>
      <c r="W1686" s="76">
        <v>44958.634050925924</v>
      </c>
      <c r="X1686" s="80">
        <v>44958</v>
      </c>
      <c r="Y1686" s="78" t="s">
        <v>2541</v>
      </c>
      <c r="Z1686" s="77" t="str">
        <f>HYPERLINK("https://twitter.com/kr__rajesh/status/1620802409781161985")</f>
        <v>https://twitter.com/kr__rajesh/status/1620802409781161985</v>
      </c>
      <c r="AC1686" s="78" t="s">
        <v>3558</v>
      </c>
      <c r="AD1686" s="78" t="s">
        <v>3556</v>
      </c>
      <c r="AE1686" t="b">
        <v>0</v>
      </c>
      <c r="AF1686">
        <v>0</v>
      </c>
      <c r="AG1686" s="78" t="s">
        <v>4678</v>
      </c>
      <c r="AH1686" t="b">
        <v>0</v>
      </c>
      <c r="AI1686" t="s">
        <v>4829</v>
      </c>
      <c r="AK1686" s="78" t="s">
        <v>4640</v>
      </c>
      <c r="AL1686" t="b">
        <v>0</v>
      </c>
      <c r="AM1686">
        <v>0</v>
      </c>
      <c r="AN1686" s="78" t="s">
        <v>4640</v>
      </c>
      <c r="AO1686" s="78" t="s">
        <v>4850</v>
      </c>
      <c r="AP1686" t="b">
        <v>0</v>
      </c>
      <c r="AQ1686" s="78" t="s">
        <v>3556</v>
      </c>
      <c r="AR1686" t="s">
        <v>179</v>
      </c>
      <c r="AS1686">
        <v>0</v>
      </c>
      <c r="AT1686">
        <v>0</v>
      </c>
    </row>
    <row r="1687" spans="1:46" x14ac:dyDescent="0.45">
      <c r="A1687" s="62" t="s">
        <v>325</v>
      </c>
      <c r="B1687" s="62" t="s">
        <v>1109</v>
      </c>
      <c r="C1687" s="63"/>
      <c r="D1687" s="64"/>
      <c r="E1687" s="65"/>
      <c r="F1687" s="66"/>
      <c r="G1687" s="63"/>
      <c r="H1687" s="67"/>
      <c r="I1687" s="68"/>
      <c r="J1687" s="68"/>
      <c r="K1687" s="32"/>
      <c r="L1687" s="75"/>
      <c r="M1687" s="75"/>
      <c r="N1687" s="70"/>
      <c r="O1687" t="s">
        <v>1568</v>
      </c>
      <c r="P1687" s="76">
        <v>44958.634050925924</v>
      </c>
      <c r="Q1687" t="s">
        <v>1671</v>
      </c>
      <c r="V1687" s="77" t="str">
        <f>HYPERLINK("https://pbs.twimg.com/profile_images/1184490613619617794/jzOLn7rQ_normal.jpg")</f>
        <v>https://pbs.twimg.com/profile_images/1184490613619617794/jzOLn7rQ_normal.jpg</v>
      </c>
      <c r="W1687" s="76">
        <v>44958.634050925924</v>
      </c>
      <c r="X1687" s="80">
        <v>44958</v>
      </c>
      <c r="Y1687" s="78" t="s">
        <v>2541</v>
      </c>
      <c r="Z1687" s="77" t="str">
        <f>HYPERLINK("https://twitter.com/kr__rajesh/status/1620802409781161985")</f>
        <v>https://twitter.com/kr__rajesh/status/1620802409781161985</v>
      </c>
      <c r="AC1687" s="78" t="s">
        <v>3558</v>
      </c>
      <c r="AD1687" s="78" t="s">
        <v>3556</v>
      </c>
      <c r="AE1687" t="b">
        <v>0</v>
      </c>
      <c r="AF1687">
        <v>0</v>
      </c>
      <c r="AG1687" s="78" t="s">
        <v>4678</v>
      </c>
      <c r="AH1687" t="b">
        <v>0</v>
      </c>
      <c r="AI1687" t="s">
        <v>4829</v>
      </c>
      <c r="AK1687" s="78" t="s">
        <v>4640</v>
      </c>
      <c r="AL1687" t="b">
        <v>0</v>
      </c>
      <c r="AM1687">
        <v>0</v>
      </c>
      <c r="AN1687" s="78" t="s">
        <v>4640</v>
      </c>
      <c r="AO1687" s="78" t="s">
        <v>4850</v>
      </c>
      <c r="AP1687" t="b">
        <v>0</v>
      </c>
      <c r="AQ1687" s="78" t="s">
        <v>3556</v>
      </c>
      <c r="AR1687" t="s">
        <v>179</v>
      </c>
      <c r="AS1687">
        <v>0</v>
      </c>
      <c r="AT1687">
        <v>0</v>
      </c>
    </row>
    <row r="1688" spans="1:46" x14ac:dyDescent="0.45">
      <c r="A1688" s="62" t="s">
        <v>325</v>
      </c>
      <c r="B1688" s="62" t="s">
        <v>1110</v>
      </c>
      <c r="C1688" s="63"/>
      <c r="D1688" s="64"/>
      <c r="E1688" s="65"/>
      <c r="F1688" s="66"/>
      <c r="G1688" s="63"/>
      <c r="H1688" s="67"/>
      <c r="I1688" s="68"/>
      <c r="J1688" s="68"/>
      <c r="K1688" s="32"/>
      <c r="L1688" s="75"/>
      <c r="M1688" s="75"/>
      <c r="N1688" s="70"/>
      <c r="O1688" t="s">
        <v>1567</v>
      </c>
      <c r="P1688" s="76">
        <v>44958.634050925924</v>
      </c>
      <c r="Q1688" t="s">
        <v>1671</v>
      </c>
      <c r="V1688" s="77" t="str">
        <f>HYPERLINK("https://pbs.twimg.com/profile_images/1184490613619617794/jzOLn7rQ_normal.jpg")</f>
        <v>https://pbs.twimg.com/profile_images/1184490613619617794/jzOLn7rQ_normal.jpg</v>
      </c>
      <c r="W1688" s="76">
        <v>44958.634050925924</v>
      </c>
      <c r="X1688" s="80">
        <v>44958</v>
      </c>
      <c r="Y1688" s="78" t="s">
        <v>2541</v>
      </c>
      <c r="Z1688" s="77" t="str">
        <f>HYPERLINK("https://twitter.com/kr__rajesh/status/1620802409781161985")</f>
        <v>https://twitter.com/kr__rajesh/status/1620802409781161985</v>
      </c>
      <c r="AC1688" s="78" t="s">
        <v>3558</v>
      </c>
      <c r="AD1688" s="78" t="s">
        <v>3556</v>
      </c>
      <c r="AE1688" t="b">
        <v>0</v>
      </c>
      <c r="AF1688">
        <v>0</v>
      </c>
      <c r="AG1688" s="78" t="s">
        <v>4678</v>
      </c>
      <c r="AH1688" t="b">
        <v>0</v>
      </c>
      <c r="AI1688" t="s">
        <v>4829</v>
      </c>
      <c r="AK1688" s="78" t="s">
        <v>4640</v>
      </c>
      <c r="AL1688" t="b">
        <v>0</v>
      </c>
      <c r="AM1688">
        <v>0</v>
      </c>
      <c r="AN1688" s="78" t="s">
        <v>4640</v>
      </c>
      <c r="AO1688" s="78" t="s">
        <v>4850</v>
      </c>
      <c r="AP1688" t="b">
        <v>0</v>
      </c>
      <c r="AQ1688" s="78" t="s">
        <v>3556</v>
      </c>
      <c r="AR1688" t="s">
        <v>179</v>
      </c>
      <c r="AS1688">
        <v>0</v>
      </c>
      <c r="AT1688">
        <v>0</v>
      </c>
    </row>
    <row r="1689" spans="1:46" x14ac:dyDescent="0.45">
      <c r="A1689" s="62" t="s">
        <v>326</v>
      </c>
      <c r="B1689" s="62" t="s">
        <v>1213</v>
      </c>
      <c r="C1689" s="63"/>
      <c r="D1689" s="64"/>
      <c r="E1689" s="65"/>
      <c r="F1689" s="66"/>
      <c r="G1689" s="63"/>
      <c r="H1689" s="67"/>
      <c r="I1689" s="68"/>
      <c r="J1689" s="68"/>
      <c r="K1689" s="32"/>
      <c r="L1689" s="75"/>
      <c r="M1689" s="75"/>
      <c r="N1689" s="70"/>
      <c r="O1689" t="s">
        <v>1568</v>
      </c>
      <c r="P1689" s="76">
        <v>44958.600960648146</v>
      </c>
      <c r="Q1689" t="s">
        <v>1672</v>
      </c>
      <c r="V1689" s="77" t="str">
        <f>HYPERLINK("https://pbs.twimg.com/profile_images/1617658270281244672/AwkzO5n8_normal.jpg")</f>
        <v>https://pbs.twimg.com/profile_images/1617658270281244672/AwkzO5n8_normal.jpg</v>
      </c>
      <c r="W1689" s="76">
        <v>44958.600960648146</v>
      </c>
      <c r="X1689" s="80">
        <v>44958</v>
      </c>
      <c r="Y1689" s="78" t="s">
        <v>2542</v>
      </c>
      <c r="Z1689" s="77" t="str">
        <f>HYPERLINK("https://twitter.com/merr2385/status/1620790419033587712")</f>
        <v>https://twitter.com/merr2385/status/1620790419033587712</v>
      </c>
      <c r="AC1689" s="78" t="s">
        <v>3559</v>
      </c>
      <c r="AE1689" t="b">
        <v>0</v>
      </c>
      <c r="AF1689">
        <v>0</v>
      </c>
      <c r="AG1689" s="78" t="s">
        <v>4639</v>
      </c>
      <c r="AH1689" t="b">
        <v>0</v>
      </c>
      <c r="AI1689" t="s">
        <v>4829</v>
      </c>
      <c r="AK1689" s="78" t="s">
        <v>4640</v>
      </c>
      <c r="AL1689" t="b">
        <v>0</v>
      </c>
      <c r="AM1689">
        <v>0</v>
      </c>
      <c r="AN1689" s="78" t="s">
        <v>4640</v>
      </c>
      <c r="AO1689" s="78" t="s">
        <v>4851</v>
      </c>
      <c r="AP1689" t="b">
        <v>0</v>
      </c>
      <c r="AQ1689" s="78" t="s">
        <v>3559</v>
      </c>
      <c r="AR1689" t="s">
        <v>179</v>
      </c>
      <c r="AS1689">
        <v>0</v>
      </c>
      <c r="AT1689">
        <v>0</v>
      </c>
    </row>
    <row r="1690" spans="1:46" x14ac:dyDescent="0.45">
      <c r="A1690" s="62" t="s">
        <v>326</v>
      </c>
      <c r="B1690" s="62" t="s">
        <v>1214</v>
      </c>
      <c r="C1690" s="63"/>
      <c r="D1690" s="64"/>
      <c r="E1690" s="65"/>
      <c r="F1690" s="66"/>
      <c r="G1690" s="63"/>
      <c r="H1690" s="67"/>
      <c r="I1690" s="68"/>
      <c r="J1690" s="68"/>
      <c r="K1690" s="32"/>
      <c r="L1690" s="75"/>
      <c r="M1690" s="75"/>
      <c r="N1690" s="70"/>
      <c r="O1690" t="s">
        <v>1568</v>
      </c>
      <c r="P1690" s="76">
        <v>44958.600960648146</v>
      </c>
      <c r="Q1690" t="s">
        <v>1672</v>
      </c>
      <c r="V1690" s="77" t="str">
        <f>HYPERLINK("https://pbs.twimg.com/profile_images/1617658270281244672/AwkzO5n8_normal.jpg")</f>
        <v>https://pbs.twimg.com/profile_images/1617658270281244672/AwkzO5n8_normal.jpg</v>
      </c>
      <c r="W1690" s="76">
        <v>44958.600960648146</v>
      </c>
      <c r="X1690" s="80">
        <v>44958</v>
      </c>
      <c r="Y1690" s="78" t="s">
        <v>2542</v>
      </c>
      <c r="Z1690" s="77" t="str">
        <f>HYPERLINK("https://twitter.com/merr2385/status/1620790419033587712")</f>
        <v>https://twitter.com/merr2385/status/1620790419033587712</v>
      </c>
      <c r="AC1690" s="78" t="s">
        <v>3559</v>
      </c>
      <c r="AE1690" t="b">
        <v>0</v>
      </c>
      <c r="AF1690">
        <v>0</v>
      </c>
      <c r="AG1690" s="78" t="s">
        <v>4639</v>
      </c>
      <c r="AH1690" t="b">
        <v>0</v>
      </c>
      <c r="AI1690" t="s">
        <v>4829</v>
      </c>
      <c r="AK1690" s="78" t="s">
        <v>4640</v>
      </c>
      <c r="AL1690" t="b">
        <v>0</v>
      </c>
      <c r="AM1690">
        <v>0</v>
      </c>
      <c r="AN1690" s="78" t="s">
        <v>4640</v>
      </c>
      <c r="AO1690" s="78" t="s">
        <v>4851</v>
      </c>
      <c r="AP1690" t="b">
        <v>0</v>
      </c>
      <c r="AQ1690" s="78" t="s">
        <v>3559</v>
      </c>
      <c r="AR1690" t="s">
        <v>179</v>
      </c>
      <c r="AS1690">
        <v>0</v>
      </c>
      <c r="AT1690">
        <v>0</v>
      </c>
    </row>
    <row r="1691" spans="1:46" x14ac:dyDescent="0.45">
      <c r="A1691" s="62" t="s">
        <v>326</v>
      </c>
      <c r="B1691" s="62" t="s">
        <v>242</v>
      </c>
      <c r="C1691" s="63"/>
      <c r="D1691" s="64"/>
      <c r="E1691" s="65"/>
      <c r="F1691" s="66"/>
      <c r="G1691" s="63"/>
      <c r="H1691" s="67"/>
      <c r="I1691" s="68"/>
      <c r="J1691" s="68"/>
      <c r="K1691" s="32"/>
      <c r="L1691" s="75"/>
      <c r="M1691" s="75"/>
      <c r="N1691" s="70"/>
      <c r="O1691" t="s">
        <v>1567</v>
      </c>
      <c r="P1691" s="76">
        <v>44958.600960648146</v>
      </c>
      <c r="Q1691" t="s">
        <v>1672</v>
      </c>
      <c r="V1691" s="77" t="str">
        <f>HYPERLINK("https://pbs.twimg.com/profile_images/1617658270281244672/AwkzO5n8_normal.jpg")</f>
        <v>https://pbs.twimg.com/profile_images/1617658270281244672/AwkzO5n8_normal.jpg</v>
      </c>
      <c r="W1691" s="76">
        <v>44958.600960648146</v>
      </c>
      <c r="X1691" s="80">
        <v>44958</v>
      </c>
      <c r="Y1691" s="78" t="s">
        <v>2542</v>
      </c>
      <c r="Z1691" s="77" t="str">
        <f>HYPERLINK("https://twitter.com/merr2385/status/1620790419033587712")</f>
        <v>https://twitter.com/merr2385/status/1620790419033587712</v>
      </c>
      <c r="AC1691" s="78" t="s">
        <v>3559</v>
      </c>
      <c r="AE1691" t="b">
        <v>0</v>
      </c>
      <c r="AF1691">
        <v>0</v>
      </c>
      <c r="AG1691" s="78" t="s">
        <v>4639</v>
      </c>
      <c r="AH1691" t="b">
        <v>0</v>
      </c>
      <c r="AI1691" t="s">
        <v>4829</v>
      </c>
      <c r="AK1691" s="78" t="s">
        <v>4640</v>
      </c>
      <c r="AL1691" t="b">
        <v>0</v>
      </c>
      <c r="AM1691">
        <v>0</v>
      </c>
      <c r="AN1691" s="78" t="s">
        <v>4640</v>
      </c>
      <c r="AO1691" s="78" t="s">
        <v>4851</v>
      </c>
      <c r="AP1691" t="b">
        <v>0</v>
      </c>
      <c r="AQ1691" s="78" t="s">
        <v>3559</v>
      </c>
      <c r="AR1691" t="s">
        <v>179</v>
      </c>
      <c r="AS1691">
        <v>0</v>
      </c>
      <c r="AT1691">
        <v>0</v>
      </c>
    </row>
    <row r="1692" spans="1:46" x14ac:dyDescent="0.45">
      <c r="A1692" s="62" t="s">
        <v>326</v>
      </c>
      <c r="B1692" s="62" t="s">
        <v>242</v>
      </c>
      <c r="C1692" s="63"/>
      <c r="D1692" s="64"/>
      <c r="E1692" s="65"/>
      <c r="F1692" s="66"/>
      <c r="G1692" s="63"/>
      <c r="H1692" s="67"/>
      <c r="I1692" s="68"/>
      <c r="J1692" s="68"/>
      <c r="K1692" s="32"/>
      <c r="L1692" s="75"/>
      <c r="M1692" s="75"/>
      <c r="N1692" s="70"/>
      <c r="O1692" t="s">
        <v>1567</v>
      </c>
      <c r="P1692" s="76">
        <v>44958.63486111111</v>
      </c>
      <c r="Q1692" t="s">
        <v>1673</v>
      </c>
      <c r="V1692" s="77" t="str">
        <f>HYPERLINK("https://pbs.twimg.com/profile_images/1617658270281244672/AwkzO5n8_normal.jpg")</f>
        <v>https://pbs.twimg.com/profile_images/1617658270281244672/AwkzO5n8_normal.jpg</v>
      </c>
      <c r="W1692" s="76">
        <v>44958.63486111111</v>
      </c>
      <c r="X1692" s="80">
        <v>44958</v>
      </c>
      <c r="Y1692" s="78" t="s">
        <v>2543</v>
      </c>
      <c r="Z1692" s="77" t="str">
        <f>HYPERLINK("https://twitter.com/merr2385/status/1620802705106284544")</f>
        <v>https://twitter.com/merr2385/status/1620802705106284544</v>
      </c>
      <c r="AC1692" s="78" t="s">
        <v>3560</v>
      </c>
      <c r="AE1692" t="b">
        <v>0</v>
      </c>
      <c r="AF1692">
        <v>0</v>
      </c>
      <c r="AG1692" s="78" t="s">
        <v>4639</v>
      </c>
      <c r="AH1692" t="b">
        <v>0</v>
      </c>
      <c r="AI1692" t="s">
        <v>4829</v>
      </c>
      <c r="AK1692" s="78" t="s">
        <v>4640</v>
      </c>
      <c r="AL1692" t="b">
        <v>0</v>
      </c>
      <c r="AM1692">
        <v>0</v>
      </c>
      <c r="AN1692" s="78" t="s">
        <v>4640</v>
      </c>
      <c r="AO1692" s="78" t="s">
        <v>4851</v>
      </c>
      <c r="AP1692" t="b">
        <v>0</v>
      </c>
      <c r="AQ1692" s="78" t="s">
        <v>3560</v>
      </c>
      <c r="AR1692" t="s">
        <v>179</v>
      </c>
      <c r="AS1692">
        <v>0</v>
      </c>
      <c r="AT1692">
        <v>0</v>
      </c>
    </row>
    <row r="1693" spans="1:46" x14ac:dyDescent="0.45">
      <c r="A1693" s="62" t="s">
        <v>331</v>
      </c>
      <c r="B1693" s="62" t="s">
        <v>242</v>
      </c>
      <c r="C1693" s="63"/>
      <c r="D1693" s="64"/>
      <c r="E1693" s="65"/>
      <c r="F1693" s="66"/>
      <c r="G1693" s="63"/>
      <c r="H1693" s="67"/>
      <c r="I1693" s="68"/>
      <c r="J1693" s="68"/>
      <c r="K1693" s="32"/>
      <c r="L1693" s="75"/>
      <c r="M1693" s="75"/>
      <c r="N1693" s="70"/>
      <c r="O1693" t="s">
        <v>1570</v>
      </c>
      <c r="P1693" s="76">
        <v>44958.64203703704</v>
      </c>
      <c r="Q1693" t="s">
        <v>1597</v>
      </c>
      <c r="U1693" s="77" t="str">
        <f>HYPERLINK("https://pbs.twimg.com/media/Fn21cCpaEAIoT8g.jpg")</f>
        <v>https://pbs.twimg.com/media/Fn21cCpaEAIoT8g.jpg</v>
      </c>
      <c r="V1693" s="77" t="str">
        <f>HYPERLINK("https://pbs.twimg.com/media/Fn21cCpaEAIoT8g.jpg")</f>
        <v>https://pbs.twimg.com/media/Fn21cCpaEAIoT8g.jpg</v>
      </c>
      <c r="W1693" s="76">
        <v>44958.64203703704</v>
      </c>
      <c r="X1693" s="80">
        <v>44958</v>
      </c>
      <c r="Y1693" s="78" t="s">
        <v>2551</v>
      </c>
      <c r="Z1693" s="77" t="str">
        <f>HYPERLINK("https://twitter.com/batman_infinite/status/1620805306430414849")</f>
        <v>https://twitter.com/batman_infinite/status/1620805306430414849</v>
      </c>
      <c r="AC1693" s="78" t="s">
        <v>3568</v>
      </c>
      <c r="AE1693" t="b">
        <v>0</v>
      </c>
      <c r="AF1693">
        <v>0</v>
      </c>
      <c r="AG1693" s="78" t="s">
        <v>4640</v>
      </c>
      <c r="AH1693" t="b">
        <v>0</v>
      </c>
      <c r="AI1693" t="s">
        <v>4829</v>
      </c>
      <c r="AK1693" s="78" t="s">
        <v>4640</v>
      </c>
      <c r="AL1693" t="b">
        <v>0</v>
      </c>
      <c r="AM1693">
        <v>13</v>
      </c>
      <c r="AN1693" s="78" t="s">
        <v>4342</v>
      </c>
      <c r="AO1693" s="78" t="s">
        <v>4850</v>
      </c>
      <c r="AP1693" t="b">
        <v>0</v>
      </c>
      <c r="AQ1693" s="78" t="s">
        <v>4342</v>
      </c>
      <c r="AR1693" t="s">
        <v>179</v>
      </c>
      <c r="AS1693">
        <v>0</v>
      </c>
      <c r="AT1693">
        <v>0</v>
      </c>
    </row>
    <row r="1694" spans="1:46" x14ac:dyDescent="0.45">
      <c r="A1694" s="62" t="s">
        <v>331</v>
      </c>
      <c r="B1694" s="62" t="s">
        <v>992</v>
      </c>
      <c r="C1694" s="63"/>
      <c r="D1694" s="64"/>
      <c r="E1694" s="65"/>
      <c r="F1694" s="66"/>
      <c r="G1694" s="63"/>
      <c r="H1694" s="67"/>
      <c r="I1694" s="68"/>
      <c r="J1694" s="68"/>
      <c r="K1694" s="32"/>
      <c r="L1694" s="75"/>
      <c r="M1694" s="75"/>
      <c r="N1694" s="70"/>
      <c r="O1694" t="s">
        <v>1569</v>
      </c>
      <c r="P1694" s="76">
        <v>44958.64203703704</v>
      </c>
      <c r="Q1694" t="s">
        <v>1597</v>
      </c>
      <c r="U1694" s="77" t="str">
        <f>HYPERLINK("https://pbs.twimg.com/media/Fn21cCpaEAIoT8g.jpg")</f>
        <v>https://pbs.twimg.com/media/Fn21cCpaEAIoT8g.jpg</v>
      </c>
      <c r="V1694" s="77" t="str">
        <f>HYPERLINK("https://pbs.twimg.com/media/Fn21cCpaEAIoT8g.jpg")</f>
        <v>https://pbs.twimg.com/media/Fn21cCpaEAIoT8g.jpg</v>
      </c>
      <c r="W1694" s="76">
        <v>44958.64203703704</v>
      </c>
      <c r="X1694" s="80">
        <v>44958</v>
      </c>
      <c r="Y1694" s="78" t="s">
        <v>2551</v>
      </c>
      <c r="Z1694" s="77" t="str">
        <f>HYPERLINK("https://twitter.com/batman_infinite/status/1620805306430414849")</f>
        <v>https://twitter.com/batman_infinite/status/1620805306430414849</v>
      </c>
      <c r="AC1694" s="78" t="s">
        <v>3568</v>
      </c>
      <c r="AE1694" t="b">
        <v>0</v>
      </c>
      <c r="AF1694">
        <v>0</v>
      </c>
      <c r="AG1694" s="78" t="s">
        <v>4640</v>
      </c>
      <c r="AH1694" t="b">
        <v>0</v>
      </c>
      <c r="AI1694" t="s">
        <v>4829</v>
      </c>
      <c r="AK1694" s="78" t="s">
        <v>4640</v>
      </c>
      <c r="AL1694" t="b">
        <v>0</v>
      </c>
      <c r="AM1694">
        <v>13</v>
      </c>
      <c r="AN1694" s="78" t="s">
        <v>4342</v>
      </c>
      <c r="AO1694" s="78" t="s">
        <v>4850</v>
      </c>
      <c r="AP1694" t="b">
        <v>0</v>
      </c>
      <c r="AQ1694" s="78" t="s">
        <v>4342</v>
      </c>
      <c r="AR1694" t="s">
        <v>179</v>
      </c>
      <c r="AS1694">
        <v>0</v>
      </c>
      <c r="AT1694">
        <v>0</v>
      </c>
    </row>
    <row r="1695" spans="1:46" x14ac:dyDescent="0.45">
      <c r="A1695" s="62" t="s">
        <v>332</v>
      </c>
      <c r="B1695" s="62" t="s">
        <v>1221</v>
      </c>
      <c r="C1695" s="63"/>
      <c r="D1695" s="64"/>
      <c r="E1695" s="65"/>
      <c r="F1695" s="66"/>
      <c r="G1695" s="63"/>
      <c r="H1695" s="67"/>
      <c r="I1695" s="68"/>
      <c r="J1695" s="68"/>
      <c r="K1695" s="32"/>
      <c r="L1695" s="75"/>
      <c r="M1695" s="75"/>
      <c r="N1695" s="70"/>
      <c r="O1695" t="s">
        <v>1567</v>
      </c>
      <c r="P1695" s="76">
        <v>44958.642372685186</v>
      </c>
      <c r="Q1695" t="s">
        <v>1678</v>
      </c>
      <c r="V1695" s="77" t="str">
        <f>HYPERLINK("https://pbs.twimg.com/profile_images/1599166705078620162/z2Z-RVUq_normal.jpg")</f>
        <v>https://pbs.twimg.com/profile_images/1599166705078620162/z2Z-RVUq_normal.jpg</v>
      </c>
      <c r="W1695" s="76">
        <v>44958.642372685186</v>
      </c>
      <c r="X1695" s="80">
        <v>44958</v>
      </c>
      <c r="Y1695" s="78" t="s">
        <v>2552</v>
      </c>
      <c r="Z1695" s="77" t="str">
        <f>HYPERLINK("https://twitter.com/rafiki_tikigod/status/1620805425376694272")</f>
        <v>https://twitter.com/rafiki_tikigod/status/1620805425376694272</v>
      </c>
      <c r="AC1695" s="78" t="s">
        <v>3569</v>
      </c>
      <c r="AD1695" s="78" t="s">
        <v>4529</v>
      </c>
      <c r="AE1695" t="b">
        <v>0</v>
      </c>
      <c r="AF1695">
        <v>0</v>
      </c>
      <c r="AG1695" s="78" t="s">
        <v>4680</v>
      </c>
      <c r="AH1695" t="b">
        <v>0</v>
      </c>
      <c r="AI1695" t="s">
        <v>4829</v>
      </c>
      <c r="AK1695" s="78" t="s">
        <v>4640</v>
      </c>
      <c r="AL1695" t="b">
        <v>0</v>
      </c>
      <c r="AM1695">
        <v>0</v>
      </c>
      <c r="AN1695" s="78" t="s">
        <v>4640</v>
      </c>
      <c r="AO1695" s="78" t="s">
        <v>4849</v>
      </c>
      <c r="AP1695" t="b">
        <v>0</v>
      </c>
      <c r="AQ1695" s="78" t="s">
        <v>4529</v>
      </c>
      <c r="AR1695" t="s">
        <v>179</v>
      </c>
      <c r="AS1695">
        <v>0</v>
      </c>
      <c r="AT1695">
        <v>0</v>
      </c>
    </row>
    <row r="1696" spans="1:46" x14ac:dyDescent="0.45">
      <c r="A1696" s="62" t="s">
        <v>332</v>
      </c>
      <c r="B1696" s="62" t="s">
        <v>242</v>
      </c>
      <c r="C1696" s="63"/>
      <c r="D1696" s="64"/>
      <c r="E1696" s="65"/>
      <c r="F1696" s="66"/>
      <c r="G1696" s="63"/>
      <c r="H1696" s="67"/>
      <c r="I1696" s="68"/>
      <c r="J1696" s="68"/>
      <c r="K1696" s="32"/>
      <c r="L1696" s="75"/>
      <c r="M1696" s="75"/>
      <c r="N1696" s="70"/>
      <c r="O1696" t="s">
        <v>1568</v>
      </c>
      <c r="P1696" s="76">
        <v>44958.642372685186</v>
      </c>
      <c r="Q1696" t="s">
        <v>1678</v>
      </c>
      <c r="V1696" s="77" t="str">
        <f>HYPERLINK("https://pbs.twimg.com/profile_images/1599166705078620162/z2Z-RVUq_normal.jpg")</f>
        <v>https://pbs.twimg.com/profile_images/1599166705078620162/z2Z-RVUq_normal.jpg</v>
      </c>
      <c r="W1696" s="76">
        <v>44958.642372685186</v>
      </c>
      <c r="X1696" s="80">
        <v>44958</v>
      </c>
      <c r="Y1696" s="78" t="s">
        <v>2552</v>
      </c>
      <c r="Z1696" s="77" t="str">
        <f>HYPERLINK("https://twitter.com/rafiki_tikigod/status/1620805425376694272")</f>
        <v>https://twitter.com/rafiki_tikigod/status/1620805425376694272</v>
      </c>
      <c r="AC1696" s="78" t="s">
        <v>3569</v>
      </c>
      <c r="AD1696" s="78" t="s">
        <v>4529</v>
      </c>
      <c r="AE1696" t="b">
        <v>0</v>
      </c>
      <c r="AF1696">
        <v>0</v>
      </c>
      <c r="AG1696" s="78" t="s">
        <v>4680</v>
      </c>
      <c r="AH1696" t="b">
        <v>0</v>
      </c>
      <c r="AI1696" t="s">
        <v>4829</v>
      </c>
      <c r="AK1696" s="78" t="s">
        <v>4640</v>
      </c>
      <c r="AL1696" t="b">
        <v>0</v>
      </c>
      <c r="AM1696">
        <v>0</v>
      </c>
      <c r="AN1696" s="78" t="s">
        <v>4640</v>
      </c>
      <c r="AO1696" s="78" t="s">
        <v>4849</v>
      </c>
      <c r="AP1696" t="b">
        <v>0</v>
      </c>
      <c r="AQ1696" s="78" t="s">
        <v>4529</v>
      </c>
      <c r="AR1696" t="s">
        <v>179</v>
      </c>
      <c r="AS1696">
        <v>0</v>
      </c>
      <c r="AT1696">
        <v>0</v>
      </c>
    </row>
    <row r="1697" spans="1:46" x14ac:dyDescent="0.45">
      <c r="A1697" s="62" t="s">
        <v>333</v>
      </c>
      <c r="B1697" s="62" t="s">
        <v>1222</v>
      </c>
      <c r="C1697" s="63"/>
      <c r="D1697" s="64"/>
      <c r="E1697" s="65"/>
      <c r="F1697" s="66"/>
      <c r="G1697" s="63"/>
      <c r="H1697" s="67"/>
      <c r="I1697" s="68"/>
      <c r="J1697" s="68"/>
      <c r="K1697" s="32"/>
      <c r="L1697" s="75"/>
      <c r="M1697" s="75"/>
      <c r="N1697" s="70"/>
      <c r="O1697" t="s">
        <v>1568</v>
      </c>
      <c r="P1697" s="76">
        <v>44958.644085648149</v>
      </c>
      <c r="Q1697" t="s">
        <v>1679</v>
      </c>
      <c r="V1697" s="77" t="str">
        <f>HYPERLINK("https://pbs.twimg.com/profile_images/968697873989808128/JG_D0YNW_normal.jpg")</f>
        <v>https://pbs.twimg.com/profile_images/968697873989808128/JG_D0YNW_normal.jpg</v>
      </c>
      <c r="W1697" s="76">
        <v>44958.644085648149</v>
      </c>
      <c r="X1697" s="80">
        <v>44958</v>
      </c>
      <c r="Y1697" s="78" t="s">
        <v>2553</v>
      </c>
      <c r="Z1697" s="77" t="str">
        <f>HYPERLINK("https://twitter.com/staceyrosb/status/1620806047903674368")</f>
        <v>https://twitter.com/staceyrosb/status/1620806047903674368</v>
      </c>
      <c r="AC1697" s="78" t="s">
        <v>3570</v>
      </c>
      <c r="AE1697" t="b">
        <v>0</v>
      </c>
      <c r="AF1697">
        <v>0</v>
      </c>
      <c r="AG1697" s="78" t="s">
        <v>4640</v>
      </c>
      <c r="AH1697" t="b">
        <v>0</v>
      </c>
      <c r="AI1697" t="s">
        <v>4829</v>
      </c>
      <c r="AK1697" s="78" t="s">
        <v>4640</v>
      </c>
      <c r="AL1697" t="b">
        <v>0</v>
      </c>
      <c r="AM1697">
        <v>0</v>
      </c>
      <c r="AN1697" s="78" t="s">
        <v>4640</v>
      </c>
      <c r="AO1697" s="78" t="s">
        <v>4851</v>
      </c>
      <c r="AP1697" t="b">
        <v>0</v>
      </c>
      <c r="AQ1697" s="78" t="s">
        <v>3570</v>
      </c>
      <c r="AR1697" t="s">
        <v>179</v>
      </c>
      <c r="AS1697">
        <v>0</v>
      </c>
      <c r="AT1697">
        <v>0</v>
      </c>
    </row>
    <row r="1698" spans="1:46" x14ac:dyDescent="0.45">
      <c r="A1698" s="62" t="s">
        <v>333</v>
      </c>
      <c r="B1698" s="62" t="s">
        <v>1223</v>
      </c>
      <c r="C1698" s="63"/>
      <c r="D1698" s="64"/>
      <c r="E1698" s="65"/>
      <c r="F1698" s="66"/>
      <c r="G1698" s="63"/>
      <c r="H1698" s="67"/>
      <c r="I1698" s="68"/>
      <c r="J1698" s="68"/>
      <c r="K1698" s="32"/>
      <c r="L1698" s="75"/>
      <c r="M1698" s="75"/>
      <c r="N1698" s="70"/>
      <c r="O1698" t="s">
        <v>1568</v>
      </c>
      <c r="P1698" s="76">
        <v>44958.644085648149</v>
      </c>
      <c r="Q1698" t="s">
        <v>1679</v>
      </c>
      <c r="V1698" s="77" t="str">
        <f>HYPERLINK("https://pbs.twimg.com/profile_images/968697873989808128/JG_D0YNW_normal.jpg")</f>
        <v>https://pbs.twimg.com/profile_images/968697873989808128/JG_D0YNW_normal.jpg</v>
      </c>
      <c r="W1698" s="76">
        <v>44958.644085648149</v>
      </c>
      <c r="X1698" s="80">
        <v>44958</v>
      </c>
      <c r="Y1698" s="78" t="s">
        <v>2553</v>
      </c>
      <c r="Z1698" s="77" t="str">
        <f>HYPERLINK("https://twitter.com/staceyrosb/status/1620806047903674368")</f>
        <v>https://twitter.com/staceyrosb/status/1620806047903674368</v>
      </c>
      <c r="AC1698" s="78" t="s">
        <v>3570</v>
      </c>
      <c r="AE1698" t="b">
        <v>0</v>
      </c>
      <c r="AF1698">
        <v>0</v>
      </c>
      <c r="AG1698" s="78" t="s">
        <v>4640</v>
      </c>
      <c r="AH1698" t="b">
        <v>0</v>
      </c>
      <c r="AI1698" t="s">
        <v>4829</v>
      </c>
      <c r="AK1698" s="78" t="s">
        <v>4640</v>
      </c>
      <c r="AL1698" t="b">
        <v>0</v>
      </c>
      <c r="AM1698">
        <v>0</v>
      </c>
      <c r="AN1698" s="78" t="s">
        <v>4640</v>
      </c>
      <c r="AO1698" s="78" t="s">
        <v>4851</v>
      </c>
      <c r="AP1698" t="b">
        <v>0</v>
      </c>
      <c r="AQ1698" s="78" t="s">
        <v>3570</v>
      </c>
      <c r="AR1698" t="s">
        <v>179</v>
      </c>
      <c r="AS1698">
        <v>0</v>
      </c>
      <c r="AT1698">
        <v>0</v>
      </c>
    </row>
    <row r="1699" spans="1:46" x14ac:dyDescent="0.45">
      <c r="A1699" s="62" t="s">
        <v>333</v>
      </c>
      <c r="B1699" s="62" t="s">
        <v>1224</v>
      </c>
      <c r="C1699" s="63"/>
      <c r="D1699" s="64"/>
      <c r="E1699" s="65"/>
      <c r="F1699" s="66"/>
      <c r="G1699" s="63"/>
      <c r="H1699" s="67"/>
      <c r="I1699" s="68"/>
      <c r="J1699" s="68"/>
      <c r="K1699" s="32"/>
      <c r="L1699" s="75"/>
      <c r="M1699" s="75"/>
      <c r="N1699" s="70"/>
      <c r="O1699" t="s">
        <v>1568</v>
      </c>
      <c r="P1699" s="76">
        <v>44958.644085648149</v>
      </c>
      <c r="Q1699" t="s">
        <v>1679</v>
      </c>
      <c r="V1699" s="77" t="str">
        <f>HYPERLINK("https://pbs.twimg.com/profile_images/968697873989808128/JG_D0YNW_normal.jpg")</f>
        <v>https://pbs.twimg.com/profile_images/968697873989808128/JG_D0YNW_normal.jpg</v>
      </c>
      <c r="W1699" s="76">
        <v>44958.644085648149</v>
      </c>
      <c r="X1699" s="80">
        <v>44958</v>
      </c>
      <c r="Y1699" s="78" t="s">
        <v>2553</v>
      </c>
      <c r="Z1699" s="77" t="str">
        <f>HYPERLINK("https://twitter.com/staceyrosb/status/1620806047903674368")</f>
        <v>https://twitter.com/staceyrosb/status/1620806047903674368</v>
      </c>
      <c r="AC1699" s="78" t="s">
        <v>3570</v>
      </c>
      <c r="AE1699" t="b">
        <v>0</v>
      </c>
      <c r="AF1699">
        <v>0</v>
      </c>
      <c r="AG1699" s="78" t="s">
        <v>4640</v>
      </c>
      <c r="AH1699" t="b">
        <v>0</v>
      </c>
      <c r="AI1699" t="s">
        <v>4829</v>
      </c>
      <c r="AK1699" s="78" t="s">
        <v>4640</v>
      </c>
      <c r="AL1699" t="b">
        <v>0</v>
      </c>
      <c r="AM1699">
        <v>0</v>
      </c>
      <c r="AN1699" s="78" t="s">
        <v>4640</v>
      </c>
      <c r="AO1699" s="78" t="s">
        <v>4851</v>
      </c>
      <c r="AP1699" t="b">
        <v>0</v>
      </c>
      <c r="AQ1699" s="78" t="s">
        <v>3570</v>
      </c>
      <c r="AR1699" t="s">
        <v>179</v>
      </c>
      <c r="AS1699">
        <v>0</v>
      </c>
      <c r="AT1699">
        <v>0</v>
      </c>
    </row>
    <row r="1700" spans="1:46" x14ac:dyDescent="0.45">
      <c r="A1700" s="62" t="s">
        <v>333</v>
      </c>
      <c r="B1700" s="62" t="s">
        <v>1225</v>
      </c>
      <c r="C1700" s="63"/>
      <c r="D1700" s="64"/>
      <c r="E1700" s="65"/>
      <c r="F1700" s="66"/>
      <c r="G1700" s="63"/>
      <c r="H1700" s="67"/>
      <c r="I1700" s="68"/>
      <c r="J1700" s="68"/>
      <c r="K1700" s="32"/>
      <c r="L1700" s="75"/>
      <c r="M1700" s="75"/>
      <c r="N1700" s="70"/>
      <c r="O1700" t="s">
        <v>1568</v>
      </c>
      <c r="P1700" s="76">
        <v>44958.644085648149</v>
      </c>
      <c r="Q1700" t="s">
        <v>1679</v>
      </c>
      <c r="V1700" s="77" t="str">
        <f>HYPERLINK("https://pbs.twimg.com/profile_images/968697873989808128/JG_D0YNW_normal.jpg")</f>
        <v>https://pbs.twimg.com/profile_images/968697873989808128/JG_D0YNW_normal.jpg</v>
      </c>
      <c r="W1700" s="76">
        <v>44958.644085648149</v>
      </c>
      <c r="X1700" s="80">
        <v>44958</v>
      </c>
      <c r="Y1700" s="78" t="s">
        <v>2553</v>
      </c>
      <c r="Z1700" s="77" t="str">
        <f>HYPERLINK("https://twitter.com/staceyrosb/status/1620806047903674368")</f>
        <v>https://twitter.com/staceyrosb/status/1620806047903674368</v>
      </c>
      <c r="AC1700" s="78" t="s">
        <v>3570</v>
      </c>
      <c r="AE1700" t="b">
        <v>0</v>
      </c>
      <c r="AF1700">
        <v>0</v>
      </c>
      <c r="AG1700" s="78" t="s">
        <v>4640</v>
      </c>
      <c r="AH1700" t="b">
        <v>0</v>
      </c>
      <c r="AI1700" t="s">
        <v>4829</v>
      </c>
      <c r="AK1700" s="78" t="s">
        <v>4640</v>
      </c>
      <c r="AL1700" t="b">
        <v>0</v>
      </c>
      <c r="AM1700">
        <v>0</v>
      </c>
      <c r="AN1700" s="78" t="s">
        <v>4640</v>
      </c>
      <c r="AO1700" s="78" t="s">
        <v>4851</v>
      </c>
      <c r="AP1700" t="b">
        <v>0</v>
      </c>
      <c r="AQ1700" s="78" t="s">
        <v>3570</v>
      </c>
      <c r="AR1700" t="s">
        <v>179</v>
      </c>
      <c r="AS1700">
        <v>0</v>
      </c>
      <c r="AT1700">
        <v>0</v>
      </c>
    </row>
    <row r="1701" spans="1:46" x14ac:dyDescent="0.45">
      <c r="A1701" s="62" t="s">
        <v>333</v>
      </c>
      <c r="B1701" s="62" t="s">
        <v>242</v>
      </c>
      <c r="C1701" s="63"/>
      <c r="D1701" s="64"/>
      <c r="E1701" s="65"/>
      <c r="F1701" s="66"/>
      <c r="G1701" s="63"/>
      <c r="H1701" s="67"/>
      <c r="I1701" s="68"/>
      <c r="J1701" s="68"/>
      <c r="K1701" s="32"/>
      <c r="L1701" s="75"/>
      <c r="M1701" s="75"/>
      <c r="N1701" s="70"/>
      <c r="O1701" t="s">
        <v>1568</v>
      </c>
      <c r="P1701" s="76">
        <v>44958.644085648149</v>
      </c>
      <c r="Q1701" t="s">
        <v>1679</v>
      </c>
      <c r="V1701" s="77" t="str">
        <f>HYPERLINK("https://pbs.twimg.com/profile_images/968697873989808128/JG_D0YNW_normal.jpg")</f>
        <v>https://pbs.twimg.com/profile_images/968697873989808128/JG_D0YNW_normal.jpg</v>
      </c>
      <c r="W1701" s="76">
        <v>44958.644085648149</v>
      </c>
      <c r="X1701" s="80">
        <v>44958</v>
      </c>
      <c r="Y1701" s="78" t="s">
        <v>2553</v>
      </c>
      <c r="Z1701" s="77" t="str">
        <f>HYPERLINK("https://twitter.com/staceyrosb/status/1620806047903674368")</f>
        <v>https://twitter.com/staceyrosb/status/1620806047903674368</v>
      </c>
      <c r="AC1701" s="78" t="s">
        <v>3570</v>
      </c>
      <c r="AE1701" t="b">
        <v>0</v>
      </c>
      <c r="AF1701">
        <v>0</v>
      </c>
      <c r="AG1701" s="78" t="s">
        <v>4640</v>
      </c>
      <c r="AH1701" t="b">
        <v>0</v>
      </c>
      <c r="AI1701" t="s">
        <v>4829</v>
      </c>
      <c r="AK1701" s="78" t="s">
        <v>4640</v>
      </c>
      <c r="AL1701" t="b">
        <v>0</v>
      </c>
      <c r="AM1701">
        <v>0</v>
      </c>
      <c r="AN1701" s="78" t="s">
        <v>4640</v>
      </c>
      <c r="AO1701" s="78" t="s">
        <v>4851</v>
      </c>
      <c r="AP1701" t="b">
        <v>0</v>
      </c>
      <c r="AQ1701" s="78" t="s">
        <v>3570</v>
      </c>
      <c r="AR1701" t="s">
        <v>179</v>
      </c>
      <c r="AS1701">
        <v>0</v>
      </c>
      <c r="AT1701">
        <v>0</v>
      </c>
    </row>
    <row r="1702" spans="1:46" x14ac:dyDescent="0.45">
      <c r="A1702" s="62" t="s">
        <v>337</v>
      </c>
      <c r="B1702" s="62" t="s">
        <v>242</v>
      </c>
      <c r="C1702" s="63"/>
      <c r="D1702" s="64"/>
      <c r="E1702" s="65"/>
      <c r="F1702" s="66"/>
      <c r="G1702" s="63"/>
      <c r="H1702" s="67"/>
      <c r="I1702" s="68"/>
      <c r="J1702" s="68"/>
      <c r="K1702" s="32"/>
      <c r="L1702" s="75"/>
      <c r="M1702" s="75"/>
      <c r="N1702" s="70"/>
      <c r="O1702" t="s">
        <v>1567</v>
      </c>
      <c r="P1702" s="76">
        <v>44958.641111111108</v>
      </c>
      <c r="Q1702" t="s">
        <v>1683</v>
      </c>
      <c r="V1702" s="77" t="str">
        <f>HYPERLINK("https://pbs.twimg.com/profile_images/969772618571239424/20miXk5m_normal.jpg")</f>
        <v>https://pbs.twimg.com/profile_images/969772618571239424/20miXk5m_normal.jpg</v>
      </c>
      <c r="W1702" s="76">
        <v>44958.641111111108</v>
      </c>
      <c r="X1702" s="80">
        <v>44958</v>
      </c>
      <c r="Y1702" s="78" t="s">
        <v>2557</v>
      </c>
      <c r="Z1702" s="77" t="str">
        <f>HYPERLINK("https://twitter.com/ladyrdph/status/1620804969212563456")</f>
        <v>https://twitter.com/ladyrdph/status/1620804969212563456</v>
      </c>
      <c r="AC1702" s="78" t="s">
        <v>3574</v>
      </c>
      <c r="AE1702" t="b">
        <v>0</v>
      </c>
      <c r="AF1702">
        <v>0</v>
      </c>
      <c r="AG1702" s="78" t="s">
        <v>4639</v>
      </c>
      <c r="AH1702" t="b">
        <v>0</v>
      </c>
      <c r="AI1702" t="s">
        <v>4829</v>
      </c>
      <c r="AK1702" s="78" t="s">
        <v>4640</v>
      </c>
      <c r="AL1702" t="b">
        <v>0</v>
      </c>
      <c r="AM1702">
        <v>0</v>
      </c>
      <c r="AN1702" s="78" t="s">
        <v>4640</v>
      </c>
      <c r="AO1702" s="78" t="s">
        <v>4849</v>
      </c>
      <c r="AP1702" t="b">
        <v>0</v>
      </c>
      <c r="AQ1702" s="78" t="s">
        <v>3574</v>
      </c>
      <c r="AR1702" t="s">
        <v>179</v>
      </c>
      <c r="AS1702">
        <v>0</v>
      </c>
      <c r="AT1702">
        <v>0</v>
      </c>
    </row>
    <row r="1703" spans="1:46" x14ac:dyDescent="0.45">
      <c r="A1703" s="62" t="s">
        <v>337</v>
      </c>
      <c r="B1703" s="62" t="s">
        <v>242</v>
      </c>
      <c r="C1703" s="63"/>
      <c r="D1703" s="64"/>
      <c r="E1703" s="65"/>
      <c r="F1703" s="66"/>
      <c r="G1703" s="63"/>
      <c r="H1703" s="67"/>
      <c r="I1703" s="68"/>
      <c r="J1703" s="68"/>
      <c r="K1703" s="32"/>
      <c r="L1703" s="75"/>
      <c r="M1703" s="75"/>
      <c r="N1703" s="70"/>
      <c r="O1703" t="s">
        <v>1567</v>
      </c>
      <c r="P1703" s="76">
        <v>44958.648206018515</v>
      </c>
      <c r="Q1703" t="s">
        <v>1684</v>
      </c>
      <c r="V1703" s="77" t="str">
        <f>HYPERLINK("https://pbs.twimg.com/profile_images/969772618571239424/20miXk5m_normal.jpg")</f>
        <v>https://pbs.twimg.com/profile_images/969772618571239424/20miXk5m_normal.jpg</v>
      </c>
      <c r="W1703" s="76">
        <v>44958.648206018515</v>
      </c>
      <c r="X1703" s="80">
        <v>44958</v>
      </c>
      <c r="Y1703" s="78" t="s">
        <v>2558</v>
      </c>
      <c r="Z1703" s="77" t="str">
        <f>HYPERLINK("https://twitter.com/ladyrdph/status/1620807540920717312")</f>
        <v>https://twitter.com/ladyrdph/status/1620807540920717312</v>
      </c>
      <c r="AC1703" s="78" t="s">
        <v>3575</v>
      </c>
      <c r="AE1703" t="b">
        <v>0</v>
      </c>
      <c r="AF1703">
        <v>0</v>
      </c>
      <c r="AG1703" s="78" t="s">
        <v>4639</v>
      </c>
      <c r="AH1703" t="b">
        <v>0</v>
      </c>
      <c r="AI1703" t="s">
        <v>4829</v>
      </c>
      <c r="AK1703" s="78" t="s">
        <v>4640</v>
      </c>
      <c r="AL1703" t="b">
        <v>0</v>
      </c>
      <c r="AM1703">
        <v>0</v>
      </c>
      <c r="AN1703" s="78" t="s">
        <v>4640</v>
      </c>
      <c r="AO1703" s="78" t="s">
        <v>4849</v>
      </c>
      <c r="AP1703" t="b">
        <v>0</v>
      </c>
      <c r="AQ1703" s="78" t="s">
        <v>3575</v>
      </c>
      <c r="AR1703" t="s">
        <v>179</v>
      </c>
      <c r="AS1703">
        <v>0</v>
      </c>
      <c r="AT1703">
        <v>0</v>
      </c>
    </row>
    <row r="1704" spans="1:46" x14ac:dyDescent="0.45">
      <c r="A1704" s="62" t="s">
        <v>338</v>
      </c>
      <c r="B1704" s="62" t="s">
        <v>242</v>
      </c>
      <c r="C1704" s="63"/>
      <c r="D1704" s="64"/>
      <c r="E1704" s="65"/>
      <c r="F1704" s="66"/>
      <c r="G1704" s="63"/>
      <c r="H1704" s="67"/>
      <c r="I1704" s="68"/>
      <c r="J1704" s="68"/>
      <c r="K1704" s="32"/>
      <c r="L1704" s="75"/>
      <c r="M1704" s="75"/>
      <c r="N1704" s="70"/>
      <c r="O1704" t="s">
        <v>1570</v>
      </c>
      <c r="P1704" s="76">
        <v>44958.654687499999</v>
      </c>
      <c r="Q1704" t="s">
        <v>1597</v>
      </c>
      <c r="U1704" s="77" t="str">
        <f>HYPERLINK("https://pbs.twimg.com/media/Fn21cCpaEAIoT8g.jpg")</f>
        <v>https://pbs.twimg.com/media/Fn21cCpaEAIoT8g.jpg</v>
      </c>
      <c r="V1704" s="77" t="str">
        <f>HYPERLINK("https://pbs.twimg.com/media/Fn21cCpaEAIoT8g.jpg")</f>
        <v>https://pbs.twimg.com/media/Fn21cCpaEAIoT8g.jpg</v>
      </c>
      <c r="W1704" s="76">
        <v>44958.654687499999</v>
      </c>
      <c r="X1704" s="80">
        <v>44958</v>
      </c>
      <c r="Y1704" s="78" t="s">
        <v>2559</v>
      </c>
      <c r="Z1704" s="77" t="str">
        <f>HYPERLINK("https://twitter.com/theagent_z/status/1620809891383488517")</f>
        <v>https://twitter.com/theagent_z/status/1620809891383488517</v>
      </c>
      <c r="AC1704" s="78" t="s">
        <v>3576</v>
      </c>
      <c r="AE1704" t="b">
        <v>0</v>
      </c>
      <c r="AF1704">
        <v>0</v>
      </c>
      <c r="AG1704" s="78" t="s">
        <v>4640</v>
      </c>
      <c r="AH1704" t="b">
        <v>0</v>
      </c>
      <c r="AI1704" t="s">
        <v>4829</v>
      </c>
      <c r="AK1704" s="78" t="s">
        <v>4640</v>
      </c>
      <c r="AL1704" t="b">
        <v>0</v>
      </c>
      <c r="AM1704">
        <v>13</v>
      </c>
      <c r="AN1704" s="78" t="s">
        <v>4342</v>
      </c>
      <c r="AO1704" s="78" t="s">
        <v>4849</v>
      </c>
      <c r="AP1704" t="b">
        <v>0</v>
      </c>
      <c r="AQ1704" s="78" t="s">
        <v>4342</v>
      </c>
      <c r="AR1704" t="s">
        <v>179</v>
      </c>
      <c r="AS1704">
        <v>0</v>
      </c>
      <c r="AT1704">
        <v>0</v>
      </c>
    </row>
    <row r="1705" spans="1:46" x14ac:dyDescent="0.45">
      <c r="A1705" s="62" t="s">
        <v>338</v>
      </c>
      <c r="B1705" s="62" t="s">
        <v>992</v>
      </c>
      <c r="C1705" s="63"/>
      <c r="D1705" s="64"/>
      <c r="E1705" s="65"/>
      <c r="F1705" s="66"/>
      <c r="G1705" s="63"/>
      <c r="H1705" s="67"/>
      <c r="I1705" s="68"/>
      <c r="J1705" s="68"/>
      <c r="K1705" s="32"/>
      <c r="L1705" s="75"/>
      <c r="M1705" s="75"/>
      <c r="N1705" s="70"/>
      <c r="O1705" t="s">
        <v>1569</v>
      </c>
      <c r="P1705" s="76">
        <v>44958.654687499999</v>
      </c>
      <c r="Q1705" t="s">
        <v>1597</v>
      </c>
      <c r="U1705" s="77" t="str">
        <f>HYPERLINK("https://pbs.twimg.com/media/Fn21cCpaEAIoT8g.jpg")</f>
        <v>https://pbs.twimg.com/media/Fn21cCpaEAIoT8g.jpg</v>
      </c>
      <c r="V1705" s="77" t="str">
        <f>HYPERLINK("https://pbs.twimg.com/media/Fn21cCpaEAIoT8g.jpg")</f>
        <v>https://pbs.twimg.com/media/Fn21cCpaEAIoT8g.jpg</v>
      </c>
      <c r="W1705" s="76">
        <v>44958.654687499999</v>
      </c>
      <c r="X1705" s="80">
        <v>44958</v>
      </c>
      <c r="Y1705" s="78" t="s">
        <v>2559</v>
      </c>
      <c r="Z1705" s="77" t="str">
        <f>HYPERLINK("https://twitter.com/theagent_z/status/1620809891383488517")</f>
        <v>https://twitter.com/theagent_z/status/1620809891383488517</v>
      </c>
      <c r="AC1705" s="78" t="s">
        <v>3576</v>
      </c>
      <c r="AE1705" t="b">
        <v>0</v>
      </c>
      <c r="AF1705">
        <v>0</v>
      </c>
      <c r="AG1705" s="78" t="s">
        <v>4640</v>
      </c>
      <c r="AH1705" t="b">
        <v>0</v>
      </c>
      <c r="AI1705" t="s">
        <v>4829</v>
      </c>
      <c r="AK1705" s="78" t="s">
        <v>4640</v>
      </c>
      <c r="AL1705" t="b">
        <v>0</v>
      </c>
      <c r="AM1705">
        <v>13</v>
      </c>
      <c r="AN1705" s="78" t="s">
        <v>4342</v>
      </c>
      <c r="AO1705" s="78" t="s">
        <v>4849</v>
      </c>
      <c r="AP1705" t="b">
        <v>0</v>
      </c>
      <c r="AQ1705" s="78" t="s">
        <v>4342</v>
      </c>
      <c r="AR1705" t="s">
        <v>179</v>
      </c>
      <c r="AS1705">
        <v>0</v>
      </c>
      <c r="AT1705">
        <v>0</v>
      </c>
    </row>
    <row r="1706" spans="1:46" x14ac:dyDescent="0.45">
      <c r="A1706" s="62" t="s">
        <v>339</v>
      </c>
      <c r="B1706" s="62" t="s">
        <v>242</v>
      </c>
      <c r="C1706" s="63"/>
      <c r="D1706" s="64"/>
      <c r="E1706" s="65"/>
      <c r="F1706" s="66"/>
      <c r="G1706" s="63"/>
      <c r="H1706" s="67"/>
      <c r="I1706" s="68"/>
      <c r="J1706" s="68"/>
      <c r="K1706" s="32"/>
      <c r="L1706" s="75"/>
      <c r="M1706" s="75"/>
      <c r="N1706" s="70"/>
      <c r="O1706" t="s">
        <v>1567</v>
      </c>
      <c r="P1706" s="76">
        <v>44958.654722222222</v>
      </c>
      <c r="Q1706" t="s">
        <v>1685</v>
      </c>
      <c r="V1706" s="77" t="str">
        <f>HYPERLINK("https://pbs.twimg.com/profile_images/1614444601732993029/l8UIK5jF_normal.jpg")</f>
        <v>https://pbs.twimg.com/profile_images/1614444601732993029/l8UIK5jF_normal.jpg</v>
      </c>
      <c r="W1706" s="76">
        <v>44958.654722222222</v>
      </c>
      <c r="X1706" s="80">
        <v>44958</v>
      </c>
      <c r="Y1706" s="78" t="s">
        <v>2560</v>
      </c>
      <c r="Z1706" s="77" t="str">
        <f>HYPERLINK("https://twitter.com/reniismuvaa/status/1620809900426432512")</f>
        <v>https://twitter.com/reniismuvaa/status/1620809900426432512</v>
      </c>
      <c r="AC1706" s="78" t="s">
        <v>3577</v>
      </c>
      <c r="AE1706" t="b">
        <v>0</v>
      </c>
      <c r="AF1706">
        <v>0</v>
      </c>
      <c r="AG1706" s="78" t="s">
        <v>4639</v>
      </c>
      <c r="AH1706" t="b">
        <v>0</v>
      </c>
      <c r="AI1706" t="s">
        <v>4829</v>
      </c>
      <c r="AK1706" s="78" t="s">
        <v>4640</v>
      </c>
      <c r="AL1706" t="b">
        <v>0</v>
      </c>
      <c r="AM1706">
        <v>0</v>
      </c>
      <c r="AN1706" s="78" t="s">
        <v>4640</v>
      </c>
      <c r="AO1706" s="78" t="s">
        <v>4849</v>
      </c>
      <c r="AP1706" t="b">
        <v>0</v>
      </c>
      <c r="AQ1706" s="78" t="s">
        <v>3577</v>
      </c>
      <c r="AR1706" t="s">
        <v>179</v>
      </c>
      <c r="AS1706">
        <v>0</v>
      </c>
      <c r="AT1706">
        <v>0</v>
      </c>
    </row>
    <row r="1707" spans="1:46" x14ac:dyDescent="0.45">
      <c r="A1707" s="62" t="s">
        <v>340</v>
      </c>
      <c r="B1707" s="62" t="s">
        <v>1228</v>
      </c>
      <c r="C1707" s="63"/>
      <c r="D1707" s="64"/>
      <c r="E1707" s="65"/>
      <c r="F1707" s="66"/>
      <c r="G1707" s="63"/>
      <c r="H1707" s="67"/>
      <c r="I1707" s="68"/>
      <c r="J1707" s="68"/>
      <c r="K1707" s="32"/>
      <c r="L1707" s="75"/>
      <c r="M1707" s="75"/>
      <c r="N1707" s="70"/>
      <c r="O1707" t="s">
        <v>1568</v>
      </c>
      <c r="P1707" s="76">
        <v>44958.655231481483</v>
      </c>
      <c r="Q1707" t="s">
        <v>1686</v>
      </c>
      <c r="V1707" s="77" t="str">
        <f>HYPERLINK("https://pbs.twimg.com/profile_images/1611886206458929153/IzYCmpyc_normal.jpg")</f>
        <v>https://pbs.twimg.com/profile_images/1611886206458929153/IzYCmpyc_normal.jpg</v>
      </c>
      <c r="W1707" s="76">
        <v>44958.655231481483</v>
      </c>
      <c r="X1707" s="80">
        <v>44958</v>
      </c>
      <c r="Y1707" s="78" t="s">
        <v>2561</v>
      </c>
      <c r="Z1707" s="77" t="str">
        <f>HYPERLINK("https://twitter.com/jayhors/status/1620810087269793793")</f>
        <v>https://twitter.com/jayhors/status/1620810087269793793</v>
      </c>
      <c r="AC1707" s="78" t="s">
        <v>3578</v>
      </c>
      <c r="AD1707" s="78" t="s">
        <v>4532</v>
      </c>
      <c r="AE1707" t="b">
        <v>0</v>
      </c>
      <c r="AF1707">
        <v>0</v>
      </c>
      <c r="AG1707" s="78" t="s">
        <v>4683</v>
      </c>
      <c r="AH1707" t="b">
        <v>0</v>
      </c>
      <c r="AI1707" t="s">
        <v>4829</v>
      </c>
      <c r="AK1707" s="78" t="s">
        <v>4640</v>
      </c>
      <c r="AL1707" t="b">
        <v>0</v>
      </c>
      <c r="AM1707">
        <v>0</v>
      </c>
      <c r="AN1707" s="78" t="s">
        <v>4640</v>
      </c>
      <c r="AO1707" s="78" t="s">
        <v>4849</v>
      </c>
      <c r="AP1707" t="b">
        <v>0</v>
      </c>
      <c r="AQ1707" s="78" t="s">
        <v>4532</v>
      </c>
      <c r="AR1707" t="s">
        <v>179</v>
      </c>
      <c r="AS1707">
        <v>0</v>
      </c>
      <c r="AT1707">
        <v>0</v>
      </c>
    </row>
    <row r="1708" spans="1:46" x14ac:dyDescent="0.45">
      <c r="A1708" s="62" t="s">
        <v>340</v>
      </c>
      <c r="B1708" s="62" t="s">
        <v>1229</v>
      </c>
      <c r="C1708" s="63"/>
      <c r="D1708" s="64"/>
      <c r="E1708" s="65"/>
      <c r="F1708" s="66"/>
      <c r="G1708" s="63"/>
      <c r="H1708" s="67"/>
      <c r="I1708" s="68"/>
      <c r="J1708" s="68"/>
      <c r="K1708" s="32"/>
      <c r="L1708" s="75"/>
      <c r="M1708" s="75"/>
      <c r="N1708" s="70"/>
      <c r="O1708" t="s">
        <v>1567</v>
      </c>
      <c r="P1708" s="76">
        <v>44958.655231481483</v>
      </c>
      <c r="Q1708" t="s">
        <v>1686</v>
      </c>
      <c r="V1708" s="77" t="str">
        <f>HYPERLINK("https://pbs.twimg.com/profile_images/1611886206458929153/IzYCmpyc_normal.jpg")</f>
        <v>https://pbs.twimg.com/profile_images/1611886206458929153/IzYCmpyc_normal.jpg</v>
      </c>
      <c r="W1708" s="76">
        <v>44958.655231481483</v>
      </c>
      <c r="X1708" s="80">
        <v>44958</v>
      </c>
      <c r="Y1708" s="78" t="s">
        <v>2561</v>
      </c>
      <c r="Z1708" s="77" t="str">
        <f>HYPERLINK("https://twitter.com/jayhors/status/1620810087269793793")</f>
        <v>https://twitter.com/jayhors/status/1620810087269793793</v>
      </c>
      <c r="AC1708" s="78" t="s">
        <v>3578</v>
      </c>
      <c r="AD1708" s="78" t="s">
        <v>4532</v>
      </c>
      <c r="AE1708" t="b">
        <v>0</v>
      </c>
      <c r="AF1708">
        <v>0</v>
      </c>
      <c r="AG1708" s="78" t="s">
        <v>4683</v>
      </c>
      <c r="AH1708" t="b">
        <v>0</v>
      </c>
      <c r="AI1708" t="s">
        <v>4829</v>
      </c>
      <c r="AK1708" s="78" t="s">
        <v>4640</v>
      </c>
      <c r="AL1708" t="b">
        <v>0</v>
      </c>
      <c r="AM1708">
        <v>0</v>
      </c>
      <c r="AN1708" s="78" t="s">
        <v>4640</v>
      </c>
      <c r="AO1708" s="78" t="s">
        <v>4849</v>
      </c>
      <c r="AP1708" t="b">
        <v>0</v>
      </c>
      <c r="AQ1708" s="78" t="s">
        <v>4532</v>
      </c>
      <c r="AR1708" t="s">
        <v>179</v>
      </c>
      <c r="AS1708">
        <v>0</v>
      </c>
      <c r="AT1708">
        <v>0</v>
      </c>
    </row>
    <row r="1709" spans="1:46" x14ac:dyDescent="0.45">
      <c r="A1709" s="62" t="s">
        <v>340</v>
      </c>
      <c r="B1709" s="62" t="s">
        <v>242</v>
      </c>
      <c r="C1709" s="63"/>
      <c r="D1709" s="64"/>
      <c r="E1709" s="65"/>
      <c r="F1709" s="66"/>
      <c r="G1709" s="63"/>
      <c r="H1709" s="67"/>
      <c r="I1709" s="68"/>
      <c r="J1709" s="68"/>
      <c r="K1709" s="32"/>
      <c r="L1709" s="75"/>
      <c r="M1709" s="75"/>
      <c r="N1709" s="70"/>
      <c r="O1709" t="s">
        <v>1568</v>
      </c>
      <c r="P1709" s="76">
        <v>44958.655231481483</v>
      </c>
      <c r="Q1709" t="s">
        <v>1686</v>
      </c>
      <c r="V1709" s="77" t="str">
        <f>HYPERLINK("https://pbs.twimg.com/profile_images/1611886206458929153/IzYCmpyc_normal.jpg")</f>
        <v>https://pbs.twimg.com/profile_images/1611886206458929153/IzYCmpyc_normal.jpg</v>
      </c>
      <c r="W1709" s="76">
        <v>44958.655231481483</v>
      </c>
      <c r="X1709" s="80">
        <v>44958</v>
      </c>
      <c r="Y1709" s="78" t="s">
        <v>2561</v>
      </c>
      <c r="Z1709" s="77" t="str">
        <f>HYPERLINK("https://twitter.com/jayhors/status/1620810087269793793")</f>
        <v>https://twitter.com/jayhors/status/1620810087269793793</v>
      </c>
      <c r="AC1709" s="78" t="s">
        <v>3578</v>
      </c>
      <c r="AD1709" s="78" t="s">
        <v>4532</v>
      </c>
      <c r="AE1709" t="b">
        <v>0</v>
      </c>
      <c r="AF1709">
        <v>0</v>
      </c>
      <c r="AG1709" s="78" t="s">
        <v>4683</v>
      </c>
      <c r="AH1709" t="b">
        <v>0</v>
      </c>
      <c r="AI1709" t="s">
        <v>4829</v>
      </c>
      <c r="AK1709" s="78" t="s">
        <v>4640</v>
      </c>
      <c r="AL1709" t="b">
        <v>0</v>
      </c>
      <c r="AM1709">
        <v>0</v>
      </c>
      <c r="AN1709" s="78" t="s">
        <v>4640</v>
      </c>
      <c r="AO1709" s="78" t="s">
        <v>4849</v>
      </c>
      <c r="AP1709" t="b">
        <v>0</v>
      </c>
      <c r="AQ1709" s="78" t="s">
        <v>4532</v>
      </c>
      <c r="AR1709" t="s">
        <v>179</v>
      </c>
      <c r="AS1709">
        <v>0</v>
      </c>
      <c r="AT1709">
        <v>0</v>
      </c>
    </row>
    <row r="1710" spans="1:46" x14ac:dyDescent="0.45">
      <c r="A1710" s="62" t="s">
        <v>344</v>
      </c>
      <c r="B1710" s="62" t="s">
        <v>1159</v>
      </c>
      <c r="C1710" s="63"/>
      <c r="D1710" s="64"/>
      <c r="E1710" s="65"/>
      <c r="F1710" s="66"/>
      <c r="G1710" s="63"/>
      <c r="H1710" s="67"/>
      <c r="I1710" s="68"/>
      <c r="J1710" s="68"/>
      <c r="K1710" s="32"/>
      <c r="L1710" s="75"/>
      <c r="M1710" s="75"/>
      <c r="N1710" s="70"/>
      <c r="O1710" t="s">
        <v>1568</v>
      </c>
      <c r="P1710" s="76">
        <v>44958.661678240744</v>
      </c>
      <c r="Q1710" t="s">
        <v>1689</v>
      </c>
      <c r="V1710" s="77" t="str">
        <f>HYPERLINK("https://pbs.twimg.com/profile_images/1618273909710770177/E147gf2V_normal.jpg")</f>
        <v>https://pbs.twimg.com/profile_images/1618273909710770177/E147gf2V_normal.jpg</v>
      </c>
      <c r="W1710" s="76">
        <v>44958.661678240744</v>
      </c>
      <c r="X1710" s="80">
        <v>44958</v>
      </c>
      <c r="Y1710" s="78" t="s">
        <v>2565</v>
      </c>
      <c r="Z1710" s="77" t="str">
        <f>HYPERLINK("https://twitter.com/gregor44kris/status/1620812422641774593")</f>
        <v>https://twitter.com/gregor44kris/status/1620812422641774593</v>
      </c>
      <c r="AC1710" s="78" t="s">
        <v>3582</v>
      </c>
      <c r="AE1710" t="b">
        <v>0</v>
      </c>
      <c r="AF1710">
        <v>0</v>
      </c>
      <c r="AG1710" s="78" t="s">
        <v>4639</v>
      </c>
      <c r="AH1710" t="b">
        <v>0</v>
      </c>
      <c r="AI1710" t="s">
        <v>4829</v>
      </c>
      <c r="AK1710" s="78" t="s">
        <v>4640</v>
      </c>
      <c r="AL1710" t="b">
        <v>0</v>
      </c>
      <c r="AM1710">
        <v>0</v>
      </c>
      <c r="AN1710" s="78" t="s">
        <v>4640</v>
      </c>
      <c r="AO1710" s="78" t="s">
        <v>4849</v>
      </c>
      <c r="AP1710" t="b">
        <v>0</v>
      </c>
      <c r="AQ1710" s="78" t="s">
        <v>3582</v>
      </c>
      <c r="AR1710" t="s">
        <v>179</v>
      </c>
      <c r="AS1710">
        <v>0</v>
      </c>
      <c r="AT1710">
        <v>0</v>
      </c>
    </row>
    <row r="1711" spans="1:46" x14ac:dyDescent="0.45">
      <c r="A1711" s="62" t="s">
        <v>344</v>
      </c>
      <c r="B1711" s="62" t="s">
        <v>242</v>
      </c>
      <c r="C1711" s="63"/>
      <c r="D1711" s="64"/>
      <c r="E1711" s="65"/>
      <c r="F1711" s="66"/>
      <c r="G1711" s="63"/>
      <c r="H1711" s="67"/>
      <c r="I1711" s="68"/>
      <c r="J1711" s="68"/>
      <c r="K1711" s="32"/>
      <c r="L1711" s="75"/>
      <c r="M1711" s="75"/>
      <c r="N1711" s="70"/>
      <c r="O1711" t="s">
        <v>1567</v>
      </c>
      <c r="P1711" s="76">
        <v>44958.661678240744</v>
      </c>
      <c r="Q1711" t="s">
        <v>1689</v>
      </c>
      <c r="V1711" s="77" t="str">
        <f>HYPERLINK("https://pbs.twimg.com/profile_images/1618273909710770177/E147gf2V_normal.jpg")</f>
        <v>https://pbs.twimg.com/profile_images/1618273909710770177/E147gf2V_normal.jpg</v>
      </c>
      <c r="W1711" s="76">
        <v>44958.661678240744</v>
      </c>
      <c r="X1711" s="80">
        <v>44958</v>
      </c>
      <c r="Y1711" s="78" t="s">
        <v>2565</v>
      </c>
      <c r="Z1711" s="77" t="str">
        <f>HYPERLINK("https://twitter.com/gregor44kris/status/1620812422641774593")</f>
        <v>https://twitter.com/gregor44kris/status/1620812422641774593</v>
      </c>
      <c r="AC1711" s="78" t="s">
        <v>3582</v>
      </c>
      <c r="AE1711" t="b">
        <v>0</v>
      </c>
      <c r="AF1711">
        <v>0</v>
      </c>
      <c r="AG1711" s="78" t="s">
        <v>4639</v>
      </c>
      <c r="AH1711" t="b">
        <v>0</v>
      </c>
      <c r="AI1711" t="s">
        <v>4829</v>
      </c>
      <c r="AK1711" s="78" t="s">
        <v>4640</v>
      </c>
      <c r="AL1711" t="b">
        <v>0</v>
      </c>
      <c r="AM1711">
        <v>0</v>
      </c>
      <c r="AN1711" s="78" t="s">
        <v>4640</v>
      </c>
      <c r="AO1711" s="78" t="s">
        <v>4849</v>
      </c>
      <c r="AP1711" t="b">
        <v>0</v>
      </c>
      <c r="AQ1711" s="78" t="s">
        <v>3582</v>
      </c>
      <c r="AR1711" t="s">
        <v>179</v>
      </c>
      <c r="AS1711">
        <v>0</v>
      </c>
      <c r="AT1711">
        <v>0</v>
      </c>
    </row>
    <row r="1712" spans="1:46" x14ac:dyDescent="0.45">
      <c r="A1712" s="62" t="s">
        <v>345</v>
      </c>
      <c r="B1712" s="62" t="s">
        <v>242</v>
      </c>
      <c r="C1712" s="63"/>
      <c r="D1712" s="64"/>
      <c r="E1712" s="65"/>
      <c r="F1712" s="66"/>
      <c r="G1712" s="63"/>
      <c r="H1712" s="67"/>
      <c r="I1712" s="68"/>
      <c r="J1712" s="68"/>
      <c r="K1712" s="32"/>
      <c r="L1712" s="75"/>
      <c r="M1712" s="75"/>
      <c r="N1712" s="70"/>
      <c r="O1712" t="s">
        <v>1568</v>
      </c>
      <c r="P1712" s="76">
        <v>44958.66611111111</v>
      </c>
      <c r="Q1712" t="s">
        <v>1690</v>
      </c>
      <c r="U1712" s="77" t="str">
        <f>HYPERLINK("https://pbs.twimg.com/media/Fn5JwtgXkAAv7hY.jpg")</f>
        <v>https://pbs.twimg.com/media/Fn5JwtgXkAAv7hY.jpg</v>
      </c>
      <c r="V1712" s="77" t="str">
        <f>HYPERLINK("https://pbs.twimg.com/media/Fn5JwtgXkAAv7hY.jpg")</f>
        <v>https://pbs.twimg.com/media/Fn5JwtgXkAAv7hY.jpg</v>
      </c>
      <c r="W1712" s="76">
        <v>44958.66611111111</v>
      </c>
      <c r="X1712" s="80">
        <v>44958</v>
      </c>
      <c r="Y1712" s="78" t="s">
        <v>2566</v>
      </c>
      <c r="Z1712" s="77" t="str">
        <f>HYPERLINK("https://twitter.com/jamalsm61856492/status/1620814028905009152")</f>
        <v>https://twitter.com/jamalsm61856492/status/1620814028905009152</v>
      </c>
      <c r="AC1712" s="78" t="s">
        <v>3583</v>
      </c>
      <c r="AE1712" t="b">
        <v>0</v>
      </c>
      <c r="AF1712">
        <v>0</v>
      </c>
      <c r="AG1712" s="78" t="s">
        <v>4640</v>
      </c>
      <c r="AH1712" t="b">
        <v>0</v>
      </c>
      <c r="AI1712" t="s">
        <v>4829</v>
      </c>
      <c r="AK1712" s="78" t="s">
        <v>4640</v>
      </c>
      <c r="AL1712" t="b">
        <v>0</v>
      </c>
      <c r="AM1712">
        <v>0</v>
      </c>
      <c r="AN1712" s="78" t="s">
        <v>4640</v>
      </c>
      <c r="AO1712" s="78" t="s">
        <v>4850</v>
      </c>
      <c r="AP1712" t="b">
        <v>0</v>
      </c>
      <c r="AQ1712" s="78" t="s">
        <v>3583</v>
      </c>
      <c r="AR1712" t="s">
        <v>179</v>
      </c>
      <c r="AS1712">
        <v>0</v>
      </c>
      <c r="AT1712">
        <v>0</v>
      </c>
    </row>
    <row r="1713" spans="1:46" x14ac:dyDescent="0.45">
      <c r="A1713" s="62" t="s">
        <v>348</v>
      </c>
      <c r="B1713" s="62" t="s">
        <v>1230</v>
      </c>
      <c r="C1713" s="63"/>
      <c r="D1713" s="64"/>
      <c r="E1713" s="65"/>
      <c r="F1713" s="66"/>
      <c r="G1713" s="63"/>
      <c r="H1713" s="67"/>
      <c r="I1713" s="68"/>
      <c r="J1713" s="68"/>
      <c r="K1713" s="32"/>
      <c r="L1713" s="75"/>
      <c r="M1713" s="75"/>
      <c r="N1713" s="70"/>
      <c r="O1713" t="s">
        <v>1570</v>
      </c>
      <c r="P1713" s="76">
        <v>44958.670381944445</v>
      </c>
      <c r="Q1713" t="s">
        <v>1693</v>
      </c>
      <c r="V1713" s="77" t="str">
        <f>HYPERLINK("https://abs.twimg.com/sticky/default_profile_images/default_profile_normal.png")</f>
        <v>https://abs.twimg.com/sticky/default_profile_images/default_profile_normal.png</v>
      </c>
      <c r="W1713" s="76">
        <v>44958.670381944445</v>
      </c>
      <c r="X1713" s="80">
        <v>44958</v>
      </c>
      <c r="Y1713" s="78" t="s">
        <v>2569</v>
      </c>
      <c r="Z1713" s="77" t="str">
        <f>HYPERLINK("https://twitter.com/khriswitta/status/1620815575248404483")</f>
        <v>https://twitter.com/khriswitta/status/1620815575248404483</v>
      </c>
      <c r="AC1713" s="78" t="s">
        <v>3586</v>
      </c>
      <c r="AE1713" t="b">
        <v>0</v>
      </c>
      <c r="AF1713">
        <v>0</v>
      </c>
      <c r="AG1713" s="78" t="s">
        <v>4640</v>
      </c>
      <c r="AH1713" t="b">
        <v>0</v>
      </c>
      <c r="AI1713" t="s">
        <v>4829</v>
      </c>
      <c r="AK1713" s="78" t="s">
        <v>4640</v>
      </c>
      <c r="AL1713" t="b">
        <v>0</v>
      </c>
      <c r="AM1713">
        <v>162</v>
      </c>
      <c r="AN1713" s="78" t="s">
        <v>4473</v>
      </c>
      <c r="AO1713" s="78" t="s">
        <v>4849</v>
      </c>
      <c r="AP1713" t="b">
        <v>0</v>
      </c>
      <c r="AQ1713" s="78" t="s">
        <v>4473</v>
      </c>
      <c r="AR1713" t="s">
        <v>179</v>
      </c>
      <c r="AS1713">
        <v>0</v>
      </c>
      <c r="AT1713">
        <v>0</v>
      </c>
    </row>
    <row r="1714" spans="1:46" x14ac:dyDescent="0.45">
      <c r="A1714" s="62" t="s">
        <v>348</v>
      </c>
      <c r="B1714" s="62" t="s">
        <v>242</v>
      </c>
      <c r="C1714" s="63"/>
      <c r="D1714" s="64"/>
      <c r="E1714" s="65"/>
      <c r="F1714" s="66"/>
      <c r="G1714" s="63"/>
      <c r="H1714" s="67"/>
      <c r="I1714" s="68"/>
      <c r="J1714" s="68"/>
      <c r="K1714" s="32"/>
      <c r="L1714" s="75"/>
      <c r="M1714" s="75"/>
      <c r="N1714" s="70"/>
      <c r="O1714" t="s">
        <v>1569</v>
      </c>
      <c r="P1714" s="76">
        <v>44958.670381944445</v>
      </c>
      <c r="Q1714" t="s">
        <v>1693</v>
      </c>
      <c r="V1714" s="77" t="str">
        <f>HYPERLINK("https://abs.twimg.com/sticky/default_profile_images/default_profile_normal.png")</f>
        <v>https://abs.twimg.com/sticky/default_profile_images/default_profile_normal.png</v>
      </c>
      <c r="W1714" s="76">
        <v>44958.670381944445</v>
      </c>
      <c r="X1714" s="80">
        <v>44958</v>
      </c>
      <c r="Y1714" s="78" t="s">
        <v>2569</v>
      </c>
      <c r="Z1714" s="77" t="str">
        <f>HYPERLINK("https://twitter.com/khriswitta/status/1620815575248404483")</f>
        <v>https://twitter.com/khriswitta/status/1620815575248404483</v>
      </c>
      <c r="AC1714" s="78" t="s">
        <v>3586</v>
      </c>
      <c r="AE1714" t="b">
        <v>0</v>
      </c>
      <c r="AF1714">
        <v>0</v>
      </c>
      <c r="AG1714" s="78" t="s">
        <v>4640</v>
      </c>
      <c r="AH1714" t="b">
        <v>0</v>
      </c>
      <c r="AI1714" t="s">
        <v>4829</v>
      </c>
      <c r="AK1714" s="78" t="s">
        <v>4640</v>
      </c>
      <c r="AL1714" t="b">
        <v>0</v>
      </c>
      <c r="AM1714">
        <v>162</v>
      </c>
      <c r="AN1714" s="78" t="s">
        <v>4473</v>
      </c>
      <c r="AO1714" s="78" t="s">
        <v>4849</v>
      </c>
      <c r="AP1714" t="b">
        <v>0</v>
      </c>
      <c r="AQ1714" s="78" t="s">
        <v>4473</v>
      </c>
      <c r="AR1714" t="s">
        <v>179</v>
      </c>
      <c r="AS1714">
        <v>0</v>
      </c>
      <c r="AT1714">
        <v>0</v>
      </c>
    </row>
    <row r="1715" spans="1:46" x14ac:dyDescent="0.45">
      <c r="A1715" s="62" t="s">
        <v>349</v>
      </c>
      <c r="B1715" s="62" t="s">
        <v>1230</v>
      </c>
      <c r="C1715" s="63"/>
      <c r="D1715" s="64"/>
      <c r="E1715" s="65"/>
      <c r="F1715" s="66"/>
      <c r="G1715" s="63"/>
      <c r="H1715" s="67"/>
      <c r="I1715" s="68"/>
      <c r="J1715" s="68"/>
      <c r="K1715" s="32"/>
      <c r="L1715" s="75"/>
      <c r="M1715" s="75"/>
      <c r="N1715" s="70"/>
      <c r="O1715" t="s">
        <v>1570</v>
      </c>
      <c r="P1715" s="76">
        <v>44958.670520833337</v>
      </c>
      <c r="Q1715" t="s">
        <v>1693</v>
      </c>
      <c r="V1715" s="77" t="str">
        <f>HYPERLINK("https://pbs.twimg.com/profile_images/1442300308923686921/PXXD5MAq_normal.jpg")</f>
        <v>https://pbs.twimg.com/profile_images/1442300308923686921/PXXD5MAq_normal.jpg</v>
      </c>
      <c r="W1715" s="76">
        <v>44958.670520833337</v>
      </c>
      <c r="X1715" s="80">
        <v>44958</v>
      </c>
      <c r="Y1715" s="78" t="s">
        <v>2570</v>
      </c>
      <c r="Z1715" s="77" t="str">
        <f>HYPERLINK("https://twitter.com/eaglesfan12234/status/1620815628000182273")</f>
        <v>https://twitter.com/eaglesfan12234/status/1620815628000182273</v>
      </c>
      <c r="AC1715" s="78" t="s">
        <v>3587</v>
      </c>
      <c r="AE1715" t="b">
        <v>0</v>
      </c>
      <c r="AF1715">
        <v>0</v>
      </c>
      <c r="AG1715" s="78" t="s">
        <v>4640</v>
      </c>
      <c r="AH1715" t="b">
        <v>0</v>
      </c>
      <c r="AI1715" t="s">
        <v>4829</v>
      </c>
      <c r="AK1715" s="78" t="s">
        <v>4640</v>
      </c>
      <c r="AL1715" t="b">
        <v>0</v>
      </c>
      <c r="AM1715">
        <v>162</v>
      </c>
      <c r="AN1715" s="78" t="s">
        <v>4473</v>
      </c>
      <c r="AO1715" s="78" t="s">
        <v>4849</v>
      </c>
      <c r="AP1715" t="b">
        <v>0</v>
      </c>
      <c r="AQ1715" s="78" t="s">
        <v>4473</v>
      </c>
      <c r="AR1715" t="s">
        <v>179</v>
      </c>
      <c r="AS1715">
        <v>0</v>
      </c>
      <c r="AT1715">
        <v>0</v>
      </c>
    </row>
    <row r="1716" spans="1:46" x14ac:dyDescent="0.45">
      <c r="A1716" s="62" t="s">
        <v>349</v>
      </c>
      <c r="B1716" s="62" t="s">
        <v>242</v>
      </c>
      <c r="C1716" s="63"/>
      <c r="D1716" s="64"/>
      <c r="E1716" s="65"/>
      <c r="F1716" s="66"/>
      <c r="G1716" s="63"/>
      <c r="H1716" s="67"/>
      <c r="I1716" s="68"/>
      <c r="J1716" s="68"/>
      <c r="K1716" s="32"/>
      <c r="L1716" s="75"/>
      <c r="M1716" s="75"/>
      <c r="N1716" s="70"/>
      <c r="O1716" t="s">
        <v>1569</v>
      </c>
      <c r="P1716" s="76">
        <v>44958.670520833337</v>
      </c>
      <c r="Q1716" t="s">
        <v>1693</v>
      </c>
      <c r="V1716" s="77" t="str">
        <f>HYPERLINK("https://pbs.twimg.com/profile_images/1442300308923686921/PXXD5MAq_normal.jpg")</f>
        <v>https://pbs.twimg.com/profile_images/1442300308923686921/PXXD5MAq_normal.jpg</v>
      </c>
      <c r="W1716" s="76">
        <v>44958.670520833337</v>
      </c>
      <c r="X1716" s="80">
        <v>44958</v>
      </c>
      <c r="Y1716" s="78" t="s">
        <v>2570</v>
      </c>
      <c r="Z1716" s="77" t="str">
        <f>HYPERLINK("https://twitter.com/eaglesfan12234/status/1620815628000182273")</f>
        <v>https://twitter.com/eaglesfan12234/status/1620815628000182273</v>
      </c>
      <c r="AC1716" s="78" t="s">
        <v>3587</v>
      </c>
      <c r="AE1716" t="b">
        <v>0</v>
      </c>
      <c r="AF1716">
        <v>0</v>
      </c>
      <c r="AG1716" s="78" t="s">
        <v>4640</v>
      </c>
      <c r="AH1716" t="b">
        <v>0</v>
      </c>
      <c r="AI1716" t="s">
        <v>4829</v>
      </c>
      <c r="AK1716" s="78" t="s">
        <v>4640</v>
      </c>
      <c r="AL1716" t="b">
        <v>0</v>
      </c>
      <c r="AM1716">
        <v>162</v>
      </c>
      <c r="AN1716" s="78" t="s">
        <v>4473</v>
      </c>
      <c r="AO1716" s="78" t="s">
        <v>4849</v>
      </c>
      <c r="AP1716" t="b">
        <v>0</v>
      </c>
      <c r="AQ1716" s="78" t="s">
        <v>4473</v>
      </c>
      <c r="AR1716" t="s">
        <v>179</v>
      </c>
      <c r="AS1716">
        <v>0</v>
      </c>
      <c r="AT1716">
        <v>0</v>
      </c>
    </row>
    <row r="1717" spans="1:46" x14ac:dyDescent="0.45">
      <c r="A1717" s="62" t="s">
        <v>350</v>
      </c>
      <c r="B1717" s="62" t="s">
        <v>1230</v>
      </c>
      <c r="C1717" s="63"/>
      <c r="D1717" s="64"/>
      <c r="E1717" s="65"/>
      <c r="F1717" s="66"/>
      <c r="G1717" s="63"/>
      <c r="H1717" s="67"/>
      <c r="I1717" s="68"/>
      <c r="J1717" s="68"/>
      <c r="K1717" s="32"/>
      <c r="L1717" s="75"/>
      <c r="M1717" s="75"/>
      <c r="N1717" s="70"/>
      <c r="O1717" t="s">
        <v>1570</v>
      </c>
      <c r="P1717" s="76">
        <v>44958.670775462961</v>
      </c>
      <c r="Q1717" t="s">
        <v>1693</v>
      </c>
      <c r="V1717" s="77" t="str">
        <f>HYPERLINK("https://pbs.twimg.com/profile_images/1559632910856200192/Bjoequoy_normal.jpg")</f>
        <v>https://pbs.twimg.com/profile_images/1559632910856200192/Bjoequoy_normal.jpg</v>
      </c>
      <c r="W1717" s="76">
        <v>44958.670775462961</v>
      </c>
      <c r="X1717" s="80">
        <v>44958</v>
      </c>
      <c r="Y1717" s="78" t="s">
        <v>2571</v>
      </c>
      <c r="Z1717" s="77" t="str">
        <f>HYPERLINK("https://twitter.com/yvonneevans411/status/1620815719930920960")</f>
        <v>https://twitter.com/yvonneevans411/status/1620815719930920960</v>
      </c>
      <c r="AC1717" s="78" t="s">
        <v>3588</v>
      </c>
      <c r="AE1717" t="b">
        <v>0</v>
      </c>
      <c r="AF1717">
        <v>0</v>
      </c>
      <c r="AG1717" s="78" t="s">
        <v>4640</v>
      </c>
      <c r="AH1717" t="b">
        <v>0</v>
      </c>
      <c r="AI1717" t="s">
        <v>4829</v>
      </c>
      <c r="AK1717" s="78" t="s">
        <v>4640</v>
      </c>
      <c r="AL1717" t="b">
        <v>0</v>
      </c>
      <c r="AM1717">
        <v>162</v>
      </c>
      <c r="AN1717" s="78" t="s">
        <v>4473</v>
      </c>
      <c r="AO1717" s="78" t="s">
        <v>4852</v>
      </c>
      <c r="AP1717" t="b">
        <v>0</v>
      </c>
      <c r="AQ1717" s="78" t="s">
        <v>4473</v>
      </c>
      <c r="AR1717" t="s">
        <v>179</v>
      </c>
      <c r="AS1717">
        <v>0</v>
      </c>
      <c r="AT1717">
        <v>0</v>
      </c>
    </row>
    <row r="1718" spans="1:46" x14ac:dyDescent="0.45">
      <c r="A1718" s="62" t="s">
        <v>350</v>
      </c>
      <c r="B1718" s="62" t="s">
        <v>242</v>
      </c>
      <c r="C1718" s="63"/>
      <c r="D1718" s="64"/>
      <c r="E1718" s="65"/>
      <c r="F1718" s="66"/>
      <c r="G1718" s="63"/>
      <c r="H1718" s="67"/>
      <c r="I1718" s="68"/>
      <c r="J1718" s="68"/>
      <c r="K1718" s="32"/>
      <c r="L1718" s="75"/>
      <c r="M1718" s="75"/>
      <c r="N1718" s="70"/>
      <c r="O1718" t="s">
        <v>1569</v>
      </c>
      <c r="P1718" s="76">
        <v>44958.670775462961</v>
      </c>
      <c r="Q1718" t="s">
        <v>1693</v>
      </c>
      <c r="V1718" s="77" t="str">
        <f>HYPERLINK("https://pbs.twimg.com/profile_images/1559632910856200192/Bjoequoy_normal.jpg")</f>
        <v>https://pbs.twimg.com/profile_images/1559632910856200192/Bjoequoy_normal.jpg</v>
      </c>
      <c r="W1718" s="76">
        <v>44958.670775462961</v>
      </c>
      <c r="X1718" s="80">
        <v>44958</v>
      </c>
      <c r="Y1718" s="78" t="s">
        <v>2571</v>
      </c>
      <c r="Z1718" s="77" t="str">
        <f>HYPERLINK("https://twitter.com/yvonneevans411/status/1620815719930920960")</f>
        <v>https://twitter.com/yvonneevans411/status/1620815719930920960</v>
      </c>
      <c r="AC1718" s="78" t="s">
        <v>3588</v>
      </c>
      <c r="AE1718" t="b">
        <v>0</v>
      </c>
      <c r="AF1718">
        <v>0</v>
      </c>
      <c r="AG1718" s="78" t="s">
        <v>4640</v>
      </c>
      <c r="AH1718" t="b">
        <v>0</v>
      </c>
      <c r="AI1718" t="s">
        <v>4829</v>
      </c>
      <c r="AK1718" s="78" t="s">
        <v>4640</v>
      </c>
      <c r="AL1718" t="b">
        <v>0</v>
      </c>
      <c r="AM1718">
        <v>162</v>
      </c>
      <c r="AN1718" s="78" t="s">
        <v>4473</v>
      </c>
      <c r="AO1718" s="78" t="s">
        <v>4852</v>
      </c>
      <c r="AP1718" t="b">
        <v>0</v>
      </c>
      <c r="AQ1718" s="78" t="s">
        <v>4473</v>
      </c>
      <c r="AR1718" t="s">
        <v>179</v>
      </c>
      <c r="AS1718">
        <v>0</v>
      </c>
      <c r="AT1718">
        <v>0</v>
      </c>
    </row>
    <row r="1719" spans="1:46" x14ac:dyDescent="0.45">
      <c r="A1719" s="62" t="s">
        <v>355</v>
      </c>
      <c r="B1719" s="62" t="s">
        <v>1230</v>
      </c>
      <c r="C1719" s="63"/>
      <c r="D1719" s="64"/>
      <c r="E1719" s="65"/>
      <c r="F1719" s="66"/>
      <c r="G1719" s="63"/>
      <c r="H1719" s="67"/>
      <c r="I1719" s="68"/>
      <c r="J1719" s="68"/>
      <c r="K1719" s="32"/>
      <c r="L1719" s="75"/>
      <c r="M1719" s="75"/>
      <c r="N1719" s="70"/>
      <c r="O1719" t="s">
        <v>1570</v>
      </c>
      <c r="P1719" s="76">
        <v>44958.672638888886</v>
      </c>
      <c r="Q1719" t="s">
        <v>1693</v>
      </c>
      <c r="V1719" s="77" t="str">
        <f>HYPERLINK("https://pbs.twimg.com/profile_images/329059613/IMG_0572_normal.JPG")</f>
        <v>https://pbs.twimg.com/profile_images/329059613/IMG_0572_normal.JPG</v>
      </c>
      <c r="W1719" s="76">
        <v>44958.672638888886</v>
      </c>
      <c r="X1719" s="80">
        <v>44958</v>
      </c>
      <c r="Y1719" s="78" t="s">
        <v>2576</v>
      </c>
      <c r="Z1719" s="77" t="str">
        <f>HYPERLINK("https://twitter.com/maryluvsmarc/status/1620816394203041794")</f>
        <v>https://twitter.com/maryluvsmarc/status/1620816394203041794</v>
      </c>
      <c r="AC1719" s="78" t="s">
        <v>3593</v>
      </c>
      <c r="AE1719" t="b">
        <v>0</v>
      </c>
      <c r="AF1719">
        <v>0</v>
      </c>
      <c r="AG1719" s="78" t="s">
        <v>4640</v>
      </c>
      <c r="AH1719" t="b">
        <v>0</v>
      </c>
      <c r="AI1719" t="s">
        <v>4829</v>
      </c>
      <c r="AK1719" s="78" t="s">
        <v>4640</v>
      </c>
      <c r="AL1719" t="b">
        <v>0</v>
      </c>
      <c r="AM1719">
        <v>162</v>
      </c>
      <c r="AN1719" s="78" t="s">
        <v>4473</v>
      </c>
      <c r="AO1719" s="78" t="s">
        <v>4849</v>
      </c>
      <c r="AP1719" t="b">
        <v>0</v>
      </c>
      <c r="AQ1719" s="78" t="s">
        <v>4473</v>
      </c>
      <c r="AR1719" t="s">
        <v>179</v>
      </c>
      <c r="AS1719">
        <v>0</v>
      </c>
      <c r="AT1719">
        <v>0</v>
      </c>
    </row>
    <row r="1720" spans="1:46" x14ac:dyDescent="0.45">
      <c r="A1720" s="62" t="s">
        <v>355</v>
      </c>
      <c r="B1720" s="62" t="s">
        <v>242</v>
      </c>
      <c r="C1720" s="63"/>
      <c r="D1720" s="64"/>
      <c r="E1720" s="65"/>
      <c r="F1720" s="66"/>
      <c r="G1720" s="63"/>
      <c r="H1720" s="67"/>
      <c r="I1720" s="68"/>
      <c r="J1720" s="68"/>
      <c r="K1720" s="32"/>
      <c r="L1720" s="75"/>
      <c r="M1720" s="75"/>
      <c r="N1720" s="70"/>
      <c r="O1720" t="s">
        <v>1569</v>
      </c>
      <c r="P1720" s="76">
        <v>44958.672638888886</v>
      </c>
      <c r="Q1720" t="s">
        <v>1693</v>
      </c>
      <c r="V1720" s="77" t="str">
        <f>HYPERLINK("https://pbs.twimg.com/profile_images/329059613/IMG_0572_normal.JPG")</f>
        <v>https://pbs.twimg.com/profile_images/329059613/IMG_0572_normal.JPG</v>
      </c>
      <c r="W1720" s="76">
        <v>44958.672638888886</v>
      </c>
      <c r="X1720" s="80">
        <v>44958</v>
      </c>
      <c r="Y1720" s="78" t="s">
        <v>2576</v>
      </c>
      <c r="Z1720" s="77" t="str">
        <f>HYPERLINK("https://twitter.com/maryluvsmarc/status/1620816394203041794")</f>
        <v>https://twitter.com/maryluvsmarc/status/1620816394203041794</v>
      </c>
      <c r="AC1720" s="78" t="s">
        <v>3593</v>
      </c>
      <c r="AE1720" t="b">
        <v>0</v>
      </c>
      <c r="AF1720">
        <v>0</v>
      </c>
      <c r="AG1720" s="78" t="s">
        <v>4640</v>
      </c>
      <c r="AH1720" t="b">
        <v>0</v>
      </c>
      <c r="AI1720" t="s">
        <v>4829</v>
      </c>
      <c r="AK1720" s="78" t="s">
        <v>4640</v>
      </c>
      <c r="AL1720" t="b">
        <v>0</v>
      </c>
      <c r="AM1720">
        <v>162</v>
      </c>
      <c r="AN1720" s="78" t="s">
        <v>4473</v>
      </c>
      <c r="AO1720" s="78" t="s">
        <v>4849</v>
      </c>
      <c r="AP1720" t="b">
        <v>0</v>
      </c>
      <c r="AQ1720" s="78" t="s">
        <v>4473</v>
      </c>
      <c r="AR1720" t="s">
        <v>179</v>
      </c>
      <c r="AS1720">
        <v>0</v>
      </c>
      <c r="AT1720">
        <v>0</v>
      </c>
    </row>
    <row r="1721" spans="1:46" x14ac:dyDescent="0.45">
      <c r="A1721" s="62" t="s">
        <v>359</v>
      </c>
      <c r="B1721" s="62" t="s">
        <v>242</v>
      </c>
      <c r="C1721" s="63"/>
      <c r="D1721" s="64"/>
      <c r="E1721" s="65"/>
      <c r="F1721" s="66"/>
      <c r="G1721" s="63"/>
      <c r="H1721" s="67"/>
      <c r="I1721" s="68"/>
      <c r="J1721" s="68"/>
      <c r="K1721" s="32"/>
      <c r="L1721" s="75"/>
      <c r="M1721" s="75"/>
      <c r="N1721" s="70"/>
      <c r="O1721" t="s">
        <v>1568</v>
      </c>
      <c r="P1721" s="76">
        <v>44958.678391203706</v>
      </c>
      <c r="Q1721" t="s">
        <v>1699</v>
      </c>
      <c r="V1721" s="77" t="str">
        <f>HYPERLINK("https://pbs.twimg.com/profile_images/1620307216338124800/C4UaqThu_normal.jpg")</f>
        <v>https://pbs.twimg.com/profile_images/1620307216338124800/C4UaqThu_normal.jpg</v>
      </c>
      <c r="W1721" s="76">
        <v>44958.678391203706</v>
      </c>
      <c r="X1721" s="80">
        <v>44958</v>
      </c>
      <c r="Y1721" s="78" t="s">
        <v>2580</v>
      </c>
      <c r="Z1721" s="77" t="str">
        <f>HYPERLINK("https://twitter.com/spreadthatcheek/status/1620818479673933828")</f>
        <v>https://twitter.com/spreadthatcheek/status/1620818479673933828</v>
      </c>
      <c r="AC1721" s="78" t="s">
        <v>3597</v>
      </c>
      <c r="AE1721" t="b">
        <v>0</v>
      </c>
      <c r="AF1721">
        <v>0</v>
      </c>
      <c r="AG1721" s="78" t="s">
        <v>4640</v>
      </c>
      <c r="AH1721" t="b">
        <v>0</v>
      </c>
      <c r="AI1721" t="s">
        <v>4829</v>
      </c>
      <c r="AK1721" s="78" t="s">
        <v>4640</v>
      </c>
      <c r="AL1721" t="b">
        <v>0</v>
      </c>
      <c r="AM1721">
        <v>0</v>
      </c>
      <c r="AN1721" s="78" t="s">
        <v>4640</v>
      </c>
      <c r="AO1721" s="78" t="s">
        <v>4850</v>
      </c>
      <c r="AP1721" t="b">
        <v>0</v>
      </c>
      <c r="AQ1721" s="78" t="s">
        <v>3597</v>
      </c>
      <c r="AR1721" t="s">
        <v>179</v>
      </c>
      <c r="AS1721">
        <v>0</v>
      </c>
      <c r="AT1721">
        <v>0</v>
      </c>
    </row>
    <row r="1722" spans="1:46" x14ac:dyDescent="0.45">
      <c r="A1722" s="62" t="s">
        <v>360</v>
      </c>
      <c r="B1722" s="62" t="s">
        <v>242</v>
      </c>
      <c r="C1722" s="63"/>
      <c r="D1722" s="64"/>
      <c r="E1722" s="65"/>
      <c r="F1722" s="66"/>
      <c r="G1722" s="63"/>
      <c r="H1722" s="67"/>
      <c r="I1722" s="68"/>
      <c r="J1722" s="68"/>
      <c r="K1722" s="32"/>
      <c r="L1722" s="75"/>
      <c r="M1722" s="75"/>
      <c r="N1722" s="70"/>
      <c r="O1722" t="s">
        <v>1567</v>
      </c>
      <c r="P1722" s="76">
        <v>44958.678506944445</v>
      </c>
      <c r="Q1722" t="s">
        <v>1700</v>
      </c>
      <c r="V1722" s="77" t="str">
        <f>HYPERLINK("https://pbs.twimg.com/profile_images/1497581577861320717/mI8FoDA3_normal.jpg")</f>
        <v>https://pbs.twimg.com/profile_images/1497581577861320717/mI8FoDA3_normal.jpg</v>
      </c>
      <c r="W1722" s="76">
        <v>44958.678506944445</v>
      </c>
      <c r="X1722" s="80">
        <v>44958</v>
      </c>
      <c r="Y1722" s="78" t="s">
        <v>2581</v>
      </c>
      <c r="Z1722" s="77" t="str">
        <f>HYPERLINK("https://twitter.com/godoggofishfry1/status/1620818520845205504")</f>
        <v>https://twitter.com/godoggofishfry1/status/1620818520845205504</v>
      </c>
      <c r="AC1722" s="78" t="s">
        <v>3598</v>
      </c>
      <c r="AE1722" t="b">
        <v>0</v>
      </c>
      <c r="AF1722">
        <v>0</v>
      </c>
      <c r="AG1722" s="78" t="s">
        <v>4639</v>
      </c>
      <c r="AH1722" t="b">
        <v>0</v>
      </c>
      <c r="AI1722" t="s">
        <v>4829</v>
      </c>
      <c r="AK1722" s="78" t="s">
        <v>4640</v>
      </c>
      <c r="AL1722" t="b">
        <v>0</v>
      </c>
      <c r="AM1722">
        <v>0</v>
      </c>
      <c r="AN1722" s="78" t="s">
        <v>4640</v>
      </c>
      <c r="AO1722" s="78" t="s">
        <v>4849</v>
      </c>
      <c r="AP1722" t="b">
        <v>0</v>
      </c>
      <c r="AQ1722" s="78" t="s">
        <v>3598</v>
      </c>
      <c r="AR1722" t="s">
        <v>179</v>
      </c>
      <c r="AS1722">
        <v>0</v>
      </c>
      <c r="AT1722">
        <v>0</v>
      </c>
    </row>
    <row r="1723" spans="1:46" x14ac:dyDescent="0.45">
      <c r="A1723" s="62" t="s">
        <v>361</v>
      </c>
      <c r="B1723" s="62" t="s">
        <v>1230</v>
      </c>
      <c r="C1723" s="63"/>
      <c r="D1723" s="64"/>
      <c r="E1723" s="65"/>
      <c r="F1723" s="66"/>
      <c r="G1723" s="63"/>
      <c r="H1723" s="67"/>
      <c r="I1723" s="68"/>
      <c r="J1723" s="68"/>
      <c r="K1723" s="32"/>
      <c r="L1723" s="75"/>
      <c r="M1723" s="75"/>
      <c r="N1723" s="70"/>
      <c r="O1723" t="s">
        <v>1570</v>
      </c>
      <c r="P1723" s="76">
        <v>44958.679537037038</v>
      </c>
      <c r="Q1723" t="s">
        <v>1693</v>
      </c>
      <c r="V1723" s="77" t="str">
        <f>HYPERLINK("https://pbs.twimg.com/profile_images/1595982003433873408/3vHI80Sc_normal.jpg")</f>
        <v>https://pbs.twimg.com/profile_images/1595982003433873408/3vHI80Sc_normal.jpg</v>
      </c>
      <c r="W1723" s="76">
        <v>44958.679537037038</v>
      </c>
      <c r="X1723" s="80">
        <v>44958</v>
      </c>
      <c r="Y1723" s="78" t="s">
        <v>2582</v>
      </c>
      <c r="Z1723" s="77" t="str">
        <f>HYPERLINK("https://twitter.com/brianasheppar13/status/1620818896390602758")</f>
        <v>https://twitter.com/brianasheppar13/status/1620818896390602758</v>
      </c>
      <c r="AC1723" s="78" t="s">
        <v>3599</v>
      </c>
      <c r="AE1723" t="b">
        <v>0</v>
      </c>
      <c r="AF1723">
        <v>0</v>
      </c>
      <c r="AG1723" s="78" t="s">
        <v>4640</v>
      </c>
      <c r="AH1723" t="b">
        <v>0</v>
      </c>
      <c r="AI1723" t="s">
        <v>4829</v>
      </c>
      <c r="AK1723" s="78" t="s">
        <v>4640</v>
      </c>
      <c r="AL1723" t="b">
        <v>0</v>
      </c>
      <c r="AM1723">
        <v>162</v>
      </c>
      <c r="AN1723" s="78" t="s">
        <v>4473</v>
      </c>
      <c r="AO1723" s="78" t="s">
        <v>4850</v>
      </c>
      <c r="AP1723" t="b">
        <v>0</v>
      </c>
      <c r="AQ1723" s="78" t="s">
        <v>4473</v>
      </c>
      <c r="AR1723" t="s">
        <v>179</v>
      </c>
      <c r="AS1723">
        <v>0</v>
      </c>
      <c r="AT1723">
        <v>0</v>
      </c>
    </row>
    <row r="1724" spans="1:46" x14ac:dyDescent="0.45">
      <c r="A1724" s="62" t="s">
        <v>361</v>
      </c>
      <c r="B1724" s="62" t="s">
        <v>242</v>
      </c>
      <c r="C1724" s="63"/>
      <c r="D1724" s="64"/>
      <c r="E1724" s="65"/>
      <c r="F1724" s="66"/>
      <c r="G1724" s="63"/>
      <c r="H1724" s="67"/>
      <c r="I1724" s="68"/>
      <c r="J1724" s="68"/>
      <c r="K1724" s="32"/>
      <c r="L1724" s="75"/>
      <c r="M1724" s="75"/>
      <c r="N1724" s="70"/>
      <c r="O1724" t="s">
        <v>1569</v>
      </c>
      <c r="P1724" s="76">
        <v>44958.679537037038</v>
      </c>
      <c r="Q1724" t="s">
        <v>1693</v>
      </c>
      <c r="V1724" s="77" t="str">
        <f>HYPERLINK("https://pbs.twimg.com/profile_images/1595982003433873408/3vHI80Sc_normal.jpg")</f>
        <v>https://pbs.twimg.com/profile_images/1595982003433873408/3vHI80Sc_normal.jpg</v>
      </c>
      <c r="W1724" s="76">
        <v>44958.679537037038</v>
      </c>
      <c r="X1724" s="80">
        <v>44958</v>
      </c>
      <c r="Y1724" s="78" t="s">
        <v>2582</v>
      </c>
      <c r="Z1724" s="77" t="str">
        <f>HYPERLINK("https://twitter.com/brianasheppar13/status/1620818896390602758")</f>
        <v>https://twitter.com/brianasheppar13/status/1620818896390602758</v>
      </c>
      <c r="AC1724" s="78" t="s">
        <v>3599</v>
      </c>
      <c r="AE1724" t="b">
        <v>0</v>
      </c>
      <c r="AF1724">
        <v>0</v>
      </c>
      <c r="AG1724" s="78" t="s">
        <v>4640</v>
      </c>
      <c r="AH1724" t="b">
        <v>0</v>
      </c>
      <c r="AI1724" t="s">
        <v>4829</v>
      </c>
      <c r="AK1724" s="78" t="s">
        <v>4640</v>
      </c>
      <c r="AL1724" t="b">
        <v>0</v>
      </c>
      <c r="AM1724">
        <v>162</v>
      </c>
      <c r="AN1724" s="78" t="s">
        <v>4473</v>
      </c>
      <c r="AO1724" s="78" t="s">
        <v>4850</v>
      </c>
      <c r="AP1724" t="b">
        <v>0</v>
      </c>
      <c r="AQ1724" s="78" t="s">
        <v>4473</v>
      </c>
      <c r="AR1724" t="s">
        <v>179</v>
      </c>
      <c r="AS1724">
        <v>0</v>
      </c>
      <c r="AT1724">
        <v>0</v>
      </c>
    </row>
    <row r="1725" spans="1:46" x14ac:dyDescent="0.45">
      <c r="A1725" s="62" t="s">
        <v>368</v>
      </c>
      <c r="B1725" s="62" t="s">
        <v>242</v>
      </c>
      <c r="C1725" s="63"/>
      <c r="D1725" s="64"/>
      <c r="E1725" s="65"/>
      <c r="F1725" s="66"/>
      <c r="G1725" s="63"/>
      <c r="H1725" s="67"/>
      <c r="I1725" s="68"/>
      <c r="J1725" s="68"/>
      <c r="K1725" s="32"/>
      <c r="L1725" s="75"/>
      <c r="M1725" s="75"/>
      <c r="N1725" s="70"/>
      <c r="O1725" t="s">
        <v>1567</v>
      </c>
      <c r="P1725" s="76">
        <v>44958.68472222222</v>
      </c>
      <c r="Q1725" t="s">
        <v>1708</v>
      </c>
      <c r="V1725" s="77" t="str">
        <f>HYPERLINK("https://pbs.twimg.com/profile_images/1504566538203926528/PQ-b62eC_normal.jpg")</f>
        <v>https://pbs.twimg.com/profile_images/1504566538203926528/PQ-b62eC_normal.jpg</v>
      </c>
      <c r="W1725" s="76">
        <v>44958.68472222222</v>
      </c>
      <c r="X1725" s="80">
        <v>44958</v>
      </c>
      <c r="Y1725" s="78" t="s">
        <v>2591</v>
      </c>
      <c r="Z1725" s="77" t="str">
        <f>HYPERLINK("https://twitter.com/mamatygryss/status/1620820773152907264")</f>
        <v>https://twitter.com/mamatygryss/status/1620820773152907264</v>
      </c>
      <c r="AC1725" s="78" t="s">
        <v>3608</v>
      </c>
      <c r="AE1725" t="b">
        <v>0</v>
      </c>
      <c r="AF1725">
        <v>0</v>
      </c>
      <c r="AG1725" s="78" t="s">
        <v>4639</v>
      </c>
      <c r="AH1725" t="b">
        <v>0</v>
      </c>
      <c r="AI1725" t="s">
        <v>4829</v>
      </c>
      <c r="AK1725" s="78" t="s">
        <v>4640</v>
      </c>
      <c r="AL1725" t="b">
        <v>0</v>
      </c>
      <c r="AM1725">
        <v>0</v>
      </c>
      <c r="AN1725" s="78" t="s">
        <v>4640</v>
      </c>
      <c r="AO1725" s="78" t="s">
        <v>4849</v>
      </c>
      <c r="AP1725" t="b">
        <v>0</v>
      </c>
      <c r="AQ1725" s="78" t="s">
        <v>3608</v>
      </c>
      <c r="AR1725" t="s">
        <v>179</v>
      </c>
      <c r="AS1725">
        <v>0</v>
      </c>
      <c r="AT1725">
        <v>0</v>
      </c>
    </row>
    <row r="1726" spans="1:46" x14ac:dyDescent="0.45">
      <c r="A1726" s="62" t="s">
        <v>369</v>
      </c>
      <c r="B1726" s="62" t="s">
        <v>242</v>
      </c>
      <c r="C1726" s="63"/>
      <c r="D1726" s="64"/>
      <c r="E1726" s="65"/>
      <c r="F1726" s="66"/>
      <c r="G1726" s="63"/>
      <c r="H1726" s="67"/>
      <c r="I1726" s="68"/>
      <c r="J1726" s="68"/>
      <c r="K1726" s="32"/>
      <c r="L1726" s="75"/>
      <c r="M1726" s="75"/>
      <c r="N1726" s="70"/>
      <c r="O1726" t="s">
        <v>1567</v>
      </c>
      <c r="P1726" s="76">
        <v>44958.685150462959</v>
      </c>
      <c r="Q1726" t="s">
        <v>1709</v>
      </c>
      <c r="V1726" s="77" t="str">
        <f>HYPERLINK("https://pbs.twimg.com/profile_images/1417727572138397698/6OuB9zpP_normal.jpg")</f>
        <v>https://pbs.twimg.com/profile_images/1417727572138397698/6OuB9zpP_normal.jpg</v>
      </c>
      <c r="W1726" s="76">
        <v>44958.685150462959</v>
      </c>
      <c r="X1726" s="80">
        <v>44958</v>
      </c>
      <c r="Y1726" s="78" t="s">
        <v>2592</v>
      </c>
      <c r="Z1726" s="77" t="str">
        <f>HYPERLINK("https://twitter.com/tktkustomz/status/1620820930124746753")</f>
        <v>https://twitter.com/tktkustomz/status/1620820930124746753</v>
      </c>
      <c r="AC1726" s="78" t="s">
        <v>3609</v>
      </c>
      <c r="AD1726" s="78" t="s">
        <v>4498</v>
      </c>
      <c r="AE1726" t="b">
        <v>0</v>
      </c>
      <c r="AF1726">
        <v>0</v>
      </c>
      <c r="AG1726" s="78" t="s">
        <v>4639</v>
      </c>
      <c r="AH1726" t="b">
        <v>0</v>
      </c>
      <c r="AI1726" t="s">
        <v>4829</v>
      </c>
      <c r="AK1726" s="78" t="s">
        <v>4640</v>
      </c>
      <c r="AL1726" t="b">
        <v>0</v>
      </c>
      <c r="AM1726">
        <v>0</v>
      </c>
      <c r="AN1726" s="78" t="s">
        <v>4640</v>
      </c>
      <c r="AO1726" s="78" t="s">
        <v>4851</v>
      </c>
      <c r="AP1726" t="b">
        <v>0</v>
      </c>
      <c r="AQ1726" s="78" t="s">
        <v>4498</v>
      </c>
      <c r="AR1726" t="s">
        <v>179</v>
      </c>
      <c r="AS1726">
        <v>0</v>
      </c>
      <c r="AT1726">
        <v>0</v>
      </c>
    </row>
    <row r="1727" spans="1:46" x14ac:dyDescent="0.45">
      <c r="A1727" s="62" t="s">
        <v>370</v>
      </c>
      <c r="B1727" s="62" t="s">
        <v>1249</v>
      </c>
      <c r="C1727" s="63"/>
      <c r="D1727" s="64"/>
      <c r="E1727" s="65"/>
      <c r="F1727" s="66"/>
      <c r="G1727" s="63"/>
      <c r="H1727" s="67"/>
      <c r="I1727" s="68"/>
      <c r="J1727" s="68"/>
      <c r="K1727" s="32"/>
      <c r="L1727" s="75"/>
      <c r="M1727" s="75"/>
      <c r="N1727" s="70"/>
      <c r="O1727" t="s">
        <v>1568</v>
      </c>
      <c r="P1727" s="76">
        <v>44958.685474537036</v>
      </c>
      <c r="Q1727" t="s">
        <v>1710</v>
      </c>
      <c r="V1727" s="77" t="str">
        <f>HYPERLINK("https://pbs.twimg.com/profile_images/1597584182452125696/8I70GTg9_normal.jpg")</f>
        <v>https://pbs.twimg.com/profile_images/1597584182452125696/8I70GTg9_normal.jpg</v>
      </c>
      <c r="W1727" s="76">
        <v>44958.685474537036</v>
      </c>
      <c r="X1727" s="80">
        <v>44958</v>
      </c>
      <c r="Y1727" s="78" t="s">
        <v>2593</v>
      </c>
      <c r="Z1727" s="77" t="str">
        <f>HYPERLINK("https://twitter.com/pitterhotspitta/status/1620821046084665346")</f>
        <v>https://twitter.com/pitterhotspitta/status/1620821046084665346</v>
      </c>
      <c r="AC1727" s="78" t="s">
        <v>3610</v>
      </c>
      <c r="AE1727" t="b">
        <v>0</v>
      </c>
      <c r="AF1727">
        <v>0</v>
      </c>
      <c r="AG1727" s="78" t="s">
        <v>4640</v>
      </c>
      <c r="AH1727" t="b">
        <v>0</v>
      </c>
      <c r="AI1727" t="s">
        <v>4829</v>
      </c>
      <c r="AK1727" s="78" t="s">
        <v>4640</v>
      </c>
      <c r="AL1727" t="b">
        <v>0</v>
      </c>
      <c r="AM1727">
        <v>0</v>
      </c>
      <c r="AN1727" s="78" t="s">
        <v>4640</v>
      </c>
      <c r="AO1727" s="78" t="s">
        <v>4849</v>
      </c>
      <c r="AP1727" t="b">
        <v>0</v>
      </c>
      <c r="AQ1727" s="78" t="s">
        <v>3610</v>
      </c>
      <c r="AR1727" t="s">
        <v>179</v>
      </c>
      <c r="AS1727">
        <v>0</v>
      </c>
      <c r="AT1727">
        <v>0</v>
      </c>
    </row>
    <row r="1728" spans="1:46" x14ac:dyDescent="0.45">
      <c r="A1728" s="62" t="s">
        <v>370</v>
      </c>
      <c r="B1728" s="62" t="s">
        <v>242</v>
      </c>
      <c r="C1728" s="63"/>
      <c r="D1728" s="64"/>
      <c r="E1728" s="65"/>
      <c r="F1728" s="66"/>
      <c r="G1728" s="63"/>
      <c r="H1728" s="67"/>
      <c r="I1728" s="68"/>
      <c r="J1728" s="68"/>
      <c r="K1728" s="32"/>
      <c r="L1728" s="75"/>
      <c r="M1728" s="75"/>
      <c r="N1728" s="70"/>
      <c r="O1728" t="s">
        <v>1568</v>
      </c>
      <c r="P1728" s="76">
        <v>44958.685474537036</v>
      </c>
      <c r="Q1728" t="s">
        <v>1710</v>
      </c>
      <c r="V1728" s="77" t="str">
        <f>HYPERLINK("https://pbs.twimg.com/profile_images/1597584182452125696/8I70GTg9_normal.jpg")</f>
        <v>https://pbs.twimg.com/profile_images/1597584182452125696/8I70GTg9_normal.jpg</v>
      </c>
      <c r="W1728" s="76">
        <v>44958.685474537036</v>
      </c>
      <c r="X1728" s="80">
        <v>44958</v>
      </c>
      <c r="Y1728" s="78" t="s">
        <v>2593</v>
      </c>
      <c r="Z1728" s="77" t="str">
        <f>HYPERLINK("https://twitter.com/pitterhotspitta/status/1620821046084665346")</f>
        <v>https://twitter.com/pitterhotspitta/status/1620821046084665346</v>
      </c>
      <c r="AC1728" s="78" t="s">
        <v>3610</v>
      </c>
      <c r="AE1728" t="b">
        <v>0</v>
      </c>
      <c r="AF1728">
        <v>0</v>
      </c>
      <c r="AG1728" s="78" t="s">
        <v>4640</v>
      </c>
      <c r="AH1728" t="b">
        <v>0</v>
      </c>
      <c r="AI1728" t="s">
        <v>4829</v>
      </c>
      <c r="AK1728" s="78" t="s">
        <v>4640</v>
      </c>
      <c r="AL1728" t="b">
        <v>0</v>
      </c>
      <c r="AM1728">
        <v>0</v>
      </c>
      <c r="AN1728" s="78" t="s">
        <v>4640</v>
      </c>
      <c r="AO1728" s="78" t="s">
        <v>4849</v>
      </c>
      <c r="AP1728" t="b">
        <v>0</v>
      </c>
      <c r="AQ1728" s="78" t="s">
        <v>3610</v>
      </c>
      <c r="AR1728" t="s">
        <v>179</v>
      </c>
      <c r="AS1728">
        <v>0</v>
      </c>
      <c r="AT1728">
        <v>0</v>
      </c>
    </row>
    <row r="1729" spans="1:46" x14ac:dyDescent="0.45">
      <c r="A1729" s="62" t="s">
        <v>371</v>
      </c>
      <c r="B1729" s="62" t="s">
        <v>242</v>
      </c>
      <c r="C1729" s="63"/>
      <c r="D1729" s="64"/>
      <c r="E1729" s="65"/>
      <c r="F1729" s="66"/>
      <c r="G1729" s="63"/>
      <c r="H1729" s="67"/>
      <c r="I1729" s="68"/>
      <c r="J1729" s="68"/>
      <c r="K1729" s="32"/>
      <c r="L1729" s="75"/>
      <c r="M1729" s="75"/>
      <c r="N1729" s="70"/>
      <c r="O1729" t="s">
        <v>1569</v>
      </c>
      <c r="P1729" s="76">
        <v>44958.686192129629</v>
      </c>
      <c r="Q1729" t="s">
        <v>1711</v>
      </c>
      <c r="V1729" s="77" t="str">
        <f>HYPERLINK("https://pbs.twimg.com/profile_images/1607204304007331841/gXLDx_I4_normal.jpg")</f>
        <v>https://pbs.twimg.com/profile_images/1607204304007331841/gXLDx_I4_normal.jpg</v>
      </c>
      <c r="W1729" s="76">
        <v>44958.686192129629</v>
      </c>
      <c r="X1729" s="80">
        <v>44958</v>
      </c>
      <c r="Y1729" s="78" t="s">
        <v>2596</v>
      </c>
      <c r="Z1729" s="77" t="str">
        <f>HYPERLINK("https://twitter.com/kyprobassangler/status/1620821305946947588")</f>
        <v>https://twitter.com/kyprobassangler/status/1620821305946947588</v>
      </c>
      <c r="AC1729" s="78" t="s">
        <v>3613</v>
      </c>
      <c r="AE1729" t="b">
        <v>0</v>
      </c>
      <c r="AF1729">
        <v>0</v>
      </c>
      <c r="AG1729" s="78" t="s">
        <v>4640</v>
      </c>
      <c r="AH1729" t="b">
        <v>0</v>
      </c>
      <c r="AI1729" t="s">
        <v>4829</v>
      </c>
      <c r="AK1729" s="78" t="s">
        <v>4640</v>
      </c>
      <c r="AL1729" t="b">
        <v>0</v>
      </c>
      <c r="AM1729">
        <v>1</v>
      </c>
      <c r="AN1729" s="78" t="s">
        <v>3611</v>
      </c>
      <c r="AO1729" s="78" t="s">
        <v>4849</v>
      </c>
      <c r="AP1729" t="b">
        <v>0</v>
      </c>
      <c r="AQ1729" s="78" t="s">
        <v>3611</v>
      </c>
      <c r="AR1729" t="s">
        <v>179</v>
      </c>
      <c r="AS1729">
        <v>0</v>
      </c>
      <c r="AT1729">
        <v>0</v>
      </c>
    </row>
    <row r="1730" spans="1:46" x14ac:dyDescent="0.45">
      <c r="A1730" s="62" t="s">
        <v>371</v>
      </c>
      <c r="B1730" s="62" t="s">
        <v>371</v>
      </c>
      <c r="C1730" s="63"/>
      <c r="D1730" s="64"/>
      <c r="E1730" s="65"/>
      <c r="F1730" s="66"/>
      <c r="G1730" s="63"/>
      <c r="H1730" s="67"/>
      <c r="I1730" s="68"/>
      <c r="J1730" s="68"/>
      <c r="K1730" s="32"/>
      <c r="L1730" s="75"/>
      <c r="M1730" s="75"/>
      <c r="N1730" s="70"/>
      <c r="O1730" t="s">
        <v>1569</v>
      </c>
      <c r="P1730" s="76">
        <v>44958.686238425929</v>
      </c>
      <c r="Q1730" t="s">
        <v>1712</v>
      </c>
      <c r="V1730" s="77" t="str">
        <f>HYPERLINK("https://pbs.twimg.com/profile_images/1607204304007331841/gXLDx_I4_normal.jpg")</f>
        <v>https://pbs.twimg.com/profile_images/1607204304007331841/gXLDx_I4_normal.jpg</v>
      </c>
      <c r="W1730" s="76">
        <v>44958.686238425929</v>
      </c>
      <c r="X1730" s="80">
        <v>44958</v>
      </c>
      <c r="Y1730" s="78" t="s">
        <v>2597</v>
      </c>
      <c r="Z1730" s="77" t="str">
        <f>HYPERLINK("https://twitter.com/kyprobassangler/status/1620821323395260417")</f>
        <v>https://twitter.com/kyprobassangler/status/1620821323395260417</v>
      </c>
      <c r="AC1730" s="78" t="s">
        <v>3614</v>
      </c>
      <c r="AE1730" t="b">
        <v>0</v>
      </c>
      <c r="AF1730">
        <v>0</v>
      </c>
      <c r="AG1730" s="78" t="s">
        <v>4640</v>
      </c>
      <c r="AH1730" t="b">
        <v>0</v>
      </c>
      <c r="AI1730" t="s">
        <v>4829</v>
      </c>
      <c r="AK1730" s="78" t="s">
        <v>4640</v>
      </c>
      <c r="AL1730" t="b">
        <v>0</v>
      </c>
      <c r="AM1730">
        <v>1</v>
      </c>
      <c r="AN1730" s="78" t="s">
        <v>3612</v>
      </c>
      <c r="AO1730" s="78" t="s">
        <v>4849</v>
      </c>
      <c r="AP1730" t="b">
        <v>0</v>
      </c>
      <c r="AQ1730" s="78" t="s">
        <v>3612</v>
      </c>
      <c r="AR1730" t="s">
        <v>179</v>
      </c>
      <c r="AS1730">
        <v>0</v>
      </c>
      <c r="AT1730">
        <v>0</v>
      </c>
    </row>
    <row r="1731" spans="1:46" x14ac:dyDescent="0.45">
      <c r="A1731" s="62" t="s">
        <v>371</v>
      </c>
      <c r="B1731" s="62" t="s">
        <v>242</v>
      </c>
      <c r="C1731" s="63"/>
      <c r="D1731" s="64"/>
      <c r="E1731" s="65"/>
      <c r="F1731" s="66"/>
      <c r="G1731" s="63"/>
      <c r="H1731" s="67"/>
      <c r="I1731" s="68"/>
      <c r="J1731" s="68"/>
      <c r="K1731" s="32"/>
      <c r="L1731" s="75"/>
      <c r="M1731" s="75"/>
      <c r="N1731" s="70"/>
      <c r="O1731" t="s">
        <v>1567</v>
      </c>
      <c r="P1731" s="76">
        <v>44958.686238425929</v>
      </c>
      <c r="Q1731" t="s">
        <v>1712</v>
      </c>
      <c r="V1731" s="77" t="str">
        <f>HYPERLINK("https://pbs.twimg.com/profile_images/1607204304007331841/gXLDx_I4_normal.jpg")</f>
        <v>https://pbs.twimg.com/profile_images/1607204304007331841/gXLDx_I4_normal.jpg</v>
      </c>
      <c r="W1731" s="76">
        <v>44958.686238425929</v>
      </c>
      <c r="X1731" s="80">
        <v>44958</v>
      </c>
      <c r="Y1731" s="78" t="s">
        <v>2597</v>
      </c>
      <c r="Z1731" s="77" t="str">
        <f>HYPERLINK("https://twitter.com/kyprobassangler/status/1620821323395260417")</f>
        <v>https://twitter.com/kyprobassangler/status/1620821323395260417</v>
      </c>
      <c r="AC1731" s="78" t="s">
        <v>3614</v>
      </c>
      <c r="AE1731" t="b">
        <v>0</v>
      </c>
      <c r="AF1731">
        <v>0</v>
      </c>
      <c r="AG1731" s="78" t="s">
        <v>4640</v>
      </c>
      <c r="AH1731" t="b">
        <v>0</v>
      </c>
      <c r="AI1731" t="s">
        <v>4829</v>
      </c>
      <c r="AK1731" s="78" t="s">
        <v>4640</v>
      </c>
      <c r="AL1731" t="b">
        <v>0</v>
      </c>
      <c r="AM1731">
        <v>1</v>
      </c>
      <c r="AN1731" s="78" t="s">
        <v>3612</v>
      </c>
      <c r="AO1731" s="78" t="s">
        <v>4849</v>
      </c>
      <c r="AP1731" t="b">
        <v>0</v>
      </c>
      <c r="AQ1731" s="78" t="s">
        <v>3612</v>
      </c>
      <c r="AR1731" t="s">
        <v>179</v>
      </c>
      <c r="AS1731">
        <v>0</v>
      </c>
      <c r="AT1731">
        <v>0</v>
      </c>
    </row>
    <row r="1732" spans="1:46" x14ac:dyDescent="0.45">
      <c r="A1732" s="62" t="s">
        <v>375</v>
      </c>
      <c r="B1732" s="62" t="s">
        <v>1250</v>
      </c>
      <c r="C1732" s="63"/>
      <c r="D1732" s="64"/>
      <c r="E1732" s="65"/>
      <c r="F1732" s="66"/>
      <c r="G1732" s="63"/>
      <c r="H1732" s="67"/>
      <c r="I1732" s="68"/>
      <c r="J1732" s="68"/>
      <c r="K1732" s="32"/>
      <c r="L1732" s="75"/>
      <c r="M1732" s="75"/>
      <c r="N1732" s="70"/>
      <c r="O1732" t="s">
        <v>1568</v>
      </c>
      <c r="P1732" s="76">
        <v>44958.688611111109</v>
      </c>
      <c r="Q1732" t="s">
        <v>1715</v>
      </c>
      <c r="U1732" s="77" t="str">
        <f>HYPERLINK("https://pbs.twimg.com/media/Fn5RI_OXkAQ45C9.jpg")</f>
        <v>https://pbs.twimg.com/media/Fn5RI_OXkAQ45C9.jpg</v>
      </c>
      <c r="V1732" s="77" t="str">
        <f>HYPERLINK("https://pbs.twimg.com/media/Fn5RI_OXkAQ45C9.jpg")</f>
        <v>https://pbs.twimg.com/media/Fn5RI_OXkAQ45C9.jpg</v>
      </c>
      <c r="W1732" s="76">
        <v>44958.688611111109</v>
      </c>
      <c r="X1732" s="80">
        <v>44958</v>
      </c>
      <c r="Y1732" s="78" t="s">
        <v>2601</v>
      </c>
      <c r="Z1732" s="77" t="str">
        <f>HYPERLINK("https://twitter.com/sedilloclarissa/status/1620822184154513409")</f>
        <v>https://twitter.com/sedilloclarissa/status/1620822184154513409</v>
      </c>
      <c r="AC1732" s="78" t="s">
        <v>3618</v>
      </c>
      <c r="AE1732" t="b">
        <v>0</v>
      </c>
      <c r="AF1732">
        <v>0</v>
      </c>
      <c r="AG1732" s="78" t="s">
        <v>4640</v>
      </c>
      <c r="AH1732" t="b">
        <v>0</v>
      </c>
      <c r="AI1732" t="s">
        <v>4829</v>
      </c>
      <c r="AK1732" s="78" t="s">
        <v>4640</v>
      </c>
      <c r="AL1732" t="b">
        <v>0</v>
      </c>
      <c r="AM1732">
        <v>0</v>
      </c>
      <c r="AN1732" s="78" t="s">
        <v>4640</v>
      </c>
      <c r="AO1732" s="78" t="s">
        <v>4849</v>
      </c>
      <c r="AP1732" t="b">
        <v>0</v>
      </c>
      <c r="AQ1732" s="78" t="s">
        <v>3618</v>
      </c>
      <c r="AR1732" t="s">
        <v>179</v>
      </c>
      <c r="AS1732">
        <v>0</v>
      </c>
      <c r="AT1732">
        <v>0</v>
      </c>
    </row>
    <row r="1733" spans="1:46" x14ac:dyDescent="0.45">
      <c r="A1733" s="62" t="s">
        <v>375</v>
      </c>
      <c r="B1733" s="62" t="s">
        <v>1251</v>
      </c>
      <c r="C1733" s="63"/>
      <c r="D1733" s="64"/>
      <c r="E1733" s="65"/>
      <c r="F1733" s="66"/>
      <c r="G1733" s="63"/>
      <c r="H1733" s="67"/>
      <c r="I1733" s="68"/>
      <c r="J1733" s="68"/>
      <c r="K1733" s="32"/>
      <c r="L1733" s="75"/>
      <c r="M1733" s="75"/>
      <c r="N1733" s="70"/>
      <c r="O1733" t="s">
        <v>1568</v>
      </c>
      <c r="P1733" s="76">
        <v>44958.688611111109</v>
      </c>
      <c r="Q1733" t="s">
        <v>1715</v>
      </c>
      <c r="U1733" s="77" t="str">
        <f>HYPERLINK("https://pbs.twimg.com/media/Fn5RI_OXkAQ45C9.jpg")</f>
        <v>https://pbs.twimg.com/media/Fn5RI_OXkAQ45C9.jpg</v>
      </c>
      <c r="V1733" s="77" t="str">
        <f>HYPERLINK("https://pbs.twimg.com/media/Fn5RI_OXkAQ45C9.jpg")</f>
        <v>https://pbs.twimg.com/media/Fn5RI_OXkAQ45C9.jpg</v>
      </c>
      <c r="W1733" s="76">
        <v>44958.688611111109</v>
      </c>
      <c r="X1733" s="80">
        <v>44958</v>
      </c>
      <c r="Y1733" s="78" t="s">
        <v>2601</v>
      </c>
      <c r="Z1733" s="77" t="str">
        <f>HYPERLINK("https://twitter.com/sedilloclarissa/status/1620822184154513409")</f>
        <v>https://twitter.com/sedilloclarissa/status/1620822184154513409</v>
      </c>
      <c r="AC1733" s="78" t="s">
        <v>3618</v>
      </c>
      <c r="AE1733" t="b">
        <v>0</v>
      </c>
      <c r="AF1733">
        <v>0</v>
      </c>
      <c r="AG1733" s="78" t="s">
        <v>4640</v>
      </c>
      <c r="AH1733" t="b">
        <v>0</v>
      </c>
      <c r="AI1733" t="s">
        <v>4829</v>
      </c>
      <c r="AK1733" s="78" t="s">
        <v>4640</v>
      </c>
      <c r="AL1733" t="b">
        <v>0</v>
      </c>
      <c r="AM1733">
        <v>0</v>
      </c>
      <c r="AN1733" s="78" t="s">
        <v>4640</v>
      </c>
      <c r="AO1733" s="78" t="s">
        <v>4849</v>
      </c>
      <c r="AP1733" t="b">
        <v>0</v>
      </c>
      <c r="AQ1733" s="78" t="s">
        <v>3618</v>
      </c>
      <c r="AR1733" t="s">
        <v>179</v>
      </c>
      <c r="AS1733">
        <v>0</v>
      </c>
      <c r="AT1733">
        <v>0</v>
      </c>
    </row>
    <row r="1734" spans="1:46" x14ac:dyDescent="0.45">
      <c r="A1734" s="62" t="s">
        <v>375</v>
      </c>
      <c r="B1734" s="62" t="s">
        <v>1252</v>
      </c>
      <c r="C1734" s="63"/>
      <c r="D1734" s="64"/>
      <c r="E1734" s="65"/>
      <c r="F1734" s="66"/>
      <c r="G1734" s="63"/>
      <c r="H1734" s="67"/>
      <c r="I1734" s="68"/>
      <c r="J1734" s="68"/>
      <c r="K1734" s="32"/>
      <c r="L1734" s="75"/>
      <c r="M1734" s="75"/>
      <c r="N1734" s="70"/>
      <c r="O1734" t="s">
        <v>1568</v>
      </c>
      <c r="P1734" s="76">
        <v>44958.688611111109</v>
      </c>
      <c r="Q1734" t="s">
        <v>1715</v>
      </c>
      <c r="U1734" s="77" t="str">
        <f>HYPERLINK("https://pbs.twimg.com/media/Fn5RI_OXkAQ45C9.jpg")</f>
        <v>https://pbs.twimg.com/media/Fn5RI_OXkAQ45C9.jpg</v>
      </c>
      <c r="V1734" s="77" t="str">
        <f>HYPERLINK("https://pbs.twimg.com/media/Fn5RI_OXkAQ45C9.jpg")</f>
        <v>https://pbs.twimg.com/media/Fn5RI_OXkAQ45C9.jpg</v>
      </c>
      <c r="W1734" s="76">
        <v>44958.688611111109</v>
      </c>
      <c r="X1734" s="80">
        <v>44958</v>
      </c>
      <c r="Y1734" s="78" t="s">
        <v>2601</v>
      </c>
      <c r="Z1734" s="77" t="str">
        <f>HYPERLINK("https://twitter.com/sedilloclarissa/status/1620822184154513409")</f>
        <v>https://twitter.com/sedilloclarissa/status/1620822184154513409</v>
      </c>
      <c r="AC1734" s="78" t="s">
        <v>3618</v>
      </c>
      <c r="AE1734" t="b">
        <v>0</v>
      </c>
      <c r="AF1734">
        <v>0</v>
      </c>
      <c r="AG1734" s="78" t="s">
        <v>4640</v>
      </c>
      <c r="AH1734" t="b">
        <v>0</v>
      </c>
      <c r="AI1734" t="s">
        <v>4829</v>
      </c>
      <c r="AK1734" s="78" t="s">
        <v>4640</v>
      </c>
      <c r="AL1734" t="b">
        <v>0</v>
      </c>
      <c r="AM1734">
        <v>0</v>
      </c>
      <c r="AN1734" s="78" t="s">
        <v>4640</v>
      </c>
      <c r="AO1734" s="78" t="s">
        <v>4849</v>
      </c>
      <c r="AP1734" t="b">
        <v>0</v>
      </c>
      <c r="AQ1734" s="78" t="s">
        <v>3618</v>
      </c>
      <c r="AR1734" t="s">
        <v>179</v>
      </c>
      <c r="AS1734">
        <v>0</v>
      </c>
      <c r="AT1734">
        <v>0</v>
      </c>
    </row>
    <row r="1735" spans="1:46" x14ac:dyDescent="0.45">
      <c r="A1735" s="62" t="s">
        <v>375</v>
      </c>
      <c r="B1735" s="62" t="s">
        <v>1253</v>
      </c>
      <c r="C1735" s="63"/>
      <c r="D1735" s="64"/>
      <c r="E1735" s="65"/>
      <c r="F1735" s="66"/>
      <c r="G1735" s="63"/>
      <c r="H1735" s="67"/>
      <c r="I1735" s="68"/>
      <c r="J1735" s="68"/>
      <c r="K1735" s="32"/>
      <c r="L1735" s="75"/>
      <c r="M1735" s="75"/>
      <c r="N1735" s="70"/>
      <c r="O1735" t="s">
        <v>1568</v>
      </c>
      <c r="P1735" s="76">
        <v>44958.688611111109</v>
      </c>
      <c r="Q1735" t="s">
        <v>1715</v>
      </c>
      <c r="U1735" s="77" t="str">
        <f>HYPERLINK("https://pbs.twimg.com/media/Fn5RI_OXkAQ45C9.jpg")</f>
        <v>https://pbs.twimg.com/media/Fn5RI_OXkAQ45C9.jpg</v>
      </c>
      <c r="V1735" s="77" t="str">
        <f>HYPERLINK("https://pbs.twimg.com/media/Fn5RI_OXkAQ45C9.jpg")</f>
        <v>https://pbs.twimg.com/media/Fn5RI_OXkAQ45C9.jpg</v>
      </c>
      <c r="W1735" s="76">
        <v>44958.688611111109</v>
      </c>
      <c r="X1735" s="80">
        <v>44958</v>
      </c>
      <c r="Y1735" s="78" t="s">
        <v>2601</v>
      </c>
      <c r="Z1735" s="77" t="str">
        <f>HYPERLINK("https://twitter.com/sedilloclarissa/status/1620822184154513409")</f>
        <v>https://twitter.com/sedilloclarissa/status/1620822184154513409</v>
      </c>
      <c r="AC1735" s="78" t="s">
        <v>3618</v>
      </c>
      <c r="AE1735" t="b">
        <v>0</v>
      </c>
      <c r="AF1735">
        <v>0</v>
      </c>
      <c r="AG1735" s="78" t="s">
        <v>4640</v>
      </c>
      <c r="AH1735" t="b">
        <v>0</v>
      </c>
      <c r="AI1735" t="s">
        <v>4829</v>
      </c>
      <c r="AK1735" s="78" t="s">
        <v>4640</v>
      </c>
      <c r="AL1735" t="b">
        <v>0</v>
      </c>
      <c r="AM1735">
        <v>0</v>
      </c>
      <c r="AN1735" s="78" t="s">
        <v>4640</v>
      </c>
      <c r="AO1735" s="78" t="s">
        <v>4849</v>
      </c>
      <c r="AP1735" t="b">
        <v>0</v>
      </c>
      <c r="AQ1735" s="78" t="s">
        <v>3618</v>
      </c>
      <c r="AR1735" t="s">
        <v>179</v>
      </c>
      <c r="AS1735">
        <v>0</v>
      </c>
      <c r="AT1735">
        <v>0</v>
      </c>
    </row>
    <row r="1736" spans="1:46" x14ac:dyDescent="0.45">
      <c r="A1736" s="62" t="s">
        <v>375</v>
      </c>
      <c r="B1736" s="62" t="s">
        <v>242</v>
      </c>
      <c r="C1736" s="63"/>
      <c r="D1736" s="64"/>
      <c r="E1736" s="65"/>
      <c r="F1736" s="66"/>
      <c r="G1736" s="63"/>
      <c r="H1736" s="67"/>
      <c r="I1736" s="68"/>
      <c r="J1736" s="68"/>
      <c r="K1736" s="32"/>
      <c r="L1736" s="75"/>
      <c r="M1736" s="75"/>
      <c r="N1736" s="70"/>
      <c r="O1736" t="s">
        <v>1568</v>
      </c>
      <c r="P1736" s="76">
        <v>44958.688611111109</v>
      </c>
      <c r="Q1736" t="s">
        <v>1715</v>
      </c>
      <c r="U1736" s="77" t="str">
        <f>HYPERLINK("https://pbs.twimg.com/media/Fn5RI_OXkAQ45C9.jpg")</f>
        <v>https://pbs.twimg.com/media/Fn5RI_OXkAQ45C9.jpg</v>
      </c>
      <c r="V1736" s="77" t="str">
        <f>HYPERLINK("https://pbs.twimg.com/media/Fn5RI_OXkAQ45C9.jpg")</f>
        <v>https://pbs.twimg.com/media/Fn5RI_OXkAQ45C9.jpg</v>
      </c>
      <c r="W1736" s="76">
        <v>44958.688611111109</v>
      </c>
      <c r="X1736" s="80">
        <v>44958</v>
      </c>
      <c r="Y1736" s="78" t="s">
        <v>2601</v>
      </c>
      <c r="Z1736" s="77" t="str">
        <f>HYPERLINK("https://twitter.com/sedilloclarissa/status/1620822184154513409")</f>
        <v>https://twitter.com/sedilloclarissa/status/1620822184154513409</v>
      </c>
      <c r="AC1736" s="78" t="s">
        <v>3618</v>
      </c>
      <c r="AE1736" t="b">
        <v>0</v>
      </c>
      <c r="AF1736">
        <v>0</v>
      </c>
      <c r="AG1736" s="78" t="s">
        <v>4640</v>
      </c>
      <c r="AH1736" t="b">
        <v>0</v>
      </c>
      <c r="AI1736" t="s">
        <v>4829</v>
      </c>
      <c r="AK1736" s="78" t="s">
        <v>4640</v>
      </c>
      <c r="AL1736" t="b">
        <v>0</v>
      </c>
      <c r="AM1736">
        <v>0</v>
      </c>
      <c r="AN1736" s="78" t="s">
        <v>4640</v>
      </c>
      <c r="AO1736" s="78" t="s">
        <v>4849</v>
      </c>
      <c r="AP1736" t="b">
        <v>0</v>
      </c>
      <c r="AQ1736" s="78" t="s">
        <v>3618</v>
      </c>
      <c r="AR1736" t="s">
        <v>179</v>
      </c>
      <c r="AS1736">
        <v>0</v>
      </c>
      <c r="AT1736">
        <v>0</v>
      </c>
    </row>
    <row r="1737" spans="1:46" x14ac:dyDescent="0.45">
      <c r="A1737" s="62" t="s">
        <v>376</v>
      </c>
      <c r="B1737" s="62" t="s">
        <v>1230</v>
      </c>
      <c r="C1737" s="63"/>
      <c r="D1737" s="64"/>
      <c r="E1737" s="65"/>
      <c r="F1737" s="66"/>
      <c r="G1737" s="63"/>
      <c r="H1737" s="67"/>
      <c r="I1737" s="68"/>
      <c r="J1737" s="68"/>
      <c r="K1737" s="32"/>
      <c r="L1737" s="75"/>
      <c r="M1737" s="75"/>
      <c r="N1737" s="70"/>
      <c r="O1737" t="s">
        <v>1570</v>
      </c>
      <c r="P1737" s="76">
        <v>44958.689212962963</v>
      </c>
      <c r="Q1737" t="s">
        <v>1693</v>
      </c>
      <c r="V1737" s="77" t="str">
        <f>HYPERLINK("https://pbs.twimg.com/profile_images/1542554166874218496/ukgYCz2o_normal.jpg")</f>
        <v>https://pbs.twimg.com/profile_images/1542554166874218496/ukgYCz2o_normal.jpg</v>
      </c>
      <c r="W1737" s="76">
        <v>44958.689212962963</v>
      </c>
      <c r="X1737" s="80">
        <v>44958</v>
      </c>
      <c r="Y1737" s="78" t="s">
        <v>2602</v>
      </c>
      <c r="Z1737" s="77" t="str">
        <f>HYPERLINK("https://twitter.com/angelwings_anne/status/1620822402228969472")</f>
        <v>https://twitter.com/angelwings_anne/status/1620822402228969472</v>
      </c>
      <c r="AC1737" s="78" t="s">
        <v>3619</v>
      </c>
      <c r="AE1737" t="b">
        <v>0</v>
      </c>
      <c r="AF1737">
        <v>0</v>
      </c>
      <c r="AG1737" s="78" t="s">
        <v>4640</v>
      </c>
      <c r="AH1737" t="b">
        <v>0</v>
      </c>
      <c r="AI1737" t="s">
        <v>4829</v>
      </c>
      <c r="AK1737" s="78" t="s">
        <v>4640</v>
      </c>
      <c r="AL1737" t="b">
        <v>0</v>
      </c>
      <c r="AM1737">
        <v>162</v>
      </c>
      <c r="AN1737" s="78" t="s">
        <v>4473</v>
      </c>
      <c r="AO1737" s="78" t="s">
        <v>4850</v>
      </c>
      <c r="AP1737" t="b">
        <v>0</v>
      </c>
      <c r="AQ1737" s="78" t="s">
        <v>4473</v>
      </c>
      <c r="AR1737" t="s">
        <v>179</v>
      </c>
      <c r="AS1737">
        <v>0</v>
      </c>
      <c r="AT1737">
        <v>0</v>
      </c>
    </row>
    <row r="1738" spans="1:46" x14ac:dyDescent="0.45">
      <c r="A1738" s="62" t="s">
        <v>376</v>
      </c>
      <c r="B1738" s="62" t="s">
        <v>242</v>
      </c>
      <c r="C1738" s="63"/>
      <c r="D1738" s="64"/>
      <c r="E1738" s="65"/>
      <c r="F1738" s="66"/>
      <c r="G1738" s="63"/>
      <c r="H1738" s="67"/>
      <c r="I1738" s="68"/>
      <c r="J1738" s="68"/>
      <c r="K1738" s="32"/>
      <c r="L1738" s="75"/>
      <c r="M1738" s="75"/>
      <c r="N1738" s="70"/>
      <c r="O1738" t="s">
        <v>1569</v>
      </c>
      <c r="P1738" s="76">
        <v>44958.689212962963</v>
      </c>
      <c r="Q1738" t="s">
        <v>1693</v>
      </c>
      <c r="V1738" s="77" t="str">
        <f>HYPERLINK("https://pbs.twimg.com/profile_images/1542554166874218496/ukgYCz2o_normal.jpg")</f>
        <v>https://pbs.twimg.com/profile_images/1542554166874218496/ukgYCz2o_normal.jpg</v>
      </c>
      <c r="W1738" s="76">
        <v>44958.689212962963</v>
      </c>
      <c r="X1738" s="80">
        <v>44958</v>
      </c>
      <c r="Y1738" s="78" t="s">
        <v>2602</v>
      </c>
      <c r="Z1738" s="77" t="str">
        <f>HYPERLINK("https://twitter.com/angelwings_anne/status/1620822402228969472")</f>
        <v>https://twitter.com/angelwings_anne/status/1620822402228969472</v>
      </c>
      <c r="AC1738" s="78" t="s">
        <v>3619</v>
      </c>
      <c r="AE1738" t="b">
        <v>0</v>
      </c>
      <c r="AF1738">
        <v>0</v>
      </c>
      <c r="AG1738" s="78" t="s">
        <v>4640</v>
      </c>
      <c r="AH1738" t="b">
        <v>0</v>
      </c>
      <c r="AI1738" t="s">
        <v>4829</v>
      </c>
      <c r="AK1738" s="78" t="s">
        <v>4640</v>
      </c>
      <c r="AL1738" t="b">
        <v>0</v>
      </c>
      <c r="AM1738">
        <v>162</v>
      </c>
      <c r="AN1738" s="78" t="s">
        <v>4473</v>
      </c>
      <c r="AO1738" s="78" t="s">
        <v>4850</v>
      </c>
      <c r="AP1738" t="b">
        <v>0</v>
      </c>
      <c r="AQ1738" s="78" t="s">
        <v>4473</v>
      </c>
      <c r="AR1738" t="s">
        <v>179</v>
      </c>
      <c r="AS1738">
        <v>0</v>
      </c>
      <c r="AT1738">
        <v>0</v>
      </c>
    </row>
    <row r="1739" spans="1:46" x14ac:dyDescent="0.45">
      <c r="A1739" s="62" t="s">
        <v>380</v>
      </c>
      <c r="B1739" s="62" t="s">
        <v>1230</v>
      </c>
      <c r="C1739" s="63"/>
      <c r="D1739" s="64"/>
      <c r="E1739" s="65"/>
      <c r="F1739" s="66"/>
      <c r="G1739" s="63"/>
      <c r="H1739" s="67"/>
      <c r="I1739" s="68"/>
      <c r="J1739" s="68"/>
      <c r="K1739" s="32"/>
      <c r="L1739" s="75"/>
      <c r="M1739" s="75"/>
      <c r="N1739" s="70"/>
      <c r="O1739" t="s">
        <v>1568</v>
      </c>
      <c r="P1739" s="76">
        <v>44958.691192129627</v>
      </c>
      <c r="Q1739" t="s">
        <v>1719</v>
      </c>
      <c r="V1739" s="77" t="str">
        <f>HYPERLINK("https://pbs.twimg.com/profile_images/1613721709819092997/vWaKXVNB_normal.jpg")</f>
        <v>https://pbs.twimg.com/profile_images/1613721709819092997/vWaKXVNB_normal.jpg</v>
      </c>
      <c r="W1739" s="76">
        <v>44958.691192129627</v>
      </c>
      <c r="X1739" s="80">
        <v>44958</v>
      </c>
      <c r="Y1739" s="78" t="s">
        <v>2606</v>
      </c>
      <c r="Z1739" s="77" t="str">
        <f>HYPERLINK("https://twitter.com/newgiveaway24/status/1620823120369303553")</f>
        <v>https://twitter.com/newgiveaway24/status/1620823120369303553</v>
      </c>
      <c r="AC1739" s="78" t="s">
        <v>3623</v>
      </c>
      <c r="AD1739" s="78" t="s">
        <v>4473</v>
      </c>
      <c r="AE1739" t="b">
        <v>0</v>
      </c>
      <c r="AF1739">
        <v>0</v>
      </c>
      <c r="AG1739" s="78" t="s">
        <v>4639</v>
      </c>
      <c r="AH1739" t="b">
        <v>0</v>
      </c>
      <c r="AI1739" t="s">
        <v>4829</v>
      </c>
      <c r="AK1739" s="78" t="s">
        <v>4640</v>
      </c>
      <c r="AL1739" t="b">
        <v>0</v>
      </c>
      <c r="AM1739">
        <v>0</v>
      </c>
      <c r="AN1739" s="78" t="s">
        <v>4640</v>
      </c>
      <c r="AO1739" s="78" t="s">
        <v>4850</v>
      </c>
      <c r="AP1739" t="b">
        <v>0</v>
      </c>
      <c r="AQ1739" s="78" t="s">
        <v>4473</v>
      </c>
      <c r="AR1739" t="s">
        <v>179</v>
      </c>
      <c r="AS1739">
        <v>0</v>
      </c>
      <c r="AT1739">
        <v>0</v>
      </c>
    </row>
    <row r="1740" spans="1:46" x14ac:dyDescent="0.45">
      <c r="A1740" s="62" t="s">
        <v>380</v>
      </c>
      <c r="B1740" s="62" t="s">
        <v>242</v>
      </c>
      <c r="C1740" s="63"/>
      <c r="D1740" s="64"/>
      <c r="E1740" s="65"/>
      <c r="F1740" s="66"/>
      <c r="G1740" s="63"/>
      <c r="H1740" s="67"/>
      <c r="I1740" s="68"/>
      <c r="J1740" s="68"/>
      <c r="K1740" s="32"/>
      <c r="L1740" s="75"/>
      <c r="M1740" s="75"/>
      <c r="N1740" s="70"/>
      <c r="O1740" t="s">
        <v>1567</v>
      </c>
      <c r="P1740" s="76">
        <v>44958.691192129627</v>
      </c>
      <c r="Q1740" t="s">
        <v>1719</v>
      </c>
      <c r="V1740" s="77" t="str">
        <f>HYPERLINK("https://pbs.twimg.com/profile_images/1613721709819092997/vWaKXVNB_normal.jpg")</f>
        <v>https://pbs.twimg.com/profile_images/1613721709819092997/vWaKXVNB_normal.jpg</v>
      </c>
      <c r="W1740" s="76">
        <v>44958.691192129627</v>
      </c>
      <c r="X1740" s="80">
        <v>44958</v>
      </c>
      <c r="Y1740" s="78" t="s">
        <v>2606</v>
      </c>
      <c r="Z1740" s="77" t="str">
        <f>HYPERLINK("https://twitter.com/newgiveaway24/status/1620823120369303553")</f>
        <v>https://twitter.com/newgiveaway24/status/1620823120369303553</v>
      </c>
      <c r="AC1740" s="78" t="s">
        <v>3623</v>
      </c>
      <c r="AD1740" s="78" t="s">
        <v>4473</v>
      </c>
      <c r="AE1740" t="b">
        <v>0</v>
      </c>
      <c r="AF1740">
        <v>0</v>
      </c>
      <c r="AG1740" s="78" t="s">
        <v>4639</v>
      </c>
      <c r="AH1740" t="b">
        <v>0</v>
      </c>
      <c r="AI1740" t="s">
        <v>4829</v>
      </c>
      <c r="AK1740" s="78" t="s">
        <v>4640</v>
      </c>
      <c r="AL1740" t="b">
        <v>0</v>
      </c>
      <c r="AM1740">
        <v>0</v>
      </c>
      <c r="AN1740" s="78" t="s">
        <v>4640</v>
      </c>
      <c r="AO1740" s="78" t="s">
        <v>4850</v>
      </c>
      <c r="AP1740" t="b">
        <v>0</v>
      </c>
      <c r="AQ1740" s="78" t="s">
        <v>4473</v>
      </c>
      <c r="AR1740" t="s">
        <v>179</v>
      </c>
      <c r="AS1740">
        <v>0</v>
      </c>
      <c r="AT1740">
        <v>0</v>
      </c>
    </row>
    <row r="1741" spans="1:46" x14ac:dyDescent="0.45">
      <c r="A1741" s="62" t="s">
        <v>381</v>
      </c>
      <c r="B1741" s="62" t="s">
        <v>1230</v>
      </c>
      <c r="C1741" s="63"/>
      <c r="D1741" s="64"/>
      <c r="E1741" s="65"/>
      <c r="F1741" s="66"/>
      <c r="G1741" s="63"/>
      <c r="H1741" s="67"/>
      <c r="I1741" s="68"/>
      <c r="J1741" s="68"/>
      <c r="K1741" s="32"/>
      <c r="L1741" s="75"/>
      <c r="M1741" s="75"/>
      <c r="N1741" s="70"/>
      <c r="O1741" t="s">
        <v>1570</v>
      </c>
      <c r="P1741" s="76">
        <v>44958.692893518521</v>
      </c>
      <c r="Q1741" t="s">
        <v>1693</v>
      </c>
      <c r="V1741" s="77" t="str">
        <f>HYPERLINK("https://pbs.twimg.com/profile_images/1616509224397246477/NDfIbONe_normal.jpg")</f>
        <v>https://pbs.twimg.com/profile_images/1616509224397246477/NDfIbONe_normal.jpg</v>
      </c>
      <c r="W1741" s="76">
        <v>44958.692893518521</v>
      </c>
      <c r="X1741" s="80">
        <v>44958</v>
      </c>
      <c r="Y1741" s="78" t="s">
        <v>2607</v>
      </c>
      <c r="Z1741" s="77" t="str">
        <f>HYPERLINK("https://twitter.com/midnightheartmc/status/1620823736332218368")</f>
        <v>https://twitter.com/midnightheartmc/status/1620823736332218368</v>
      </c>
      <c r="AC1741" s="78" t="s">
        <v>3624</v>
      </c>
      <c r="AE1741" t="b">
        <v>0</v>
      </c>
      <c r="AF1741">
        <v>0</v>
      </c>
      <c r="AG1741" s="78" t="s">
        <v>4640</v>
      </c>
      <c r="AH1741" t="b">
        <v>0</v>
      </c>
      <c r="AI1741" t="s">
        <v>4829</v>
      </c>
      <c r="AK1741" s="78" t="s">
        <v>4640</v>
      </c>
      <c r="AL1741" t="b">
        <v>0</v>
      </c>
      <c r="AM1741">
        <v>162</v>
      </c>
      <c r="AN1741" s="78" t="s">
        <v>4473</v>
      </c>
      <c r="AO1741" s="78" t="s">
        <v>4849</v>
      </c>
      <c r="AP1741" t="b">
        <v>0</v>
      </c>
      <c r="AQ1741" s="78" t="s">
        <v>4473</v>
      </c>
      <c r="AR1741" t="s">
        <v>179</v>
      </c>
      <c r="AS1741">
        <v>0</v>
      </c>
      <c r="AT1741">
        <v>0</v>
      </c>
    </row>
    <row r="1742" spans="1:46" x14ac:dyDescent="0.45">
      <c r="A1742" s="62" t="s">
        <v>381</v>
      </c>
      <c r="B1742" s="62" t="s">
        <v>242</v>
      </c>
      <c r="C1742" s="63"/>
      <c r="D1742" s="64"/>
      <c r="E1742" s="65"/>
      <c r="F1742" s="66"/>
      <c r="G1742" s="63"/>
      <c r="H1742" s="67"/>
      <c r="I1742" s="68"/>
      <c r="J1742" s="68"/>
      <c r="K1742" s="32"/>
      <c r="L1742" s="75"/>
      <c r="M1742" s="75"/>
      <c r="N1742" s="70"/>
      <c r="O1742" t="s">
        <v>1569</v>
      </c>
      <c r="P1742" s="76">
        <v>44958.692893518521</v>
      </c>
      <c r="Q1742" t="s">
        <v>1693</v>
      </c>
      <c r="V1742" s="77" t="str">
        <f>HYPERLINK("https://pbs.twimg.com/profile_images/1616509224397246477/NDfIbONe_normal.jpg")</f>
        <v>https://pbs.twimg.com/profile_images/1616509224397246477/NDfIbONe_normal.jpg</v>
      </c>
      <c r="W1742" s="76">
        <v>44958.692893518521</v>
      </c>
      <c r="X1742" s="80">
        <v>44958</v>
      </c>
      <c r="Y1742" s="78" t="s">
        <v>2607</v>
      </c>
      <c r="Z1742" s="77" t="str">
        <f>HYPERLINK("https://twitter.com/midnightheartmc/status/1620823736332218368")</f>
        <v>https://twitter.com/midnightheartmc/status/1620823736332218368</v>
      </c>
      <c r="AC1742" s="78" t="s">
        <v>3624</v>
      </c>
      <c r="AE1742" t="b">
        <v>0</v>
      </c>
      <c r="AF1742">
        <v>0</v>
      </c>
      <c r="AG1742" s="78" t="s">
        <v>4640</v>
      </c>
      <c r="AH1742" t="b">
        <v>0</v>
      </c>
      <c r="AI1742" t="s">
        <v>4829</v>
      </c>
      <c r="AK1742" s="78" t="s">
        <v>4640</v>
      </c>
      <c r="AL1742" t="b">
        <v>0</v>
      </c>
      <c r="AM1742">
        <v>162</v>
      </c>
      <c r="AN1742" s="78" t="s">
        <v>4473</v>
      </c>
      <c r="AO1742" s="78" t="s">
        <v>4849</v>
      </c>
      <c r="AP1742" t="b">
        <v>0</v>
      </c>
      <c r="AQ1742" s="78" t="s">
        <v>4473</v>
      </c>
      <c r="AR1742" t="s">
        <v>179</v>
      </c>
      <c r="AS1742">
        <v>0</v>
      </c>
      <c r="AT1742">
        <v>0</v>
      </c>
    </row>
    <row r="1743" spans="1:46" x14ac:dyDescent="0.45">
      <c r="A1743" s="62" t="s">
        <v>382</v>
      </c>
      <c r="B1743" s="62" t="s">
        <v>1230</v>
      </c>
      <c r="C1743" s="63"/>
      <c r="D1743" s="64"/>
      <c r="E1743" s="65"/>
      <c r="F1743" s="66"/>
      <c r="G1743" s="63"/>
      <c r="H1743" s="67"/>
      <c r="I1743" s="68"/>
      <c r="J1743" s="68"/>
      <c r="K1743" s="32"/>
      <c r="L1743" s="75"/>
      <c r="M1743" s="75"/>
      <c r="N1743" s="70"/>
      <c r="O1743" t="s">
        <v>1570</v>
      </c>
      <c r="P1743" s="76">
        <v>44958.692106481481</v>
      </c>
      <c r="Q1743" t="s">
        <v>1693</v>
      </c>
      <c r="V1743" s="77" t="str">
        <f>HYPERLINK("https://pbs.twimg.com/profile_images/1621051256545443841/IM1oMvL4_normal.jpg")</f>
        <v>https://pbs.twimg.com/profile_images/1621051256545443841/IM1oMvL4_normal.jpg</v>
      </c>
      <c r="W1743" s="76">
        <v>44958.692106481481</v>
      </c>
      <c r="X1743" s="80">
        <v>44958</v>
      </c>
      <c r="Y1743" s="78" t="s">
        <v>2608</v>
      </c>
      <c r="Z1743" s="77" t="str">
        <f>HYPERLINK("https://twitter.com/mctemru/status/1620823450255507456")</f>
        <v>https://twitter.com/mctemru/status/1620823450255507456</v>
      </c>
      <c r="AC1743" s="78" t="s">
        <v>3625</v>
      </c>
      <c r="AE1743" t="b">
        <v>0</v>
      </c>
      <c r="AF1743">
        <v>0</v>
      </c>
      <c r="AG1743" s="78" t="s">
        <v>4640</v>
      </c>
      <c r="AH1743" t="b">
        <v>0</v>
      </c>
      <c r="AI1743" t="s">
        <v>4829</v>
      </c>
      <c r="AK1743" s="78" t="s">
        <v>4640</v>
      </c>
      <c r="AL1743" t="b">
        <v>0</v>
      </c>
      <c r="AM1743">
        <v>162</v>
      </c>
      <c r="AN1743" s="78" t="s">
        <v>4473</v>
      </c>
      <c r="AO1743" s="78" t="s">
        <v>4850</v>
      </c>
      <c r="AP1743" t="b">
        <v>0</v>
      </c>
      <c r="AQ1743" s="78" t="s">
        <v>4473</v>
      </c>
      <c r="AR1743" t="s">
        <v>179</v>
      </c>
      <c r="AS1743">
        <v>0</v>
      </c>
      <c r="AT1743">
        <v>0</v>
      </c>
    </row>
    <row r="1744" spans="1:46" x14ac:dyDescent="0.45">
      <c r="A1744" s="62" t="s">
        <v>382</v>
      </c>
      <c r="B1744" s="62" t="s">
        <v>242</v>
      </c>
      <c r="C1744" s="63"/>
      <c r="D1744" s="64"/>
      <c r="E1744" s="65"/>
      <c r="F1744" s="66"/>
      <c r="G1744" s="63"/>
      <c r="H1744" s="67"/>
      <c r="I1744" s="68"/>
      <c r="J1744" s="68"/>
      <c r="K1744" s="32"/>
      <c r="L1744" s="75"/>
      <c r="M1744" s="75"/>
      <c r="N1744" s="70"/>
      <c r="O1744" t="s">
        <v>1569</v>
      </c>
      <c r="P1744" s="76">
        <v>44958.692106481481</v>
      </c>
      <c r="Q1744" t="s">
        <v>1693</v>
      </c>
      <c r="V1744" s="77" t="str">
        <f>HYPERLINK("https://pbs.twimg.com/profile_images/1621051256545443841/IM1oMvL4_normal.jpg")</f>
        <v>https://pbs.twimg.com/profile_images/1621051256545443841/IM1oMvL4_normal.jpg</v>
      </c>
      <c r="W1744" s="76">
        <v>44958.692106481481</v>
      </c>
      <c r="X1744" s="80">
        <v>44958</v>
      </c>
      <c r="Y1744" s="78" t="s">
        <v>2608</v>
      </c>
      <c r="Z1744" s="77" t="str">
        <f>HYPERLINK("https://twitter.com/mctemru/status/1620823450255507456")</f>
        <v>https://twitter.com/mctemru/status/1620823450255507456</v>
      </c>
      <c r="AC1744" s="78" t="s">
        <v>3625</v>
      </c>
      <c r="AE1744" t="b">
        <v>0</v>
      </c>
      <c r="AF1744">
        <v>0</v>
      </c>
      <c r="AG1744" s="78" t="s">
        <v>4640</v>
      </c>
      <c r="AH1744" t="b">
        <v>0</v>
      </c>
      <c r="AI1744" t="s">
        <v>4829</v>
      </c>
      <c r="AK1744" s="78" t="s">
        <v>4640</v>
      </c>
      <c r="AL1744" t="b">
        <v>0</v>
      </c>
      <c r="AM1744">
        <v>162</v>
      </c>
      <c r="AN1744" s="78" t="s">
        <v>4473</v>
      </c>
      <c r="AO1744" s="78" t="s">
        <v>4850</v>
      </c>
      <c r="AP1744" t="b">
        <v>0</v>
      </c>
      <c r="AQ1744" s="78" t="s">
        <v>4473</v>
      </c>
      <c r="AR1744" t="s">
        <v>179</v>
      </c>
      <c r="AS1744">
        <v>0</v>
      </c>
      <c r="AT1744">
        <v>0</v>
      </c>
    </row>
    <row r="1745" spans="1:46" x14ac:dyDescent="0.45">
      <c r="A1745" s="62" t="s">
        <v>384</v>
      </c>
      <c r="B1745" s="62" t="s">
        <v>1254</v>
      </c>
      <c r="C1745" s="63"/>
      <c r="D1745" s="64"/>
      <c r="E1745" s="65"/>
      <c r="F1745" s="66"/>
      <c r="G1745" s="63"/>
      <c r="H1745" s="67"/>
      <c r="I1745" s="68"/>
      <c r="J1745" s="68"/>
      <c r="K1745" s="32"/>
      <c r="L1745" s="75"/>
      <c r="M1745" s="75"/>
      <c r="N1745" s="70"/>
      <c r="O1745" t="s">
        <v>1568</v>
      </c>
      <c r="P1745" s="76">
        <v>44958.694039351853</v>
      </c>
      <c r="Q1745" t="s">
        <v>1721</v>
      </c>
      <c r="V1745" s="77" t="str">
        <f>HYPERLINK("https://pbs.twimg.com/profile_images/696502600078852096/xwgwH3JI_normal.jpg")</f>
        <v>https://pbs.twimg.com/profile_images/696502600078852096/xwgwH3JI_normal.jpg</v>
      </c>
      <c r="W1745" s="76">
        <v>44958.694039351853</v>
      </c>
      <c r="X1745" s="80">
        <v>44958</v>
      </c>
      <c r="Y1745" s="78" t="s">
        <v>2610</v>
      </c>
      <c r="Z1745" s="77" t="str">
        <f>HYPERLINK("https://twitter.com/themarkening/status/1620824150041591810")</f>
        <v>https://twitter.com/themarkening/status/1620824150041591810</v>
      </c>
      <c r="AC1745" s="78" t="s">
        <v>3627</v>
      </c>
      <c r="AD1745" s="78" t="s">
        <v>3628</v>
      </c>
      <c r="AE1745" t="b">
        <v>0</v>
      </c>
      <c r="AF1745">
        <v>0</v>
      </c>
      <c r="AG1745" s="78" t="s">
        <v>4673</v>
      </c>
      <c r="AH1745" t="b">
        <v>0</v>
      </c>
      <c r="AI1745" t="s">
        <v>4829</v>
      </c>
      <c r="AK1745" s="78" t="s">
        <v>4640</v>
      </c>
      <c r="AL1745" t="b">
        <v>0</v>
      </c>
      <c r="AM1745">
        <v>0</v>
      </c>
      <c r="AN1745" s="78" t="s">
        <v>4640</v>
      </c>
      <c r="AO1745" s="78" t="s">
        <v>4850</v>
      </c>
      <c r="AP1745" t="b">
        <v>0</v>
      </c>
      <c r="AQ1745" s="78" t="s">
        <v>3628</v>
      </c>
      <c r="AR1745" t="s">
        <v>179</v>
      </c>
      <c r="AS1745">
        <v>0</v>
      </c>
      <c r="AT1745">
        <v>0</v>
      </c>
    </row>
    <row r="1746" spans="1:46" x14ac:dyDescent="0.45">
      <c r="A1746" s="62" t="s">
        <v>384</v>
      </c>
      <c r="B1746" s="62" t="s">
        <v>1255</v>
      </c>
      <c r="C1746" s="63"/>
      <c r="D1746" s="64"/>
      <c r="E1746" s="65"/>
      <c r="F1746" s="66"/>
      <c r="G1746" s="63"/>
      <c r="H1746" s="67"/>
      <c r="I1746" s="68"/>
      <c r="J1746" s="68"/>
      <c r="K1746" s="32"/>
      <c r="L1746" s="75"/>
      <c r="M1746" s="75"/>
      <c r="N1746" s="70"/>
      <c r="O1746" t="s">
        <v>1568</v>
      </c>
      <c r="P1746" s="76">
        <v>44958.694039351853</v>
      </c>
      <c r="Q1746" t="s">
        <v>1721</v>
      </c>
      <c r="V1746" s="77" t="str">
        <f>HYPERLINK("https://pbs.twimg.com/profile_images/696502600078852096/xwgwH3JI_normal.jpg")</f>
        <v>https://pbs.twimg.com/profile_images/696502600078852096/xwgwH3JI_normal.jpg</v>
      </c>
      <c r="W1746" s="76">
        <v>44958.694039351853</v>
      </c>
      <c r="X1746" s="80">
        <v>44958</v>
      </c>
      <c r="Y1746" s="78" t="s">
        <v>2610</v>
      </c>
      <c r="Z1746" s="77" t="str">
        <f>HYPERLINK("https://twitter.com/themarkening/status/1620824150041591810")</f>
        <v>https://twitter.com/themarkening/status/1620824150041591810</v>
      </c>
      <c r="AC1746" s="78" t="s">
        <v>3627</v>
      </c>
      <c r="AD1746" s="78" t="s">
        <v>3628</v>
      </c>
      <c r="AE1746" t="b">
        <v>0</v>
      </c>
      <c r="AF1746">
        <v>0</v>
      </c>
      <c r="AG1746" s="78" t="s">
        <v>4673</v>
      </c>
      <c r="AH1746" t="b">
        <v>0</v>
      </c>
      <c r="AI1746" t="s">
        <v>4829</v>
      </c>
      <c r="AK1746" s="78" t="s">
        <v>4640</v>
      </c>
      <c r="AL1746" t="b">
        <v>0</v>
      </c>
      <c r="AM1746">
        <v>0</v>
      </c>
      <c r="AN1746" s="78" t="s">
        <v>4640</v>
      </c>
      <c r="AO1746" s="78" t="s">
        <v>4850</v>
      </c>
      <c r="AP1746" t="b">
        <v>0</v>
      </c>
      <c r="AQ1746" s="78" t="s">
        <v>3628</v>
      </c>
      <c r="AR1746" t="s">
        <v>179</v>
      </c>
      <c r="AS1746">
        <v>0</v>
      </c>
      <c r="AT1746">
        <v>0</v>
      </c>
    </row>
    <row r="1747" spans="1:46" x14ac:dyDescent="0.45">
      <c r="A1747" s="62" t="s">
        <v>384</v>
      </c>
      <c r="B1747" s="62" t="s">
        <v>1198</v>
      </c>
      <c r="C1747" s="63"/>
      <c r="D1747" s="64"/>
      <c r="E1747" s="65"/>
      <c r="F1747" s="66"/>
      <c r="G1747" s="63"/>
      <c r="H1747" s="67"/>
      <c r="I1747" s="68"/>
      <c r="J1747" s="68"/>
      <c r="K1747" s="32"/>
      <c r="L1747" s="75"/>
      <c r="M1747" s="75"/>
      <c r="N1747" s="70"/>
      <c r="O1747" t="s">
        <v>1568</v>
      </c>
      <c r="P1747" s="76">
        <v>44958.694039351853</v>
      </c>
      <c r="Q1747" t="s">
        <v>1721</v>
      </c>
      <c r="V1747" s="77" t="str">
        <f>HYPERLINK("https://pbs.twimg.com/profile_images/696502600078852096/xwgwH3JI_normal.jpg")</f>
        <v>https://pbs.twimg.com/profile_images/696502600078852096/xwgwH3JI_normal.jpg</v>
      </c>
      <c r="W1747" s="76">
        <v>44958.694039351853</v>
      </c>
      <c r="X1747" s="80">
        <v>44958</v>
      </c>
      <c r="Y1747" s="78" t="s">
        <v>2610</v>
      </c>
      <c r="Z1747" s="77" t="str">
        <f>HYPERLINK("https://twitter.com/themarkening/status/1620824150041591810")</f>
        <v>https://twitter.com/themarkening/status/1620824150041591810</v>
      </c>
      <c r="AC1747" s="78" t="s">
        <v>3627</v>
      </c>
      <c r="AD1747" s="78" t="s">
        <v>3628</v>
      </c>
      <c r="AE1747" t="b">
        <v>0</v>
      </c>
      <c r="AF1747">
        <v>0</v>
      </c>
      <c r="AG1747" s="78" t="s">
        <v>4673</v>
      </c>
      <c r="AH1747" t="b">
        <v>0</v>
      </c>
      <c r="AI1747" t="s">
        <v>4829</v>
      </c>
      <c r="AK1747" s="78" t="s">
        <v>4640</v>
      </c>
      <c r="AL1747" t="b">
        <v>0</v>
      </c>
      <c r="AM1747">
        <v>0</v>
      </c>
      <c r="AN1747" s="78" t="s">
        <v>4640</v>
      </c>
      <c r="AO1747" s="78" t="s">
        <v>4850</v>
      </c>
      <c r="AP1747" t="b">
        <v>0</v>
      </c>
      <c r="AQ1747" s="78" t="s">
        <v>3628</v>
      </c>
      <c r="AR1747" t="s">
        <v>179</v>
      </c>
      <c r="AS1747">
        <v>0</v>
      </c>
      <c r="AT1747">
        <v>0</v>
      </c>
    </row>
    <row r="1748" spans="1:46" x14ac:dyDescent="0.45">
      <c r="A1748" s="62" t="s">
        <v>384</v>
      </c>
      <c r="B1748" s="62" t="s">
        <v>1181</v>
      </c>
      <c r="C1748" s="63"/>
      <c r="D1748" s="64"/>
      <c r="E1748" s="65"/>
      <c r="F1748" s="66"/>
      <c r="G1748" s="63"/>
      <c r="H1748" s="67"/>
      <c r="I1748" s="68"/>
      <c r="J1748" s="68"/>
      <c r="K1748" s="32"/>
      <c r="L1748" s="75"/>
      <c r="M1748" s="75"/>
      <c r="N1748" s="70"/>
      <c r="O1748" t="s">
        <v>1568</v>
      </c>
      <c r="P1748" s="76">
        <v>44958.694039351853</v>
      </c>
      <c r="Q1748" t="s">
        <v>1721</v>
      </c>
      <c r="V1748" s="77" t="str">
        <f>HYPERLINK("https://pbs.twimg.com/profile_images/696502600078852096/xwgwH3JI_normal.jpg")</f>
        <v>https://pbs.twimg.com/profile_images/696502600078852096/xwgwH3JI_normal.jpg</v>
      </c>
      <c r="W1748" s="76">
        <v>44958.694039351853</v>
      </c>
      <c r="X1748" s="80">
        <v>44958</v>
      </c>
      <c r="Y1748" s="78" t="s">
        <v>2610</v>
      </c>
      <c r="Z1748" s="77" t="str">
        <f>HYPERLINK("https://twitter.com/themarkening/status/1620824150041591810")</f>
        <v>https://twitter.com/themarkening/status/1620824150041591810</v>
      </c>
      <c r="AC1748" s="78" t="s">
        <v>3627</v>
      </c>
      <c r="AD1748" s="78" t="s">
        <v>3628</v>
      </c>
      <c r="AE1748" t="b">
        <v>0</v>
      </c>
      <c r="AF1748">
        <v>0</v>
      </c>
      <c r="AG1748" s="78" t="s">
        <v>4673</v>
      </c>
      <c r="AH1748" t="b">
        <v>0</v>
      </c>
      <c r="AI1748" t="s">
        <v>4829</v>
      </c>
      <c r="AK1748" s="78" t="s">
        <v>4640</v>
      </c>
      <c r="AL1748" t="b">
        <v>0</v>
      </c>
      <c r="AM1748">
        <v>0</v>
      </c>
      <c r="AN1748" s="78" t="s">
        <v>4640</v>
      </c>
      <c r="AO1748" s="78" t="s">
        <v>4850</v>
      </c>
      <c r="AP1748" t="b">
        <v>0</v>
      </c>
      <c r="AQ1748" s="78" t="s">
        <v>3628</v>
      </c>
      <c r="AR1748" t="s">
        <v>179</v>
      </c>
      <c r="AS1748">
        <v>0</v>
      </c>
      <c r="AT1748">
        <v>0</v>
      </c>
    </row>
    <row r="1749" spans="1:46" x14ac:dyDescent="0.45">
      <c r="A1749" s="62" t="s">
        <v>384</v>
      </c>
      <c r="B1749" s="62" t="s">
        <v>1199</v>
      </c>
      <c r="C1749" s="63"/>
      <c r="D1749" s="64"/>
      <c r="E1749" s="65"/>
      <c r="F1749" s="66"/>
      <c r="G1749" s="63"/>
      <c r="H1749" s="67"/>
      <c r="I1749" s="68"/>
      <c r="J1749" s="68"/>
      <c r="K1749" s="32"/>
      <c r="L1749" s="75"/>
      <c r="M1749" s="75"/>
      <c r="N1749" s="70"/>
      <c r="O1749" t="s">
        <v>1568</v>
      </c>
      <c r="P1749" s="76">
        <v>44958.694039351853</v>
      </c>
      <c r="Q1749" t="s">
        <v>1721</v>
      </c>
      <c r="V1749" s="77" t="str">
        <f>HYPERLINK("https://pbs.twimg.com/profile_images/696502600078852096/xwgwH3JI_normal.jpg")</f>
        <v>https://pbs.twimg.com/profile_images/696502600078852096/xwgwH3JI_normal.jpg</v>
      </c>
      <c r="W1749" s="76">
        <v>44958.694039351853</v>
      </c>
      <c r="X1749" s="80">
        <v>44958</v>
      </c>
      <c r="Y1749" s="78" t="s">
        <v>2610</v>
      </c>
      <c r="Z1749" s="77" t="str">
        <f>HYPERLINK("https://twitter.com/themarkening/status/1620824150041591810")</f>
        <v>https://twitter.com/themarkening/status/1620824150041591810</v>
      </c>
      <c r="AC1749" s="78" t="s">
        <v>3627</v>
      </c>
      <c r="AD1749" s="78" t="s">
        <v>3628</v>
      </c>
      <c r="AE1749" t="b">
        <v>0</v>
      </c>
      <c r="AF1749">
        <v>0</v>
      </c>
      <c r="AG1749" s="78" t="s">
        <v>4673</v>
      </c>
      <c r="AH1749" t="b">
        <v>0</v>
      </c>
      <c r="AI1749" t="s">
        <v>4829</v>
      </c>
      <c r="AK1749" s="78" t="s">
        <v>4640</v>
      </c>
      <c r="AL1749" t="b">
        <v>0</v>
      </c>
      <c r="AM1749">
        <v>0</v>
      </c>
      <c r="AN1749" s="78" t="s">
        <v>4640</v>
      </c>
      <c r="AO1749" s="78" t="s">
        <v>4850</v>
      </c>
      <c r="AP1749" t="b">
        <v>0</v>
      </c>
      <c r="AQ1749" s="78" t="s">
        <v>3628</v>
      </c>
      <c r="AR1749" t="s">
        <v>179</v>
      </c>
      <c r="AS1749">
        <v>0</v>
      </c>
      <c r="AT1749">
        <v>0</v>
      </c>
    </row>
    <row r="1750" spans="1:46" x14ac:dyDescent="0.45">
      <c r="A1750" s="62" t="s">
        <v>384</v>
      </c>
      <c r="B1750" s="62" t="s">
        <v>1185</v>
      </c>
      <c r="C1750" s="63"/>
      <c r="D1750" s="64"/>
      <c r="E1750" s="65"/>
      <c r="F1750" s="66"/>
      <c r="G1750" s="63"/>
      <c r="H1750" s="67"/>
      <c r="I1750" s="68"/>
      <c r="J1750" s="68"/>
      <c r="K1750" s="32"/>
      <c r="L1750" s="75"/>
      <c r="M1750" s="75"/>
      <c r="N1750" s="70"/>
      <c r="O1750" t="s">
        <v>1568</v>
      </c>
      <c r="P1750" s="76">
        <v>44958.694039351853</v>
      </c>
      <c r="Q1750" t="s">
        <v>1721</v>
      </c>
      <c r="V1750" s="77" t="str">
        <f>HYPERLINK("https://pbs.twimg.com/profile_images/696502600078852096/xwgwH3JI_normal.jpg")</f>
        <v>https://pbs.twimg.com/profile_images/696502600078852096/xwgwH3JI_normal.jpg</v>
      </c>
      <c r="W1750" s="76">
        <v>44958.694039351853</v>
      </c>
      <c r="X1750" s="80">
        <v>44958</v>
      </c>
      <c r="Y1750" s="78" t="s">
        <v>2610</v>
      </c>
      <c r="Z1750" s="77" t="str">
        <f>HYPERLINK("https://twitter.com/themarkening/status/1620824150041591810")</f>
        <v>https://twitter.com/themarkening/status/1620824150041591810</v>
      </c>
      <c r="AC1750" s="78" t="s">
        <v>3627</v>
      </c>
      <c r="AD1750" s="78" t="s">
        <v>3628</v>
      </c>
      <c r="AE1750" t="b">
        <v>0</v>
      </c>
      <c r="AF1750">
        <v>0</v>
      </c>
      <c r="AG1750" s="78" t="s">
        <v>4673</v>
      </c>
      <c r="AH1750" t="b">
        <v>0</v>
      </c>
      <c r="AI1750" t="s">
        <v>4829</v>
      </c>
      <c r="AK1750" s="78" t="s">
        <v>4640</v>
      </c>
      <c r="AL1750" t="b">
        <v>0</v>
      </c>
      <c r="AM1750">
        <v>0</v>
      </c>
      <c r="AN1750" s="78" t="s">
        <v>4640</v>
      </c>
      <c r="AO1750" s="78" t="s">
        <v>4850</v>
      </c>
      <c r="AP1750" t="b">
        <v>0</v>
      </c>
      <c r="AQ1750" s="78" t="s">
        <v>3628</v>
      </c>
      <c r="AR1750" t="s">
        <v>179</v>
      </c>
      <c r="AS1750">
        <v>0</v>
      </c>
      <c r="AT1750">
        <v>0</v>
      </c>
    </row>
    <row r="1751" spans="1:46" x14ac:dyDescent="0.45">
      <c r="A1751" s="62" t="s">
        <v>384</v>
      </c>
      <c r="B1751" s="62" t="s">
        <v>242</v>
      </c>
      <c r="C1751" s="63"/>
      <c r="D1751" s="64"/>
      <c r="E1751" s="65"/>
      <c r="F1751" s="66"/>
      <c r="G1751" s="63"/>
      <c r="H1751" s="67"/>
      <c r="I1751" s="68"/>
      <c r="J1751" s="68"/>
      <c r="K1751" s="32"/>
      <c r="L1751" s="75"/>
      <c r="M1751" s="75"/>
      <c r="N1751" s="70"/>
      <c r="O1751" t="s">
        <v>1568</v>
      </c>
      <c r="P1751" s="76">
        <v>44958.694039351853</v>
      </c>
      <c r="Q1751" t="s">
        <v>1721</v>
      </c>
      <c r="V1751" s="77" t="str">
        <f>HYPERLINK("https://pbs.twimg.com/profile_images/696502600078852096/xwgwH3JI_normal.jpg")</f>
        <v>https://pbs.twimg.com/profile_images/696502600078852096/xwgwH3JI_normal.jpg</v>
      </c>
      <c r="W1751" s="76">
        <v>44958.694039351853</v>
      </c>
      <c r="X1751" s="80">
        <v>44958</v>
      </c>
      <c r="Y1751" s="78" t="s">
        <v>2610</v>
      </c>
      <c r="Z1751" s="77" t="str">
        <f>HYPERLINK("https://twitter.com/themarkening/status/1620824150041591810")</f>
        <v>https://twitter.com/themarkening/status/1620824150041591810</v>
      </c>
      <c r="AC1751" s="78" t="s">
        <v>3627</v>
      </c>
      <c r="AD1751" s="78" t="s">
        <v>3628</v>
      </c>
      <c r="AE1751" t="b">
        <v>0</v>
      </c>
      <c r="AF1751">
        <v>0</v>
      </c>
      <c r="AG1751" s="78" t="s">
        <v>4673</v>
      </c>
      <c r="AH1751" t="b">
        <v>0</v>
      </c>
      <c r="AI1751" t="s">
        <v>4829</v>
      </c>
      <c r="AK1751" s="78" t="s">
        <v>4640</v>
      </c>
      <c r="AL1751" t="b">
        <v>0</v>
      </c>
      <c r="AM1751">
        <v>0</v>
      </c>
      <c r="AN1751" s="78" t="s">
        <v>4640</v>
      </c>
      <c r="AO1751" s="78" t="s">
        <v>4850</v>
      </c>
      <c r="AP1751" t="b">
        <v>0</v>
      </c>
      <c r="AQ1751" s="78" t="s">
        <v>3628</v>
      </c>
      <c r="AR1751" t="s">
        <v>179</v>
      </c>
      <c r="AS1751">
        <v>0</v>
      </c>
      <c r="AT1751">
        <v>0</v>
      </c>
    </row>
    <row r="1752" spans="1:46" x14ac:dyDescent="0.45">
      <c r="A1752" s="62" t="s">
        <v>384</v>
      </c>
      <c r="B1752" s="62" t="s">
        <v>379</v>
      </c>
      <c r="C1752" s="63"/>
      <c r="D1752" s="64"/>
      <c r="E1752" s="65"/>
      <c r="F1752" s="66"/>
      <c r="G1752" s="63"/>
      <c r="H1752" s="67"/>
      <c r="I1752" s="68"/>
      <c r="J1752" s="68"/>
      <c r="K1752" s="32"/>
      <c r="L1752" s="75"/>
      <c r="M1752" s="75"/>
      <c r="N1752" s="70"/>
      <c r="O1752" t="s">
        <v>1567</v>
      </c>
      <c r="P1752" s="76">
        <v>44958.694039351853</v>
      </c>
      <c r="Q1752" t="s">
        <v>1721</v>
      </c>
      <c r="V1752" s="77" t="str">
        <f>HYPERLINK("https://pbs.twimg.com/profile_images/696502600078852096/xwgwH3JI_normal.jpg")</f>
        <v>https://pbs.twimg.com/profile_images/696502600078852096/xwgwH3JI_normal.jpg</v>
      </c>
      <c r="W1752" s="76">
        <v>44958.694039351853</v>
      </c>
      <c r="X1752" s="80">
        <v>44958</v>
      </c>
      <c r="Y1752" s="78" t="s">
        <v>2610</v>
      </c>
      <c r="Z1752" s="77" t="str">
        <f>HYPERLINK("https://twitter.com/themarkening/status/1620824150041591810")</f>
        <v>https://twitter.com/themarkening/status/1620824150041591810</v>
      </c>
      <c r="AC1752" s="78" t="s">
        <v>3627</v>
      </c>
      <c r="AD1752" s="78" t="s">
        <v>3628</v>
      </c>
      <c r="AE1752" t="b">
        <v>0</v>
      </c>
      <c r="AF1752">
        <v>0</v>
      </c>
      <c r="AG1752" s="78" t="s">
        <v>4673</v>
      </c>
      <c r="AH1752" t="b">
        <v>0</v>
      </c>
      <c r="AI1752" t="s">
        <v>4829</v>
      </c>
      <c r="AK1752" s="78" t="s">
        <v>4640</v>
      </c>
      <c r="AL1752" t="b">
        <v>0</v>
      </c>
      <c r="AM1752">
        <v>0</v>
      </c>
      <c r="AN1752" s="78" t="s">
        <v>4640</v>
      </c>
      <c r="AO1752" s="78" t="s">
        <v>4850</v>
      </c>
      <c r="AP1752" t="b">
        <v>0</v>
      </c>
      <c r="AQ1752" s="78" t="s">
        <v>3628</v>
      </c>
      <c r="AR1752" t="s">
        <v>179</v>
      </c>
      <c r="AS1752">
        <v>0</v>
      </c>
      <c r="AT1752">
        <v>0</v>
      </c>
    </row>
    <row r="1753" spans="1:46" x14ac:dyDescent="0.45">
      <c r="A1753" s="62" t="s">
        <v>385</v>
      </c>
      <c r="B1753" s="62" t="s">
        <v>1230</v>
      </c>
      <c r="C1753" s="63"/>
      <c r="D1753" s="64"/>
      <c r="E1753" s="65"/>
      <c r="F1753" s="66"/>
      <c r="G1753" s="63"/>
      <c r="H1753" s="67"/>
      <c r="I1753" s="68"/>
      <c r="J1753" s="68"/>
      <c r="K1753" s="32"/>
      <c r="L1753" s="75"/>
      <c r="M1753" s="75"/>
      <c r="N1753" s="70"/>
      <c r="O1753" t="s">
        <v>1570</v>
      </c>
      <c r="P1753" s="76">
        <v>44958.694131944445</v>
      </c>
      <c r="Q1753" t="s">
        <v>1693</v>
      </c>
      <c r="V1753" s="77" t="str">
        <f>HYPERLINK("https://pbs.twimg.com/profile_images/1614374501713600515/Z7CHMaew_normal.jpg")</f>
        <v>https://pbs.twimg.com/profile_images/1614374501713600515/Z7CHMaew_normal.jpg</v>
      </c>
      <c r="W1753" s="76">
        <v>44958.694131944445</v>
      </c>
      <c r="X1753" s="80">
        <v>44958</v>
      </c>
      <c r="Y1753" s="78" t="s">
        <v>2613</v>
      </c>
      <c r="Z1753" s="77" t="str">
        <f>HYPERLINK("https://twitter.com/wreckingball1b/status/1620824183692488707")</f>
        <v>https://twitter.com/wreckingball1b/status/1620824183692488707</v>
      </c>
      <c r="AC1753" s="78" t="s">
        <v>3630</v>
      </c>
      <c r="AE1753" t="b">
        <v>0</v>
      </c>
      <c r="AF1753">
        <v>0</v>
      </c>
      <c r="AG1753" s="78" t="s">
        <v>4640</v>
      </c>
      <c r="AH1753" t="b">
        <v>0</v>
      </c>
      <c r="AI1753" t="s">
        <v>4829</v>
      </c>
      <c r="AK1753" s="78" t="s">
        <v>4640</v>
      </c>
      <c r="AL1753" t="b">
        <v>0</v>
      </c>
      <c r="AM1753">
        <v>162</v>
      </c>
      <c r="AN1753" s="78" t="s">
        <v>4473</v>
      </c>
      <c r="AO1753" s="78" t="s">
        <v>4850</v>
      </c>
      <c r="AP1753" t="b">
        <v>0</v>
      </c>
      <c r="AQ1753" s="78" t="s">
        <v>4473</v>
      </c>
      <c r="AR1753" t="s">
        <v>179</v>
      </c>
      <c r="AS1753">
        <v>0</v>
      </c>
      <c r="AT1753">
        <v>0</v>
      </c>
    </row>
    <row r="1754" spans="1:46" x14ac:dyDescent="0.45">
      <c r="A1754" s="62" t="s">
        <v>385</v>
      </c>
      <c r="B1754" s="62" t="s">
        <v>242</v>
      </c>
      <c r="C1754" s="63"/>
      <c r="D1754" s="64"/>
      <c r="E1754" s="65"/>
      <c r="F1754" s="66"/>
      <c r="G1754" s="63"/>
      <c r="H1754" s="67"/>
      <c r="I1754" s="68"/>
      <c r="J1754" s="68"/>
      <c r="K1754" s="32"/>
      <c r="L1754" s="75"/>
      <c r="M1754" s="75"/>
      <c r="N1754" s="70"/>
      <c r="O1754" t="s">
        <v>1569</v>
      </c>
      <c r="P1754" s="76">
        <v>44958.694131944445</v>
      </c>
      <c r="Q1754" t="s">
        <v>1693</v>
      </c>
      <c r="V1754" s="77" t="str">
        <f>HYPERLINK("https://pbs.twimg.com/profile_images/1614374501713600515/Z7CHMaew_normal.jpg")</f>
        <v>https://pbs.twimg.com/profile_images/1614374501713600515/Z7CHMaew_normal.jpg</v>
      </c>
      <c r="W1754" s="76">
        <v>44958.694131944445</v>
      </c>
      <c r="X1754" s="80">
        <v>44958</v>
      </c>
      <c r="Y1754" s="78" t="s">
        <v>2613</v>
      </c>
      <c r="Z1754" s="77" t="str">
        <f>HYPERLINK("https://twitter.com/wreckingball1b/status/1620824183692488707")</f>
        <v>https://twitter.com/wreckingball1b/status/1620824183692488707</v>
      </c>
      <c r="AC1754" s="78" t="s">
        <v>3630</v>
      </c>
      <c r="AE1754" t="b">
        <v>0</v>
      </c>
      <c r="AF1754">
        <v>0</v>
      </c>
      <c r="AG1754" s="78" t="s">
        <v>4640</v>
      </c>
      <c r="AH1754" t="b">
        <v>0</v>
      </c>
      <c r="AI1754" t="s">
        <v>4829</v>
      </c>
      <c r="AK1754" s="78" t="s">
        <v>4640</v>
      </c>
      <c r="AL1754" t="b">
        <v>0</v>
      </c>
      <c r="AM1754">
        <v>162</v>
      </c>
      <c r="AN1754" s="78" t="s">
        <v>4473</v>
      </c>
      <c r="AO1754" s="78" t="s">
        <v>4850</v>
      </c>
      <c r="AP1754" t="b">
        <v>0</v>
      </c>
      <c r="AQ1754" s="78" t="s">
        <v>4473</v>
      </c>
      <c r="AR1754" t="s">
        <v>179</v>
      </c>
      <c r="AS1754">
        <v>0</v>
      </c>
      <c r="AT1754">
        <v>0</v>
      </c>
    </row>
    <row r="1755" spans="1:46" x14ac:dyDescent="0.45">
      <c r="A1755" s="62" t="s">
        <v>386</v>
      </c>
      <c r="B1755" s="62" t="s">
        <v>242</v>
      </c>
      <c r="C1755" s="63"/>
      <c r="D1755" s="64"/>
      <c r="E1755" s="65"/>
      <c r="F1755" s="66"/>
      <c r="G1755" s="63"/>
      <c r="H1755" s="67"/>
      <c r="I1755" s="68"/>
      <c r="J1755" s="68"/>
      <c r="K1755" s="32"/>
      <c r="L1755" s="75"/>
      <c r="M1755" s="75"/>
      <c r="N1755" s="70"/>
      <c r="O1755" t="s">
        <v>1567</v>
      </c>
      <c r="P1755" s="76">
        <v>44958.694432870368</v>
      </c>
      <c r="Q1755" t="s">
        <v>1724</v>
      </c>
      <c r="V1755" s="77" t="str">
        <f>HYPERLINK("https://pbs.twimg.com/profile_images/1595190056381292545/u_XJWAvb_normal.jpg")</f>
        <v>https://pbs.twimg.com/profile_images/1595190056381292545/u_XJWAvb_normal.jpg</v>
      </c>
      <c r="W1755" s="76">
        <v>44958.694432870368</v>
      </c>
      <c r="X1755" s="80">
        <v>44958</v>
      </c>
      <c r="Y1755" s="78" t="s">
        <v>2614</v>
      </c>
      <c r="Z1755" s="77" t="str">
        <f>HYPERLINK("https://twitter.com/forever_rez/status/1620824290802438144")</f>
        <v>https://twitter.com/forever_rez/status/1620824290802438144</v>
      </c>
      <c r="AC1755" s="78" t="s">
        <v>3631</v>
      </c>
      <c r="AE1755" t="b">
        <v>0</v>
      </c>
      <c r="AF1755">
        <v>0</v>
      </c>
      <c r="AG1755" s="78" t="s">
        <v>4639</v>
      </c>
      <c r="AH1755" t="b">
        <v>0</v>
      </c>
      <c r="AI1755" t="s">
        <v>4829</v>
      </c>
      <c r="AK1755" s="78" t="s">
        <v>4640</v>
      </c>
      <c r="AL1755" t="b">
        <v>0</v>
      </c>
      <c r="AM1755">
        <v>0</v>
      </c>
      <c r="AN1755" s="78" t="s">
        <v>4640</v>
      </c>
      <c r="AO1755" s="78" t="s">
        <v>4849</v>
      </c>
      <c r="AP1755" t="b">
        <v>0</v>
      </c>
      <c r="AQ1755" s="78" t="s">
        <v>3631</v>
      </c>
      <c r="AR1755" t="s">
        <v>179</v>
      </c>
      <c r="AS1755">
        <v>0</v>
      </c>
      <c r="AT1755">
        <v>0</v>
      </c>
    </row>
    <row r="1756" spans="1:46" x14ac:dyDescent="0.45">
      <c r="A1756" s="62" t="s">
        <v>387</v>
      </c>
      <c r="B1756" s="62" t="s">
        <v>1230</v>
      </c>
      <c r="C1756" s="63"/>
      <c r="D1756" s="64"/>
      <c r="E1756" s="65"/>
      <c r="F1756" s="66"/>
      <c r="G1756" s="63"/>
      <c r="H1756" s="67"/>
      <c r="I1756" s="68"/>
      <c r="J1756" s="68"/>
      <c r="K1756" s="32"/>
      <c r="L1756" s="75"/>
      <c r="M1756" s="75"/>
      <c r="N1756" s="70"/>
      <c r="O1756" t="s">
        <v>1570</v>
      </c>
      <c r="P1756" s="76">
        <v>44958.695798611108</v>
      </c>
      <c r="Q1756" t="s">
        <v>1693</v>
      </c>
      <c r="V1756" s="77" t="str">
        <f>HYPERLINK("https://pbs.twimg.com/profile_images/1613596968961409024/Q8_6m19P_normal.jpg")</f>
        <v>https://pbs.twimg.com/profile_images/1613596968961409024/Q8_6m19P_normal.jpg</v>
      </c>
      <c r="W1756" s="76">
        <v>44958.695798611108</v>
      </c>
      <c r="X1756" s="80">
        <v>44958</v>
      </c>
      <c r="Y1756" s="78" t="s">
        <v>2615</v>
      </c>
      <c r="Z1756" s="77" t="str">
        <f>HYPERLINK("https://twitter.com/mcgoldengstring/status/1620824785969348609")</f>
        <v>https://twitter.com/mcgoldengstring/status/1620824785969348609</v>
      </c>
      <c r="AC1756" s="78" t="s">
        <v>3632</v>
      </c>
      <c r="AE1756" t="b">
        <v>0</v>
      </c>
      <c r="AF1756">
        <v>0</v>
      </c>
      <c r="AG1756" s="78" t="s">
        <v>4640</v>
      </c>
      <c r="AH1756" t="b">
        <v>0</v>
      </c>
      <c r="AI1756" t="s">
        <v>4829</v>
      </c>
      <c r="AK1756" s="78" t="s">
        <v>4640</v>
      </c>
      <c r="AL1756" t="b">
        <v>0</v>
      </c>
      <c r="AM1756">
        <v>162</v>
      </c>
      <c r="AN1756" s="78" t="s">
        <v>4473</v>
      </c>
      <c r="AO1756" s="78" t="s">
        <v>4849</v>
      </c>
      <c r="AP1756" t="b">
        <v>0</v>
      </c>
      <c r="AQ1756" s="78" t="s">
        <v>4473</v>
      </c>
      <c r="AR1756" t="s">
        <v>179</v>
      </c>
      <c r="AS1756">
        <v>0</v>
      </c>
      <c r="AT1756">
        <v>0</v>
      </c>
    </row>
    <row r="1757" spans="1:46" x14ac:dyDescent="0.45">
      <c r="A1757" s="62" t="s">
        <v>387</v>
      </c>
      <c r="B1757" s="62" t="s">
        <v>242</v>
      </c>
      <c r="C1757" s="63"/>
      <c r="D1757" s="64"/>
      <c r="E1757" s="65"/>
      <c r="F1757" s="66"/>
      <c r="G1757" s="63"/>
      <c r="H1757" s="67"/>
      <c r="I1757" s="68"/>
      <c r="J1757" s="68"/>
      <c r="K1757" s="32"/>
      <c r="L1757" s="75"/>
      <c r="M1757" s="75"/>
      <c r="N1757" s="70"/>
      <c r="O1757" t="s">
        <v>1569</v>
      </c>
      <c r="P1757" s="76">
        <v>44958.695798611108</v>
      </c>
      <c r="Q1757" t="s">
        <v>1693</v>
      </c>
      <c r="V1757" s="77" t="str">
        <f>HYPERLINK("https://pbs.twimg.com/profile_images/1613596968961409024/Q8_6m19P_normal.jpg")</f>
        <v>https://pbs.twimg.com/profile_images/1613596968961409024/Q8_6m19P_normal.jpg</v>
      </c>
      <c r="W1757" s="76">
        <v>44958.695798611108</v>
      </c>
      <c r="X1757" s="80">
        <v>44958</v>
      </c>
      <c r="Y1757" s="78" t="s">
        <v>2615</v>
      </c>
      <c r="Z1757" s="77" t="str">
        <f>HYPERLINK("https://twitter.com/mcgoldengstring/status/1620824785969348609")</f>
        <v>https://twitter.com/mcgoldengstring/status/1620824785969348609</v>
      </c>
      <c r="AC1757" s="78" t="s">
        <v>3632</v>
      </c>
      <c r="AE1757" t="b">
        <v>0</v>
      </c>
      <c r="AF1757">
        <v>0</v>
      </c>
      <c r="AG1757" s="78" t="s">
        <v>4640</v>
      </c>
      <c r="AH1757" t="b">
        <v>0</v>
      </c>
      <c r="AI1757" t="s">
        <v>4829</v>
      </c>
      <c r="AK1757" s="78" t="s">
        <v>4640</v>
      </c>
      <c r="AL1757" t="b">
        <v>0</v>
      </c>
      <c r="AM1757">
        <v>162</v>
      </c>
      <c r="AN1757" s="78" t="s">
        <v>4473</v>
      </c>
      <c r="AO1757" s="78" t="s">
        <v>4849</v>
      </c>
      <c r="AP1757" t="b">
        <v>0</v>
      </c>
      <c r="AQ1757" s="78" t="s">
        <v>4473</v>
      </c>
      <c r="AR1757" t="s">
        <v>179</v>
      </c>
      <c r="AS1757">
        <v>0</v>
      </c>
      <c r="AT1757">
        <v>0</v>
      </c>
    </row>
    <row r="1758" spans="1:46" x14ac:dyDescent="0.45">
      <c r="A1758" s="62" t="s">
        <v>388</v>
      </c>
      <c r="B1758" s="62" t="s">
        <v>242</v>
      </c>
      <c r="C1758" s="63"/>
      <c r="D1758" s="64"/>
      <c r="E1758" s="65"/>
      <c r="F1758" s="66"/>
      <c r="G1758" s="63"/>
      <c r="H1758" s="67"/>
      <c r="I1758" s="68"/>
      <c r="J1758" s="68"/>
      <c r="K1758" s="32"/>
      <c r="L1758" s="75"/>
      <c r="M1758" s="75"/>
      <c r="N1758" s="70"/>
      <c r="O1758" t="s">
        <v>1568</v>
      </c>
      <c r="P1758" s="76">
        <v>44958.695914351854</v>
      </c>
      <c r="Q1758" t="s">
        <v>1725</v>
      </c>
      <c r="V1758" s="77" t="str">
        <f>HYPERLINK("https://pbs.twimg.com/profile_images/1403323166034776067/EL5O1AK1_normal.jpg")</f>
        <v>https://pbs.twimg.com/profile_images/1403323166034776067/EL5O1AK1_normal.jpg</v>
      </c>
      <c r="W1758" s="76">
        <v>44958.695914351854</v>
      </c>
      <c r="X1758" s="80">
        <v>44958</v>
      </c>
      <c r="Y1758" s="78" t="s">
        <v>2616</v>
      </c>
      <c r="Z1758" s="77" t="str">
        <f>HYPERLINK("https://twitter.com/tanugup18204323/status/1620824828168249345")</f>
        <v>https://twitter.com/tanugup18204323/status/1620824828168249345</v>
      </c>
      <c r="AC1758" s="78" t="s">
        <v>3633</v>
      </c>
      <c r="AD1758" s="78" t="s">
        <v>4534</v>
      </c>
      <c r="AE1758" t="b">
        <v>0</v>
      </c>
      <c r="AF1758">
        <v>0</v>
      </c>
      <c r="AG1758" s="78" t="s">
        <v>4642</v>
      </c>
      <c r="AH1758" t="b">
        <v>0</v>
      </c>
      <c r="AI1758" t="s">
        <v>4829</v>
      </c>
      <c r="AK1758" s="78" t="s">
        <v>4640</v>
      </c>
      <c r="AL1758" t="b">
        <v>0</v>
      </c>
      <c r="AM1758">
        <v>0</v>
      </c>
      <c r="AN1758" s="78" t="s">
        <v>4640</v>
      </c>
      <c r="AO1758" s="78" t="s">
        <v>4850</v>
      </c>
      <c r="AP1758" t="b">
        <v>0</v>
      </c>
      <c r="AQ1758" s="78" t="s">
        <v>4534</v>
      </c>
      <c r="AR1758" t="s">
        <v>179</v>
      </c>
      <c r="AS1758">
        <v>0</v>
      </c>
      <c r="AT1758">
        <v>0</v>
      </c>
    </row>
    <row r="1759" spans="1:46" x14ac:dyDescent="0.45">
      <c r="A1759" s="62" t="s">
        <v>388</v>
      </c>
      <c r="B1759" s="62" t="s">
        <v>1110</v>
      </c>
      <c r="C1759" s="63"/>
      <c r="D1759" s="64"/>
      <c r="E1759" s="65"/>
      <c r="F1759" s="66"/>
      <c r="G1759" s="63"/>
      <c r="H1759" s="67"/>
      <c r="I1759" s="68"/>
      <c r="J1759" s="68"/>
      <c r="K1759" s="32"/>
      <c r="L1759" s="75"/>
      <c r="M1759" s="75"/>
      <c r="N1759" s="70"/>
      <c r="O1759" t="s">
        <v>1567</v>
      </c>
      <c r="P1759" s="76">
        <v>44958.695914351854</v>
      </c>
      <c r="Q1759" t="s">
        <v>1725</v>
      </c>
      <c r="V1759" s="77" t="str">
        <f>HYPERLINK("https://pbs.twimg.com/profile_images/1403323166034776067/EL5O1AK1_normal.jpg")</f>
        <v>https://pbs.twimg.com/profile_images/1403323166034776067/EL5O1AK1_normal.jpg</v>
      </c>
      <c r="W1759" s="76">
        <v>44958.695914351854</v>
      </c>
      <c r="X1759" s="80">
        <v>44958</v>
      </c>
      <c r="Y1759" s="78" t="s">
        <v>2616</v>
      </c>
      <c r="Z1759" s="77" t="str">
        <f>HYPERLINK("https://twitter.com/tanugup18204323/status/1620824828168249345")</f>
        <v>https://twitter.com/tanugup18204323/status/1620824828168249345</v>
      </c>
      <c r="AC1759" s="78" t="s">
        <v>3633</v>
      </c>
      <c r="AD1759" s="78" t="s">
        <v>4534</v>
      </c>
      <c r="AE1759" t="b">
        <v>0</v>
      </c>
      <c r="AF1759">
        <v>0</v>
      </c>
      <c r="AG1759" s="78" t="s">
        <v>4642</v>
      </c>
      <c r="AH1759" t="b">
        <v>0</v>
      </c>
      <c r="AI1759" t="s">
        <v>4829</v>
      </c>
      <c r="AK1759" s="78" t="s">
        <v>4640</v>
      </c>
      <c r="AL1759" t="b">
        <v>0</v>
      </c>
      <c r="AM1759">
        <v>0</v>
      </c>
      <c r="AN1759" s="78" t="s">
        <v>4640</v>
      </c>
      <c r="AO1759" s="78" t="s">
        <v>4850</v>
      </c>
      <c r="AP1759" t="b">
        <v>0</v>
      </c>
      <c r="AQ1759" s="78" t="s">
        <v>4534</v>
      </c>
      <c r="AR1759" t="s">
        <v>179</v>
      </c>
      <c r="AS1759">
        <v>0</v>
      </c>
      <c r="AT1759">
        <v>0</v>
      </c>
    </row>
    <row r="1760" spans="1:46" x14ac:dyDescent="0.45">
      <c r="A1760" s="62" t="s">
        <v>389</v>
      </c>
      <c r="B1760" s="62" t="s">
        <v>1230</v>
      </c>
      <c r="C1760" s="63"/>
      <c r="D1760" s="64"/>
      <c r="E1760" s="65"/>
      <c r="F1760" s="66"/>
      <c r="G1760" s="63"/>
      <c r="H1760" s="67"/>
      <c r="I1760" s="68"/>
      <c r="J1760" s="68"/>
      <c r="K1760" s="32"/>
      <c r="L1760" s="75"/>
      <c r="M1760" s="75"/>
      <c r="N1760" s="70"/>
      <c r="O1760" t="s">
        <v>1570</v>
      </c>
      <c r="P1760" s="76">
        <v>44958.69809027778</v>
      </c>
      <c r="Q1760" t="s">
        <v>1693</v>
      </c>
      <c r="V1760" s="77" t="str">
        <f>HYPERLINK("https://pbs.twimg.com/profile_images/1461718173200359430/7DYCOtZ7_normal.jpg")</f>
        <v>https://pbs.twimg.com/profile_images/1461718173200359430/7DYCOtZ7_normal.jpg</v>
      </c>
      <c r="W1760" s="76">
        <v>44958.69809027778</v>
      </c>
      <c r="X1760" s="80">
        <v>44958</v>
      </c>
      <c r="Y1760" s="78" t="s">
        <v>2617</v>
      </c>
      <c r="Z1760" s="77" t="str">
        <f>HYPERLINK("https://twitter.com/sjc26138/status/1620825617041358848")</f>
        <v>https://twitter.com/sjc26138/status/1620825617041358848</v>
      </c>
      <c r="AC1760" s="78" t="s">
        <v>3634</v>
      </c>
      <c r="AE1760" t="b">
        <v>0</v>
      </c>
      <c r="AF1760">
        <v>0</v>
      </c>
      <c r="AG1760" s="78" t="s">
        <v>4640</v>
      </c>
      <c r="AH1760" t="b">
        <v>0</v>
      </c>
      <c r="AI1760" t="s">
        <v>4829</v>
      </c>
      <c r="AK1760" s="78" t="s">
        <v>4640</v>
      </c>
      <c r="AL1760" t="b">
        <v>0</v>
      </c>
      <c r="AM1760">
        <v>162</v>
      </c>
      <c r="AN1760" s="78" t="s">
        <v>4473</v>
      </c>
      <c r="AO1760" s="78" t="s">
        <v>4849</v>
      </c>
      <c r="AP1760" t="b">
        <v>0</v>
      </c>
      <c r="AQ1760" s="78" t="s">
        <v>4473</v>
      </c>
      <c r="AR1760" t="s">
        <v>179</v>
      </c>
      <c r="AS1760">
        <v>0</v>
      </c>
      <c r="AT1760">
        <v>0</v>
      </c>
    </row>
    <row r="1761" spans="1:46" x14ac:dyDescent="0.45">
      <c r="A1761" s="62" t="s">
        <v>389</v>
      </c>
      <c r="B1761" s="62" t="s">
        <v>242</v>
      </c>
      <c r="C1761" s="63"/>
      <c r="D1761" s="64"/>
      <c r="E1761" s="65"/>
      <c r="F1761" s="66"/>
      <c r="G1761" s="63"/>
      <c r="H1761" s="67"/>
      <c r="I1761" s="68"/>
      <c r="J1761" s="68"/>
      <c r="K1761" s="32"/>
      <c r="L1761" s="75"/>
      <c r="M1761" s="75"/>
      <c r="N1761" s="70"/>
      <c r="O1761" t="s">
        <v>1569</v>
      </c>
      <c r="P1761" s="76">
        <v>44958.69809027778</v>
      </c>
      <c r="Q1761" t="s">
        <v>1693</v>
      </c>
      <c r="V1761" s="77" t="str">
        <f>HYPERLINK("https://pbs.twimg.com/profile_images/1461718173200359430/7DYCOtZ7_normal.jpg")</f>
        <v>https://pbs.twimg.com/profile_images/1461718173200359430/7DYCOtZ7_normal.jpg</v>
      </c>
      <c r="W1761" s="76">
        <v>44958.69809027778</v>
      </c>
      <c r="X1761" s="80">
        <v>44958</v>
      </c>
      <c r="Y1761" s="78" t="s">
        <v>2617</v>
      </c>
      <c r="Z1761" s="77" t="str">
        <f>HYPERLINK("https://twitter.com/sjc26138/status/1620825617041358848")</f>
        <v>https://twitter.com/sjc26138/status/1620825617041358848</v>
      </c>
      <c r="AC1761" s="78" t="s">
        <v>3634</v>
      </c>
      <c r="AE1761" t="b">
        <v>0</v>
      </c>
      <c r="AF1761">
        <v>0</v>
      </c>
      <c r="AG1761" s="78" t="s">
        <v>4640</v>
      </c>
      <c r="AH1761" t="b">
        <v>0</v>
      </c>
      <c r="AI1761" t="s">
        <v>4829</v>
      </c>
      <c r="AK1761" s="78" t="s">
        <v>4640</v>
      </c>
      <c r="AL1761" t="b">
        <v>0</v>
      </c>
      <c r="AM1761">
        <v>162</v>
      </c>
      <c r="AN1761" s="78" t="s">
        <v>4473</v>
      </c>
      <c r="AO1761" s="78" t="s">
        <v>4849</v>
      </c>
      <c r="AP1761" t="b">
        <v>0</v>
      </c>
      <c r="AQ1761" s="78" t="s">
        <v>4473</v>
      </c>
      <c r="AR1761" t="s">
        <v>179</v>
      </c>
      <c r="AS1761">
        <v>0</v>
      </c>
      <c r="AT1761">
        <v>0</v>
      </c>
    </row>
    <row r="1762" spans="1:46" x14ac:dyDescent="0.45">
      <c r="A1762" s="62" t="s">
        <v>392</v>
      </c>
      <c r="B1762" s="62" t="s">
        <v>1230</v>
      </c>
      <c r="C1762" s="63"/>
      <c r="D1762" s="64"/>
      <c r="E1762" s="65"/>
      <c r="F1762" s="66"/>
      <c r="G1762" s="63"/>
      <c r="H1762" s="67"/>
      <c r="I1762" s="68"/>
      <c r="J1762" s="68"/>
      <c r="K1762" s="32"/>
      <c r="L1762" s="75"/>
      <c r="M1762" s="75"/>
      <c r="N1762" s="70"/>
      <c r="O1762" t="s">
        <v>1570</v>
      </c>
      <c r="P1762" s="76">
        <v>44958.701273148145</v>
      </c>
      <c r="Q1762" t="s">
        <v>1693</v>
      </c>
      <c r="V1762" s="77" t="str">
        <f>HYPERLINK("https://pbs.twimg.com/profile_images/1615621149358002176/5xNScSoL_normal.jpg")</f>
        <v>https://pbs.twimg.com/profile_images/1615621149358002176/5xNScSoL_normal.jpg</v>
      </c>
      <c r="W1762" s="76">
        <v>44958.701273148145</v>
      </c>
      <c r="X1762" s="80">
        <v>44958</v>
      </c>
      <c r="Y1762" s="78" t="s">
        <v>2620</v>
      </c>
      <c r="Z1762" s="77" t="str">
        <f>HYPERLINK("https://twitter.com/cafreeman316/status/1620826769464107008")</f>
        <v>https://twitter.com/cafreeman316/status/1620826769464107008</v>
      </c>
      <c r="AC1762" s="78" t="s">
        <v>3637</v>
      </c>
      <c r="AE1762" t="b">
        <v>0</v>
      </c>
      <c r="AF1762">
        <v>0</v>
      </c>
      <c r="AG1762" s="78" t="s">
        <v>4640</v>
      </c>
      <c r="AH1762" t="b">
        <v>0</v>
      </c>
      <c r="AI1762" t="s">
        <v>4829</v>
      </c>
      <c r="AK1762" s="78" t="s">
        <v>4640</v>
      </c>
      <c r="AL1762" t="b">
        <v>0</v>
      </c>
      <c r="AM1762">
        <v>162</v>
      </c>
      <c r="AN1762" s="78" t="s">
        <v>4473</v>
      </c>
      <c r="AO1762" s="78" t="s">
        <v>4851</v>
      </c>
      <c r="AP1762" t="b">
        <v>0</v>
      </c>
      <c r="AQ1762" s="78" t="s">
        <v>4473</v>
      </c>
      <c r="AR1762" t="s">
        <v>179</v>
      </c>
      <c r="AS1762">
        <v>0</v>
      </c>
      <c r="AT1762">
        <v>0</v>
      </c>
    </row>
    <row r="1763" spans="1:46" x14ac:dyDescent="0.45">
      <c r="A1763" s="62" t="s">
        <v>392</v>
      </c>
      <c r="B1763" s="62" t="s">
        <v>242</v>
      </c>
      <c r="C1763" s="63"/>
      <c r="D1763" s="64"/>
      <c r="E1763" s="65"/>
      <c r="F1763" s="66"/>
      <c r="G1763" s="63"/>
      <c r="H1763" s="67"/>
      <c r="I1763" s="68"/>
      <c r="J1763" s="68"/>
      <c r="K1763" s="32"/>
      <c r="L1763" s="75"/>
      <c r="M1763" s="75"/>
      <c r="N1763" s="70"/>
      <c r="O1763" t="s">
        <v>1569</v>
      </c>
      <c r="P1763" s="76">
        <v>44958.701273148145</v>
      </c>
      <c r="Q1763" t="s">
        <v>1693</v>
      </c>
      <c r="V1763" s="77" t="str">
        <f>HYPERLINK("https://pbs.twimg.com/profile_images/1615621149358002176/5xNScSoL_normal.jpg")</f>
        <v>https://pbs.twimg.com/profile_images/1615621149358002176/5xNScSoL_normal.jpg</v>
      </c>
      <c r="W1763" s="76">
        <v>44958.701273148145</v>
      </c>
      <c r="X1763" s="80">
        <v>44958</v>
      </c>
      <c r="Y1763" s="78" t="s">
        <v>2620</v>
      </c>
      <c r="Z1763" s="77" t="str">
        <f>HYPERLINK("https://twitter.com/cafreeman316/status/1620826769464107008")</f>
        <v>https://twitter.com/cafreeman316/status/1620826769464107008</v>
      </c>
      <c r="AC1763" s="78" t="s">
        <v>3637</v>
      </c>
      <c r="AE1763" t="b">
        <v>0</v>
      </c>
      <c r="AF1763">
        <v>0</v>
      </c>
      <c r="AG1763" s="78" t="s">
        <v>4640</v>
      </c>
      <c r="AH1763" t="b">
        <v>0</v>
      </c>
      <c r="AI1763" t="s">
        <v>4829</v>
      </c>
      <c r="AK1763" s="78" t="s">
        <v>4640</v>
      </c>
      <c r="AL1763" t="b">
        <v>0</v>
      </c>
      <c r="AM1763">
        <v>162</v>
      </c>
      <c r="AN1763" s="78" t="s">
        <v>4473</v>
      </c>
      <c r="AO1763" s="78" t="s">
        <v>4851</v>
      </c>
      <c r="AP1763" t="b">
        <v>0</v>
      </c>
      <c r="AQ1763" s="78" t="s">
        <v>4473</v>
      </c>
      <c r="AR1763" t="s">
        <v>179</v>
      </c>
      <c r="AS1763">
        <v>0</v>
      </c>
      <c r="AT1763">
        <v>0</v>
      </c>
    </row>
    <row r="1764" spans="1:46" x14ac:dyDescent="0.45">
      <c r="A1764" s="62" t="s">
        <v>393</v>
      </c>
      <c r="B1764" s="62" t="s">
        <v>1230</v>
      </c>
      <c r="C1764" s="63"/>
      <c r="D1764" s="64"/>
      <c r="E1764" s="65"/>
      <c r="F1764" s="66"/>
      <c r="G1764" s="63"/>
      <c r="H1764" s="67"/>
      <c r="I1764" s="68"/>
      <c r="J1764" s="68"/>
      <c r="K1764" s="32"/>
      <c r="L1764" s="75"/>
      <c r="M1764" s="75"/>
      <c r="N1764" s="70"/>
      <c r="O1764" t="s">
        <v>1570</v>
      </c>
      <c r="P1764" s="76">
        <v>44958.701493055552</v>
      </c>
      <c r="Q1764" t="s">
        <v>1693</v>
      </c>
      <c r="V1764" s="77" t="str">
        <f>HYPERLINK("https://pbs.twimg.com/profile_images/1609949465560973326/-VhYLlAy_normal.jpg")</f>
        <v>https://pbs.twimg.com/profile_images/1609949465560973326/-VhYLlAy_normal.jpg</v>
      </c>
      <c r="W1764" s="76">
        <v>44958.701493055552</v>
      </c>
      <c r="X1764" s="80">
        <v>44958</v>
      </c>
      <c r="Y1764" s="78" t="s">
        <v>2621</v>
      </c>
      <c r="Z1764" s="77" t="str">
        <f>HYPERLINK("https://twitter.com/adielrp23/status/1620826851240456197")</f>
        <v>https://twitter.com/adielrp23/status/1620826851240456197</v>
      </c>
      <c r="AC1764" s="78" t="s">
        <v>3638</v>
      </c>
      <c r="AE1764" t="b">
        <v>0</v>
      </c>
      <c r="AF1764">
        <v>0</v>
      </c>
      <c r="AG1764" s="78" t="s">
        <v>4640</v>
      </c>
      <c r="AH1764" t="b">
        <v>0</v>
      </c>
      <c r="AI1764" t="s">
        <v>4829</v>
      </c>
      <c r="AK1764" s="78" t="s">
        <v>4640</v>
      </c>
      <c r="AL1764" t="b">
        <v>0</v>
      </c>
      <c r="AM1764">
        <v>162</v>
      </c>
      <c r="AN1764" s="78" t="s">
        <v>4473</v>
      </c>
      <c r="AO1764" s="78" t="s">
        <v>4850</v>
      </c>
      <c r="AP1764" t="b">
        <v>0</v>
      </c>
      <c r="AQ1764" s="78" t="s">
        <v>4473</v>
      </c>
      <c r="AR1764" t="s">
        <v>179</v>
      </c>
      <c r="AS1764">
        <v>0</v>
      </c>
      <c r="AT1764">
        <v>0</v>
      </c>
    </row>
    <row r="1765" spans="1:46" x14ac:dyDescent="0.45">
      <c r="A1765" s="62" t="s">
        <v>393</v>
      </c>
      <c r="B1765" s="62" t="s">
        <v>242</v>
      </c>
      <c r="C1765" s="63"/>
      <c r="D1765" s="64"/>
      <c r="E1765" s="65"/>
      <c r="F1765" s="66"/>
      <c r="G1765" s="63"/>
      <c r="H1765" s="67"/>
      <c r="I1765" s="68"/>
      <c r="J1765" s="68"/>
      <c r="K1765" s="32"/>
      <c r="L1765" s="75"/>
      <c r="M1765" s="75"/>
      <c r="N1765" s="70"/>
      <c r="O1765" t="s">
        <v>1569</v>
      </c>
      <c r="P1765" s="76">
        <v>44958.701493055552</v>
      </c>
      <c r="Q1765" t="s">
        <v>1693</v>
      </c>
      <c r="V1765" s="77" t="str">
        <f>HYPERLINK("https://pbs.twimg.com/profile_images/1609949465560973326/-VhYLlAy_normal.jpg")</f>
        <v>https://pbs.twimg.com/profile_images/1609949465560973326/-VhYLlAy_normal.jpg</v>
      </c>
      <c r="W1765" s="76">
        <v>44958.701493055552</v>
      </c>
      <c r="X1765" s="80">
        <v>44958</v>
      </c>
      <c r="Y1765" s="78" t="s">
        <v>2621</v>
      </c>
      <c r="Z1765" s="77" t="str">
        <f>HYPERLINK("https://twitter.com/adielrp23/status/1620826851240456197")</f>
        <v>https://twitter.com/adielrp23/status/1620826851240456197</v>
      </c>
      <c r="AC1765" s="78" t="s">
        <v>3638</v>
      </c>
      <c r="AE1765" t="b">
        <v>0</v>
      </c>
      <c r="AF1765">
        <v>0</v>
      </c>
      <c r="AG1765" s="78" t="s">
        <v>4640</v>
      </c>
      <c r="AH1765" t="b">
        <v>0</v>
      </c>
      <c r="AI1765" t="s">
        <v>4829</v>
      </c>
      <c r="AK1765" s="78" t="s">
        <v>4640</v>
      </c>
      <c r="AL1765" t="b">
        <v>0</v>
      </c>
      <c r="AM1765">
        <v>162</v>
      </c>
      <c r="AN1765" s="78" t="s">
        <v>4473</v>
      </c>
      <c r="AO1765" s="78" t="s">
        <v>4850</v>
      </c>
      <c r="AP1765" t="b">
        <v>0</v>
      </c>
      <c r="AQ1765" s="78" t="s">
        <v>4473</v>
      </c>
      <c r="AR1765" t="s">
        <v>179</v>
      </c>
      <c r="AS1765">
        <v>0</v>
      </c>
      <c r="AT1765">
        <v>0</v>
      </c>
    </row>
    <row r="1766" spans="1:46" x14ac:dyDescent="0.45">
      <c r="A1766" s="62" t="s">
        <v>395</v>
      </c>
      <c r="B1766" s="62" t="s">
        <v>1230</v>
      </c>
      <c r="C1766" s="63"/>
      <c r="D1766" s="64"/>
      <c r="E1766" s="65"/>
      <c r="F1766" s="66"/>
      <c r="G1766" s="63"/>
      <c r="H1766" s="67"/>
      <c r="I1766" s="68"/>
      <c r="J1766" s="68"/>
      <c r="K1766" s="32"/>
      <c r="L1766" s="75"/>
      <c r="M1766" s="75"/>
      <c r="N1766" s="70"/>
      <c r="O1766" t="s">
        <v>1570</v>
      </c>
      <c r="P1766" s="76">
        <v>44958.703020833331</v>
      </c>
      <c r="Q1766" t="s">
        <v>1693</v>
      </c>
      <c r="V1766" s="77" t="str">
        <f>HYPERLINK("https://pbs.twimg.com/profile_images/1594436849908518912/j_xDcCN-_normal.jpg")</f>
        <v>https://pbs.twimg.com/profile_images/1594436849908518912/j_xDcCN-_normal.jpg</v>
      </c>
      <c r="W1766" s="76">
        <v>44958.703020833331</v>
      </c>
      <c r="X1766" s="80">
        <v>44958</v>
      </c>
      <c r="Y1766" s="78" t="s">
        <v>2623</v>
      </c>
      <c r="Z1766" s="77" t="str">
        <f>HYPERLINK("https://twitter.com/kevinnraee/status/1620827406830555138")</f>
        <v>https://twitter.com/kevinnraee/status/1620827406830555138</v>
      </c>
      <c r="AC1766" s="78" t="s">
        <v>3640</v>
      </c>
      <c r="AE1766" t="b">
        <v>0</v>
      </c>
      <c r="AF1766">
        <v>0</v>
      </c>
      <c r="AG1766" s="78" t="s">
        <v>4640</v>
      </c>
      <c r="AH1766" t="b">
        <v>0</v>
      </c>
      <c r="AI1766" t="s">
        <v>4829</v>
      </c>
      <c r="AK1766" s="78" t="s">
        <v>4640</v>
      </c>
      <c r="AL1766" t="b">
        <v>0</v>
      </c>
      <c r="AM1766">
        <v>162</v>
      </c>
      <c r="AN1766" s="78" t="s">
        <v>4473</v>
      </c>
      <c r="AO1766" s="78" t="s">
        <v>4849</v>
      </c>
      <c r="AP1766" t="b">
        <v>0</v>
      </c>
      <c r="AQ1766" s="78" t="s">
        <v>4473</v>
      </c>
      <c r="AR1766" t="s">
        <v>179</v>
      </c>
      <c r="AS1766">
        <v>0</v>
      </c>
      <c r="AT1766">
        <v>0</v>
      </c>
    </row>
    <row r="1767" spans="1:46" x14ac:dyDescent="0.45">
      <c r="A1767" s="62" t="s">
        <v>395</v>
      </c>
      <c r="B1767" s="62" t="s">
        <v>242</v>
      </c>
      <c r="C1767" s="63"/>
      <c r="D1767" s="64"/>
      <c r="E1767" s="65"/>
      <c r="F1767" s="66"/>
      <c r="G1767" s="63"/>
      <c r="H1767" s="67"/>
      <c r="I1767" s="68"/>
      <c r="J1767" s="68"/>
      <c r="K1767" s="32"/>
      <c r="L1767" s="75"/>
      <c r="M1767" s="75"/>
      <c r="N1767" s="70"/>
      <c r="O1767" t="s">
        <v>1569</v>
      </c>
      <c r="P1767" s="76">
        <v>44958.703020833331</v>
      </c>
      <c r="Q1767" t="s">
        <v>1693</v>
      </c>
      <c r="V1767" s="77" t="str">
        <f>HYPERLINK("https://pbs.twimg.com/profile_images/1594436849908518912/j_xDcCN-_normal.jpg")</f>
        <v>https://pbs.twimg.com/profile_images/1594436849908518912/j_xDcCN-_normal.jpg</v>
      </c>
      <c r="W1767" s="76">
        <v>44958.703020833331</v>
      </c>
      <c r="X1767" s="80">
        <v>44958</v>
      </c>
      <c r="Y1767" s="78" t="s">
        <v>2623</v>
      </c>
      <c r="Z1767" s="77" t="str">
        <f>HYPERLINK("https://twitter.com/kevinnraee/status/1620827406830555138")</f>
        <v>https://twitter.com/kevinnraee/status/1620827406830555138</v>
      </c>
      <c r="AC1767" s="78" t="s">
        <v>3640</v>
      </c>
      <c r="AE1767" t="b">
        <v>0</v>
      </c>
      <c r="AF1767">
        <v>0</v>
      </c>
      <c r="AG1767" s="78" t="s">
        <v>4640</v>
      </c>
      <c r="AH1767" t="b">
        <v>0</v>
      </c>
      <c r="AI1767" t="s">
        <v>4829</v>
      </c>
      <c r="AK1767" s="78" t="s">
        <v>4640</v>
      </c>
      <c r="AL1767" t="b">
        <v>0</v>
      </c>
      <c r="AM1767">
        <v>162</v>
      </c>
      <c r="AN1767" s="78" t="s">
        <v>4473</v>
      </c>
      <c r="AO1767" s="78" t="s">
        <v>4849</v>
      </c>
      <c r="AP1767" t="b">
        <v>0</v>
      </c>
      <c r="AQ1767" s="78" t="s">
        <v>4473</v>
      </c>
      <c r="AR1767" t="s">
        <v>179</v>
      </c>
      <c r="AS1767">
        <v>0</v>
      </c>
      <c r="AT1767">
        <v>0</v>
      </c>
    </row>
    <row r="1768" spans="1:46" x14ac:dyDescent="0.45">
      <c r="A1768" s="62" t="s">
        <v>396</v>
      </c>
      <c r="B1768" s="62" t="s">
        <v>242</v>
      </c>
      <c r="C1768" s="63"/>
      <c r="D1768" s="64"/>
      <c r="E1768" s="65"/>
      <c r="F1768" s="66"/>
      <c r="G1768" s="63"/>
      <c r="H1768" s="67"/>
      <c r="I1768" s="68"/>
      <c r="J1768" s="68"/>
      <c r="K1768" s="32"/>
      <c r="L1768" s="75"/>
      <c r="M1768" s="75"/>
      <c r="N1768" s="70"/>
      <c r="O1768" t="s">
        <v>1567</v>
      </c>
      <c r="P1768" s="76">
        <v>44958.703148148146</v>
      </c>
      <c r="Q1768" t="s">
        <v>1728</v>
      </c>
      <c r="U1768" s="77" t="str">
        <f>HYPERLINK("https://pbs.twimg.com/media/Fn5V-PoXwAEF79c.jpg")</f>
        <v>https://pbs.twimg.com/media/Fn5V-PoXwAEF79c.jpg</v>
      </c>
      <c r="V1768" s="77" t="str">
        <f>HYPERLINK("https://pbs.twimg.com/media/Fn5V-PoXwAEF79c.jpg")</f>
        <v>https://pbs.twimg.com/media/Fn5V-PoXwAEF79c.jpg</v>
      </c>
      <c r="W1768" s="76">
        <v>44958.703148148146</v>
      </c>
      <c r="X1768" s="80">
        <v>44958</v>
      </c>
      <c r="Y1768" s="78" t="s">
        <v>2624</v>
      </c>
      <c r="Z1768" s="77" t="str">
        <f>HYPERLINK("https://twitter.com/kimfamuliner/status/1620827452250664960")</f>
        <v>https://twitter.com/kimfamuliner/status/1620827452250664960</v>
      </c>
      <c r="AC1768" s="78" t="s">
        <v>3641</v>
      </c>
      <c r="AE1768" t="b">
        <v>0</v>
      </c>
      <c r="AF1768">
        <v>0</v>
      </c>
      <c r="AG1768" s="78" t="s">
        <v>4639</v>
      </c>
      <c r="AH1768" t="b">
        <v>0</v>
      </c>
      <c r="AI1768" t="s">
        <v>4829</v>
      </c>
      <c r="AK1768" s="78" t="s">
        <v>4640</v>
      </c>
      <c r="AL1768" t="b">
        <v>0</v>
      </c>
      <c r="AM1768">
        <v>0</v>
      </c>
      <c r="AN1768" s="78" t="s">
        <v>4640</v>
      </c>
      <c r="AO1768" s="78" t="s">
        <v>4849</v>
      </c>
      <c r="AP1768" t="b">
        <v>0</v>
      </c>
      <c r="AQ1768" s="78" t="s">
        <v>3641</v>
      </c>
      <c r="AR1768" t="s">
        <v>179</v>
      </c>
      <c r="AS1768">
        <v>0</v>
      </c>
      <c r="AT1768">
        <v>0</v>
      </c>
    </row>
    <row r="1769" spans="1:46" x14ac:dyDescent="0.45">
      <c r="A1769" s="62" t="s">
        <v>397</v>
      </c>
      <c r="B1769" s="62" t="s">
        <v>1230</v>
      </c>
      <c r="C1769" s="63"/>
      <c r="D1769" s="64"/>
      <c r="E1769" s="65"/>
      <c r="F1769" s="66"/>
      <c r="G1769" s="63"/>
      <c r="H1769" s="67"/>
      <c r="I1769" s="68"/>
      <c r="J1769" s="68"/>
      <c r="K1769" s="32"/>
      <c r="L1769" s="75"/>
      <c r="M1769" s="75"/>
      <c r="N1769" s="70"/>
      <c r="O1769" t="s">
        <v>1570</v>
      </c>
      <c r="P1769" s="76">
        <v>44958.703217592592</v>
      </c>
      <c r="Q1769" t="s">
        <v>1693</v>
      </c>
      <c r="V1769" s="77" t="str">
        <f>HYPERLINK("https://pbs.twimg.com/profile_images/1613715347906994177/1KOzfKo0_normal.jpg")</f>
        <v>https://pbs.twimg.com/profile_images/1613715347906994177/1KOzfKo0_normal.jpg</v>
      </c>
      <c r="W1769" s="76">
        <v>44958.703217592592</v>
      </c>
      <c r="X1769" s="80">
        <v>44958</v>
      </c>
      <c r="Y1769" s="78" t="s">
        <v>2625</v>
      </c>
      <c r="Z1769" s="77" t="str">
        <f>HYPERLINK("https://twitter.com/dem_mustangs16/status/1620827478179852288")</f>
        <v>https://twitter.com/dem_mustangs16/status/1620827478179852288</v>
      </c>
      <c r="AC1769" s="78" t="s">
        <v>3642</v>
      </c>
      <c r="AE1769" t="b">
        <v>0</v>
      </c>
      <c r="AF1769">
        <v>0</v>
      </c>
      <c r="AG1769" s="78" t="s">
        <v>4640</v>
      </c>
      <c r="AH1769" t="b">
        <v>0</v>
      </c>
      <c r="AI1769" t="s">
        <v>4829</v>
      </c>
      <c r="AK1769" s="78" t="s">
        <v>4640</v>
      </c>
      <c r="AL1769" t="b">
        <v>0</v>
      </c>
      <c r="AM1769">
        <v>162</v>
      </c>
      <c r="AN1769" s="78" t="s">
        <v>4473</v>
      </c>
      <c r="AO1769" s="78" t="s">
        <v>4849</v>
      </c>
      <c r="AP1769" t="b">
        <v>0</v>
      </c>
      <c r="AQ1769" s="78" t="s">
        <v>4473</v>
      </c>
      <c r="AR1769" t="s">
        <v>179</v>
      </c>
      <c r="AS1769">
        <v>0</v>
      </c>
      <c r="AT1769">
        <v>0</v>
      </c>
    </row>
    <row r="1770" spans="1:46" x14ac:dyDescent="0.45">
      <c r="A1770" s="62" t="s">
        <v>397</v>
      </c>
      <c r="B1770" s="62" t="s">
        <v>242</v>
      </c>
      <c r="C1770" s="63"/>
      <c r="D1770" s="64"/>
      <c r="E1770" s="65"/>
      <c r="F1770" s="66"/>
      <c r="G1770" s="63"/>
      <c r="H1770" s="67"/>
      <c r="I1770" s="68"/>
      <c r="J1770" s="68"/>
      <c r="K1770" s="32"/>
      <c r="L1770" s="75"/>
      <c r="M1770" s="75"/>
      <c r="N1770" s="70"/>
      <c r="O1770" t="s">
        <v>1569</v>
      </c>
      <c r="P1770" s="76">
        <v>44958.703217592592</v>
      </c>
      <c r="Q1770" t="s">
        <v>1693</v>
      </c>
      <c r="V1770" s="77" t="str">
        <f>HYPERLINK("https://pbs.twimg.com/profile_images/1613715347906994177/1KOzfKo0_normal.jpg")</f>
        <v>https://pbs.twimg.com/profile_images/1613715347906994177/1KOzfKo0_normal.jpg</v>
      </c>
      <c r="W1770" s="76">
        <v>44958.703217592592</v>
      </c>
      <c r="X1770" s="80">
        <v>44958</v>
      </c>
      <c r="Y1770" s="78" t="s">
        <v>2625</v>
      </c>
      <c r="Z1770" s="77" t="str">
        <f>HYPERLINK("https://twitter.com/dem_mustangs16/status/1620827478179852288")</f>
        <v>https://twitter.com/dem_mustangs16/status/1620827478179852288</v>
      </c>
      <c r="AC1770" s="78" t="s">
        <v>3642</v>
      </c>
      <c r="AE1770" t="b">
        <v>0</v>
      </c>
      <c r="AF1770">
        <v>0</v>
      </c>
      <c r="AG1770" s="78" t="s">
        <v>4640</v>
      </c>
      <c r="AH1770" t="b">
        <v>0</v>
      </c>
      <c r="AI1770" t="s">
        <v>4829</v>
      </c>
      <c r="AK1770" s="78" t="s">
        <v>4640</v>
      </c>
      <c r="AL1770" t="b">
        <v>0</v>
      </c>
      <c r="AM1770">
        <v>162</v>
      </c>
      <c r="AN1770" s="78" t="s">
        <v>4473</v>
      </c>
      <c r="AO1770" s="78" t="s">
        <v>4849</v>
      </c>
      <c r="AP1770" t="b">
        <v>0</v>
      </c>
      <c r="AQ1770" s="78" t="s">
        <v>4473</v>
      </c>
      <c r="AR1770" t="s">
        <v>179</v>
      </c>
      <c r="AS1770">
        <v>0</v>
      </c>
      <c r="AT1770">
        <v>0</v>
      </c>
    </row>
    <row r="1771" spans="1:46" x14ac:dyDescent="0.45">
      <c r="A1771" s="62" t="s">
        <v>399</v>
      </c>
      <c r="B1771" s="62" t="s">
        <v>1230</v>
      </c>
      <c r="C1771" s="63"/>
      <c r="D1771" s="64"/>
      <c r="E1771" s="65"/>
      <c r="F1771" s="66"/>
      <c r="G1771" s="63"/>
      <c r="H1771" s="67"/>
      <c r="I1771" s="68"/>
      <c r="J1771" s="68"/>
      <c r="K1771" s="32"/>
      <c r="L1771" s="75"/>
      <c r="M1771" s="75"/>
      <c r="N1771" s="70"/>
      <c r="O1771" t="s">
        <v>1570</v>
      </c>
      <c r="P1771" s="76">
        <v>44958.705347222225</v>
      </c>
      <c r="Q1771" t="s">
        <v>1693</v>
      </c>
      <c r="V1771" s="77" t="str">
        <f>HYPERLINK("https://pbs.twimg.com/profile_images/1613694646785568768/4a3_YhAO_normal.jpg")</f>
        <v>https://pbs.twimg.com/profile_images/1613694646785568768/4a3_YhAO_normal.jpg</v>
      </c>
      <c r="W1771" s="76">
        <v>44958.705347222225</v>
      </c>
      <c r="X1771" s="80">
        <v>44958</v>
      </c>
      <c r="Y1771" s="78" t="s">
        <v>2627</v>
      </c>
      <c r="Z1771" s="77" t="str">
        <f>HYPERLINK("https://twitter.com/mileyscmalibu/status/1620828248593825793")</f>
        <v>https://twitter.com/mileyscmalibu/status/1620828248593825793</v>
      </c>
      <c r="AC1771" s="78" t="s">
        <v>3644</v>
      </c>
      <c r="AE1771" t="b">
        <v>0</v>
      </c>
      <c r="AF1771">
        <v>0</v>
      </c>
      <c r="AG1771" s="78" t="s">
        <v>4640</v>
      </c>
      <c r="AH1771" t="b">
        <v>0</v>
      </c>
      <c r="AI1771" t="s">
        <v>4829</v>
      </c>
      <c r="AK1771" s="78" t="s">
        <v>4640</v>
      </c>
      <c r="AL1771" t="b">
        <v>0</v>
      </c>
      <c r="AM1771">
        <v>162</v>
      </c>
      <c r="AN1771" s="78" t="s">
        <v>4473</v>
      </c>
      <c r="AO1771" s="78" t="s">
        <v>4849</v>
      </c>
      <c r="AP1771" t="b">
        <v>0</v>
      </c>
      <c r="AQ1771" s="78" t="s">
        <v>4473</v>
      </c>
      <c r="AR1771" t="s">
        <v>179</v>
      </c>
      <c r="AS1771">
        <v>0</v>
      </c>
      <c r="AT1771">
        <v>0</v>
      </c>
    </row>
    <row r="1772" spans="1:46" x14ac:dyDescent="0.45">
      <c r="A1772" s="62" t="s">
        <v>399</v>
      </c>
      <c r="B1772" s="62" t="s">
        <v>242</v>
      </c>
      <c r="C1772" s="63"/>
      <c r="D1772" s="64"/>
      <c r="E1772" s="65"/>
      <c r="F1772" s="66"/>
      <c r="G1772" s="63"/>
      <c r="H1772" s="67"/>
      <c r="I1772" s="68"/>
      <c r="J1772" s="68"/>
      <c r="K1772" s="32"/>
      <c r="L1772" s="75"/>
      <c r="M1772" s="75"/>
      <c r="N1772" s="70"/>
      <c r="O1772" t="s">
        <v>1569</v>
      </c>
      <c r="P1772" s="76">
        <v>44958.705347222225</v>
      </c>
      <c r="Q1772" t="s">
        <v>1693</v>
      </c>
      <c r="V1772" s="77" t="str">
        <f>HYPERLINK("https://pbs.twimg.com/profile_images/1613694646785568768/4a3_YhAO_normal.jpg")</f>
        <v>https://pbs.twimg.com/profile_images/1613694646785568768/4a3_YhAO_normal.jpg</v>
      </c>
      <c r="W1772" s="76">
        <v>44958.705347222225</v>
      </c>
      <c r="X1772" s="80">
        <v>44958</v>
      </c>
      <c r="Y1772" s="78" t="s">
        <v>2627</v>
      </c>
      <c r="Z1772" s="77" t="str">
        <f>HYPERLINK("https://twitter.com/mileyscmalibu/status/1620828248593825793")</f>
        <v>https://twitter.com/mileyscmalibu/status/1620828248593825793</v>
      </c>
      <c r="AC1772" s="78" t="s">
        <v>3644</v>
      </c>
      <c r="AE1772" t="b">
        <v>0</v>
      </c>
      <c r="AF1772">
        <v>0</v>
      </c>
      <c r="AG1772" s="78" t="s">
        <v>4640</v>
      </c>
      <c r="AH1772" t="b">
        <v>0</v>
      </c>
      <c r="AI1772" t="s">
        <v>4829</v>
      </c>
      <c r="AK1772" s="78" t="s">
        <v>4640</v>
      </c>
      <c r="AL1772" t="b">
        <v>0</v>
      </c>
      <c r="AM1772">
        <v>162</v>
      </c>
      <c r="AN1772" s="78" t="s">
        <v>4473</v>
      </c>
      <c r="AO1772" s="78" t="s">
        <v>4849</v>
      </c>
      <c r="AP1772" t="b">
        <v>0</v>
      </c>
      <c r="AQ1772" s="78" t="s">
        <v>4473</v>
      </c>
      <c r="AR1772" t="s">
        <v>179</v>
      </c>
      <c r="AS1772">
        <v>0</v>
      </c>
      <c r="AT1772">
        <v>0</v>
      </c>
    </row>
    <row r="1773" spans="1:46" x14ac:dyDescent="0.45">
      <c r="A1773" s="62" t="s">
        <v>403</v>
      </c>
      <c r="B1773" s="62" t="s">
        <v>242</v>
      </c>
      <c r="C1773" s="63"/>
      <c r="D1773" s="64"/>
      <c r="E1773" s="65"/>
      <c r="F1773" s="66"/>
      <c r="G1773" s="63"/>
      <c r="H1773" s="67"/>
      <c r="I1773" s="68"/>
      <c r="J1773" s="68"/>
      <c r="K1773" s="32"/>
      <c r="L1773" s="75"/>
      <c r="M1773" s="75"/>
      <c r="N1773" s="70"/>
      <c r="O1773" t="s">
        <v>1568</v>
      </c>
      <c r="P1773" s="76">
        <v>44958.70621527778</v>
      </c>
      <c r="Q1773" t="s">
        <v>1732</v>
      </c>
      <c r="V1773" s="77" t="str">
        <f>HYPERLINK("https://abs.twimg.com/sticky/default_profile_images/default_profile_normal.png")</f>
        <v>https://abs.twimg.com/sticky/default_profile_images/default_profile_normal.png</v>
      </c>
      <c r="W1773" s="76">
        <v>44958.70621527778</v>
      </c>
      <c r="X1773" s="80">
        <v>44958</v>
      </c>
      <c r="Y1773" s="78" t="s">
        <v>2631</v>
      </c>
      <c r="Z1773" s="77" t="str">
        <f>HYPERLINK("https://twitter.com/crowntowncol1/status/1620828561195270144")</f>
        <v>https://twitter.com/crowntowncol1/status/1620828561195270144</v>
      </c>
      <c r="AC1773" s="78" t="s">
        <v>3648</v>
      </c>
      <c r="AE1773" t="b">
        <v>0</v>
      </c>
      <c r="AF1773">
        <v>0</v>
      </c>
      <c r="AG1773" s="78" t="s">
        <v>4640</v>
      </c>
      <c r="AH1773" t="b">
        <v>0</v>
      </c>
      <c r="AI1773" t="s">
        <v>4829</v>
      </c>
      <c r="AK1773" s="78" t="s">
        <v>4640</v>
      </c>
      <c r="AL1773" t="b">
        <v>0</v>
      </c>
      <c r="AM1773">
        <v>0</v>
      </c>
      <c r="AN1773" s="78" t="s">
        <v>4640</v>
      </c>
      <c r="AO1773" s="78" t="s">
        <v>4851</v>
      </c>
      <c r="AP1773" t="b">
        <v>0</v>
      </c>
      <c r="AQ1773" s="78" t="s">
        <v>3648</v>
      </c>
      <c r="AR1773" t="s">
        <v>179</v>
      </c>
      <c r="AS1773">
        <v>0</v>
      </c>
      <c r="AT1773">
        <v>0</v>
      </c>
    </row>
    <row r="1774" spans="1:46" x14ac:dyDescent="0.45">
      <c r="A1774" s="62" t="s">
        <v>404</v>
      </c>
      <c r="B1774" s="62" t="s">
        <v>242</v>
      </c>
      <c r="C1774" s="63"/>
      <c r="D1774" s="64"/>
      <c r="E1774" s="65"/>
      <c r="F1774" s="66"/>
      <c r="G1774" s="63"/>
      <c r="H1774" s="67"/>
      <c r="I1774" s="68"/>
      <c r="J1774" s="68"/>
      <c r="K1774" s="32"/>
      <c r="L1774" s="75"/>
      <c r="M1774" s="75"/>
      <c r="N1774" s="70"/>
      <c r="O1774" t="s">
        <v>1570</v>
      </c>
      <c r="P1774" s="76">
        <v>44958.706087962964</v>
      </c>
      <c r="Q1774" t="s">
        <v>1733</v>
      </c>
      <c r="U1774" s="77" t="str">
        <f>HYPERLINK("https://pbs.twimg.com/media/Fn2oQeVXoAIkJQK.jpg")</f>
        <v>https://pbs.twimg.com/media/Fn2oQeVXoAIkJQK.jpg</v>
      </c>
      <c r="V1774" s="77" t="str">
        <f>HYPERLINK("https://pbs.twimg.com/media/Fn2oQeVXoAIkJQK.jpg")</f>
        <v>https://pbs.twimg.com/media/Fn2oQeVXoAIkJQK.jpg</v>
      </c>
      <c r="W1774" s="76">
        <v>44958.706087962964</v>
      </c>
      <c r="X1774" s="80">
        <v>44958</v>
      </c>
      <c r="Y1774" s="78" t="s">
        <v>2632</v>
      </c>
      <c r="Z1774" s="77" t="str">
        <f>HYPERLINK("https://twitter.com/michaelgoligh20/status/1620828518253998080")</f>
        <v>https://twitter.com/michaelgoligh20/status/1620828518253998080</v>
      </c>
      <c r="AC1774" s="78" t="s">
        <v>3649</v>
      </c>
      <c r="AE1774" t="b">
        <v>0</v>
      </c>
      <c r="AF1774">
        <v>0</v>
      </c>
      <c r="AG1774" s="78" t="s">
        <v>4640</v>
      </c>
      <c r="AH1774" t="b">
        <v>0</v>
      </c>
      <c r="AI1774" t="s">
        <v>4829</v>
      </c>
      <c r="AK1774" s="78" t="s">
        <v>4640</v>
      </c>
      <c r="AL1774" t="b">
        <v>0</v>
      </c>
      <c r="AM1774">
        <v>2</v>
      </c>
      <c r="AN1774" s="78" t="s">
        <v>4279</v>
      </c>
      <c r="AO1774" s="78" t="s">
        <v>4849</v>
      </c>
      <c r="AP1774" t="b">
        <v>0</v>
      </c>
      <c r="AQ1774" s="78" t="s">
        <v>4279</v>
      </c>
      <c r="AR1774" t="s">
        <v>179</v>
      </c>
      <c r="AS1774">
        <v>0</v>
      </c>
      <c r="AT1774">
        <v>0</v>
      </c>
    </row>
    <row r="1775" spans="1:46" x14ac:dyDescent="0.45">
      <c r="A1775" s="62" t="s">
        <v>404</v>
      </c>
      <c r="B1775" s="62" t="s">
        <v>942</v>
      </c>
      <c r="C1775" s="63"/>
      <c r="D1775" s="64"/>
      <c r="E1775" s="65"/>
      <c r="F1775" s="66"/>
      <c r="G1775" s="63"/>
      <c r="H1775" s="67"/>
      <c r="I1775" s="68"/>
      <c r="J1775" s="68"/>
      <c r="K1775" s="32"/>
      <c r="L1775" s="75"/>
      <c r="M1775" s="75"/>
      <c r="N1775" s="70"/>
      <c r="O1775" t="s">
        <v>1569</v>
      </c>
      <c r="P1775" s="76">
        <v>44958.706087962964</v>
      </c>
      <c r="Q1775" t="s">
        <v>1733</v>
      </c>
      <c r="U1775" s="77" t="str">
        <f>HYPERLINK("https://pbs.twimg.com/media/Fn2oQeVXoAIkJQK.jpg")</f>
        <v>https://pbs.twimg.com/media/Fn2oQeVXoAIkJQK.jpg</v>
      </c>
      <c r="V1775" s="77" t="str">
        <f>HYPERLINK("https://pbs.twimg.com/media/Fn2oQeVXoAIkJQK.jpg")</f>
        <v>https://pbs.twimg.com/media/Fn2oQeVXoAIkJQK.jpg</v>
      </c>
      <c r="W1775" s="76">
        <v>44958.706087962964</v>
      </c>
      <c r="X1775" s="80">
        <v>44958</v>
      </c>
      <c r="Y1775" s="78" t="s">
        <v>2632</v>
      </c>
      <c r="Z1775" s="77" t="str">
        <f>HYPERLINK("https://twitter.com/michaelgoligh20/status/1620828518253998080")</f>
        <v>https://twitter.com/michaelgoligh20/status/1620828518253998080</v>
      </c>
      <c r="AC1775" s="78" t="s">
        <v>3649</v>
      </c>
      <c r="AE1775" t="b">
        <v>0</v>
      </c>
      <c r="AF1775">
        <v>0</v>
      </c>
      <c r="AG1775" s="78" t="s">
        <v>4640</v>
      </c>
      <c r="AH1775" t="b">
        <v>0</v>
      </c>
      <c r="AI1775" t="s">
        <v>4829</v>
      </c>
      <c r="AK1775" s="78" t="s">
        <v>4640</v>
      </c>
      <c r="AL1775" t="b">
        <v>0</v>
      </c>
      <c r="AM1775">
        <v>2</v>
      </c>
      <c r="AN1775" s="78" t="s">
        <v>4279</v>
      </c>
      <c r="AO1775" s="78" t="s">
        <v>4849</v>
      </c>
      <c r="AP1775" t="b">
        <v>0</v>
      </c>
      <c r="AQ1775" s="78" t="s">
        <v>4279</v>
      </c>
      <c r="AR1775" t="s">
        <v>179</v>
      </c>
      <c r="AS1775">
        <v>0</v>
      </c>
      <c r="AT1775">
        <v>0</v>
      </c>
    </row>
    <row r="1776" spans="1:46" x14ac:dyDescent="0.45">
      <c r="A1776" s="62" t="s">
        <v>405</v>
      </c>
      <c r="B1776" s="62" t="s">
        <v>242</v>
      </c>
      <c r="C1776" s="63"/>
      <c r="D1776" s="64"/>
      <c r="E1776" s="65"/>
      <c r="F1776" s="66"/>
      <c r="G1776" s="63"/>
      <c r="H1776" s="67"/>
      <c r="I1776" s="68"/>
      <c r="J1776" s="68"/>
      <c r="K1776" s="32"/>
      <c r="L1776" s="75"/>
      <c r="M1776" s="75"/>
      <c r="N1776" s="70"/>
      <c r="O1776" t="s">
        <v>1567</v>
      </c>
      <c r="P1776" s="76">
        <v>44958.706886574073</v>
      </c>
      <c r="Q1776" t="s">
        <v>1735</v>
      </c>
      <c r="U1776" s="77" t="str">
        <f>HYPERLINK("https://pbs.twimg.com/media/Fn5XNC-XkAUj-bA.jpg")</f>
        <v>https://pbs.twimg.com/media/Fn5XNC-XkAUj-bA.jpg</v>
      </c>
      <c r="V1776" s="77" t="str">
        <f>HYPERLINK("https://pbs.twimg.com/media/Fn5XNC-XkAUj-bA.jpg")</f>
        <v>https://pbs.twimg.com/media/Fn5XNC-XkAUj-bA.jpg</v>
      </c>
      <c r="W1776" s="76">
        <v>44958.706886574073</v>
      </c>
      <c r="X1776" s="80">
        <v>44958</v>
      </c>
      <c r="Y1776" s="78" t="s">
        <v>2634</v>
      </c>
      <c r="Z1776" s="77" t="str">
        <f>HYPERLINK("https://twitter.com/pbjlady/status/1620828806750810112")</f>
        <v>https://twitter.com/pbjlady/status/1620828806750810112</v>
      </c>
      <c r="AC1776" s="78" t="s">
        <v>3651</v>
      </c>
      <c r="AE1776" t="b">
        <v>0</v>
      </c>
      <c r="AF1776">
        <v>0</v>
      </c>
      <c r="AG1776" s="78" t="s">
        <v>4639</v>
      </c>
      <c r="AH1776" t="b">
        <v>0</v>
      </c>
      <c r="AI1776" t="s">
        <v>4829</v>
      </c>
      <c r="AK1776" s="78" t="s">
        <v>4640</v>
      </c>
      <c r="AL1776" t="b">
        <v>0</v>
      </c>
      <c r="AM1776">
        <v>0</v>
      </c>
      <c r="AN1776" s="78" t="s">
        <v>4640</v>
      </c>
      <c r="AO1776" s="78" t="s">
        <v>4850</v>
      </c>
      <c r="AP1776" t="b">
        <v>0</v>
      </c>
      <c r="AQ1776" s="78" t="s">
        <v>3651</v>
      </c>
      <c r="AR1776" t="s">
        <v>179</v>
      </c>
      <c r="AS1776">
        <v>0</v>
      </c>
      <c r="AT1776">
        <v>0</v>
      </c>
    </row>
    <row r="1777" spans="1:46" x14ac:dyDescent="0.45">
      <c r="A1777" s="62" t="s">
        <v>406</v>
      </c>
      <c r="B1777" s="62" t="s">
        <v>1230</v>
      </c>
      <c r="C1777" s="63"/>
      <c r="D1777" s="64"/>
      <c r="E1777" s="65"/>
      <c r="F1777" s="66"/>
      <c r="G1777" s="63"/>
      <c r="H1777" s="67"/>
      <c r="I1777" s="68"/>
      <c r="J1777" s="68"/>
      <c r="K1777" s="32"/>
      <c r="L1777" s="75"/>
      <c r="M1777" s="75"/>
      <c r="N1777" s="70"/>
      <c r="O1777" t="s">
        <v>1570</v>
      </c>
      <c r="P1777" s="76">
        <v>44958.707384259258</v>
      </c>
      <c r="Q1777" t="s">
        <v>1693</v>
      </c>
      <c r="V1777" s="77" t="str">
        <f>HYPERLINK("https://pbs.twimg.com/profile_images/1613700226811920392/eKcBUivo_normal.jpg")</f>
        <v>https://pbs.twimg.com/profile_images/1613700226811920392/eKcBUivo_normal.jpg</v>
      </c>
      <c r="W1777" s="76">
        <v>44958.707384259258</v>
      </c>
      <c r="X1777" s="80">
        <v>44958</v>
      </c>
      <c r="Y1777" s="78" t="s">
        <v>2635</v>
      </c>
      <c r="Z1777" s="77" t="str">
        <f>HYPERLINK("https://twitter.com/mileyc_fan89/status/1620828987940548609")</f>
        <v>https://twitter.com/mileyc_fan89/status/1620828987940548609</v>
      </c>
      <c r="AC1777" s="78" t="s">
        <v>3652</v>
      </c>
      <c r="AE1777" t="b">
        <v>0</v>
      </c>
      <c r="AF1777">
        <v>0</v>
      </c>
      <c r="AG1777" s="78" t="s">
        <v>4640</v>
      </c>
      <c r="AH1777" t="b">
        <v>0</v>
      </c>
      <c r="AI1777" t="s">
        <v>4829</v>
      </c>
      <c r="AK1777" s="78" t="s">
        <v>4640</v>
      </c>
      <c r="AL1777" t="b">
        <v>0</v>
      </c>
      <c r="AM1777">
        <v>162</v>
      </c>
      <c r="AN1777" s="78" t="s">
        <v>4473</v>
      </c>
      <c r="AO1777" s="78" t="s">
        <v>4849</v>
      </c>
      <c r="AP1777" t="b">
        <v>0</v>
      </c>
      <c r="AQ1777" s="78" t="s">
        <v>4473</v>
      </c>
      <c r="AR1777" t="s">
        <v>179</v>
      </c>
      <c r="AS1777">
        <v>0</v>
      </c>
      <c r="AT1777">
        <v>0</v>
      </c>
    </row>
    <row r="1778" spans="1:46" x14ac:dyDescent="0.45">
      <c r="A1778" s="62" t="s">
        <v>406</v>
      </c>
      <c r="B1778" s="62" t="s">
        <v>242</v>
      </c>
      <c r="C1778" s="63"/>
      <c r="D1778" s="64"/>
      <c r="E1778" s="65"/>
      <c r="F1778" s="66"/>
      <c r="G1778" s="63"/>
      <c r="H1778" s="67"/>
      <c r="I1778" s="68"/>
      <c r="J1778" s="68"/>
      <c r="K1778" s="32"/>
      <c r="L1778" s="75"/>
      <c r="M1778" s="75"/>
      <c r="N1778" s="70"/>
      <c r="O1778" t="s">
        <v>1569</v>
      </c>
      <c r="P1778" s="76">
        <v>44958.707384259258</v>
      </c>
      <c r="Q1778" t="s">
        <v>1693</v>
      </c>
      <c r="V1778" s="77" t="str">
        <f>HYPERLINK("https://pbs.twimg.com/profile_images/1613700226811920392/eKcBUivo_normal.jpg")</f>
        <v>https://pbs.twimg.com/profile_images/1613700226811920392/eKcBUivo_normal.jpg</v>
      </c>
      <c r="W1778" s="76">
        <v>44958.707384259258</v>
      </c>
      <c r="X1778" s="80">
        <v>44958</v>
      </c>
      <c r="Y1778" s="78" t="s">
        <v>2635</v>
      </c>
      <c r="Z1778" s="77" t="str">
        <f>HYPERLINK("https://twitter.com/mileyc_fan89/status/1620828987940548609")</f>
        <v>https://twitter.com/mileyc_fan89/status/1620828987940548609</v>
      </c>
      <c r="AC1778" s="78" t="s">
        <v>3652</v>
      </c>
      <c r="AE1778" t="b">
        <v>0</v>
      </c>
      <c r="AF1778">
        <v>0</v>
      </c>
      <c r="AG1778" s="78" t="s">
        <v>4640</v>
      </c>
      <c r="AH1778" t="b">
        <v>0</v>
      </c>
      <c r="AI1778" t="s">
        <v>4829</v>
      </c>
      <c r="AK1778" s="78" t="s">
        <v>4640</v>
      </c>
      <c r="AL1778" t="b">
        <v>0</v>
      </c>
      <c r="AM1778">
        <v>162</v>
      </c>
      <c r="AN1778" s="78" t="s">
        <v>4473</v>
      </c>
      <c r="AO1778" s="78" t="s">
        <v>4849</v>
      </c>
      <c r="AP1778" t="b">
        <v>0</v>
      </c>
      <c r="AQ1778" s="78" t="s">
        <v>4473</v>
      </c>
      <c r="AR1778" t="s">
        <v>179</v>
      </c>
      <c r="AS1778">
        <v>0</v>
      </c>
      <c r="AT1778">
        <v>0</v>
      </c>
    </row>
    <row r="1779" spans="1:46" x14ac:dyDescent="0.45">
      <c r="A1779" s="62" t="s">
        <v>407</v>
      </c>
      <c r="B1779" s="62" t="s">
        <v>1230</v>
      </c>
      <c r="C1779" s="63"/>
      <c r="D1779" s="64"/>
      <c r="E1779" s="65"/>
      <c r="F1779" s="66"/>
      <c r="G1779" s="63"/>
      <c r="H1779" s="67"/>
      <c r="I1779" s="68"/>
      <c r="J1779" s="68"/>
      <c r="K1779" s="32"/>
      <c r="L1779" s="75"/>
      <c r="M1779" s="75"/>
      <c r="N1779" s="70"/>
      <c r="O1779" t="s">
        <v>1570</v>
      </c>
      <c r="P1779" s="76">
        <v>44958.708287037036</v>
      </c>
      <c r="Q1779" t="s">
        <v>1693</v>
      </c>
      <c r="V1779" s="77" t="str">
        <f>HYPERLINK("https://pbs.twimg.com/profile_images/1583922319914946560/gyrRcDwj_normal.jpg")</f>
        <v>https://pbs.twimg.com/profile_images/1583922319914946560/gyrRcDwj_normal.jpg</v>
      </c>
      <c r="W1779" s="76">
        <v>44958.708287037036</v>
      </c>
      <c r="X1779" s="80">
        <v>44958</v>
      </c>
      <c r="Y1779" s="78" t="s">
        <v>2636</v>
      </c>
      <c r="Z1779" s="77" t="str">
        <f>HYPERLINK("https://twitter.com/gimmewhaiwant/status/1620829311896027137")</f>
        <v>https://twitter.com/gimmewhaiwant/status/1620829311896027137</v>
      </c>
      <c r="AC1779" s="78" t="s">
        <v>3653</v>
      </c>
      <c r="AE1779" t="b">
        <v>0</v>
      </c>
      <c r="AF1779">
        <v>0</v>
      </c>
      <c r="AG1779" s="78" t="s">
        <v>4640</v>
      </c>
      <c r="AH1779" t="b">
        <v>0</v>
      </c>
      <c r="AI1779" t="s">
        <v>4829</v>
      </c>
      <c r="AK1779" s="78" t="s">
        <v>4640</v>
      </c>
      <c r="AL1779" t="b">
        <v>0</v>
      </c>
      <c r="AM1779">
        <v>162</v>
      </c>
      <c r="AN1779" s="78" t="s">
        <v>4473</v>
      </c>
      <c r="AO1779" s="78" t="s">
        <v>4850</v>
      </c>
      <c r="AP1779" t="b">
        <v>0</v>
      </c>
      <c r="AQ1779" s="78" t="s">
        <v>4473</v>
      </c>
      <c r="AR1779" t="s">
        <v>179</v>
      </c>
      <c r="AS1779">
        <v>0</v>
      </c>
      <c r="AT1779">
        <v>0</v>
      </c>
    </row>
    <row r="1780" spans="1:46" x14ac:dyDescent="0.45">
      <c r="A1780" s="62" t="s">
        <v>407</v>
      </c>
      <c r="B1780" s="62" t="s">
        <v>242</v>
      </c>
      <c r="C1780" s="63"/>
      <c r="D1780" s="64"/>
      <c r="E1780" s="65"/>
      <c r="F1780" s="66"/>
      <c r="G1780" s="63"/>
      <c r="H1780" s="67"/>
      <c r="I1780" s="68"/>
      <c r="J1780" s="68"/>
      <c r="K1780" s="32"/>
      <c r="L1780" s="75"/>
      <c r="M1780" s="75"/>
      <c r="N1780" s="70"/>
      <c r="O1780" t="s">
        <v>1569</v>
      </c>
      <c r="P1780" s="76">
        <v>44958.708287037036</v>
      </c>
      <c r="Q1780" t="s">
        <v>1693</v>
      </c>
      <c r="V1780" s="77" t="str">
        <f>HYPERLINK("https://pbs.twimg.com/profile_images/1583922319914946560/gyrRcDwj_normal.jpg")</f>
        <v>https://pbs.twimg.com/profile_images/1583922319914946560/gyrRcDwj_normal.jpg</v>
      </c>
      <c r="W1780" s="76">
        <v>44958.708287037036</v>
      </c>
      <c r="X1780" s="80">
        <v>44958</v>
      </c>
      <c r="Y1780" s="78" t="s">
        <v>2636</v>
      </c>
      <c r="Z1780" s="77" t="str">
        <f>HYPERLINK("https://twitter.com/gimmewhaiwant/status/1620829311896027137")</f>
        <v>https://twitter.com/gimmewhaiwant/status/1620829311896027137</v>
      </c>
      <c r="AC1780" s="78" t="s">
        <v>3653</v>
      </c>
      <c r="AE1780" t="b">
        <v>0</v>
      </c>
      <c r="AF1780">
        <v>0</v>
      </c>
      <c r="AG1780" s="78" t="s">
        <v>4640</v>
      </c>
      <c r="AH1780" t="b">
        <v>0</v>
      </c>
      <c r="AI1780" t="s">
        <v>4829</v>
      </c>
      <c r="AK1780" s="78" t="s">
        <v>4640</v>
      </c>
      <c r="AL1780" t="b">
        <v>0</v>
      </c>
      <c r="AM1780">
        <v>162</v>
      </c>
      <c r="AN1780" s="78" t="s">
        <v>4473</v>
      </c>
      <c r="AO1780" s="78" t="s">
        <v>4850</v>
      </c>
      <c r="AP1780" t="b">
        <v>0</v>
      </c>
      <c r="AQ1780" s="78" t="s">
        <v>4473</v>
      </c>
      <c r="AR1780" t="s">
        <v>179</v>
      </c>
      <c r="AS1780">
        <v>0</v>
      </c>
      <c r="AT1780">
        <v>0</v>
      </c>
    </row>
    <row r="1781" spans="1:46" x14ac:dyDescent="0.45">
      <c r="A1781" s="62" t="s">
        <v>408</v>
      </c>
      <c r="B1781" s="62" t="s">
        <v>1230</v>
      </c>
      <c r="C1781" s="63"/>
      <c r="D1781" s="64"/>
      <c r="E1781" s="65"/>
      <c r="F1781" s="66"/>
      <c r="G1781" s="63"/>
      <c r="H1781" s="67"/>
      <c r="I1781" s="68"/>
      <c r="J1781" s="68"/>
      <c r="K1781" s="32"/>
      <c r="L1781" s="75"/>
      <c r="M1781" s="75"/>
      <c r="N1781" s="70"/>
      <c r="O1781" t="s">
        <v>1570</v>
      </c>
      <c r="P1781" s="76">
        <v>44958.708425925928</v>
      </c>
      <c r="Q1781" t="s">
        <v>1693</v>
      </c>
      <c r="V1781" s="77" t="str">
        <f>HYPERLINK("https://pbs.twimg.com/profile_images/1612101804778717186/XTGCFiCQ_normal.jpg")</f>
        <v>https://pbs.twimg.com/profile_images/1612101804778717186/XTGCFiCQ_normal.jpg</v>
      </c>
      <c r="W1781" s="76">
        <v>44958.708425925928</v>
      </c>
      <c r="X1781" s="80">
        <v>44958</v>
      </c>
      <c r="Y1781" s="78" t="s">
        <v>2637</v>
      </c>
      <c r="Z1781" s="77" t="str">
        <f>HYPERLINK("https://twitter.com/jaaayysun/status/1620829361648861188")</f>
        <v>https://twitter.com/jaaayysun/status/1620829361648861188</v>
      </c>
      <c r="AC1781" s="78" t="s">
        <v>3654</v>
      </c>
      <c r="AE1781" t="b">
        <v>0</v>
      </c>
      <c r="AF1781">
        <v>0</v>
      </c>
      <c r="AG1781" s="78" t="s">
        <v>4640</v>
      </c>
      <c r="AH1781" t="b">
        <v>0</v>
      </c>
      <c r="AI1781" t="s">
        <v>4829</v>
      </c>
      <c r="AK1781" s="78" t="s">
        <v>4640</v>
      </c>
      <c r="AL1781" t="b">
        <v>0</v>
      </c>
      <c r="AM1781">
        <v>162</v>
      </c>
      <c r="AN1781" s="78" t="s">
        <v>4473</v>
      </c>
      <c r="AO1781" s="78" t="s">
        <v>4849</v>
      </c>
      <c r="AP1781" t="b">
        <v>0</v>
      </c>
      <c r="AQ1781" s="78" t="s">
        <v>4473</v>
      </c>
      <c r="AR1781" t="s">
        <v>179</v>
      </c>
      <c r="AS1781">
        <v>0</v>
      </c>
      <c r="AT1781">
        <v>0</v>
      </c>
    </row>
    <row r="1782" spans="1:46" x14ac:dyDescent="0.45">
      <c r="A1782" s="62" t="s">
        <v>408</v>
      </c>
      <c r="B1782" s="62" t="s">
        <v>242</v>
      </c>
      <c r="C1782" s="63"/>
      <c r="D1782" s="64"/>
      <c r="E1782" s="65"/>
      <c r="F1782" s="66"/>
      <c r="G1782" s="63"/>
      <c r="H1782" s="67"/>
      <c r="I1782" s="68"/>
      <c r="J1782" s="68"/>
      <c r="K1782" s="32"/>
      <c r="L1782" s="75"/>
      <c r="M1782" s="75"/>
      <c r="N1782" s="70"/>
      <c r="O1782" t="s">
        <v>1569</v>
      </c>
      <c r="P1782" s="76">
        <v>44958.708425925928</v>
      </c>
      <c r="Q1782" t="s">
        <v>1693</v>
      </c>
      <c r="V1782" s="77" t="str">
        <f>HYPERLINK("https://pbs.twimg.com/profile_images/1612101804778717186/XTGCFiCQ_normal.jpg")</f>
        <v>https://pbs.twimg.com/profile_images/1612101804778717186/XTGCFiCQ_normal.jpg</v>
      </c>
      <c r="W1782" s="76">
        <v>44958.708425925928</v>
      </c>
      <c r="X1782" s="80">
        <v>44958</v>
      </c>
      <c r="Y1782" s="78" t="s">
        <v>2637</v>
      </c>
      <c r="Z1782" s="77" t="str">
        <f>HYPERLINK("https://twitter.com/jaaayysun/status/1620829361648861188")</f>
        <v>https://twitter.com/jaaayysun/status/1620829361648861188</v>
      </c>
      <c r="AC1782" s="78" t="s">
        <v>3654</v>
      </c>
      <c r="AE1782" t="b">
        <v>0</v>
      </c>
      <c r="AF1782">
        <v>0</v>
      </c>
      <c r="AG1782" s="78" t="s">
        <v>4640</v>
      </c>
      <c r="AH1782" t="b">
        <v>0</v>
      </c>
      <c r="AI1782" t="s">
        <v>4829</v>
      </c>
      <c r="AK1782" s="78" t="s">
        <v>4640</v>
      </c>
      <c r="AL1782" t="b">
        <v>0</v>
      </c>
      <c r="AM1782">
        <v>162</v>
      </c>
      <c r="AN1782" s="78" t="s">
        <v>4473</v>
      </c>
      <c r="AO1782" s="78" t="s">
        <v>4849</v>
      </c>
      <c r="AP1782" t="b">
        <v>0</v>
      </c>
      <c r="AQ1782" s="78" t="s">
        <v>4473</v>
      </c>
      <c r="AR1782" t="s">
        <v>179</v>
      </c>
      <c r="AS1782">
        <v>0</v>
      </c>
      <c r="AT1782">
        <v>0</v>
      </c>
    </row>
    <row r="1783" spans="1:46" x14ac:dyDescent="0.45">
      <c r="A1783" s="62" t="s">
        <v>410</v>
      </c>
      <c r="B1783" s="62" t="s">
        <v>1230</v>
      </c>
      <c r="C1783" s="63"/>
      <c r="D1783" s="64"/>
      <c r="E1783" s="65"/>
      <c r="F1783" s="66"/>
      <c r="G1783" s="63"/>
      <c r="H1783" s="67"/>
      <c r="I1783" s="68"/>
      <c r="J1783" s="68"/>
      <c r="K1783" s="32"/>
      <c r="L1783" s="75"/>
      <c r="M1783" s="75"/>
      <c r="N1783" s="70"/>
      <c r="O1783" t="s">
        <v>1570</v>
      </c>
      <c r="P1783" s="76">
        <v>44958.709131944444</v>
      </c>
      <c r="Q1783" t="s">
        <v>1693</v>
      </c>
      <c r="V1783" s="77" t="str">
        <f>HYPERLINK("https://pbs.twimg.com/profile_images/1510035091036250115/03Er5xS-_normal.jpg")</f>
        <v>https://pbs.twimg.com/profile_images/1510035091036250115/03Er5xS-_normal.jpg</v>
      </c>
      <c r="W1783" s="76">
        <v>44958.709131944444</v>
      </c>
      <c r="X1783" s="80">
        <v>44958</v>
      </c>
      <c r="Y1783" s="78" t="s">
        <v>2639</v>
      </c>
      <c r="Z1783" s="77" t="str">
        <f>HYPERLINK("https://twitter.com/spacesmiier/status/1620829618730323968")</f>
        <v>https://twitter.com/spacesmiier/status/1620829618730323968</v>
      </c>
      <c r="AC1783" s="78" t="s">
        <v>3656</v>
      </c>
      <c r="AE1783" t="b">
        <v>0</v>
      </c>
      <c r="AF1783">
        <v>0</v>
      </c>
      <c r="AG1783" s="78" t="s">
        <v>4640</v>
      </c>
      <c r="AH1783" t="b">
        <v>0</v>
      </c>
      <c r="AI1783" t="s">
        <v>4829</v>
      </c>
      <c r="AK1783" s="78" t="s">
        <v>4640</v>
      </c>
      <c r="AL1783" t="b">
        <v>0</v>
      </c>
      <c r="AM1783">
        <v>162</v>
      </c>
      <c r="AN1783" s="78" t="s">
        <v>4473</v>
      </c>
      <c r="AO1783" s="78" t="s">
        <v>4850</v>
      </c>
      <c r="AP1783" t="b">
        <v>0</v>
      </c>
      <c r="AQ1783" s="78" t="s">
        <v>4473</v>
      </c>
      <c r="AR1783" t="s">
        <v>179</v>
      </c>
      <c r="AS1783">
        <v>0</v>
      </c>
      <c r="AT1783">
        <v>0</v>
      </c>
    </row>
    <row r="1784" spans="1:46" x14ac:dyDescent="0.45">
      <c r="A1784" s="62" t="s">
        <v>410</v>
      </c>
      <c r="B1784" s="62" t="s">
        <v>242</v>
      </c>
      <c r="C1784" s="63"/>
      <c r="D1784" s="64"/>
      <c r="E1784" s="65"/>
      <c r="F1784" s="66"/>
      <c r="G1784" s="63"/>
      <c r="H1784" s="67"/>
      <c r="I1784" s="68"/>
      <c r="J1784" s="68"/>
      <c r="K1784" s="32"/>
      <c r="L1784" s="75"/>
      <c r="M1784" s="75"/>
      <c r="N1784" s="70"/>
      <c r="O1784" t="s">
        <v>1569</v>
      </c>
      <c r="P1784" s="76">
        <v>44958.709131944444</v>
      </c>
      <c r="Q1784" t="s">
        <v>1693</v>
      </c>
      <c r="V1784" s="77" t="str">
        <f>HYPERLINK("https://pbs.twimg.com/profile_images/1510035091036250115/03Er5xS-_normal.jpg")</f>
        <v>https://pbs.twimg.com/profile_images/1510035091036250115/03Er5xS-_normal.jpg</v>
      </c>
      <c r="W1784" s="76">
        <v>44958.709131944444</v>
      </c>
      <c r="X1784" s="80">
        <v>44958</v>
      </c>
      <c r="Y1784" s="78" t="s">
        <v>2639</v>
      </c>
      <c r="Z1784" s="77" t="str">
        <f>HYPERLINK("https://twitter.com/spacesmiier/status/1620829618730323968")</f>
        <v>https://twitter.com/spacesmiier/status/1620829618730323968</v>
      </c>
      <c r="AC1784" s="78" t="s">
        <v>3656</v>
      </c>
      <c r="AE1784" t="b">
        <v>0</v>
      </c>
      <c r="AF1784">
        <v>0</v>
      </c>
      <c r="AG1784" s="78" t="s">
        <v>4640</v>
      </c>
      <c r="AH1784" t="b">
        <v>0</v>
      </c>
      <c r="AI1784" t="s">
        <v>4829</v>
      </c>
      <c r="AK1784" s="78" t="s">
        <v>4640</v>
      </c>
      <c r="AL1784" t="b">
        <v>0</v>
      </c>
      <c r="AM1784">
        <v>162</v>
      </c>
      <c r="AN1784" s="78" t="s">
        <v>4473</v>
      </c>
      <c r="AO1784" s="78" t="s">
        <v>4850</v>
      </c>
      <c r="AP1784" t="b">
        <v>0</v>
      </c>
      <c r="AQ1784" s="78" t="s">
        <v>4473</v>
      </c>
      <c r="AR1784" t="s">
        <v>179</v>
      </c>
      <c r="AS1784">
        <v>0</v>
      </c>
      <c r="AT1784">
        <v>0</v>
      </c>
    </row>
    <row r="1785" spans="1:46" x14ac:dyDescent="0.45">
      <c r="A1785" s="62" t="s">
        <v>411</v>
      </c>
      <c r="B1785" s="62" t="s">
        <v>1230</v>
      </c>
      <c r="C1785" s="63"/>
      <c r="D1785" s="64"/>
      <c r="E1785" s="65"/>
      <c r="F1785" s="66"/>
      <c r="G1785" s="63"/>
      <c r="H1785" s="67"/>
      <c r="I1785" s="68"/>
      <c r="J1785" s="68"/>
      <c r="K1785" s="32"/>
      <c r="L1785" s="75"/>
      <c r="M1785" s="75"/>
      <c r="N1785" s="70"/>
      <c r="O1785" t="s">
        <v>1570</v>
      </c>
      <c r="P1785" s="76">
        <v>44958.709305555552</v>
      </c>
      <c r="Q1785" t="s">
        <v>1693</v>
      </c>
      <c r="V1785" s="77" t="str">
        <f>HYPERLINK("https://pbs.twimg.com/profile_images/1591462628949377025/cEPE1EsQ_normal.jpg")</f>
        <v>https://pbs.twimg.com/profile_images/1591462628949377025/cEPE1EsQ_normal.jpg</v>
      </c>
      <c r="W1785" s="76">
        <v>44958.709305555552</v>
      </c>
      <c r="X1785" s="80">
        <v>44958</v>
      </c>
      <c r="Y1785" s="78" t="s">
        <v>2640</v>
      </c>
      <c r="Z1785" s="77" t="str">
        <f>HYPERLINK("https://twitter.com/llopisgenovart/status/1620829683322601473")</f>
        <v>https://twitter.com/llopisgenovart/status/1620829683322601473</v>
      </c>
      <c r="AC1785" s="78" t="s">
        <v>3657</v>
      </c>
      <c r="AE1785" t="b">
        <v>0</v>
      </c>
      <c r="AF1785">
        <v>0</v>
      </c>
      <c r="AG1785" s="78" t="s">
        <v>4640</v>
      </c>
      <c r="AH1785" t="b">
        <v>0</v>
      </c>
      <c r="AI1785" t="s">
        <v>4829</v>
      </c>
      <c r="AK1785" s="78" t="s">
        <v>4640</v>
      </c>
      <c r="AL1785" t="b">
        <v>0</v>
      </c>
      <c r="AM1785">
        <v>162</v>
      </c>
      <c r="AN1785" s="78" t="s">
        <v>4473</v>
      </c>
      <c r="AO1785" s="78" t="s">
        <v>4849</v>
      </c>
      <c r="AP1785" t="b">
        <v>0</v>
      </c>
      <c r="AQ1785" s="78" t="s">
        <v>4473</v>
      </c>
      <c r="AR1785" t="s">
        <v>179</v>
      </c>
      <c r="AS1785">
        <v>0</v>
      </c>
      <c r="AT1785">
        <v>0</v>
      </c>
    </row>
    <row r="1786" spans="1:46" x14ac:dyDescent="0.45">
      <c r="A1786" s="62" t="s">
        <v>411</v>
      </c>
      <c r="B1786" s="62" t="s">
        <v>242</v>
      </c>
      <c r="C1786" s="63"/>
      <c r="D1786" s="64"/>
      <c r="E1786" s="65"/>
      <c r="F1786" s="66"/>
      <c r="G1786" s="63"/>
      <c r="H1786" s="67"/>
      <c r="I1786" s="68"/>
      <c r="J1786" s="68"/>
      <c r="K1786" s="32"/>
      <c r="L1786" s="75"/>
      <c r="M1786" s="75"/>
      <c r="N1786" s="70"/>
      <c r="O1786" t="s">
        <v>1569</v>
      </c>
      <c r="P1786" s="76">
        <v>44958.709305555552</v>
      </c>
      <c r="Q1786" t="s">
        <v>1693</v>
      </c>
      <c r="V1786" s="77" t="str">
        <f>HYPERLINK("https://pbs.twimg.com/profile_images/1591462628949377025/cEPE1EsQ_normal.jpg")</f>
        <v>https://pbs.twimg.com/profile_images/1591462628949377025/cEPE1EsQ_normal.jpg</v>
      </c>
      <c r="W1786" s="76">
        <v>44958.709305555552</v>
      </c>
      <c r="X1786" s="80">
        <v>44958</v>
      </c>
      <c r="Y1786" s="78" t="s">
        <v>2640</v>
      </c>
      <c r="Z1786" s="77" t="str">
        <f>HYPERLINK("https://twitter.com/llopisgenovart/status/1620829683322601473")</f>
        <v>https://twitter.com/llopisgenovart/status/1620829683322601473</v>
      </c>
      <c r="AC1786" s="78" t="s">
        <v>3657</v>
      </c>
      <c r="AE1786" t="b">
        <v>0</v>
      </c>
      <c r="AF1786">
        <v>0</v>
      </c>
      <c r="AG1786" s="78" t="s">
        <v>4640</v>
      </c>
      <c r="AH1786" t="b">
        <v>0</v>
      </c>
      <c r="AI1786" t="s">
        <v>4829</v>
      </c>
      <c r="AK1786" s="78" t="s">
        <v>4640</v>
      </c>
      <c r="AL1786" t="b">
        <v>0</v>
      </c>
      <c r="AM1786">
        <v>162</v>
      </c>
      <c r="AN1786" s="78" t="s">
        <v>4473</v>
      </c>
      <c r="AO1786" s="78" t="s">
        <v>4849</v>
      </c>
      <c r="AP1786" t="b">
        <v>0</v>
      </c>
      <c r="AQ1786" s="78" t="s">
        <v>4473</v>
      </c>
      <c r="AR1786" t="s">
        <v>179</v>
      </c>
      <c r="AS1786">
        <v>0</v>
      </c>
      <c r="AT1786">
        <v>0</v>
      </c>
    </row>
    <row r="1787" spans="1:46" x14ac:dyDescent="0.45">
      <c r="A1787" s="62" t="s">
        <v>412</v>
      </c>
      <c r="B1787" s="62" t="s">
        <v>1230</v>
      </c>
      <c r="C1787" s="63"/>
      <c r="D1787" s="64"/>
      <c r="E1787" s="65"/>
      <c r="F1787" s="66"/>
      <c r="G1787" s="63"/>
      <c r="H1787" s="67"/>
      <c r="I1787" s="68"/>
      <c r="J1787" s="68"/>
      <c r="K1787" s="32"/>
      <c r="L1787" s="75"/>
      <c r="M1787" s="75"/>
      <c r="N1787" s="70"/>
      <c r="O1787" t="s">
        <v>1568</v>
      </c>
      <c r="P1787" s="76">
        <v>44958.709374999999</v>
      </c>
      <c r="Q1787" t="s">
        <v>1737</v>
      </c>
      <c r="V1787" s="77" t="str">
        <f>HYPERLINK("https://pbs.twimg.com/profile_images/1614602509724667904/2E0NfQ2O_normal.jpg")</f>
        <v>https://pbs.twimg.com/profile_images/1614602509724667904/2E0NfQ2O_normal.jpg</v>
      </c>
      <c r="W1787" s="76">
        <v>44958.709374999999</v>
      </c>
      <c r="X1787" s="80">
        <v>44958</v>
      </c>
      <c r="Y1787" s="78" t="s">
        <v>2641</v>
      </c>
      <c r="Z1787" s="77" t="str">
        <f>HYPERLINK("https://twitter.com/cyrusxgrxnde/status/1620829706986848256")</f>
        <v>https://twitter.com/cyrusxgrxnde/status/1620829706986848256</v>
      </c>
      <c r="AC1787" s="78" t="s">
        <v>3658</v>
      </c>
      <c r="AD1787" s="78" t="s">
        <v>4473</v>
      </c>
      <c r="AE1787" t="b">
        <v>0</v>
      </c>
      <c r="AF1787">
        <v>0</v>
      </c>
      <c r="AG1787" s="78" t="s">
        <v>4639</v>
      </c>
      <c r="AH1787" t="b">
        <v>0</v>
      </c>
      <c r="AI1787" t="s">
        <v>4829</v>
      </c>
      <c r="AK1787" s="78" t="s">
        <v>4640</v>
      </c>
      <c r="AL1787" t="b">
        <v>0</v>
      </c>
      <c r="AM1787">
        <v>0</v>
      </c>
      <c r="AN1787" s="78" t="s">
        <v>4640</v>
      </c>
      <c r="AO1787" s="78" t="s">
        <v>4849</v>
      </c>
      <c r="AP1787" t="b">
        <v>0</v>
      </c>
      <c r="AQ1787" s="78" t="s">
        <v>4473</v>
      </c>
      <c r="AR1787" t="s">
        <v>179</v>
      </c>
      <c r="AS1787">
        <v>0</v>
      </c>
      <c r="AT1787">
        <v>0</v>
      </c>
    </row>
    <row r="1788" spans="1:46" x14ac:dyDescent="0.45">
      <c r="A1788" s="62" t="s">
        <v>412</v>
      </c>
      <c r="B1788" s="62" t="s">
        <v>242</v>
      </c>
      <c r="C1788" s="63"/>
      <c r="D1788" s="64"/>
      <c r="E1788" s="65"/>
      <c r="F1788" s="66"/>
      <c r="G1788" s="63"/>
      <c r="H1788" s="67"/>
      <c r="I1788" s="68"/>
      <c r="J1788" s="68"/>
      <c r="K1788" s="32"/>
      <c r="L1788" s="75"/>
      <c r="M1788" s="75"/>
      <c r="N1788" s="70"/>
      <c r="O1788" t="s">
        <v>1567</v>
      </c>
      <c r="P1788" s="76">
        <v>44958.709374999999</v>
      </c>
      <c r="Q1788" t="s">
        <v>1737</v>
      </c>
      <c r="V1788" s="77" t="str">
        <f>HYPERLINK("https://pbs.twimg.com/profile_images/1614602509724667904/2E0NfQ2O_normal.jpg")</f>
        <v>https://pbs.twimg.com/profile_images/1614602509724667904/2E0NfQ2O_normal.jpg</v>
      </c>
      <c r="W1788" s="76">
        <v>44958.709374999999</v>
      </c>
      <c r="X1788" s="80">
        <v>44958</v>
      </c>
      <c r="Y1788" s="78" t="s">
        <v>2641</v>
      </c>
      <c r="Z1788" s="77" t="str">
        <f>HYPERLINK("https://twitter.com/cyrusxgrxnde/status/1620829706986848256")</f>
        <v>https://twitter.com/cyrusxgrxnde/status/1620829706986848256</v>
      </c>
      <c r="AC1788" s="78" t="s">
        <v>3658</v>
      </c>
      <c r="AD1788" s="78" t="s">
        <v>4473</v>
      </c>
      <c r="AE1788" t="b">
        <v>0</v>
      </c>
      <c r="AF1788">
        <v>0</v>
      </c>
      <c r="AG1788" s="78" t="s">
        <v>4639</v>
      </c>
      <c r="AH1788" t="b">
        <v>0</v>
      </c>
      <c r="AI1788" t="s">
        <v>4829</v>
      </c>
      <c r="AK1788" s="78" t="s">
        <v>4640</v>
      </c>
      <c r="AL1788" t="b">
        <v>0</v>
      </c>
      <c r="AM1788">
        <v>0</v>
      </c>
      <c r="AN1788" s="78" t="s">
        <v>4640</v>
      </c>
      <c r="AO1788" s="78" t="s">
        <v>4849</v>
      </c>
      <c r="AP1788" t="b">
        <v>0</v>
      </c>
      <c r="AQ1788" s="78" t="s">
        <v>4473</v>
      </c>
      <c r="AR1788" t="s">
        <v>179</v>
      </c>
      <c r="AS1788">
        <v>0</v>
      </c>
      <c r="AT1788">
        <v>0</v>
      </c>
    </row>
    <row r="1789" spans="1:46" x14ac:dyDescent="0.45">
      <c r="A1789" s="62" t="s">
        <v>413</v>
      </c>
      <c r="B1789" s="62" t="s">
        <v>1230</v>
      </c>
      <c r="C1789" s="63"/>
      <c r="D1789" s="64"/>
      <c r="E1789" s="65"/>
      <c r="F1789" s="66"/>
      <c r="G1789" s="63"/>
      <c r="H1789" s="67"/>
      <c r="I1789" s="68"/>
      <c r="J1789" s="68"/>
      <c r="K1789" s="32"/>
      <c r="L1789" s="75"/>
      <c r="M1789" s="75"/>
      <c r="N1789" s="70"/>
      <c r="O1789" t="s">
        <v>1570</v>
      </c>
      <c r="P1789" s="76">
        <v>44958.709733796299</v>
      </c>
      <c r="Q1789" t="s">
        <v>1693</v>
      </c>
      <c r="V1789" s="77" t="str">
        <f>HYPERLINK("https://pbs.twimg.com/profile_images/1613892937775190018/A2Qgqoqf_normal.jpg")</f>
        <v>https://pbs.twimg.com/profile_images/1613892937775190018/A2Qgqoqf_normal.jpg</v>
      </c>
      <c r="W1789" s="76">
        <v>44958.709733796299</v>
      </c>
      <c r="X1789" s="80">
        <v>44958</v>
      </c>
      <c r="Y1789" s="78" t="s">
        <v>2642</v>
      </c>
      <c r="Z1789" s="77" t="str">
        <f>HYPERLINK("https://twitter.com/theepinned/status/1620829837656215553")</f>
        <v>https://twitter.com/theepinned/status/1620829837656215553</v>
      </c>
      <c r="AC1789" s="78" t="s">
        <v>3659</v>
      </c>
      <c r="AE1789" t="b">
        <v>0</v>
      </c>
      <c r="AF1789">
        <v>0</v>
      </c>
      <c r="AG1789" s="78" t="s">
        <v>4640</v>
      </c>
      <c r="AH1789" t="b">
        <v>0</v>
      </c>
      <c r="AI1789" t="s">
        <v>4829</v>
      </c>
      <c r="AK1789" s="78" t="s">
        <v>4640</v>
      </c>
      <c r="AL1789" t="b">
        <v>0</v>
      </c>
      <c r="AM1789">
        <v>162</v>
      </c>
      <c r="AN1789" s="78" t="s">
        <v>4473</v>
      </c>
      <c r="AO1789" s="78" t="s">
        <v>4850</v>
      </c>
      <c r="AP1789" t="b">
        <v>0</v>
      </c>
      <c r="AQ1789" s="78" t="s">
        <v>4473</v>
      </c>
      <c r="AR1789" t="s">
        <v>179</v>
      </c>
      <c r="AS1789">
        <v>0</v>
      </c>
      <c r="AT1789">
        <v>0</v>
      </c>
    </row>
    <row r="1790" spans="1:46" x14ac:dyDescent="0.45">
      <c r="A1790" s="62" t="s">
        <v>413</v>
      </c>
      <c r="B1790" s="62" t="s">
        <v>242</v>
      </c>
      <c r="C1790" s="63"/>
      <c r="D1790" s="64"/>
      <c r="E1790" s="65"/>
      <c r="F1790" s="66"/>
      <c r="G1790" s="63"/>
      <c r="H1790" s="67"/>
      <c r="I1790" s="68"/>
      <c r="J1790" s="68"/>
      <c r="K1790" s="32"/>
      <c r="L1790" s="75"/>
      <c r="M1790" s="75"/>
      <c r="N1790" s="70"/>
      <c r="O1790" t="s">
        <v>1569</v>
      </c>
      <c r="P1790" s="76">
        <v>44958.709733796299</v>
      </c>
      <c r="Q1790" t="s">
        <v>1693</v>
      </c>
      <c r="V1790" s="77" t="str">
        <f>HYPERLINK("https://pbs.twimg.com/profile_images/1613892937775190018/A2Qgqoqf_normal.jpg")</f>
        <v>https://pbs.twimg.com/profile_images/1613892937775190018/A2Qgqoqf_normal.jpg</v>
      </c>
      <c r="W1790" s="76">
        <v>44958.709733796299</v>
      </c>
      <c r="X1790" s="80">
        <v>44958</v>
      </c>
      <c r="Y1790" s="78" t="s">
        <v>2642</v>
      </c>
      <c r="Z1790" s="77" t="str">
        <f>HYPERLINK("https://twitter.com/theepinned/status/1620829837656215553")</f>
        <v>https://twitter.com/theepinned/status/1620829837656215553</v>
      </c>
      <c r="AC1790" s="78" t="s">
        <v>3659</v>
      </c>
      <c r="AE1790" t="b">
        <v>0</v>
      </c>
      <c r="AF1790">
        <v>0</v>
      </c>
      <c r="AG1790" s="78" t="s">
        <v>4640</v>
      </c>
      <c r="AH1790" t="b">
        <v>0</v>
      </c>
      <c r="AI1790" t="s">
        <v>4829</v>
      </c>
      <c r="AK1790" s="78" t="s">
        <v>4640</v>
      </c>
      <c r="AL1790" t="b">
        <v>0</v>
      </c>
      <c r="AM1790">
        <v>162</v>
      </c>
      <c r="AN1790" s="78" t="s">
        <v>4473</v>
      </c>
      <c r="AO1790" s="78" t="s">
        <v>4850</v>
      </c>
      <c r="AP1790" t="b">
        <v>0</v>
      </c>
      <c r="AQ1790" s="78" t="s">
        <v>4473</v>
      </c>
      <c r="AR1790" t="s">
        <v>179</v>
      </c>
      <c r="AS1790">
        <v>0</v>
      </c>
      <c r="AT1790">
        <v>0</v>
      </c>
    </row>
    <row r="1791" spans="1:46" x14ac:dyDescent="0.45">
      <c r="A1791" s="62" t="s">
        <v>414</v>
      </c>
      <c r="B1791" s="62" t="s">
        <v>1230</v>
      </c>
      <c r="C1791" s="63"/>
      <c r="D1791" s="64"/>
      <c r="E1791" s="65"/>
      <c r="F1791" s="66"/>
      <c r="G1791" s="63"/>
      <c r="H1791" s="67"/>
      <c r="I1791" s="68"/>
      <c r="J1791" s="68"/>
      <c r="K1791" s="32"/>
      <c r="L1791" s="75"/>
      <c r="M1791" s="75"/>
      <c r="N1791" s="70"/>
      <c r="O1791" t="s">
        <v>1568</v>
      </c>
      <c r="P1791" s="76">
        <v>44958.709965277776</v>
      </c>
      <c r="Q1791" t="s">
        <v>1738</v>
      </c>
      <c r="V1791" s="77" t="str">
        <f>HYPERLINK("https://pbs.twimg.com/profile_images/1621075318084898819/jNMSQeUa_normal.jpg")</f>
        <v>https://pbs.twimg.com/profile_images/1621075318084898819/jNMSQeUa_normal.jpg</v>
      </c>
      <c r="W1791" s="76">
        <v>44958.709965277776</v>
      </c>
      <c r="X1791" s="80">
        <v>44958</v>
      </c>
      <c r="Y1791" s="78" t="s">
        <v>2643</v>
      </c>
      <c r="Z1791" s="77" t="str">
        <f>HYPERLINK("https://twitter.com/mileyfiower/status/1620829923010310146")</f>
        <v>https://twitter.com/mileyfiower/status/1620829923010310146</v>
      </c>
      <c r="AC1791" s="78" t="s">
        <v>3660</v>
      </c>
      <c r="AD1791" s="78" t="s">
        <v>4473</v>
      </c>
      <c r="AE1791" t="b">
        <v>0</v>
      </c>
      <c r="AF1791">
        <v>0</v>
      </c>
      <c r="AG1791" s="78" t="s">
        <v>4639</v>
      </c>
      <c r="AH1791" t="b">
        <v>0</v>
      </c>
      <c r="AI1791" t="s">
        <v>4829</v>
      </c>
      <c r="AK1791" s="78" t="s">
        <v>4640</v>
      </c>
      <c r="AL1791" t="b">
        <v>0</v>
      </c>
      <c r="AM1791">
        <v>0</v>
      </c>
      <c r="AN1791" s="78" t="s">
        <v>4640</v>
      </c>
      <c r="AO1791" s="78" t="s">
        <v>4849</v>
      </c>
      <c r="AP1791" t="b">
        <v>0</v>
      </c>
      <c r="AQ1791" s="78" t="s">
        <v>4473</v>
      </c>
      <c r="AR1791" t="s">
        <v>179</v>
      </c>
      <c r="AS1791">
        <v>0</v>
      </c>
      <c r="AT1791">
        <v>0</v>
      </c>
    </row>
    <row r="1792" spans="1:46" x14ac:dyDescent="0.45">
      <c r="A1792" s="62" t="s">
        <v>414</v>
      </c>
      <c r="B1792" s="62" t="s">
        <v>242</v>
      </c>
      <c r="C1792" s="63"/>
      <c r="D1792" s="64"/>
      <c r="E1792" s="65"/>
      <c r="F1792" s="66"/>
      <c r="G1792" s="63"/>
      <c r="H1792" s="67"/>
      <c r="I1792" s="68"/>
      <c r="J1792" s="68"/>
      <c r="K1792" s="32"/>
      <c r="L1792" s="75"/>
      <c r="M1792" s="75"/>
      <c r="N1792" s="70"/>
      <c r="O1792" t="s">
        <v>1567</v>
      </c>
      <c r="P1792" s="76">
        <v>44958.709965277776</v>
      </c>
      <c r="Q1792" t="s">
        <v>1738</v>
      </c>
      <c r="V1792" s="77" t="str">
        <f>HYPERLINK("https://pbs.twimg.com/profile_images/1621075318084898819/jNMSQeUa_normal.jpg")</f>
        <v>https://pbs.twimg.com/profile_images/1621075318084898819/jNMSQeUa_normal.jpg</v>
      </c>
      <c r="W1792" s="76">
        <v>44958.709965277776</v>
      </c>
      <c r="X1792" s="80">
        <v>44958</v>
      </c>
      <c r="Y1792" s="78" t="s">
        <v>2643</v>
      </c>
      <c r="Z1792" s="77" t="str">
        <f>HYPERLINK("https://twitter.com/mileyfiower/status/1620829923010310146")</f>
        <v>https://twitter.com/mileyfiower/status/1620829923010310146</v>
      </c>
      <c r="AC1792" s="78" t="s">
        <v>3660</v>
      </c>
      <c r="AD1792" s="78" t="s">
        <v>4473</v>
      </c>
      <c r="AE1792" t="b">
        <v>0</v>
      </c>
      <c r="AF1792">
        <v>0</v>
      </c>
      <c r="AG1792" s="78" t="s">
        <v>4639</v>
      </c>
      <c r="AH1792" t="b">
        <v>0</v>
      </c>
      <c r="AI1792" t="s">
        <v>4829</v>
      </c>
      <c r="AK1792" s="78" t="s">
        <v>4640</v>
      </c>
      <c r="AL1792" t="b">
        <v>0</v>
      </c>
      <c r="AM1792">
        <v>0</v>
      </c>
      <c r="AN1792" s="78" t="s">
        <v>4640</v>
      </c>
      <c r="AO1792" s="78" t="s">
        <v>4849</v>
      </c>
      <c r="AP1792" t="b">
        <v>0</v>
      </c>
      <c r="AQ1792" s="78" t="s">
        <v>4473</v>
      </c>
      <c r="AR1792" t="s">
        <v>179</v>
      </c>
      <c r="AS1792">
        <v>0</v>
      </c>
      <c r="AT1792">
        <v>0</v>
      </c>
    </row>
    <row r="1793" spans="1:46" x14ac:dyDescent="0.45">
      <c r="A1793" s="62" t="s">
        <v>415</v>
      </c>
      <c r="B1793" s="62" t="s">
        <v>1230</v>
      </c>
      <c r="C1793" s="63"/>
      <c r="D1793" s="64"/>
      <c r="E1793" s="65"/>
      <c r="F1793" s="66"/>
      <c r="G1793" s="63"/>
      <c r="H1793" s="67"/>
      <c r="I1793" s="68"/>
      <c r="J1793" s="68"/>
      <c r="K1793" s="32"/>
      <c r="L1793" s="75"/>
      <c r="M1793" s="75"/>
      <c r="N1793" s="70"/>
      <c r="O1793" t="s">
        <v>1570</v>
      </c>
      <c r="P1793" s="76">
        <v>44958.710115740738</v>
      </c>
      <c r="Q1793" t="s">
        <v>1693</v>
      </c>
      <c r="V1793" s="77" t="str">
        <f>HYPERLINK("https://pbs.twimg.com/profile_images/1620255827339665408/JWnb18jX_normal.jpg")</f>
        <v>https://pbs.twimg.com/profile_images/1620255827339665408/JWnb18jX_normal.jpg</v>
      </c>
      <c r="W1793" s="76">
        <v>44958.710115740738</v>
      </c>
      <c r="X1793" s="80">
        <v>44958</v>
      </c>
      <c r="Y1793" s="78" t="s">
        <v>2644</v>
      </c>
      <c r="Z1793" s="77" t="str">
        <f>HYPERLINK("https://twitter.com/space_dude3/status/1620829976441540608")</f>
        <v>https://twitter.com/space_dude3/status/1620829976441540608</v>
      </c>
      <c r="AC1793" s="78" t="s">
        <v>3661</v>
      </c>
      <c r="AE1793" t="b">
        <v>0</v>
      </c>
      <c r="AF1793">
        <v>0</v>
      </c>
      <c r="AG1793" s="78" t="s">
        <v>4640</v>
      </c>
      <c r="AH1793" t="b">
        <v>0</v>
      </c>
      <c r="AI1793" t="s">
        <v>4829</v>
      </c>
      <c r="AK1793" s="78" t="s">
        <v>4640</v>
      </c>
      <c r="AL1793" t="b">
        <v>0</v>
      </c>
      <c r="AM1793">
        <v>162</v>
      </c>
      <c r="AN1793" s="78" t="s">
        <v>4473</v>
      </c>
      <c r="AO1793" s="78" t="s">
        <v>4849</v>
      </c>
      <c r="AP1793" t="b">
        <v>0</v>
      </c>
      <c r="AQ1793" s="78" t="s">
        <v>4473</v>
      </c>
      <c r="AR1793" t="s">
        <v>179</v>
      </c>
      <c r="AS1793">
        <v>0</v>
      </c>
      <c r="AT1793">
        <v>0</v>
      </c>
    </row>
    <row r="1794" spans="1:46" x14ac:dyDescent="0.45">
      <c r="A1794" s="62" t="s">
        <v>415</v>
      </c>
      <c r="B1794" s="62" t="s">
        <v>242</v>
      </c>
      <c r="C1794" s="63"/>
      <c r="D1794" s="64"/>
      <c r="E1794" s="65"/>
      <c r="F1794" s="66"/>
      <c r="G1794" s="63"/>
      <c r="H1794" s="67"/>
      <c r="I1794" s="68"/>
      <c r="J1794" s="68"/>
      <c r="K1794" s="32"/>
      <c r="L1794" s="75"/>
      <c r="M1794" s="75"/>
      <c r="N1794" s="70"/>
      <c r="O1794" t="s">
        <v>1569</v>
      </c>
      <c r="P1794" s="76">
        <v>44958.710115740738</v>
      </c>
      <c r="Q1794" t="s">
        <v>1693</v>
      </c>
      <c r="V1794" s="77" t="str">
        <f>HYPERLINK("https://pbs.twimg.com/profile_images/1620255827339665408/JWnb18jX_normal.jpg")</f>
        <v>https://pbs.twimg.com/profile_images/1620255827339665408/JWnb18jX_normal.jpg</v>
      </c>
      <c r="W1794" s="76">
        <v>44958.710115740738</v>
      </c>
      <c r="X1794" s="80">
        <v>44958</v>
      </c>
      <c r="Y1794" s="78" t="s">
        <v>2644</v>
      </c>
      <c r="Z1794" s="77" t="str">
        <f>HYPERLINK("https://twitter.com/space_dude3/status/1620829976441540608")</f>
        <v>https://twitter.com/space_dude3/status/1620829976441540608</v>
      </c>
      <c r="AC1794" s="78" t="s">
        <v>3661</v>
      </c>
      <c r="AE1794" t="b">
        <v>0</v>
      </c>
      <c r="AF1794">
        <v>0</v>
      </c>
      <c r="AG1794" s="78" t="s">
        <v>4640</v>
      </c>
      <c r="AH1794" t="b">
        <v>0</v>
      </c>
      <c r="AI1794" t="s">
        <v>4829</v>
      </c>
      <c r="AK1794" s="78" t="s">
        <v>4640</v>
      </c>
      <c r="AL1794" t="b">
        <v>0</v>
      </c>
      <c r="AM1794">
        <v>162</v>
      </c>
      <c r="AN1794" s="78" t="s">
        <v>4473</v>
      </c>
      <c r="AO1794" s="78" t="s">
        <v>4849</v>
      </c>
      <c r="AP1794" t="b">
        <v>0</v>
      </c>
      <c r="AQ1794" s="78" t="s">
        <v>4473</v>
      </c>
      <c r="AR1794" t="s">
        <v>179</v>
      </c>
      <c r="AS1794">
        <v>0</v>
      </c>
      <c r="AT1794">
        <v>0</v>
      </c>
    </row>
    <row r="1795" spans="1:46" x14ac:dyDescent="0.45">
      <c r="A1795" s="62" t="s">
        <v>416</v>
      </c>
      <c r="B1795" s="62" t="s">
        <v>1230</v>
      </c>
      <c r="C1795" s="63"/>
      <c r="D1795" s="64"/>
      <c r="E1795" s="65"/>
      <c r="F1795" s="66"/>
      <c r="G1795" s="63"/>
      <c r="H1795" s="67"/>
      <c r="I1795" s="68"/>
      <c r="J1795" s="68"/>
      <c r="K1795" s="32"/>
      <c r="L1795" s="75"/>
      <c r="M1795" s="75"/>
      <c r="N1795" s="70"/>
      <c r="O1795" t="s">
        <v>1570</v>
      </c>
      <c r="P1795" s="76">
        <v>44958.710439814815</v>
      </c>
      <c r="Q1795" t="s">
        <v>1693</v>
      </c>
      <c r="V1795" s="77" t="str">
        <f>HYPERLINK("https://pbs.twimg.com/profile_images/1334892249012985862/eki3Ao9d_normal.jpg")</f>
        <v>https://pbs.twimg.com/profile_images/1334892249012985862/eki3Ao9d_normal.jpg</v>
      </c>
      <c r="W1795" s="76">
        <v>44958.710439814815</v>
      </c>
      <c r="X1795" s="80">
        <v>44958</v>
      </c>
      <c r="Y1795" s="78" t="s">
        <v>2645</v>
      </c>
      <c r="Z1795" s="77" t="str">
        <f>HYPERLINK("https://twitter.com/barbielvesmiley/status/1620830092133040129")</f>
        <v>https://twitter.com/barbielvesmiley/status/1620830092133040129</v>
      </c>
      <c r="AC1795" s="78" t="s">
        <v>3662</v>
      </c>
      <c r="AE1795" t="b">
        <v>0</v>
      </c>
      <c r="AF1795">
        <v>0</v>
      </c>
      <c r="AG1795" s="78" t="s">
        <v>4640</v>
      </c>
      <c r="AH1795" t="b">
        <v>0</v>
      </c>
      <c r="AI1795" t="s">
        <v>4829</v>
      </c>
      <c r="AK1795" s="78" t="s">
        <v>4640</v>
      </c>
      <c r="AL1795" t="b">
        <v>0</v>
      </c>
      <c r="AM1795">
        <v>162</v>
      </c>
      <c r="AN1795" s="78" t="s">
        <v>4473</v>
      </c>
      <c r="AO1795" s="78" t="s">
        <v>4850</v>
      </c>
      <c r="AP1795" t="b">
        <v>0</v>
      </c>
      <c r="AQ1795" s="78" t="s">
        <v>4473</v>
      </c>
      <c r="AR1795" t="s">
        <v>179</v>
      </c>
      <c r="AS1795">
        <v>0</v>
      </c>
      <c r="AT1795">
        <v>0</v>
      </c>
    </row>
    <row r="1796" spans="1:46" x14ac:dyDescent="0.45">
      <c r="A1796" s="62" t="s">
        <v>416</v>
      </c>
      <c r="B1796" s="62" t="s">
        <v>242</v>
      </c>
      <c r="C1796" s="63"/>
      <c r="D1796" s="64"/>
      <c r="E1796" s="65"/>
      <c r="F1796" s="66"/>
      <c r="G1796" s="63"/>
      <c r="H1796" s="67"/>
      <c r="I1796" s="68"/>
      <c r="J1796" s="68"/>
      <c r="K1796" s="32"/>
      <c r="L1796" s="75"/>
      <c r="M1796" s="75"/>
      <c r="N1796" s="70"/>
      <c r="O1796" t="s">
        <v>1569</v>
      </c>
      <c r="P1796" s="76">
        <v>44958.710439814815</v>
      </c>
      <c r="Q1796" t="s">
        <v>1693</v>
      </c>
      <c r="V1796" s="77" t="str">
        <f>HYPERLINK("https://pbs.twimg.com/profile_images/1334892249012985862/eki3Ao9d_normal.jpg")</f>
        <v>https://pbs.twimg.com/profile_images/1334892249012985862/eki3Ao9d_normal.jpg</v>
      </c>
      <c r="W1796" s="76">
        <v>44958.710439814815</v>
      </c>
      <c r="X1796" s="80">
        <v>44958</v>
      </c>
      <c r="Y1796" s="78" t="s">
        <v>2645</v>
      </c>
      <c r="Z1796" s="77" t="str">
        <f>HYPERLINK("https://twitter.com/barbielvesmiley/status/1620830092133040129")</f>
        <v>https://twitter.com/barbielvesmiley/status/1620830092133040129</v>
      </c>
      <c r="AC1796" s="78" t="s">
        <v>3662</v>
      </c>
      <c r="AE1796" t="b">
        <v>0</v>
      </c>
      <c r="AF1796">
        <v>0</v>
      </c>
      <c r="AG1796" s="78" t="s">
        <v>4640</v>
      </c>
      <c r="AH1796" t="b">
        <v>0</v>
      </c>
      <c r="AI1796" t="s">
        <v>4829</v>
      </c>
      <c r="AK1796" s="78" t="s">
        <v>4640</v>
      </c>
      <c r="AL1796" t="b">
        <v>0</v>
      </c>
      <c r="AM1796">
        <v>162</v>
      </c>
      <c r="AN1796" s="78" t="s">
        <v>4473</v>
      </c>
      <c r="AO1796" s="78" t="s">
        <v>4850</v>
      </c>
      <c r="AP1796" t="b">
        <v>0</v>
      </c>
      <c r="AQ1796" s="78" t="s">
        <v>4473</v>
      </c>
      <c r="AR1796" t="s">
        <v>179</v>
      </c>
      <c r="AS1796">
        <v>0</v>
      </c>
      <c r="AT1796">
        <v>0</v>
      </c>
    </row>
    <row r="1797" spans="1:46" x14ac:dyDescent="0.45">
      <c r="A1797" s="62" t="s">
        <v>417</v>
      </c>
      <c r="B1797" s="62" t="s">
        <v>1230</v>
      </c>
      <c r="C1797" s="63"/>
      <c r="D1797" s="64"/>
      <c r="E1797" s="65"/>
      <c r="F1797" s="66"/>
      <c r="G1797" s="63"/>
      <c r="H1797" s="67"/>
      <c r="I1797" s="68"/>
      <c r="J1797" s="68"/>
      <c r="K1797" s="32"/>
      <c r="L1797" s="75"/>
      <c r="M1797" s="75"/>
      <c r="N1797" s="70"/>
      <c r="O1797" t="s">
        <v>1570</v>
      </c>
      <c r="P1797" s="76">
        <v>44958.710578703707</v>
      </c>
      <c r="Q1797" t="s">
        <v>1693</v>
      </c>
      <c r="V1797" s="77" t="str">
        <f>HYPERLINK("https://pbs.twimg.com/profile_images/1603814261595291667/3OKcr0iM_normal.jpg")</f>
        <v>https://pbs.twimg.com/profile_images/1603814261595291667/3OKcr0iM_normal.jpg</v>
      </c>
      <c r="W1797" s="76">
        <v>44958.710578703707</v>
      </c>
      <c r="X1797" s="80">
        <v>44958</v>
      </c>
      <c r="Y1797" s="78" t="s">
        <v>2646</v>
      </c>
      <c r="Z1797" s="77" t="str">
        <f>HYPERLINK("https://twitter.com/livielovelaugh/status/1620830143144132608")</f>
        <v>https://twitter.com/livielovelaugh/status/1620830143144132608</v>
      </c>
      <c r="AC1797" s="78" t="s">
        <v>3663</v>
      </c>
      <c r="AE1797" t="b">
        <v>0</v>
      </c>
      <c r="AF1797">
        <v>0</v>
      </c>
      <c r="AG1797" s="78" t="s">
        <v>4640</v>
      </c>
      <c r="AH1797" t="b">
        <v>0</v>
      </c>
      <c r="AI1797" t="s">
        <v>4829</v>
      </c>
      <c r="AK1797" s="78" t="s">
        <v>4640</v>
      </c>
      <c r="AL1797" t="b">
        <v>0</v>
      </c>
      <c r="AM1797">
        <v>162</v>
      </c>
      <c r="AN1797" s="78" t="s">
        <v>4473</v>
      </c>
      <c r="AO1797" s="78" t="s">
        <v>4849</v>
      </c>
      <c r="AP1797" t="b">
        <v>0</v>
      </c>
      <c r="AQ1797" s="78" t="s">
        <v>4473</v>
      </c>
      <c r="AR1797" t="s">
        <v>179</v>
      </c>
      <c r="AS1797">
        <v>0</v>
      </c>
      <c r="AT1797">
        <v>0</v>
      </c>
    </row>
    <row r="1798" spans="1:46" x14ac:dyDescent="0.45">
      <c r="A1798" s="62" t="s">
        <v>417</v>
      </c>
      <c r="B1798" s="62" t="s">
        <v>242</v>
      </c>
      <c r="C1798" s="63"/>
      <c r="D1798" s="64"/>
      <c r="E1798" s="65"/>
      <c r="F1798" s="66"/>
      <c r="G1798" s="63"/>
      <c r="H1798" s="67"/>
      <c r="I1798" s="68"/>
      <c r="J1798" s="68"/>
      <c r="K1798" s="32"/>
      <c r="L1798" s="75"/>
      <c r="M1798" s="75"/>
      <c r="N1798" s="70"/>
      <c r="O1798" t="s">
        <v>1569</v>
      </c>
      <c r="P1798" s="76">
        <v>44958.710578703707</v>
      </c>
      <c r="Q1798" t="s">
        <v>1693</v>
      </c>
      <c r="V1798" s="77" t="str">
        <f>HYPERLINK("https://pbs.twimg.com/profile_images/1603814261595291667/3OKcr0iM_normal.jpg")</f>
        <v>https://pbs.twimg.com/profile_images/1603814261595291667/3OKcr0iM_normal.jpg</v>
      </c>
      <c r="W1798" s="76">
        <v>44958.710578703707</v>
      </c>
      <c r="X1798" s="80">
        <v>44958</v>
      </c>
      <c r="Y1798" s="78" t="s">
        <v>2646</v>
      </c>
      <c r="Z1798" s="77" t="str">
        <f>HYPERLINK("https://twitter.com/livielovelaugh/status/1620830143144132608")</f>
        <v>https://twitter.com/livielovelaugh/status/1620830143144132608</v>
      </c>
      <c r="AC1798" s="78" t="s">
        <v>3663</v>
      </c>
      <c r="AE1798" t="b">
        <v>0</v>
      </c>
      <c r="AF1798">
        <v>0</v>
      </c>
      <c r="AG1798" s="78" t="s">
        <v>4640</v>
      </c>
      <c r="AH1798" t="b">
        <v>0</v>
      </c>
      <c r="AI1798" t="s">
        <v>4829</v>
      </c>
      <c r="AK1798" s="78" t="s">
        <v>4640</v>
      </c>
      <c r="AL1798" t="b">
        <v>0</v>
      </c>
      <c r="AM1798">
        <v>162</v>
      </c>
      <c r="AN1798" s="78" t="s">
        <v>4473</v>
      </c>
      <c r="AO1798" s="78" t="s">
        <v>4849</v>
      </c>
      <c r="AP1798" t="b">
        <v>0</v>
      </c>
      <c r="AQ1798" s="78" t="s">
        <v>4473</v>
      </c>
      <c r="AR1798" t="s">
        <v>179</v>
      </c>
      <c r="AS1798">
        <v>0</v>
      </c>
      <c r="AT1798">
        <v>0</v>
      </c>
    </row>
    <row r="1799" spans="1:46" x14ac:dyDescent="0.45">
      <c r="A1799" s="62" t="s">
        <v>418</v>
      </c>
      <c r="B1799" s="62" t="s">
        <v>1230</v>
      </c>
      <c r="C1799" s="63"/>
      <c r="D1799" s="64"/>
      <c r="E1799" s="65"/>
      <c r="F1799" s="66"/>
      <c r="G1799" s="63"/>
      <c r="H1799" s="67"/>
      <c r="I1799" s="68"/>
      <c r="J1799" s="68"/>
      <c r="K1799" s="32"/>
      <c r="L1799" s="75"/>
      <c r="M1799" s="75"/>
      <c r="N1799" s="70"/>
      <c r="O1799" t="s">
        <v>1570</v>
      </c>
      <c r="P1799" s="76">
        <v>44958.711018518516</v>
      </c>
      <c r="Q1799" t="s">
        <v>1693</v>
      </c>
      <c r="V1799" s="77" t="str">
        <f>HYPERLINK("https://pbs.twimg.com/profile_images/1384573721642508288/aTR44z9v_normal.jpg")</f>
        <v>https://pbs.twimg.com/profile_images/1384573721642508288/aTR44z9v_normal.jpg</v>
      </c>
      <c r="W1799" s="76">
        <v>44958.711018518516</v>
      </c>
      <c r="X1799" s="80">
        <v>44958</v>
      </c>
      <c r="Y1799" s="78" t="s">
        <v>2647</v>
      </c>
      <c r="Z1799" s="77" t="str">
        <f>HYPERLINK("https://twitter.com/myrus69/status/1620830304197046277")</f>
        <v>https://twitter.com/myrus69/status/1620830304197046277</v>
      </c>
      <c r="AC1799" s="78" t="s">
        <v>3664</v>
      </c>
      <c r="AE1799" t="b">
        <v>0</v>
      </c>
      <c r="AF1799">
        <v>0</v>
      </c>
      <c r="AG1799" s="78" t="s">
        <v>4640</v>
      </c>
      <c r="AH1799" t="b">
        <v>0</v>
      </c>
      <c r="AI1799" t="s">
        <v>4829</v>
      </c>
      <c r="AK1799" s="78" t="s">
        <v>4640</v>
      </c>
      <c r="AL1799" t="b">
        <v>0</v>
      </c>
      <c r="AM1799">
        <v>162</v>
      </c>
      <c r="AN1799" s="78" t="s">
        <v>4473</v>
      </c>
      <c r="AO1799" s="78" t="s">
        <v>4850</v>
      </c>
      <c r="AP1799" t="b">
        <v>0</v>
      </c>
      <c r="AQ1799" s="78" t="s">
        <v>4473</v>
      </c>
      <c r="AR1799" t="s">
        <v>179</v>
      </c>
      <c r="AS1799">
        <v>0</v>
      </c>
      <c r="AT1799">
        <v>0</v>
      </c>
    </row>
    <row r="1800" spans="1:46" x14ac:dyDescent="0.45">
      <c r="A1800" s="62" t="s">
        <v>418</v>
      </c>
      <c r="B1800" s="62" t="s">
        <v>242</v>
      </c>
      <c r="C1800" s="63"/>
      <c r="D1800" s="64"/>
      <c r="E1800" s="65"/>
      <c r="F1800" s="66"/>
      <c r="G1800" s="63"/>
      <c r="H1800" s="67"/>
      <c r="I1800" s="68"/>
      <c r="J1800" s="68"/>
      <c r="K1800" s="32"/>
      <c r="L1800" s="75"/>
      <c r="M1800" s="75"/>
      <c r="N1800" s="70"/>
      <c r="O1800" t="s">
        <v>1569</v>
      </c>
      <c r="P1800" s="76">
        <v>44958.711018518516</v>
      </c>
      <c r="Q1800" t="s">
        <v>1693</v>
      </c>
      <c r="V1800" s="77" t="str">
        <f>HYPERLINK("https://pbs.twimg.com/profile_images/1384573721642508288/aTR44z9v_normal.jpg")</f>
        <v>https://pbs.twimg.com/profile_images/1384573721642508288/aTR44z9v_normal.jpg</v>
      </c>
      <c r="W1800" s="76">
        <v>44958.711018518516</v>
      </c>
      <c r="X1800" s="80">
        <v>44958</v>
      </c>
      <c r="Y1800" s="78" t="s">
        <v>2647</v>
      </c>
      <c r="Z1800" s="77" t="str">
        <f>HYPERLINK("https://twitter.com/myrus69/status/1620830304197046277")</f>
        <v>https://twitter.com/myrus69/status/1620830304197046277</v>
      </c>
      <c r="AC1800" s="78" t="s">
        <v>3664</v>
      </c>
      <c r="AE1800" t="b">
        <v>0</v>
      </c>
      <c r="AF1800">
        <v>0</v>
      </c>
      <c r="AG1800" s="78" t="s">
        <v>4640</v>
      </c>
      <c r="AH1800" t="b">
        <v>0</v>
      </c>
      <c r="AI1800" t="s">
        <v>4829</v>
      </c>
      <c r="AK1800" s="78" t="s">
        <v>4640</v>
      </c>
      <c r="AL1800" t="b">
        <v>0</v>
      </c>
      <c r="AM1800">
        <v>162</v>
      </c>
      <c r="AN1800" s="78" t="s">
        <v>4473</v>
      </c>
      <c r="AO1800" s="78" t="s">
        <v>4850</v>
      </c>
      <c r="AP1800" t="b">
        <v>0</v>
      </c>
      <c r="AQ1800" s="78" t="s">
        <v>4473</v>
      </c>
      <c r="AR1800" t="s">
        <v>179</v>
      </c>
      <c r="AS1800">
        <v>0</v>
      </c>
      <c r="AT1800">
        <v>0</v>
      </c>
    </row>
    <row r="1801" spans="1:46" x14ac:dyDescent="0.45">
      <c r="A1801" s="62" t="s">
        <v>419</v>
      </c>
      <c r="B1801" s="62" t="s">
        <v>1230</v>
      </c>
      <c r="C1801" s="63"/>
      <c r="D1801" s="64"/>
      <c r="E1801" s="65"/>
      <c r="F1801" s="66"/>
      <c r="G1801" s="63"/>
      <c r="H1801" s="67"/>
      <c r="I1801" s="68"/>
      <c r="J1801" s="68"/>
      <c r="K1801" s="32"/>
      <c r="L1801" s="75"/>
      <c r="M1801" s="75"/>
      <c r="N1801" s="70"/>
      <c r="O1801" t="s">
        <v>1570</v>
      </c>
      <c r="P1801" s="76">
        <v>44958.711365740739</v>
      </c>
      <c r="Q1801" t="s">
        <v>1693</v>
      </c>
      <c r="V1801" s="77" t="str">
        <f>HYPERLINK("https://pbs.twimg.com/profile_images/1617238031278264320/jmcsryGt_normal.jpg")</f>
        <v>https://pbs.twimg.com/profile_images/1617238031278264320/jmcsryGt_normal.jpg</v>
      </c>
      <c r="W1801" s="76">
        <v>44958.711365740739</v>
      </c>
      <c r="X1801" s="80">
        <v>44958</v>
      </c>
      <c r="Y1801" s="78" t="s">
        <v>2648</v>
      </c>
      <c r="Z1801" s="77" t="str">
        <f>HYPERLINK("https://twitter.com/heyfriends1212/status/1620830430332354561")</f>
        <v>https://twitter.com/heyfriends1212/status/1620830430332354561</v>
      </c>
      <c r="AC1801" s="78" t="s">
        <v>3665</v>
      </c>
      <c r="AE1801" t="b">
        <v>0</v>
      </c>
      <c r="AF1801">
        <v>0</v>
      </c>
      <c r="AG1801" s="78" t="s">
        <v>4640</v>
      </c>
      <c r="AH1801" t="b">
        <v>0</v>
      </c>
      <c r="AI1801" t="s">
        <v>4829</v>
      </c>
      <c r="AK1801" s="78" t="s">
        <v>4640</v>
      </c>
      <c r="AL1801" t="b">
        <v>0</v>
      </c>
      <c r="AM1801">
        <v>162</v>
      </c>
      <c r="AN1801" s="78" t="s">
        <v>4473</v>
      </c>
      <c r="AO1801" s="78" t="s">
        <v>4849</v>
      </c>
      <c r="AP1801" t="b">
        <v>0</v>
      </c>
      <c r="AQ1801" s="78" t="s">
        <v>4473</v>
      </c>
      <c r="AR1801" t="s">
        <v>179</v>
      </c>
      <c r="AS1801">
        <v>0</v>
      </c>
      <c r="AT1801">
        <v>0</v>
      </c>
    </row>
    <row r="1802" spans="1:46" x14ac:dyDescent="0.45">
      <c r="A1802" s="62" t="s">
        <v>419</v>
      </c>
      <c r="B1802" s="62" t="s">
        <v>242</v>
      </c>
      <c r="C1802" s="63"/>
      <c r="D1802" s="64"/>
      <c r="E1802" s="65"/>
      <c r="F1802" s="66"/>
      <c r="G1802" s="63"/>
      <c r="H1802" s="67"/>
      <c r="I1802" s="68"/>
      <c r="J1802" s="68"/>
      <c r="K1802" s="32"/>
      <c r="L1802" s="75"/>
      <c r="M1802" s="75"/>
      <c r="N1802" s="70"/>
      <c r="O1802" t="s">
        <v>1569</v>
      </c>
      <c r="P1802" s="76">
        <v>44958.711365740739</v>
      </c>
      <c r="Q1802" t="s">
        <v>1693</v>
      </c>
      <c r="V1802" s="77" t="str">
        <f>HYPERLINK("https://pbs.twimg.com/profile_images/1617238031278264320/jmcsryGt_normal.jpg")</f>
        <v>https://pbs.twimg.com/profile_images/1617238031278264320/jmcsryGt_normal.jpg</v>
      </c>
      <c r="W1802" s="76">
        <v>44958.711365740739</v>
      </c>
      <c r="X1802" s="80">
        <v>44958</v>
      </c>
      <c r="Y1802" s="78" t="s">
        <v>2648</v>
      </c>
      <c r="Z1802" s="77" t="str">
        <f>HYPERLINK("https://twitter.com/heyfriends1212/status/1620830430332354561")</f>
        <v>https://twitter.com/heyfriends1212/status/1620830430332354561</v>
      </c>
      <c r="AC1802" s="78" t="s">
        <v>3665</v>
      </c>
      <c r="AE1802" t="b">
        <v>0</v>
      </c>
      <c r="AF1802">
        <v>0</v>
      </c>
      <c r="AG1802" s="78" t="s">
        <v>4640</v>
      </c>
      <c r="AH1802" t="b">
        <v>0</v>
      </c>
      <c r="AI1802" t="s">
        <v>4829</v>
      </c>
      <c r="AK1802" s="78" t="s">
        <v>4640</v>
      </c>
      <c r="AL1802" t="b">
        <v>0</v>
      </c>
      <c r="AM1802">
        <v>162</v>
      </c>
      <c r="AN1802" s="78" t="s">
        <v>4473</v>
      </c>
      <c r="AO1802" s="78" t="s">
        <v>4849</v>
      </c>
      <c r="AP1802" t="b">
        <v>0</v>
      </c>
      <c r="AQ1802" s="78" t="s">
        <v>4473</v>
      </c>
      <c r="AR1802" t="s">
        <v>179</v>
      </c>
      <c r="AS1802">
        <v>0</v>
      </c>
      <c r="AT1802">
        <v>0</v>
      </c>
    </row>
    <row r="1803" spans="1:46" x14ac:dyDescent="0.45">
      <c r="A1803" s="62" t="s">
        <v>420</v>
      </c>
      <c r="B1803" s="62" t="s">
        <v>1230</v>
      </c>
      <c r="C1803" s="63"/>
      <c r="D1803" s="64"/>
      <c r="E1803" s="65"/>
      <c r="F1803" s="66"/>
      <c r="G1803" s="63"/>
      <c r="H1803" s="67"/>
      <c r="I1803" s="68"/>
      <c r="J1803" s="68"/>
      <c r="K1803" s="32"/>
      <c r="L1803" s="75"/>
      <c r="M1803" s="75"/>
      <c r="N1803" s="70"/>
      <c r="O1803" t="s">
        <v>1570</v>
      </c>
      <c r="P1803" s="76">
        <v>44958.711539351854</v>
      </c>
      <c r="Q1803" t="s">
        <v>1693</v>
      </c>
      <c r="V1803" s="77" t="str">
        <f>HYPERLINK("https://pbs.twimg.com/profile_images/1620565548663709696/IsBwVuIR_normal.jpg")</f>
        <v>https://pbs.twimg.com/profile_images/1620565548663709696/IsBwVuIR_normal.jpg</v>
      </c>
      <c r="W1803" s="76">
        <v>44958.711539351854</v>
      </c>
      <c r="X1803" s="80">
        <v>44958</v>
      </c>
      <c r="Y1803" s="78" t="s">
        <v>2649</v>
      </c>
      <c r="Z1803" s="77" t="str">
        <f>HYPERLINK("https://twitter.com/mileypersona/status/1620830490843557890")</f>
        <v>https://twitter.com/mileypersona/status/1620830490843557890</v>
      </c>
      <c r="AC1803" s="78" t="s">
        <v>3666</v>
      </c>
      <c r="AE1803" t="b">
        <v>0</v>
      </c>
      <c r="AF1803">
        <v>0</v>
      </c>
      <c r="AG1803" s="78" t="s">
        <v>4640</v>
      </c>
      <c r="AH1803" t="b">
        <v>0</v>
      </c>
      <c r="AI1803" t="s">
        <v>4829</v>
      </c>
      <c r="AK1803" s="78" t="s">
        <v>4640</v>
      </c>
      <c r="AL1803" t="b">
        <v>0</v>
      </c>
      <c r="AM1803">
        <v>162</v>
      </c>
      <c r="AN1803" s="78" t="s">
        <v>4473</v>
      </c>
      <c r="AO1803" s="78" t="s">
        <v>4850</v>
      </c>
      <c r="AP1803" t="b">
        <v>0</v>
      </c>
      <c r="AQ1803" s="78" t="s">
        <v>4473</v>
      </c>
      <c r="AR1803" t="s">
        <v>179</v>
      </c>
      <c r="AS1803">
        <v>0</v>
      </c>
      <c r="AT1803">
        <v>0</v>
      </c>
    </row>
    <row r="1804" spans="1:46" x14ac:dyDescent="0.45">
      <c r="A1804" s="62" t="s">
        <v>420</v>
      </c>
      <c r="B1804" s="62" t="s">
        <v>242</v>
      </c>
      <c r="C1804" s="63"/>
      <c r="D1804" s="64"/>
      <c r="E1804" s="65"/>
      <c r="F1804" s="66"/>
      <c r="G1804" s="63"/>
      <c r="H1804" s="67"/>
      <c r="I1804" s="68"/>
      <c r="J1804" s="68"/>
      <c r="K1804" s="32"/>
      <c r="L1804" s="75"/>
      <c r="M1804" s="75"/>
      <c r="N1804" s="70"/>
      <c r="O1804" t="s">
        <v>1569</v>
      </c>
      <c r="P1804" s="76">
        <v>44958.711539351854</v>
      </c>
      <c r="Q1804" t="s">
        <v>1693</v>
      </c>
      <c r="V1804" s="77" t="str">
        <f>HYPERLINK("https://pbs.twimg.com/profile_images/1620565548663709696/IsBwVuIR_normal.jpg")</f>
        <v>https://pbs.twimg.com/profile_images/1620565548663709696/IsBwVuIR_normal.jpg</v>
      </c>
      <c r="W1804" s="76">
        <v>44958.711539351854</v>
      </c>
      <c r="X1804" s="80">
        <v>44958</v>
      </c>
      <c r="Y1804" s="78" t="s">
        <v>2649</v>
      </c>
      <c r="Z1804" s="77" t="str">
        <f>HYPERLINK("https://twitter.com/mileypersona/status/1620830490843557890")</f>
        <v>https://twitter.com/mileypersona/status/1620830490843557890</v>
      </c>
      <c r="AC1804" s="78" t="s">
        <v>3666</v>
      </c>
      <c r="AE1804" t="b">
        <v>0</v>
      </c>
      <c r="AF1804">
        <v>0</v>
      </c>
      <c r="AG1804" s="78" t="s">
        <v>4640</v>
      </c>
      <c r="AH1804" t="b">
        <v>0</v>
      </c>
      <c r="AI1804" t="s">
        <v>4829</v>
      </c>
      <c r="AK1804" s="78" t="s">
        <v>4640</v>
      </c>
      <c r="AL1804" t="b">
        <v>0</v>
      </c>
      <c r="AM1804">
        <v>162</v>
      </c>
      <c r="AN1804" s="78" t="s">
        <v>4473</v>
      </c>
      <c r="AO1804" s="78" t="s">
        <v>4850</v>
      </c>
      <c r="AP1804" t="b">
        <v>0</v>
      </c>
      <c r="AQ1804" s="78" t="s">
        <v>4473</v>
      </c>
      <c r="AR1804" t="s">
        <v>179</v>
      </c>
      <c r="AS1804">
        <v>0</v>
      </c>
      <c r="AT1804">
        <v>0</v>
      </c>
    </row>
    <row r="1805" spans="1:46" x14ac:dyDescent="0.45">
      <c r="A1805" s="62" t="s">
        <v>421</v>
      </c>
      <c r="B1805" s="62" t="s">
        <v>1230</v>
      </c>
      <c r="C1805" s="63"/>
      <c r="D1805" s="64"/>
      <c r="E1805" s="65"/>
      <c r="F1805" s="66"/>
      <c r="G1805" s="63"/>
      <c r="H1805" s="67"/>
      <c r="I1805" s="68"/>
      <c r="J1805" s="68"/>
      <c r="K1805" s="32"/>
      <c r="L1805" s="75"/>
      <c r="M1805" s="75"/>
      <c r="N1805" s="70"/>
      <c r="O1805" t="s">
        <v>1570</v>
      </c>
      <c r="P1805" s="76">
        <v>44958.711550925924</v>
      </c>
      <c r="Q1805" t="s">
        <v>1693</v>
      </c>
      <c r="V1805" s="77" t="str">
        <f>HYPERLINK("https://pbs.twimg.com/profile_images/1611895128884396032/pQQU_zax_normal.jpg")</f>
        <v>https://pbs.twimg.com/profile_images/1611895128884396032/pQQU_zax_normal.jpg</v>
      </c>
      <c r="W1805" s="76">
        <v>44958.711550925924</v>
      </c>
      <c r="X1805" s="80">
        <v>44958</v>
      </c>
      <c r="Y1805" s="78" t="s">
        <v>2650</v>
      </c>
      <c r="Z1805" s="77" t="str">
        <f>HYPERLINK("https://twitter.com/stefaniraiz/status/1620830494446469121")</f>
        <v>https://twitter.com/stefaniraiz/status/1620830494446469121</v>
      </c>
      <c r="AC1805" s="78" t="s">
        <v>3667</v>
      </c>
      <c r="AE1805" t="b">
        <v>0</v>
      </c>
      <c r="AF1805">
        <v>0</v>
      </c>
      <c r="AG1805" s="78" t="s">
        <v>4640</v>
      </c>
      <c r="AH1805" t="b">
        <v>0</v>
      </c>
      <c r="AI1805" t="s">
        <v>4829</v>
      </c>
      <c r="AK1805" s="78" t="s">
        <v>4640</v>
      </c>
      <c r="AL1805" t="b">
        <v>0</v>
      </c>
      <c r="AM1805">
        <v>162</v>
      </c>
      <c r="AN1805" s="78" t="s">
        <v>4473</v>
      </c>
      <c r="AO1805" s="78" t="s">
        <v>4851</v>
      </c>
      <c r="AP1805" t="b">
        <v>0</v>
      </c>
      <c r="AQ1805" s="78" t="s">
        <v>4473</v>
      </c>
      <c r="AR1805" t="s">
        <v>179</v>
      </c>
      <c r="AS1805">
        <v>0</v>
      </c>
      <c r="AT1805">
        <v>0</v>
      </c>
    </row>
    <row r="1806" spans="1:46" x14ac:dyDescent="0.45">
      <c r="A1806" s="62" t="s">
        <v>421</v>
      </c>
      <c r="B1806" s="62" t="s">
        <v>242</v>
      </c>
      <c r="C1806" s="63"/>
      <c r="D1806" s="64"/>
      <c r="E1806" s="65"/>
      <c r="F1806" s="66"/>
      <c r="G1806" s="63"/>
      <c r="H1806" s="67"/>
      <c r="I1806" s="68"/>
      <c r="J1806" s="68"/>
      <c r="K1806" s="32"/>
      <c r="L1806" s="75"/>
      <c r="M1806" s="75"/>
      <c r="N1806" s="70"/>
      <c r="O1806" t="s">
        <v>1569</v>
      </c>
      <c r="P1806" s="76">
        <v>44958.711550925924</v>
      </c>
      <c r="Q1806" t="s">
        <v>1693</v>
      </c>
      <c r="V1806" s="77" t="str">
        <f>HYPERLINK("https://pbs.twimg.com/profile_images/1611895128884396032/pQQU_zax_normal.jpg")</f>
        <v>https://pbs.twimg.com/profile_images/1611895128884396032/pQQU_zax_normal.jpg</v>
      </c>
      <c r="W1806" s="76">
        <v>44958.711550925924</v>
      </c>
      <c r="X1806" s="80">
        <v>44958</v>
      </c>
      <c r="Y1806" s="78" t="s">
        <v>2650</v>
      </c>
      <c r="Z1806" s="77" t="str">
        <f>HYPERLINK("https://twitter.com/stefaniraiz/status/1620830494446469121")</f>
        <v>https://twitter.com/stefaniraiz/status/1620830494446469121</v>
      </c>
      <c r="AC1806" s="78" t="s">
        <v>3667</v>
      </c>
      <c r="AE1806" t="b">
        <v>0</v>
      </c>
      <c r="AF1806">
        <v>0</v>
      </c>
      <c r="AG1806" s="78" t="s">
        <v>4640</v>
      </c>
      <c r="AH1806" t="b">
        <v>0</v>
      </c>
      <c r="AI1806" t="s">
        <v>4829</v>
      </c>
      <c r="AK1806" s="78" t="s">
        <v>4640</v>
      </c>
      <c r="AL1806" t="b">
        <v>0</v>
      </c>
      <c r="AM1806">
        <v>162</v>
      </c>
      <c r="AN1806" s="78" t="s">
        <v>4473</v>
      </c>
      <c r="AO1806" s="78" t="s">
        <v>4851</v>
      </c>
      <c r="AP1806" t="b">
        <v>0</v>
      </c>
      <c r="AQ1806" s="78" t="s">
        <v>4473</v>
      </c>
      <c r="AR1806" t="s">
        <v>179</v>
      </c>
      <c r="AS1806">
        <v>0</v>
      </c>
      <c r="AT1806">
        <v>0</v>
      </c>
    </row>
    <row r="1807" spans="1:46" x14ac:dyDescent="0.45">
      <c r="A1807" s="62" t="s">
        <v>422</v>
      </c>
      <c r="B1807" s="62" t="s">
        <v>1230</v>
      </c>
      <c r="C1807" s="63"/>
      <c r="D1807" s="64"/>
      <c r="E1807" s="65"/>
      <c r="F1807" s="66"/>
      <c r="G1807" s="63"/>
      <c r="H1807" s="67"/>
      <c r="I1807" s="68"/>
      <c r="J1807" s="68"/>
      <c r="K1807" s="32"/>
      <c r="L1807" s="75"/>
      <c r="M1807" s="75"/>
      <c r="N1807" s="70"/>
      <c r="O1807" t="s">
        <v>1570</v>
      </c>
      <c r="P1807" s="76">
        <v>44958.711574074077</v>
      </c>
      <c r="Q1807" t="s">
        <v>1693</v>
      </c>
      <c r="V1807" s="77" t="str">
        <f>HYPERLINK("https://pbs.twimg.com/profile_images/1330270394180317187/iflEzmiq_normal.jpg")</f>
        <v>https://pbs.twimg.com/profile_images/1330270394180317187/iflEzmiq_normal.jpg</v>
      </c>
      <c r="W1807" s="76">
        <v>44958.711574074077</v>
      </c>
      <c r="X1807" s="80">
        <v>44958</v>
      </c>
      <c r="Y1807" s="78" t="s">
        <v>2651</v>
      </c>
      <c r="Z1807" s="77" t="str">
        <f>HYPERLINK("https://twitter.com/mcsmiler18/status/1620830502839279616")</f>
        <v>https://twitter.com/mcsmiler18/status/1620830502839279616</v>
      </c>
      <c r="AC1807" s="78" t="s">
        <v>3668</v>
      </c>
      <c r="AE1807" t="b">
        <v>0</v>
      </c>
      <c r="AF1807">
        <v>0</v>
      </c>
      <c r="AG1807" s="78" t="s">
        <v>4640</v>
      </c>
      <c r="AH1807" t="b">
        <v>0</v>
      </c>
      <c r="AI1807" t="s">
        <v>4829</v>
      </c>
      <c r="AK1807" s="78" t="s">
        <v>4640</v>
      </c>
      <c r="AL1807" t="b">
        <v>0</v>
      </c>
      <c r="AM1807">
        <v>162</v>
      </c>
      <c r="AN1807" s="78" t="s">
        <v>4473</v>
      </c>
      <c r="AO1807" s="78" t="s">
        <v>4849</v>
      </c>
      <c r="AP1807" t="b">
        <v>0</v>
      </c>
      <c r="AQ1807" s="78" t="s">
        <v>4473</v>
      </c>
      <c r="AR1807" t="s">
        <v>179</v>
      </c>
      <c r="AS1807">
        <v>0</v>
      </c>
      <c r="AT1807">
        <v>0</v>
      </c>
    </row>
    <row r="1808" spans="1:46" x14ac:dyDescent="0.45">
      <c r="A1808" s="62" t="s">
        <v>422</v>
      </c>
      <c r="B1808" s="62" t="s">
        <v>242</v>
      </c>
      <c r="C1808" s="63"/>
      <c r="D1808" s="64"/>
      <c r="E1808" s="65"/>
      <c r="F1808" s="66"/>
      <c r="G1808" s="63"/>
      <c r="H1808" s="67"/>
      <c r="I1808" s="68"/>
      <c r="J1808" s="68"/>
      <c r="K1808" s="32"/>
      <c r="L1808" s="75"/>
      <c r="M1808" s="75"/>
      <c r="N1808" s="70"/>
      <c r="O1808" t="s">
        <v>1569</v>
      </c>
      <c r="P1808" s="76">
        <v>44958.711574074077</v>
      </c>
      <c r="Q1808" t="s">
        <v>1693</v>
      </c>
      <c r="V1808" s="77" t="str">
        <f>HYPERLINK("https://pbs.twimg.com/profile_images/1330270394180317187/iflEzmiq_normal.jpg")</f>
        <v>https://pbs.twimg.com/profile_images/1330270394180317187/iflEzmiq_normal.jpg</v>
      </c>
      <c r="W1808" s="76">
        <v>44958.711574074077</v>
      </c>
      <c r="X1808" s="80">
        <v>44958</v>
      </c>
      <c r="Y1808" s="78" t="s">
        <v>2651</v>
      </c>
      <c r="Z1808" s="77" t="str">
        <f>HYPERLINK("https://twitter.com/mcsmiler18/status/1620830502839279616")</f>
        <v>https://twitter.com/mcsmiler18/status/1620830502839279616</v>
      </c>
      <c r="AC1808" s="78" t="s">
        <v>3668</v>
      </c>
      <c r="AE1808" t="b">
        <v>0</v>
      </c>
      <c r="AF1808">
        <v>0</v>
      </c>
      <c r="AG1808" s="78" t="s">
        <v>4640</v>
      </c>
      <c r="AH1808" t="b">
        <v>0</v>
      </c>
      <c r="AI1808" t="s">
        <v>4829</v>
      </c>
      <c r="AK1808" s="78" t="s">
        <v>4640</v>
      </c>
      <c r="AL1808" t="b">
        <v>0</v>
      </c>
      <c r="AM1808">
        <v>162</v>
      </c>
      <c r="AN1808" s="78" t="s">
        <v>4473</v>
      </c>
      <c r="AO1808" s="78" t="s">
        <v>4849</v>
      </c>
      <c r="AP1808" t="b">
        <v>0</v>
      </c>
      <c r="AQ1808" s="78" t="s">
        <v>4473</v>
      </c>
      <c r="AR1808" t="s">
        <v>179</v>
      </c>
      <c r="AS1808">
        <v>0</v>
      </c>
      <c r="AT1808">
        <v>0</v>
      </c>
    </row>
    <row r="1809" spans="1:54" x14ac:dyDescent="0.45">
      <c r="A1809" s="62" t="s">
        <v>424</v>
      </c>
      <c r="B1809" s="62" t="s">
        <v>242</v>
      </c>
      <c r="C1809" s="63"/>
      <c r="D1809" s="64"/>
      <c r="E1809" s="65"/>
      <c r="F1809" s="66"/>
      <c r="G1809" s="63"/>
      <c r="H1809" s="67"/>
      <c r="I1809" s="68"/>
      <c r="J1809" s="68"/>
      <c r="K1809" s="32"/>
      <c r="L1809" s="75"/>
      <c r="M1809" s="75"/>
      <c r="N1809" s="70"/>
      <c r="O1809" t="s">
        <v>1568</v>
      </c>
      <c r="P1809" s="76">
        <v>44958.711782407408</v>
      </c>
      <c r="Q1809" t="s">
        <v>1741</v>
      </c>
      <c r="V1809" s="77" t="str">
        <f>HYPERLINK("https://pbs.twimg.com/profile_images/1529971709197041665/R9ss8TGk_normal.jpg")</f>
        <v>https://pbs.twimg.com/profile_images/1529971709197041665/R9ss8TGk_normal.jpg</v>
      </c>
      <c r="W1809" s="76">
        <v>44958.711782407408</v>
      </c>
      <c r="X1809" s="80">
        <v>44958</v>
      </c>
      <c r="Y1809" s="78" t="s">
        <v>2653</v>
      </c>
      <c r="Z1809" s="77" t="str">
        <f>HYPERLINK("https://twitter.com/and_there_i_go/status/1620830581847379969")</f>
        <v>https://twitter.com/and_there_i_go/status/1620830581847379969</v>
      </c>
      <c r="AC1809" s="78" t="s">
        <v>3671</v>
      </c>
      <c r="AE1809" t="b">
        <v>0</v>
      </c>
      <c r="AF1809">
        <v>0</v>
      </c>
      <c r="AG1809" s="78" t="s">
        <v>4640</v>
      </c>
      <c r="AH1809" t="b">
        <v>0</v>
      </c>
      <c r="AI1809" t="s">
        <v>4829</v>
      </c>
      <c r="AK1809" s="78" t="s">
        <v>4640</v>
      </c>
      <c r="AL1809" t="b">
        <v>0</v>
      </c>
      <c r="AM1809">
        <v>0</v>
      </c>
      <c r="AN1809" s="78" t="s">
        <v>4640</v>
      </c>
      <c r="AO1809" s="78" t="s">
        <v>4849</v>
      </c>
      <c r="AP1809" t="b">
        <v>0</v>
      </c>
      <c r="AQ1809" s="78" t="s">
        <v>3671</v>
      </c>
      <c r="AR1809" t="s">
        <v>179</v>
      </c>
      <c r="AS1809">
        <v>0</v>
      </c>
      <c r="AT1809">
        <v>0</v>
      </c>
    </row>
    <row r="1810" spans="1:54" x14ac:dyDescent="0.45">
      <c r="A1810" s="62" t="s">
        <v>425</v>
      </c>
      <c r="B1810" s="62" t="s">
        <v>1230</v>
      </c>
      <c r="C1810" s="63"/>
      <c r="D1810" s="64"/>
      <c r="E1810" s="65"/>
      <c r="F1810" s="66"/>
      <c r="G1810" s="63"/>
      <c r="H1810" s="67"/>
      <c r="I1810" s="68"/>
      <c r="J1810" s="68"/>
      <c r="K1810" s="32"/>
      <c r="L1810" s="75"/>
      <c r="M1810" s="75"/>
      <c r="N1810" s="70"/>
      <c r="O1810" t="s">
        <v>1570</v>
      </c>
      <c r="P1810" s="76">
        <v>44958.71197916667</v>
      </c>
      <c r="Q1810" t="s">
        <v>1693</v>
      </c>
      <c r="V1810" s="77" t="str">
        <f>HYPERLINK("https://pbs.twimg.com/profile_images/1500953414821457929/KUDEBr--_normal.jpg")</f>
        <v>https://pbs.twimg.com/profile_images/1500953414821457929/KUDEBr--_normal.jpg</v>
      </c>
      <c r="W1810" s="76">
        <v>44958.71197916667</v>
      </c>
      <c r="X1810" s="80">
        <v>44958</v>
      </c>
      <c r="Y1810" s="78" t="s">
        <v>2654</v>
      </c>
      <c r="Z1810" s="77" t="str">
        <f>HYPERLINK("https://twitter.com/acopensxl/status/1620830652466888705")</f>
        <v>https://twitter.com/acopensxl/status/1620830652466888705</v>
      </c>
      <c r="AC1810" s="78" t="s">
        <v>3672</v>
      </c>
      <c r="AE1810" t="b">
        <v>0</v>
      </c>
      <c r="AF1810">
        <v>0</v>
      </c>
      <c r="AG1810" s="78" t="s">
        <v>4640</v>
      </c>
      <c r="AH1810" t="b">
        <v>0</v>
      </c>
      <c r="AI1810" t="s">
        <v>4829</v>
      </c>
      <c r="AK1810" s="78" t="s">
        <v>4640</v>
      </c>
      <c r="AL1810" t="b">
        <v>0</v>
      </c>
      <c r="AM1810">
        <v>162</v>
      </c>
      <c r="AN1810" s="78" t="s">
        <v>4473</v>
      </c>
      <c r="AO1810" s="78" t="s">
        <v>4851</v>
      </c>
      <c r="AP1810" t="b">
        <v>0</v>
      </c>
      <c r="AQ1810" s="78" t="s">
        <v>4473</v>
      </c>
      <c r="AR1810" t="s">
        <v>179</v>
      </c>
      <c r="AS1810">
        <v>0</v>
      </c>
      <c r="AT1810">
        <v>0</v>
      </c>
    </row>
    <row r="1811" spans="1:54" x14ac:dyDescent="0.45">
      <c r="A1811" s="62" t="s">
        <v>425</v>
      </c>
      <c r="B1811" s="62" t="s">
        <v>242</v>
      </c>
      <c r="C1811" s="63"/>
      <c r="D1811" s="64"/>
      <c r="E1811" s="65"/>
      <c r="F1811" s="66"/>
      <c r="G1811" s="63"/>
      <c r="H1811" s="67"/>
      <c r="I1811" s="68"/>
      <c r="J1811" s="68"/>
      <c r="K1811" s="32"/>
      <c r="L1811" s="75"/>
      <c r="M1811" s="75"/>
      <c r="N1811" s="70"/>
      <c r="O1811" t="s">
        <v>1569</v>
      </c>
      <c r="P1811" s="76">
        <v>44958.71197916667</v>
      </c>
      <c r="Q1811" t="s">
        <v>1693</v>
      </c>
      <c r="V1811" s="77" t="str">
        <f>HYPERLINK("https://pbs.twimg.com/profile_images/1500953414821457929/KUDEBr--_normal.jpg")</f>
        <v>https://pbs.twimg.com/profile_images/1500953414821457929/KUDEBr--_normal.jpg</v>
      </c>
      <c r="W1811" s="76">
        <v>44958.71197916667</v>
      </c>
      <c r="X1811" s="80">
        <v>44958</v>
      </c>
      <c r="Y1811" s="78" t="s">
        <v>2654</v>
      </c>
      <c r="Z1811" s="77" t="str">
        <f>HYPERLINK("https://twitter.com/acopensxl/status/1620830652466888705")</f>
        <v>https://twitter.com/acopensxl/status/1620830652466888705</v>
      </c>
      <c r="AC1811" s="78" t="s">
        <v>3672</v>
      </c>
      <c r="AE1811" t="b">
        <v>0</v>
      </c>
      <c r="AF1811">
        <v>0</v>
      </c>
      <c r="AG1811" s="78" t="s">
        <v>4640</v>
      </c>
      <c r="AH1811" t="b">
        <v>0</v>
      </c>
      <c r="AI1811" t="s">
        <v>4829</v>
      </c>
      <c r="AK1811" s="78" t="s">
        <v>4640</v>
      </c>
      <c r="AL1811" t="b">
        <v>0</v>
      </c>
      <c r="AM1811">
        <v>162</v>
      </c>
      <c r="AN1811" s="78" t="s">
        <v>4473</v>
      </c>
      <c r="AO1811" s="78" t="s">
        <v>4851</v>
      </c>
      <c r="AP1811" t="b">
        <v>0</v>
      </c>
      <c r="AQ1811" s="78" t="s">
        <v>4473</v>
      </c>
      <c r="AR1811" t="s">
        <v>179</v>
      </c>
      <c r="AS1811">
        <v>0</v>
      </c>
      <c r="AT1811">
        <v>0</v>
      </c>
    </row>
    <row r="1812" spans="1:54" x14ac:dyDescent="0.45">
      <c r="A1812" s="62" t="s">
        <v>426</v>
      </c>
      <c r="B1812" s="62" t="s">
        <v>1230</v>
      </c>
      <c r="C1812" s="63"/>
      <c r="D1812" s="64"/>
      <c r="E1812" s="65"/>
      <c r="F1812" s="66"/>
      <c r="G1812" s="63"/>
      <c r="H1812" s="67"/>
      <c r="I1812" s="68"/>
      <c r="J1812" s="68"/>
      <c r="K1812" s="32"/>
      <c r="L1812" s="75"/>
      <c r="M1812" s="75"/>
      <c r="N1812" s="70"/>
      <c r="O1812" t="s">
        <v>1570</v>
      </c>
      <c r="P1812" s="76">
        <v>44958.713645833333</v>
      </c>
      <c r="Q1812" t="s">
        <v>1693</v>
      </c>
      <c r="V1812" s="77" t="str">
        <f>HYPERLINK("https://pbs.twimg.com/profile_images/1567907938173620225/8s3j-3jF_normal.jpg")</f>
        <v>https://pbs.twimg.com/profile_images/1567907938173620225/8s3j-3jF_normal.jpg</v>
      </c>
      <c r="W1812" s="76">
        <v>44958.713645833333</v>
      </c>
      <c r="X1812" s="80">
        <v>44958</v>
      </c>
      <c r="Y1812" s="78" t="s">
        <v>2655</v>
      </c>
      <c r="Z1812" s="77" t="str">
        <f>HYPERLINK("https://twitter.com/doc_himani12/status/1620831253921685505")</f>
        <v>https://twitter.com/doc_himani12/status/1620831253921685505</v>
      </c>
      <c r="AC1812" s="78" t="s">
        <v>3673</v>
      </c>
      <c r="AE1812" t="b">
        <v>0</v>
      </c>
      <c r="AF1812">
        <v>0</v>
      </c>
      <c r="AG1812" s="78" t="s">
        <v>4640</v>
      </c>
      <c r="AH1812" t="b">
        <v>0</v>
      </c>
      <c r="AI1812" t="s">
        <v>4829</v>
      </c>
      <c r="AK1812" s="78" t="s">
        <v>4640</v>
      </c>
      <c r="AL1812" t="b">
        <v>0</v>
      </c>
      <c r="AM1812">
        <v>162</v>
      </c>
      <c r="AN1812" s="78" t="s">
        <v>4473</v>
      </c>
      <c r="AO1812" s="78" t="s">
        <v>4850</v>
      </c>
      <c r="AP1812" t="b">
        <v>0</v>
      </c>
      <c r="AQ1812" s="78" t="s">
        <v>4473</v>
      </c>
      <c r="AR1812" t="s">
        <v>179</v>
      </c>
      <c r="AS1812">
        <v>0</v>
      </c>
      <c r="AT1812">
        <v>0</v>
      </c>
    </row>
    <row r="1813" spans="1:54" x14ac:dyDescent="0.45">
      <c r="A1813" s="62" t="s">
        <v>426</v>
      </c>
      <c r="B1813" s="62" t="s">
        <v>242</v>
      </c>
      <c r="C1813" s="63"/>
      <c r="D1813" s="64"/>
      <c r="E1813" s="65"/>
      <c r="F1813" s="66"/>
      <c r="G1813" s="63"/>
      <c r="H1813" s="67"/>
      <c r="I1813" s="68"/>
      <c r="J1813" s="68"/>
      <c r="K1813" s="32"/>
      <c r="L1813" s="75"/>
      <c r="M1813" s="75"/>
      <c r="N1813" s="70"/>
      <c r="O1813" t="s">
        <v>1569</v>
      </c>
      <c r="P1813" s="76">
        <v>44958.713645833333</v>
      </c>
      <c r="Q1813" t="s">
        <v>1693</v>
      </c>
      <c r="V1813" s="77" t="str">
        <f>HYPERLINK("https://pbs.twimg.com/profile_images/1567907938173620225/8s3j-3jF_normal.jpg")</f>
        <v>https://pbs.twimg.com/profile_images/1567907938173620225/8s3j-3jF_normal.jpg</v>
      </c>
      <c r="W1813" s="76">
        <v>44958.713645833333</v>
      </c>
      <c r="X1813" s="80">
        <v>44958</v>
      </c>
      <c r="Y1813" s="78" t="s">
        <v>2655</v>
      </c>
      <c r="Z1813" s="77" t="str">
        <f>HYPERLINK("https://twitter.com/doc_himani12/status/1620831253921685505")</f>
        <v>https://twitter.com/doc_himani12/status/1620831253921685505</v>
      </c>
      <c r="AC1813" s="78" t="s">
        <v>3673</v>
      </c>
      <c r="AE1813" t="b">
        <v>0</v>
      </c>
      <c r="AF1813">
        <v>0</v>
      </c>
      <c r="AG1813" s="78" t="s">
        <v>4640</v>
      </c>
      <c r="AH1813" t="b">
        <v>0</v>
      </c>
      <c r="AI1813" t="s">
        <v>4829</v>
      </c>
      <c r="AK1813" s="78" t="s">
        <v>4640</v>
      </c>
      <c r="AL1813" t="b">
        <v>0</v>
      </c>
      <c r="AM1813">
        <v>162</v>
      </c>
      <c r="AN1813" s="78" t="s">
        <v>4473</v>
      </c>
      <c r="AO1813" s="78" t="s">
        <v>4850</v>
      </c>
      <c r="AP1813" t="b">
        <v>0</v>
      </c>
      <c r="AQ1813" s="78" t="s">
        <v>4473</v>
      </c>
      <c r="AR1813" t="s">
        <v>179</v>
      </c>
      <c r="AS1813">
        <v>0</v>
      </c>
      <c r="AT1813">
        <v>0</v>
      </c>
    </row>
    <row r="1814" spans="1:54" x14ac:dyDescent="0.45">
      <c r="A1814" s="62" t="s">
        <v>427</v>
      </c>
      <c r="B1814" s="62" t="s">
        <v>1230</v>
      </c>
      <c r="C1814" s="63"/>
      <c r="D1814" s="64"/>
      <c r="E1814" s="65"/>
      <c r="F1814" s="66"/>
      <c r="G1814" s="63"/>
      <c r="H1814" s="67"/>
      <c r="I1814" s="68"/>
      <c r="J1814" s="68"/>
      <c r="K1814" s="32"/>
      <c r="L1814" s="75"/>
      <c r="M1814" s="75"/>
      <c r="N1814" s="70"/>
      <c r="O1814" t="s">
        <v>1570</v>
      </c>
      <c r="P1814" s="76">
        <v>44958.713842592595</v>
      </c>
      <c r="Q1814" t="s">
        <v>1693</v>
      </c>
      <c r="V1814" s="77" t="str">
        <f>HYPERLINK("https://pbs.twimg.com/profile_images/1526018347359514625/pHc89YPH_normal.jpg")</f>
        <v>https://pbs.twimg.com/profile_images/1526018347359514625/pHc89YPH_normal.jpg</v>
      </c>
      <c r="W1814" s="76">
        <v>44958.713842592595</v>
      </c>
      <c r="X1814" s="80">
        <v>44958</v>
      </c>
      <c r="Y1814" s="78" t="s">
        <v>2656</v>
      </c>
      <c r="Z1814" s="77" t="str">
        <f>HYPERLINK("https://twitter.com/smilervoticat/status/1620831326848053250")</f>
        <v>https://twitter.com/smilervoticat/status/1620831326848053250</v>
      </c>
      <c r="AC1814" s="78" t="s">
        <v>3674</v>
      </c>
      <c r="AE1814" t="b">
        <v>0</v>
      </c>
      <c r="AF1814">
        <v>0</v>
      </c>
      <c r="AG1814" s="78" t="s">
        <v>4640</v>
      </c>
      <c r="AH1814" t="b">
        <v>0</v>
      </c>
      <c r="AI1814" t="s">
        <v>4829</v>
      </c>
      <c r="AK1814" s="78" t="s">
        <v>4640</v>
      </c>
      <c r="AL1814" t="b">
        <v>0</v>
      </c>
      <c r="AM1814">
        <v>162</v>
      </c>
      <c r="AN1814" s="78" t="s">
        <v>4473</v>
      </c>
      <c r="AO1814" s="78" t="s">
        <v>4849</v>
      </c>
      <c r="AP1814" t="b">
        <v>0</v>
      </c>
      <c r="AQ1814" s="78" t="s">
        <v>4473</v>
      </c>
      <c r="AR1814" t="s">
        <v>179</v>
      </c>
      <c r="AS1814">
        <v>0</v>
      </c>
      <c r="AT1814">
        <v>0</v>
      </c>
    </row>
    <row r="1815" spans="1:54" x14ac:dyDescent="0.45">
      <c r="A1815" s="62" t="s">
        <v>427</v>
      </c>
      <c r="B1815" s="62" t="s">
        <v>242</v>
      </c>
      <c r="C1815" s="63"/>
      <c r="D1815" s="64"/>
      <c r="E1815" s="65"/>
      <c r="F1815" s="66"/>
      <c r="G1815" s="63"/>
      <c r="H1815" s="67"/>
      <c r="I1815" s="68"/>
      <c r="J1815" s="68"/>
      <c r="K1815" s="32"/>
      <c r="L1815" s="75"/>
      <c r="M1815" s="75"/>
      <c r="N1815" s="70"/>
      <c r="O1815" t="s">
        <v>1569</v>
      </c>
      <c r="P1815" s="76">
        <v>44958.713842592595</v>
      </c>
      <c r="Q1815" t="s">
        <v>1693</v>
      </c>
      <c r="V1815" s="77" t="str">
        <f>HYPERLINK("https://pbs.twimg.com/profile_images/1526018347359514625/pHc89YPH_normal.jpg")</f>
        <v>https://pbs.twimg.com/profile_images/1526018347359514625/pHc89YPH_normal.jpg</v>
      </c>
      <c r="W1815" s="76">
        <v>44958.713842592595</v>
      </c>
      <c r="X1815" s="80">
        <v>44958</v>
      </c>
      <c r="Y1815" s="78" t="s">
        <v>2656</v>
      </c>
      <c r="Z1815" s="77" t="str">
        <f>HYPERLINK("https://twitter.com/smilervoticat/status/1620831326848053250")</f>
        <v>https://twitter.com/smilervoticat/status/1620831326848053250</v>
      </c>
      <c r="AC1815" s="78" t="s">
        <v>3674</v>
      </c>
      <c r="AE1815" t="b">
        <v>0</v>
      </c>
      <c r="AF1815">
        <v>0</v>
      </c>
      <c r="AG1815" s="78" t="s">
        <v>4640</v>
      </c>
      <c r="AH1815" t="b">
        <v>0</v>
      </c>
      <c r="AI1815" t="s">
        <v>4829</v>
      </c>
      <c r="AK1815" s="78" t="s">
        <v>4640</v>
      </c>
      <c r="AL1815" t="b">
        <v>0</v>
      </c>
      <c r="AM1815">
        <v>162</v>
      </c>
      <c r="AN1815" s="78" t="s">
        <v>4473</v>
      </c>
      <c r="AO1815" s="78" t="s">
        <v>4849</v>
      </c>
      <c r="AP1815" t="b">
        <v>0</v>
      </c>
      <c r="AQ1815" s="78" t="s">
        <v>4473</v>
      </c>
      <c r="AR1815" t="s">
        <v>179</v>
      </c>
      <c r="AS1815">
        <v>0</v>
      </c>
      <c r="AT1815">
        <v>0</v>
      </c>
    </row>
    <row r="1816" spans="1:54" x14ac:dyDescent="0.45">
      <c r="A1816" s="62" t="s">
        <v>428</v>
      </c>
      <c r="B1816" s="62" t="s">
        <v>1111</v>
      </c>
      <c r="C1816" s="63"/>
      <c r="D1816" s="64"/>
      <c r="E1816" s="65"/>
      <c r="F1816" s="66"/>
      <c r="G1816" s="63"/>
      <c r="H1816" s="67"/>
      <c r="I1816" s="68"/>
      <c r="J1816" s="68"/>
      <c r="K1816" s="32"/>
      <c r="L1816" s="75"/>
      <c r="M1816" s="75"/>
      <c r="N1816" s="70"/>
      <c r="O1816" t="s">
        <v>1568</v>
      </c>
      <c r="P1816" s="76">
        <v>44958.713958333334</v>
      </c>
      <c r="Q1816" t="s">
        <v>1742</v>
      </c>
      <c r="V1816" s="77" t="str">
        <f>HYPERLINK("https://pbs.twimg.com/profile_images/1324874315964305411/udvTw7tk_normal.jpg")</f>
        <v>https://pbs.twimg.com/profile_images/1324874315964305411/udvTw7tk_normal.jpg</v>
      </c>
      <c r="W1816" s="76">
        <v>44958.713958333334</v>
      </c>
      <c r="X1816" s="80">
        <v>44958</v>
      </c>
      <c r="Y1816" s="78" t="s">
        <v>2657</v>
      </c>
      <c r="Z1816" s="77" t="str">
        <f>HYPERLINK("https://twitter.com/_rachelle_bee/status/1620831368753315840")</f>
        <v>https://twitter.com/_rachelle_bee/status/1620831368753315840</v>
      </c>
      <c r="AC1816" s="78" t="s">
        <v>3675</v>
      </c>
      <c r="AE1816" t="b">
        <v>0</v>
      </c>
      <c r="AF1816">
        <v>0</v>
      </c>
      <c r="AG1816" s="78" t="s">
        <v>4691</v>
      </c>
      <c r="AH1816" t="b">
        <v>0</v>
      </c>
      <c r="AI1816" t="s">
        <v>4829</v>
      </c>
      <c r="AK1816" s="78" t="s">
        <v>4640</v>
      </c>
      <c r="AL1816" t="b">
        <v>0</v>
      </c>
      <c r="AM1816">
        <v>0</v>
      </c>
      <c r="AN1816" s="78" t="s">
        <v>4640</v>
      </c>
      <c r="AO1816" s="78" t="s">
        <v>4849</v>
      </c>
      <c r="AP1816" t="b">
        <v>0</v>
      </c>
      <c r="AQ1816" s="78" t="s">
        <v>3675</v>
      </c>
      <c r="AR1816" t="s">
        <v>179</v>
      </c>
      <c r="AS1816">
        <v>0</v>
      </c>
      <c r="AT1816">
        <v>0</v>
      </c>
      <c r="AU1816" t="s">
        <v>4882</v>
      </c>
      <c r="AV1816" t="s">
        <v>4899</v>
      </c>
      <c r="AW1816" t="s">
        <v>4901</v>
      </c>
      <c r="AX1816" t="s">
        <v>4911</v>
      </c>
      <c r="AY1816" t="s">
        <v>4936</v>
      </c>
      <c r="AZ1816" t="s">
        <v>4961</v>
      </c>
      <c r="BA1816" t="s">
        <v>4975</v>
      </c>
      <c r="BB1816" s="77" t="str">
        <f>HYPERLINK("https://api.twitter.com/1.1/geo/id/6241025d720c4971.json")</f>
        <v>https://api.twitter.com/1.1/geo/id/6241025d720c4971.json</v>
      </c>
    </row>
    <row r="1817" spans="1:54" x14ac:dyDescent="0.45">
      <c r="A1817" s="62" t="s">
        <v>428</v>
      </c>
      <c r="B1817" s="62" t="s">
        <v>1203</v>
      </c>
      <c r="C1817" s="63"/>
      <c r="D1817" s="64"/>
      <c r="E1817" s="65"/>
      <c r="F1817" s="66"/>
      <c r="G1817" s="63"/>
      <c r="H1817" s="67"/>
      <c r="I1817" s="68"/>
      <c r="J1817" s="68"/>
      <c r="K1817" s="32"/>
      <c r="L1817" s="75"/>
      <c r="M1817" s="75"/>
      <c r="N1817" s="70"/>
      <c r="O1817" t="s">
        <v>1568</v>
      </c>
      <c r="P1817" s="76">
        <v>44958.713958333334</v>
      </c>
      <c r="Q1817" t="s">
        <v>1742</v>
      </c>
      <c r="V1817" s="77" t="str">
        <f>HYPERLINK("https://pbs.twimg.com/profile_images/1324874315964305411/udvTw7tk_normal.jpg")</f>
        <v>https://pbs.twimg.com/profile_images/1324874315964305411/udvTw7tk_normal.jpg</v>
      </c>
      <c r="W1817" s="76">
        <v>44958.713958333334</v>
      </c>
      <c r="X1817" s="80">
        <v>44958</v>
      </c>
      <c r="Y1817" s="78" t="s">
        <v>2657</v>
      </c>
      <c r="Z1817" s="77" t="str">
        <f>HYPERLINK("https://twitter.com/_rachelle_bee/status/1620831368753315840")</f>
        <v>https://twitter.com/_rachelle_bee/status/1620831368753315840</v>
      </c>
      <c r="AC1817" s="78" t="s">
        <v>3675</v>
      </c>
      <c r="AE1817" t="b">
        <v>0</v>
      </c>
      <c r="AF1817">
        <v>0</v>
      </c>
      <c r="AG1817" s="78" t="s">
        <v>4691</v>
      </c>
      <c r="AH1817" t="b">
        <v>0</v>
      </c>
      <c r="AI1817" t="s">
        <v>4829</v>
      </c>
      <c r="AK1817" s="78" t="s">
        <v>4640</v>
      </c>
      <c r="AL1817" t="b">
        <v>0</v>
      </c>
      <c r="AM1817">
        <v>0</v>
      </c>
      <c r="AN1817" s="78" t="s">
        <v>4640</v>
      </c>
      <c r="AO1817" s="78" t="s">
        <v>4849</v>
      </c>
      <c r="AP1817" t="b">
        <v>0</v>
      </c>
      <c r="AQ1817" s="78" t="s">
        <v>3675</v>
      </c>
      <c r="AR1817" t="s">
        <v>179</v>
      </c>
      <c r="AS1817">
        <v>0</v>
      </c>
      <c r="AT1817">
        <v>0</v>
      </c>
      <c r="AU1817" t="s">
        <v>4882</v>
      </c>
      <c r="AV1817" t="s">
        <v>4899</v>
      </c>
      <c r="AW1817" t="s">
        <v>4901</v>
      </c>
      <c r="AX1817" t="s">
        <v>4911</v>
      </c>
      <c r="AY1817" t="s">
        <v>4936</v>
      </c>
      <c r="AZ1817" t="s">
        <v>4961</v>
      </c>
      <c r="BA1817" t="s">
        <v>4975</v>
      </c>
      <c r="BB1817" s="77" t="str">
        <f>HYPERLINK("https://api.twitter.com/1.1/geo/id/6241025d720c4971.json")</f>
        <v>https://api.twitter.com/1.1/geo/id/6241025d720c4971.json</v>
      </c>
    </row>
    <row r="1818" spans="1:54" x14ac:dyDescent="0.45">
      <c r="A1818" s="62" t="s">
        <v>428</v>
      </c>
      <c r="B1818" s="62" t="s">
        <v>242</v>
      </c>
      <c r="C1818" s="63"/>
      <c r="D1818" s="64"/>
      <c r="E1818" s="65"/>
      <c r="F1818" s="66"/>
      <c r="G1818" s="63"/>
      <c r="H1818" s="67"/>
      <c r="I1818" s="68"/>
      <c r="J1818" s="68"/>
      <c r="K1818" s="32"/>
      <c r="L1818" s="75"/>
      <c r="M1818" s="75"/>
      <c r="N1818" s="70"/>
      <c r="O1818" t="s">
        <v>1568</v>
      </c>
      <c r="P1818" s="76">
        <v>44958.713958333334</v>
      </c>
      <c r="Q1818" t="s">
        <v>1742</v>
      </c>
      <c r="V1818" s="77" t="str">
        <f>HYPERLINK("https://pbs.twimg.com/profile_images/1324874315964305411/udvTw7tk_normal.jpg")</f>
        <v>https://pbs.twimg.com/profile_images/1324874315964305411/udvTw7tk_normal.jpg</v>
      </c>
      <c r="W1818" s="76">
        <v>44958.713958333334</v>
      </c>
      <c r="X1818" s="80">
        <v>44958</v>
      </c>
      <c r="Y1818" s="78" t="s">
        <v>2657</v>
      </c>
      <c r="Z1818" s="77" t="str">
        <f>HYPERLINK("https://twitter.com/_rachelle_bee/status/1620831368753315840")</f>
        <v>https://twitter.com/_rachelle_bee/status/1620831368753315840</v>
      </c>
      <c r="AC1818" s="78" t="s">
        <v>3675</v>
      </c>
      <c r="AE1818" t="b">
        <v>0</v>
      </c>
      <c r="AF1818">
        <v>0</v>
      </c>
      <c r="AG1818" s="78" t="s">
        <v>4691</v>
      </c>
      <c r="AH1818" t="b">
        <v>0</v>
      </c>
      <c r="AI1818" t="s">
        <v>4829</v>
      </c>
      <c r="AK1818" s="78" t="s">
        <v>4640</v>
      </c>
      <c r="AL1818" t="b">
        <v>0</v>
      </c>
      <c r="AM1818">
        <v>0</v>
      </c>
      <c r="AN1818" s="78" t="s">
        <v>4640</v>
      </c>
      <c r="AO1818" s="78" t="s">
        <v>4849</v>
      </c>
      <c r="AP1818" t="b">
        <v>0</v>
      </c>
      <c r="AQ1818" s="78" t="s">
        <v>3675</v>
      </c>
      <c r="AR1818" t="s">
        <v>179</v>
      </c>
      <c r="AS1818">
        <v>0</v>
      </c>
      <c r="AT1818">
        <v>0</v>
      </c>
      <c r="AU1818" t="s">
        <v>4882</v>
      </c>
      <c r="AV1818" t="s">
        <v>4899</v>
      </c>
      <c r="AW1818" t="s">
        <v>4901</v>
      </c>
      <c r="AX1818" t="s">
        <v>4911</v>
      </c>
      <c r="AY1818" t="s">
        <v>4936</v>
      </c>
      <c r="AZ1818" t="s">
        <v>4961</v>
      </c>
      <c r="BA1818" t="s">
        <v>4975</v>
      </c>
      <c r="BB1818" s="77" t="str">
        <f>HYPERLINK("https://api.twitter.com/1.1/geo/id/6241025d720c4971.json")</f>
        <v>https://api.twitter.com/1.1/geo/id/6241025d720c4971.json</v>
      </c>
    </row>
    <row r="1819" spans="1:54" x14ac:dyDescent="0.45">
      <c r="A1819" s="62" t="s">
        <v>428</v>
      </c>
      <c r="B1819" s="62" t="s">
        <v>1205</v>
      </c>
      <c r="C1819" s="63"/>
      <c r="D1819" s="64"/>
      <c r="E1819" s="65"/>
      <c r="F1819" s="66"/>
      <c r="G1819" s="63"/>
      <c r="H1819" s="67"/>
      <c r="I1819" s="68"/>
      <c r="J1819" s="68"/>
      <c r="K1819" s="32"/>
      <c r="L1819" s="75"/>
      <c r="M1819" s="75"/>
      <c r="N1819" s="70"/>
      <c r="O1819" t="s">
        <v>1567</v>
      </c>
      <c r="P1819" s="76">
        <v>44958.713958333334</v>
      </c>
      <c r="Q1819" t="s">
        <v>1742</v>
      </c>
      <c r="V1819" s="77" t="str">
        <f>HYPERLINK("https://pbs.twimg.com/profile_images/1324874315964305411/udvTw7tk_normal.jpg")</f>
        <v>https://pbs.twimg.com/profile_images/1324874315964305411/udvTw7tk_normal.jpg</v>
      </c>
      <c r="W1819" s="76">
        <v>44958.713958333334</v>
      </c>
      <c r="X1819" s="80">
        <v>44958</v>
      </c>
      <c r="Y1819" s="78" t="s">
        <v>2657</v>
      </c>
      <c r="Z1819" s="77" t="str">
        <f>HYPERLINK("https://twitter.com/_rachelle_bee/status/1620831368753315840")</f>
        <v>https://twitter.com/_rachelle_bee/status/1620831368753315840</v>
      </c>
      <c r="AC1819" s="78" t="s">
        <v>3675</v>
      </c>
      <c r="AE1819" t="b">
        <v>0</v>
      </c>
      <c r="AF1819">
        <v>0</v>
      </c>
      <c r="AG1819" s="78" t="s">
        <v>4691</v>
      </c>
      <c r="AH1819" t="b">
        <v>0</v>
      </c>
      <c r="AI1819" t="s">
        <v>4829</v>
      </c>
      <c r="AK1819" s="78" t="s">
        <v>4640</v>
      </c>
      <c r="AL1819" t="b">
        <v>0</v>
      </c>
      <c r="AM1819">
        <v>0</v>
      </c>
      <c r="AN1819" s="78" t="s">
        <v>4640</v>
      </c>
      <c r="AO1819" s="78" t="s">
        <v>4849</v>
      </c>
      <c r="AP1819" t="b">
        <v>0</v>
      </c>
      <c r="AQ1819" s="78" t="s">
        <v>3675</v>
      </c>
      <c r="AR1819" t="s">
        <v>179</v>
      </c>
      <c r="AS1819">
        <v>0</v>
      </c>
      <c r="AT1819">
        <v>0</v>
      </c>
      <c r="AU1819" t="s">
        <v>4882</v>
      </c>
      <c r="AV1819" t="s">
        <v>4899</v>
      </c>
      <c r="AW1819" t="s">
        <v>4901</v>
      </c>
      <c r="AX1819" t="s">
        <v>4911</v>
      </c>
      <c r="AY1819" t="s">
        <v>4936</v>
      </c>
      <c r="AZ1819" t="s">
        <v>4961</v>
      </c>
      <c r="BA1819" t="s">
        <v>4975</v>
      </c>
      <c r="BB1819" s="77" t="str">
        <f>HYPERLINK("https://api.twitter.com/1.1/geo/id/6241025d720c4971.json")</f>
        <v>https://api.twitter.com/1.1/geo/id/6241025d720c4971.json</v>
      </c>
    </row>
    <row r="1820" spans="1:54" x14ac:dyDescent="0.45">
      <c r="A1820" s="62" t="s">
        <v>429</v>
      </c>
      <c r="B1820" s="62" t="s">
        <v>1230</v>
      </c>
      <c r="C1820" s="63"/>
      <c r="D1820" s="64"/>
      <c r="E1820" s="65"/>
      <c r="F1820" s="66"/>
      <c r="G1820" s="63"/>
      <c r="H1820" s="67"/>
      <c r="I1820" s="68"/>
      <c r="J1820" s="68"/>
      <c r="K1820" s="32"/>
      <c r="L1820" s="75"/>
      <c r="M1820" s="75"/>
      <c r="N1820" s="70"/>
      <c r="O1820" t="s">
        <v>1570</v>
      </c>
      <c r="P1820" s="76">
        <v>44958.713993055557</v>
      </c>
      <c r="Q1820" t="s">
        <v>1693</v>
      </c>
      <c r="V1820" s="77" t="str">
        <f>HYPERLINK("https://pbs.twimg.com/profile_images/1609972295950270465/189baXmy_normal.jpg")</f>
        <v>https://pbs.twimg.com/profile_images/1609972295950270465/189baXmy_normal.jpg</v>
      </c>
      <c r="W1820" s="76">
        <v>44958.713993055557</v>
      </c>
      <c r="X1820" s="80">
        <v>44958</v>
      </c>
      <c r="Y1820" s="78" t="s">
        <v>2658</v>
      </c>
      <c r="Z1820" s="77" t="str">
        <f>HYPERLINK("https://twitter.com/alejandr0cyrus/status/1620831382598713346")</f>
        <v>https://twitter.com/alejandr0cyrus/status/1620831382598713346</v>
      </c>
      <c r="AC1820" s="78" t="s">
        <v>3676</v>
      </c>
      <c r="AE1820" t="b">
        <v>0</v>
      </c>
      <c r="AF1820">
        <v>0</v>
      </c>
      <c r="AG1820" s="78" t="s">
        <v>4640</v>
      </c>
      <c r="AH1820" t="b">
        <v>0</v>
      </c>
      <c r="AI1820" t="s">
        <v>4829</v>
      </c>
      <c r="AK1820" s="78" t="s">
        <v>4640</v>
      </c>
      <c r="AL1820" t="b">
        <v>0</v>
      </c>
      <c r="AM1820">
        <v>162</v>
      </c>
      <c r="AN1820" s="78" t="s">
        <v>4473</v>
      </c>
      <c r="AO1820" s="78" t="s">
        <v>4849</v>
      </c>
      <c r="AP1820" t="b">
        <v>0</v>
      </c>
      <c r="AQ1820" s="78" t="s">
        <v>4473</v>
      </c>
      <c r="AR1820" t="s">
        <v>179</v>
      </c>
      <c r="AS1820">
        <v>0</v>
      </c>
      <c r="AT1820">
        <v>0</v>
      </c>
    </row>
    <row r="1821" spans="1:54" x14ac:dyDescent="0.45">
      <c r="A1821" s="62" t="s">
        <v>429</v>
      </c>
      <c r="B1821" s="62" t="s">
        <v>242</v>
      </c>
      <c r="C1821" s="63"/>
      <c r="D1821" s="64"/>
      <c r="E1821" s="65"/>
      <c r="F1821" s="66"/>
      <c r="G1821" s="63"/>
      <c r="H1821" s="67"/>
      <c r="I1821" s="68"/>
      <c r="J1821" s="68"/>
      <c r="K1821" s="32"/>
      <c r="L1821" s="75"/>
      <c r="M1821" s="75"/>
      <c r="N1821" s="70"/>
      <c r="O1821" t="s">
        <v>1569</v>
      </c>
      <c r="P1821" s="76">
        <v>44958.713993055557</v>
      </c>
      <c r="Q1821" t="s">
        <v>1693</v>
      </c>
      <c r="V1821" s="77" t="str">
        <f>HYPERLINK("https://pbs.twimg.com/profile_images/1609972295950270465/189baXmy_normal.jpg")</f>
        <v>https://pbs.twimg.com/profile_images/1609972295950270465/189baXmy_normal.jpg</v>
      </c>
      <c r="W1821" s="76">
        <v>44958.713993055557</v>
      </c>
      <c r="X1821" s="80">
        <v>44958</v>
      </c>
      <c r="Y1821" s="78" t="s">
        <v>2658</v>
      </c>
      <c r="Z1821" s="77" t="str">
        <f>HYPERLINK("https://twitter.com/alejandr0cyrus/status/1620831382598713346")</f>
        <v>https://twitter.com/alejandr0cyrus/status/1620831382598713346</v>
      </c>
      <c r="AC1821" s="78" t="s">
        <v>3676</v>
      </c>
      <c r="AE1821" t="b">
        <v>0</v>
      </c>
      <c r="AF1821">
        <v>0</v>
      </c>
      <c r="AG1821" s="78" t="s">
        <v>4640</v>
      </c>
      <c r="AH1821" t="b">
        <v>0</v>
      </c>
      <c r="AI1821" t="s">
        <v>4829</v>
      </c>
      <c r="AK1821" s="78" t="s">
        <v>4640</v>
      </c>
      <c r="AL1821" t="b">
        <v>0</v>
      </c>
      <c r="AM1821">
        <v>162</v>
      </c>
      <c r="AN1821" s="78" t="s">
        <v>4473</v>
      </c>
      <c r="AO1821" s="78" t="s">
        <v>4849</v>
      </c>
      <c r="AP1821" t="b">
        <v>0</v>
      </c>
      <c r="AQ1821" s="78" t="s">
        <v>4473</v>
      </c>
      <c r="AR1821" t="s">
        <v>179</v>
      </c>
      <c r="AS1821">
        <v>0</v>
      </c>
      <c r="AT1821">
        <v>0</v>
      </c>
    </row>
    <row r="1822" spans="1:54" x14ac:dyDescent="0.45">
      <c r="A1822" s="62" t="s">
        <v>430</v>
      </c>
      <c r="B1822" s="62" t="s">
        <v>1230</v>
      </c>
      <c r="C1822" s="63"/>
      <c r="D1822" s="64"/>
      <c r="E1822" s="65"/>
      <c r="F1822" s="66"/>
      <c r="G1822" s="63"/>
      <c r="H1822" s="67"/>
      <c r="I1822" s="68"/>
      <c r="J1822" s="68"/>
      <c r="K1822" s="32"/>
      <c r="L1822" s="75"/>
      <c r="M1822" s="75"/>
      <c r="N1822" s="70"/>
      <c r="O1822" t="s">
        <v>1570</v>
      </c>
      <c r="P1822" s="76">
        <v>44958.714074074072</v>
      </c>
      <c r="Q1822" t="s">
        <v>1693</v>
      </c>
      <c r="V1822" s="77" t="str">
        <f>HYPERLINK("https://pbs.twimg.com/profile_images/1136442121206976513/Riw_1NUW_normal.jpg")</f>
        <v>https://pbs.twimg.com/profile_images/1136442121206976513/Riw_1NUW_normal.jpg</v>
      </c>
      <c r="W1822" s="76">
        <v>44958.714074074072</v>
      </c>
      <c r="X1822" s="80">
        <v>44958</v>
      </c>
      <c r="Y1822" s="78" t="s">
        <v>2659</v>
      </c>
      <c r="Z1822" s="77" t="str">
        <f>HYPERLINK("https://twitter.com/smileytude/status/1620831410897682433")</f>
        <v>https://twitter.com/smileytude/status/1620831410897682433</v>
      </c>
      <c r="AC1822" s="78" t="s">
        <v>3677</v>
      </c>
      <c r="AE1822" t="b">
        <v>0</v>
      </c>
      <c r="AF1822">
        <v>0</v>
      </c>
      <c r="AG1822" s="78" t="s">
        <v>4640</v>
      </c>
      <c r="AH1822" t="b">
        <v>0</v>
      </c>
      <c r="AI1822" t="s">
        <v>4829</v>
      </c>
      <c r="AK1822" s="78" t="s">
        <v>4640</v>
      </c>
      <c r="AL1822" t="b">
        <v>0</v>
      </c>
      <c r="AM1822">
        <v>162</v>
      </c>
      <c r="AN1822" s="78" t="s">
        <v>4473</v>
      </c>
      <c r="AO1822" s="78" t="s">
        <v>4851</v>
      </c>
      <c r="AP1822" t="b">
        <v>0</v>
      </c>
      <c r="AQ1822" s="78" t="s">
        <v>4473</v>
      </c>
      <c r="AR1822" t="s">
        <v>179</v>
      </c>
      <c r="AS1822">
        <v>0</v>
      </c>
      <c r="AT1822">
        <v>0</v>
      </c>
    </row>
    <row r="1823" spans="1:54" x14ac:dyDescent="0.45">
      <c r="A1823" s="62" t="s">
        <v>430</v>
      </c>
      <c r="B1823" s="62" t="s">
        <v>242</v>
      </c>
      <c r="C1823" s="63"/>
      <c r="D1823" s="64"/>
      <c r="E1823" s="65"/>
      <c r="F1823" s="66"/>
      <c r="G1823" s="63"/>
      <c r="H1823" s="67"/>
      <c r="I1823" s="68"/>
      <c r="J1823" s="68"/>
      <c r="K1823" s="32"/>
      <c r="L1823" s="75"/>
      <c r="M1823" s="75"/>
      <c r="N1823" s="70"/>
      <c r="O1823" t="s">
        <v>1569</v>
      </c>
      <c r="P1823" s="76">
        <v>44958.714074074072</v>
      </c>
      <c r="Q1823" t="s">
        <v>1693</v>
      </c>
      <c r="V1823" s="77" t="str">
        <f>HYPERLINK("https://pbs.twimg.com/profile_images/1136442121206976513/Riw_1NUW_normal.jpg")</f>
        <v>https://pbs.twimg.com/profile_images/1136442121206976513/Riw_1NUW_normal.jpg</v>
      </c>
      <c r="W1823" s="76">
        <v>44958.714074074072</v>
      </c>
      <c r="X1823" s="80">
        <v>44958</v>
      </c>
      <c r="Y1823" s="78" t="s">
        <v>2659</v>
      </c>
      <c r="Z1823" s="77" t="str">
        <f>HYPERLINK("https://twitter.com/smileytude/status/1620831410897682433")</f>
        <v>https://twitter.com/smileytude/status/1620831410897682433</v>
      </c>
      <c r="AC1823" s="78" t="s">
        <v>3677</v>
      </c>
      <c r="AE1823" t="b">
        <v>0</v>
      </c>
      <c r="AF1823">
        <v>0</v>
      </c>
      <c r="AG1823" s="78" t="s">
        <v>4640</v>
      </c>
      <c r="AH1823" t="b">
        <v>0</v>
      </c>
      <c r="AI1823" t="s">
        <v>4829</v>
      </c>
      <c r="AK1823" s="78" t="s">
        <v>4640</v>
      </c>
      <c r="AL1823" t="b">
        <v>0</v>
      </c>
      <c r="AM1823">
        <v>162</v>
      </c>
      <c r="AN1823" s="78" t="s">
        <v>4473</v>
      </c>
      <c r="AO1823" s="78" t="s">
        <v>4851</v>
      </c>
      <c r="AP1823" t="b">
        <v>0</v>
      </c>
      <c r="AQ1823" s="78" t="s">
        <v>4473</v>
      </c>
      <c r="AR1823" t="s">
        <v>179</v>
      </c>
      <c r="AS1823">
        <v>0</v>
      </c>
      <c r="AT1823">
        <v>0</v>
      </c>
    </row>
    <row r="1824" spans="1:54" x14ac:dyDescent="0.45">
      <c r="A1824" s="62" t="s">
        <v>432</v>
      </c>
      <c r="B1824" s="62" t="s">
        <v>1230</v>
      </c>
      <c r="C1824" s="63"/>
      <c r="D1824" s="64"/>
      <c r="E1824" s="65"/>
      <c r="F1824" s="66"/>
      <c r="G1824" s="63"/>
      <c r="H1824" s="67"/>
      <c r="I1824" s="68"/>
      <c r="J1824" s="68"/>
      <c r="K1824" s="32"/>
      <c r="L1824" s="75"/>
      <c r="M1824" s="75"/>
      <c r="N1824" s="70"/>
      <c r="O1824" t="s">
        <v>1570</v>
      </c>
      <c r="P1824" s="76">
        <v>44958.714814814812</v>
      </c>
      <c r="Q1824" t="s">
        <v>1693</v>
      </c>
      <c r="V1824" s="77" t="str">
        <f>HYPERLINK("https://pbs.twimg.com/profile_images/1613607050180689945/PhNGm-V1_normal.jpg")</f>
        <v>https://pbs.twimg.com/profile_images/1613607050180689945/PhNGm-V1_normal.jpg</v>
      </c>
      <c r="W1824" s="76">
        <v>44958.714814814812</v>
      </c>
      <c r="X1824" s="80">
        <v>44958</v>
      </c>
      <c r="Y1824" s="78" t="s">
        <v>2661</v>
      </c>
      <c r="Z1824" s="77" t="str">
        <f>HYPERLINK("https://twitter.com/mileyworldca/status/1620831678464925696")</f>
        <v>https://twitter.com/mileyworldca/status/1620831678464925696</v>
      </c>
      <c r="AC1824" s="78" t="s">
        <v>3679</v>
      </c>
      <c r="AE1824" t="b">
        <v>0</v>
      </c>
      <c r="AF1824">
        <v>0</v>
      </c>
      <c r="AG1824" s="78" t="s">
        <v>4640</v>
      </c>
      <c r="AH1824" t="b">
        <v>0</v>
      </c>
      <c r="AI1824" t="s">
        <v>4829</v>
      </c>
      <c r="AK1824" s="78" t="s">
        <v>4640</v>
      </c>
      <c r="AL1824" t="b">
        <v>0</v>
      </c>
      <c r="AM1824">
        <v>162</v>
      </c>
      <c r="AN1824" s="78" t="s">
        <v>4473</v>
      </c>
      <c r="AO1824" s="78" t="s">
        <v>4849</v>
      </c>
      <c r="AP1824" t="b">
        <v>0</v>
      </c>
      <c r="AQ1824" s="78" t="s">
        <v>4473</v>
      </c>
      <c r="AR1824" t="s">
        <v>179</v>
      </c>
      <c r="AS1824">
        <v>0</v>
      </c>
      <c r="AT1824">
        <v>0</v>
      </c>
    </row>
    <row r="1825" spans="1:46" x14ac:dyDescent="0.45">
      <c r="A1825" s="62" t="s">
        <v>432</v>
      </c>
      <c r="B1825" s="62" t="s">
        <v>242</v>
      </c>
      <c r="C1825" s="63"/>
      <c r="D1825" s="64"/>
      <c r="E1825" s="65"/>
      <c r="F1825" s="66"/>
      <c r="G1825" s="63"/>
      <c r="H1825" s="67"/>
      <c r="I1825" s="68"/>
      <c r="J1825" s="68"/>
      <c r="K1825" s="32"/>
      <c r="L1825" s="75"/>
      <c r="M1825" s="75"/>
      <c r="N1825" s="70"/>
      <c r="O1825" t="s">
        <v>1569</v>
      </c>
      <c r="P1825" s="76">
        <v>44958.714814814812</v>
      </c>
      <c r="Q1825" t="s">
        <v>1693</v>
      </c>
      <c r="V1825" s="77" t="str">
        <f>HYPERLINK("https://pbs.twimg.com/profile_images/1613607050180689945/PhNGm-V1_normal.jpg")</f>
        <v>https://pbs.twimg.com/profile_images/1613607050180689945/PhNGm-V1_normal.jpg</v>
      </c>
      <c r="W1825" s="76">
        <v>44958.714814814812</v>
      </c>
      <c r="X1825" s="80">
        <v>44958</v>
      </c>
      <c r="Y1825" s="78" t="s">
        <v>2661</v>
      </c>
      <c r="Z1825" s="77" t="str">
        <f>HYPERLINK("https://twitter.com/mileyworldca/status/1620831678464925696")</f>
        <v>https://twitter.com/mileyworldca/status/1620831678464925696</v>
      </c>
      <c r="AC1825" s="78" t="s">
        <v>3679</v>
      </c>
      <c r="AE1825" t="b">
        <v>0</v>
      </c>
      <c r="AF1825">
        <v>0</v>
      </c>
      <c r="AG1825" s="78" t="s">
        <v>4640</v>
      </c>
      <c r="AH1825" t="b">
        <v>0</v>
      </c>
      <c r="AI1825" t="s">
        <v>4829</v>
      </c>
      <c r="AK1825" s="78" t="s">
        <v>4640</v>
      </c>
      <c r="AL1825" t="b">
        <v>0</v>
      </c>
      <c r="AM1825">
        <v>162</v>
      </c>
      <c r="AN1825" s="78" t="s">
        <v>4473</v>
      </c>
      <c r="AO1825" s="78" t="s">
        <v>4849</v>
      </c>
      <c r="AP1825" t="b">
        <v>0</v>
      </c>
      <c r="AQ1825" s="78" t="s">
        <v>4473</v>
      </c>
      <c r="AR1825" t="s">
        <v>179</v>
      </c>
      <c r="AS1825">
        <v>0</v>
      </c>
      <c r="AT1825">
        <v>0</v>
      </c>
    </row>
    <row r="1826" spans="1:46" x14ac:dyDescent="0.45">
      <c r="A1826" s="62" t="s">
        <v>433</v>
      </c>
      <c r="B1826" s="62" t="s">
        <v>242</v>
      </c>
      <c r="C1826" s="63"/>
      <c r="D1826" s="64"/>
      <c r="E1826" s="65"/>
      <c r="F1826" s="66"/>
      <c r="G1826" s="63"/>
      <c r="H1826" s="67"/>
      <c r="I1826" s="68"/>
      <c r="J1826" s="68"/>
      <c r="K1826" s="32"/>
      <c r="L1826" s="75"/>
      <c r="M1826" s="75"/>
      <c r="N1826" s="70"/>
      <c r="O1826" t="s">
        <v>1570</v>
      </c>
      <c r="P1826" s="76">
        <v>44958.714525462965</v>
      </c>
      <c r="Q1826" t="s">
        <v>1744</v>
      </c>
      <c r="U1826" s="77" t="str">
        <f>HYPERLINK("https://pbs.twimg.com/ext_tw_video_thumb/1620513123135365125/pu/img/k_ONxRoXi1Mcbxzp.jpg")</f>
        <v>https://pbs.twimg.com/ext_tw_video_thumb/1620513123135365125/pu/img/k_ONxRoXi1Mcbxzp.jpg</v>
      </c>
      <c r="V1826" s="77" t="str">
        <f>HYPERLINK("https://pbs.twimg.com/ext_tw_video_thumb/1620513123135365125/pu/img/k_ONxRoXi1Mcbxzp.jpg")</f>
        <v>https://pbs.twimg.com/ext_tw_video_thumb/1620513123135365125/pu/img/k_ONxRoXi1Mcbxzp.jpg</v>
      </c>
      <c r="W1826" s="76">
        <v>44958.714525462965</v>
      </c>
      <c r="X1826" s="80">
        <v>44958</v>
      </c>
      <c r="Y1826" s="78" t="s">
        <v>2662</v>
      </c>
      <c r="Z1826" s="77" t="str">
        <f>HYPERLINK("https://twitter.com/ichiquisrivera1/status/1620831572831404032")</f>
        <v>https://twitter.com/ichiquisrivera1/status/1620831572831404032</v>
      </c>
      <c r="AC1826" s="78" t="s">
        <v>3680</v>
      </c>
      <c r="AE1826" t="b">
        <v>0</v>
      </c>
      <c r="AF1826">
        <v>0</v>
      </c>
      <c r="AG1826" s="78" t="s">
        <v>4640</v>
      </c>
      <c r="AH1826" t="b">
        <v>0</v>
      </c>
      <c r="AI1826" t="s">
        <v>4829</v>
      </c>
      <c r="AK1826" s="78" t="s">
        <v>4640</v>
      </c>
      <c r="AL1826" t="b">
        <v>0</v>
      </c>
      <c r="AM1826">
        <v>1</v>
      </c>
      <c r="AN1826" s="78" t="s">
        <v>3891</v>
      </c>
      <c r="AO1826" s="78" t="s">
        <v>4849</v>
      </c>
      <c r="AP1826" t="b">
        <v>0</v>
      </c>
      <c r="AQ1826" s="78" t="s">
        <v>3891</v>
      </c>
      <c r="AR1826" t="s">
        <v>179</v>
      </c>
      <c r="AS1826">
        <v>0</v>
      </c>
      <c r="AT1826">
        <v>0</v>
      </c>
    </row>
    <row r="1827" spans="1:46" x14ac:dyDescent="0.45">
      <c r="A1827" s="62" t="s">
        <v>433</v>
      </c>
      <c r="B1827" s="62" t="s">
        <v>1257</v>
      </c>
      <c r="C1827" s="63"/>
      <c r="D1827" s="64"/>
      <c r="E1827" s="65"/>
      <c r="F1827" s="66"/>
      <c r="G1827" s="63"/>
      <c r="H1827" s="67"/>
      <c r="I1827" s="68"/>
      <c r="J1827" s="68"/>
      <c r="K1827" s="32"/>
      <c r="L1827" s="75"/>
      <c r="M1827" s="75"/>
      <c r="N1827" s="70"/>
      <c r="O1827" t="s">
        <v>1570</v>
      </c>
      <c r="P1827" s="76">
        <v>44958.714525462965</v>
      </c>
      <c r="Q1827" t="s">
        <v>1744</v>
      </c>
      <c r="U1827" s="77" t="str">
        <f>HYPERLINK("https://pbs.twimg.com/ext_tw_video_thumb/1620513123135365125/pu/img/k_ONxRoXi1Mcbxzp.jpg")</f>
        <v>https://pbs.twimg.com/ext_tw_video_thumb/1620513123135365125/pu/img/k_ONxRoXi1Mcbxzp.jpg</v>
      </c>
      <c r="V1827" s="77" t="str">
        <f>HYPERLINK("https://pbs.twimg.com/ext_tw_video_thumb/1620513123135365125/pu/img/k_ONxRoXi1Mcbxzp.jpg")</f>
        <v>https://pbs.twimg.com/ext_tw_video_thumb/1620513123135365125/pu/img/k_ONxRoXi1Mcbxzp.jpg</v>
      </c>
      <c r="W1827" s="76">
        <v>44958.714525462965</v>
      </c>
      <c r="X1827" s="80">
        <v>44958</v>
      </c>
      <c r="Y1827" s="78" t="s">
        <v>2662</v>
      </c>
      <c r="Z1827" s="77" t="str">
        <f>HYPERLINK("https://twitter.com/ichiquisrivera1/status/1620831572831404032")</f>
        <v>https://twitter.com/ichiquisrivera1/status/1620831572831404032</v>
      </c>
      <c r="AC1827" s="78" t="s">
        <v>3680</v>
      </c>
      <c r="AE1827" t="b">
        <v>0</v>
      </c>
      <c r="AF1827">
        <v>0</v>
      </c>
      <c r="AG1827" s="78" t="s">
        <v>4640</v>
      </c>
      <c r="AH1827" t="b">
        <v>0</v>
      </c>
      <c r="AI1827" t="s">
        <v>4829</v>
      </c>
      <c r="AK1827" s="78" t="s">
        <v>4640</v>
      </c>
      <c r="AL1827" t="b">
        <v>0</v>
      </c>
      <c r="AM1827">
        <v>1</v>
      </c>
      <c r="AN1827" s="78" t="s">
        <v>3891</v>
      </c>
      <c r="AO1827" s="78" t="s">
        <v>4849</v>
      </c>
      <c r="AP1827" t="b">
        <v>0</v>
      </c>
      <c r="AQ1827" s="78" t="s">
        <v>3891</v>
      </c>
      <c r="AR1827" t="s">
        <v>179</v>
      </c>
      <c r="AS1827">
        <v>0</v>
      </c>
      <c r="AT1827">
        <v>0</v>
      </c>
    </row>
    <row r="1828" spans="1:46" x14ac:dyDescent="0.45">
      <c r="A1828" s="62" t="s">
        <v>433</v>
      </c>
      <c r="B1828" s="62" t="s">
        <v>627</v>
      </c>
      <c r="C1828" s="63"/>
      <c r="D1828" s="64"/>
      <c r="E1828" s="65"/>
      <c r="F1828" s="66"/>
      <c r="G1828" s="63"/>
      <c r="H1828" s="67"/>
      <c r="I1828" s="68"/>
      <c r="J1828" s="68"/>
      <c r="K1828" s="32"/>
      <c r="L1828" s="75"/>
      <c r="M1828" s="75"/>
      <c r="N1828" s="70"/>
      <c r="O1828" t="s">
        <v>1569</v>
      </c>
      <c r="P1828" s="76">
        <v>44958.714525462965</v>
      </c>
      <c r="Q1828" t="s">
        <v>1744</v>
      </c>
      <c r="U1828" s="77" t="str">
        <f>HYPERLINK("https://pbs.twimg.com/ext_tw_video_thumb/1620513123135365125/pu/img/k_ONxRoXi1Mcbxzp.jpg")</f>
        <v>https://pbs.twimg.com/ext_tw_video_thumb/1620513123135365125/pu/img/k_ONxRoXi1Mcbxzp.jpg</v>
      </c>
      <c r="V1828" s="77" t="str">
        <f>HYPERLINK("https://pbs.twimg.com/ext_tw_video_thumb/1620513123135365125/pu/img/k_ONxRoXi1Mcbxzp.jpg")</f>
        <v>https://pbs.twimg.com/ext_tw_video_thumb/1620513123135365125/pu/img/k_ONxRoXi1Mcbxzp.jpg</v>
      </c>
      <c r="W1828" s="76">
        <v>44958.714525462965</v>
      </c>
      <c r="X1828" s="80">
        <v>44958</v>
      </c>
      <c r="Y1828" s="78" t="s">
        <v>2662</v>
      </c>
      <c r="Z1828" s="77" t="str">
        <f>HYPERLINK("https://twitter.com/ichiquisrivera1/status/1620831572831404032")</f>
        <v>https://twitter.com/ichiquisrivera1/status/1620831572831404032</v>
      </c>
      <c r="AC1828" s="78" t="s">
        <v>3680</v>
      </c>
      <c r="AE1828" t="b">
        <v>0</v>
      </c>
      <c r="AF1828">
        <v>0</v>
      </c>
      <c r="AG1828" s="78" t="s">
        <v>4640</v>
      </c>
      <c r="AH1828" t="b">
        <v>0</v>
      </c>
      <c r="AI1828" t="s">
        <v>4829</v>
      </c>
      <c r="AK1828" s="78" t="s">
        <v>4640</v>
      </c>
      <c r="AL1828" t="b">
        <v>0</v>
      </c>
      <c r="AM1828">
        <v>1</v>
      </c>
      <c r="AN1828" s="78" t="s">
        <v>3891</v>
      </c>
      <c r="AO1828" s="78" t="s">
        <v>4849</v>
      </c>
      <c r="AP1828" t="b">
        <v>0</v>
      </c>
      <c r="AQ1828" s="78" t="s">
        <v>3891</v>
      </c>
      <c r="AR1828" t="s">
        <v>179</v>
      </c>
      <c r="AS1828">
        <v>0</v>
      </c>
      <c r="AT1828">
        <v>0</v>
      </c>
    </row>
    <row r="1829" spans="1:46" x14ac:dyDescent="0.45">
      <c r="A1829" s="62" t="s">
        <v>433</v>
      </c>
      <c r="B1829" s="62" t="s">
        <v>242</v>
      </c>
      <c r="C1829" s="63"/>
      <c r="D1829" s="64"/>
      <c r="E1829" s="65"/>
      <c r="F1829" s="66"/>
      <c r="G1829" s="63"/>
      <c r="H1829" s="67"/>
      <c r="I1829" s="68"/>
      <c r="J1829" s="68"/>
      <c r="K1829" s="32"/>
      <c r="L1829" s="75"/>
      <c r="M1829" s="75"/>
      <c r="N1829" s="70"/>
      <c r="O1829" t="s">
        <v>1570</v>
      </c>
      <c r="P1829" s="76">
        <v>44958.715324074074</v>
      </c>
      <c r="Q1829" t="s">
        <v>1745</v>
      </c>
      <c r="U1829" s="77" t="str">
        <f>HYPERLINK("https://pbs.twimg.com/media/FnwXCZxWYAAmxik.jpg")</f>
        <v>https://pbs.twimg.com/media/FnwXCZxWYAAmxik.jpg</v>
      </c>
      <c r="V1829" s="77" t="str">
        <f>HYPERLINK("https://pbs.twimg.com/media/FnwXCZxWYAAmxik.jpg")</f>
        <v>https://pbs.twimg.com/media/FnwXCZxWYAAmxik.jpg</v>
      </c>
      <c r="W1829" s="76">
        <v>44958.715324074074</v>
      </c>
      <c r="X1829" s="80">
        <v>44958</v>
      </c>
      <c r="Y1829" s="78" t="s">
        <v>2663</v>
      </c>
      <c r="Z1829" s="77" t="str">
        <f>HYPERLINK("https://twitter.com/ichiquisrivera1/status/1620831863597318145")</f>
        <v>https://twitter.com/ichiquisrivera1/status/1620831863597318145</v>
      </c>
      <c r="AC1829" s="78" t="s">
        <v>3681</v>
      </c>
      <c r="AE1829" t="b">
        <v>0</v>
      </c>
      <c r="AF1829">
        <v>0</v>
      </c>
      <c r="AG1829" s="78" t="s">
        <v>4640</v>
      </c>
      <c r="AH1829" t="b">
        <v>0</v>
      </c>
      <c r="AI1829" t="s">
        <v>4829</v>
      </c>
      <c r="AK1829" s="78" t="s">
        <v>4640</v>
      </c>
      <c r="AL1829" t="b">
        <v>0</v>
      </c>
      <c r="AM1829">
        <v>6</v>
      </c>
      <c r="AN1829" s="78" t="s">
        <v>4483</v>
      </c>
      <c r="AO1829" s="78" t="s">
        <v>4849</v>
      </c>
      <c r="AP1829" t="b">
        <v>0</v>
      </c>
      <c r="AQ1829" s="78" t="s">
        <v>4483</v>
      </c>
      <c r="AR1829" t="s">
        <v>179</v>
      </c>
      <c r="AS1829">
        <v>0</v>
      </c>
      <c r="AT1829">
        <v>0</v>
      </c>
    </row>
    <row r="1830" spans="1:46" x14ac:dyDescent="0.45">
      <c r="A1830" s="62" t="s">
        <v>433</v>
      </c>
      <c r="B1830" s="62" t="s">
        <v>1258</v>
      </c>
      <c r="C1830" s="63"/>
      <c r="D1830" s="64"/>
      <c r="E1830" s="65"/>
      <c r="F1830" s="66"/>
      <c r="G1830" s="63"/>
      <c r="H1830" s="67"/>
      <c r="I1830" s="68"/>
      <c r="J1830" s="68"/>
      <c r="K1830" s="32"/>
      <c r="L1830" s="75"/>
      <c r="M1830" s="75"/>
      <c r="N1830" s="70"/>
      <c r="O1830" t="s">
        <v>1570</v>
      </c>
      <c r="P1830" s="76">
        <v>44958.715324074074</v>
      </c>
      <c r="Q1830" t="s">
        <v>1745</v>
      </c>
      <c r="U1830" s="77" t="str">
        <f>HYPERLINK("https://pbs.twimg.com/media/FnwXCZxWYAAmxik.jpg")</f>
        <v>https://pbs.twimg.com/media/FnwXCZxWYAAmxik.jpg</v>
      </c>
      <c r="V1830" s="77" t="str">
        <f>HYPERLINK("https://pbs.twimg.com/media/FnwXCZxWYAAmxik.jpg")</f>
        <v>https://pbs.twimg.com/media/FnwXCZxWYAAmxik.jpg</v>
      </c>
      <c r="W1830" s="76">
        <v>44958.715324074074</v>
      </c>
      <c r="X1830" s="80">
        <v>44958</v>
      </c>
      <c r="Y1830" s="78" t="s">
        <v>2663</v>
      </c>
      <c r="Z1830" s="77" t="str">
        <f>HYPERLINK("https://twitter.com/ichiquisrivera1/status/1620831863597318145")</f>
        <v>https://twitter.com/ichiquisrivera1/status/1620831863597318145</v>
      </c>
      <c r="AC1830" s="78" t="s">
        <v>3681</v>
      </c>
      <c r="AE1830" t="b">
        <v>0</v>
      </c>
      <c r="AF1830">
        <v>0</v>
      </c>
      <c r="AG1830" s="78" t="s">
        <v>4640</v>
      </c>
      <c r="AH1830" t="b">
        <v>0</v>
      </c>
      <c r="AI1830" t="s">
        <v>4829</v>
      </c>
      <c r="AK1830" s="78" t="s">
        <v>4640</v>
      </c>
      <c r="AL1830" t="b">
        <v>0</v>
      </c>
      <c r="AM1830">
        <v>6</v>
      </c>
      <c r="AN1830" s="78" t="s">
        <v>4483</v>
      </c>
      <c r="AO1830" s="78" t="s">
        <v>4849</v>
      </c>
      <c r="AP1830" t="b">
        <v>0</v>
      </c>
      <c r="AQ1830" s="78" t="s">
        <v>4483</v>
      </c>
      <c r="AR1830" t="s">
        <v>179</v>
      </c>
      <c r="AS1830">
        <v>0</v>
      </c>
      <c r="AT1830">
        <v>0</v>
      </c>
    </row>
    <row r="1831" spans="1:46" x14ac:dyDescent="0.45">
      <c r="A1831" s="62" t="s">
        <v>433</v>
      </c>
      <c r="B1831" s="62" t="s">
        <v>627</v>
      </c>
      <c r="C1831" s="63"/>
      <c r="D1831" s="64"/>
      <c r="E1831" s="65"/>
      <c r="F1831" s="66"/>
      <c r="G1831" s="63"/>
      <c r="H1831" s="67"/>
      <c r="I1831" s="68"/>
      <c r="J1831" s="68"/>
      <c r="K1831" s="32"/>
      <c r="L1831" s="75"/>
      <c r="M1831" s="75"/>
      <c r="N1831" s="70"/>
      <c r="O1831" t="s">
        <v>1569</v>
      </c>
      <c r="P1831" s="76">
        <v>44958.715324074074</v>
      </c>
      <c r="Q1831" t="s">
        <v>1745</v>
      </c>
      <c r="U1831" s="77" t="str">
        <f>HYPERLINK("https://pbs.twimg.com/media/FnwXCZxWYAAmxik.jpg")</f>
        <v>https://pbs.twimg.com/media/FnwXCZxWYAAmxik.jpg</v>
      </c>
      <c r="V1831" s="77" t="str">
        <f>HYPERLINK("https://pbs.twimg.com/media/FnwXCZxWYAAmxik.jpg")</f>
        <v>https://pbs.twimg.com/media/FnwXCZxWYAAmxik.jpg</v>
      </c>
      <c r="W1831" s="76">
        <v>44958.715324074074</v>
      </c>
      <c r="X1831" s="80">
        <v>44958</v>
      </c>
      <c r="Y1831" s="78" t="s">
        <v>2663</v>
      </c>
      <c r="Z1831" s="77" t="str">
        <f>HYPERLINK("https://twitter.com/ichiquisrivera1/status/1620831863597318145")</f>
        <v>https://twitter.com/ichiquisrivera1/status/1620831863597318145</v>
      </c>
      <c r="AC1831" s="78" t="s">
        <v>3681</v>
      </c>
      <c r="AE1831" t="b">
        <v>0</v>
      </c>
      <c r="AF1831">
        <v>0</v>
      </c>
      <c r="AG1831" s="78" t="s">
        <v>4640</v>
      </c>
      <c r="AH1831" t="b">
        <v>0</v>
      </c>
      <c r="AI1831" t="s">
        <v>4829</v>
      </c>
      <c r="AK1831" s="78" t="s">
        <v>4640</v>
      </c>
      <c r="AL1831" t="b">
        <v>0</v>
      </c>
      <c r="AM1831">
        <v>6</v>
      </c>
      <c r="AN1831" s="78" t="s">
        <v>4483</v>
      </c>
      <c r="AO1831" s="78" t="s">
        <v>4849</v>
      </c>
      <c r="AP1831" t="b">
        <v>0</v>
      </c>
      <c r="AQ1831" s="78" t="s">
        <v>4483</v>
      </c>
      <c r="AR1831" t="s">
        <v>179</v>
      </c>
      <c r="AS1831">
        <v>0</v>
      </c>
      <c r="AT1831">
        <v>0</v>
      </c>
    </row>
    <row r="1832" spans="1:46" x14ac:dyDescent="0.45">
      <c r="A1832" s="62" t="s">
        <v>434</v>
      </c>
      <c r="B1832" s="62" t="s">
        <v>1230</v>
      </c>
      <c r="C1832" s="63"/>
      <c r="D1832" s="64"/>
      <c r="E1832" s="65"/>
      <c r="F1832" s="66"/>
      <c r="G1832" s="63"/>
      <c r="H1832" s="67"/>
      <c r="I1832" s="68"/>
      <c r="J1832" s="68"/>
      <c r="K1832" s="32"/>
      <c r="L1832" s="75"/>
      <c r="M1832" s="75"/>
      <c r="N1832" s="70"/>
      <c r="O1832" t="s">
        <v>1570</v>
      </c>
      <c r="P1832" s="76">
        <v>44958.715486111112</v>
      </c>
      <c r="Q1832" t="s">
        <v>1693</v>
      </c>
      <c r="V1832" s="77" t="str">
        <f>HYPERLINK("https://pbs.twimg.com/profile_images/1620338716697935873/xaGMODUI_normal.jpg")</f>
        <v>https://pbs.twimg.com/profile_images/1620338716697935873/xaGMODUI_normal.jpg</v>
      </c>
      <c r="W1832" s="76">
        <v>44958.715486111112</v>
      </c>
      <c r="X1832" s="80">
        <v>44958</v>
      </c>
      <c r="Y1832" s="78" t="s">
        <v>2664</v>
      </c>
      <c r="Z1832" s="77" t="str">
        <f>HYPERLINK("https://twitter.com/nagkrish2/status/1620831921579376641")</f>
        <v>https://twitter.com/nagkrish2/status/1620831921579376641</v>
      </c>
      <c r="AC1832" s="78" t="s">
        <v>3682</v>
      </c>
      <c r="AE1832" t="b">
        <v>0</v>
      </c>
      <c r="AF1832">
        <v>0</v>
      </c>
      <c r="AG1832" s="78" t="s">
        <v>4640</v>
      </c>
      <c r="AH1832" t="b">
        <v>0</v>
      </c>
      <c r="AI1832" t="s">
        <v>4829</v>
      </c>
      <c r="AK1832" s="78" t="s">
        <v>4640</v>
      </c>
      <c r="AL1832" t="b">
        <v>0</v>
      </c>
      <c r="AM1832">
        <v>162</v>
      </c>
      <c r="AN1832" s="78" t="s">
        <v>4473</v>
      </c>
      <c r="AO1832" s="78" t="s">
        <v>4849</v>
      </c>
      <c r="AP1832" t="b">
        <v>0</v>
      </c>
      <c r="AQ1832" s="78" t="s">
        <v>4473</v>
      </c>
      <c r="AR1832" t="s">
        <v>179</v>
      </c>
      <c r="AS1832">
        <v>0</v>
      </c>
      <c r="AT1832">
        <v>0</v>
      </c>
    </row>
    <row r="1833" spans="1:46" x14ac:dyDescent="0.45">
      <c r="A1833" s="62" t="s">
        <v>434</v>
      </c>
      <c r="B1833" s="62" t="s">
        <v>242</v>
      </c>
      <c r="C1833" s="63"/>
      <c r="D1833" s="64"/>
      <c r="E1833" s="65"/>
      <c r="F1833" s="66"/>
      <c r="G1833" s="63"/>
      <c r="H1833" s="67"/>
      <c r="I1833" s="68"/>
      <c r="J1833" s="68"/>
      <c r="K1833" s="32"/>
      <c r="L1833" s="75"/>
      <c r="M1833" s="75"/>
      <c r="N1833" s="70"/>
      <c r="O1833" t="s">
        <v>1569</v>
      </c>
      <c r="P1833" s="76">
        <v>44958.715486111112</v>
      </c>
      <c r="Q1833" t="s">
        <v>1693</v>
      </c>
      <c r="V1833" s="77" t="str">
        <f>HYPERLINK("https://pbs.twimg.com/profile_images/1620338716697935873/xaGMODUI_normal.jpg")</f>
        <v>https://pbs.twimg.com/profile_images/1620338716697935873/xaGMODUI_normal.jpg</v>
      </c>
      <c r="W1833" s="76">
        <v>44958.715486111112</v>
      </c>
      <c r="X1833" s="80">
        <v>44958</v>
      </c>
      <c r="Y1833" s="78" t="s">
        <v>2664</v>
      </c>
      <c r="Z1833" s="77" t="str">
        <f>HYPERLINK("https://twitter.com/nagkrish2/status/1620831921579376641")</f>
        <v>https://twitter.com/nagkrish2/status/1620831921579376641</v>
      </c>
      <c r="AC1833" s="78" t="s">
        <v>3682</v>
      </c>
      <c r="AE1833" t="b">
        <v>0</v>
      </c>
      <c r="AF1833">
        <v>0</v>
      </c>
      <c r="AG1833" s="78" t="s">
        <v>4640</v>
      </c>
      <c r="AH1833" t="b">
        <v>0</v>
      </c>
      <c r="AI1833" t="s">
        <v>4829</v>
      </c>
      <c r="AK1833" s="78" t="s">
        <v>4640</v>
      </c>
      <c r="AL1833" t="b">
        <v>0</v>
      </c>
      <c r="AM1833">
        <v>162</v>
      </c>
      <c r="AN1833" s="78" t="s">
        <v>4473</v>
      </c>
      <c r="AO1833" s="78" t="s">
        <v>4849</v>
      </c>
      <c r="AP1833" t="b">
        <v>0</v>
      </c>
      <c r="AQ1833" s="78" t="s">
        <v>4473</v>
      </c>
      <c r="AR1833" t="s">
        <v>179</v>
      </c>
      <c r="AS1833">
        <v>0</v>
      </c>
      <c r="AT1833">
        <v>0</v>
      </c>
    </row>
    <row r="1834" spans="1:46" x14ac:dyDescent="0.45">
      <c r="A1834" s="62" t="s">
        <v>435</v>
      </c>
      <c r="B1834" s="62" t="s">
        <v>1230</v>
      </c>
      <c r="C1834" s="63"/>
      <c r="D1834" s="64"/>
      <c r="E1834" s="65"/>
      <c r="F1834" s="66"/>
      <c r="G1834" s="63"/>
      <c r="H1834" s="67"/>
      <c r="I1834" s="68"/>
      <c r="J1834" s="68"/>
      <c r="K1834" s="32"/>
      <c r="L1834" s="75"/>
      <c r="M1834" s="75"/>
      <c r="N1834" s="70"/>
      <c r="O1834" t="s">
        <v>1570</v>
      </c>
      <c r="P1834" s="76">
        <v>44958.717002314814</v>
      </c>
      <c r="Q1834" t="s">
        <v>1693</v>
      </c>
      <c r="V1834" s="77" t="str">
        <f>HYPERLINK("https://pbs.twimg.com/profile_images/1618052059596554246/eJ7XknId_normal.jpg")</f>
        <v>https://pbs.twimg.com/profile_images/1618052059596554246/eJ7XknId_normal.jpg</v>
      </c>
      <c r="W1834" s="76">
        <v>44958.717002314814</v>
      </c>
      <c r="X1834" s="80">
        <v>44958</v>
      </c>
      <c r="Y1834" s="78" t="s">
        <v>2665</v>
      </c>
      <c r="Z1834" s="77" t="str">
        <f>HYPERLINK("https://twitter.com/hileyhearts/status/1620832471343587331")</f>
        <v>https://twitter.com/hileyhearts/status/1620832471343587331</v>
      </c>
      <c r="AC1834" s="78" t="s">
        <v>3683</v>
      </c>
      <c r="AE1834" t="b">
        <v>0</v>
      </c>
      <c r="AF1834">
        <v>0</v>
      </c>
      <c r="AG1834" s="78" t="s">
        <v>4640</v>
      </c>
      <c r="AH1834" t="b">
        <v>0</v>
      </c>
      <c r="AI1834" t="s">
        <v>4829</v>
      </c>
      <c r="AK1834" s="78" t="s">
        <v>4640</v>
      </c>
      <c r="AL1834" t="b">
        <v>0</v>
      </c>
      <c r="AM1834">
        <v>162</v>
      </c>
      <c r="AN1834" s="78" t="s">
        <v>4473</v>
      </c>
      <c r="AO1834" s="78" t="s">
        <v>4851</v>
      </c>
      <c r="AP1834" t="b">
        <v>0</v>
      </c>
      <c r="AQ1834" s="78" t="s">
        <v>4473</v>
      </c>
      <c r="AR1834" t="s">
        <v>179</v>
      </c>
      <c r="AS1834">
        <v>0</v>
      </c>
      <c r="AT1834">
        <v>0</v>
      </c>
    </row>
    <row r="1835" spans="1:46" x14ac:dyDescent="0.45">
      <c r="A1835" s="62" t="s">
        <v>435</v>
      </c>
      <c r="B1835" s="62" t="s">
        <v>242</v>
      </c>
      <c r="C1835" s="63"/>
      <c r="D1835" s="64"/>
      <c r="E1835" s="65"/>
      <c r="F1835" s="66"/>
      <c r="G1835" s="63"/>
      <c r="H1835" s="67"/>
      <c r="I1835" s="68"/>
      <c r="J1835" s="68"/>
      <c r="K1835" s="32"/>
      <c r="L1835" s="75"/>
      <c r="M1835" s="75"/>
      <c r="N1835" s="70"/>
      <c r="O1835" t="s">
        <v>1569</v>
      </c>
      <c r="P1835" s="76">
        <v>44958.717002314814</v>
      </c>
      <c r="Q1835" t="s">
        <v>1693</v>
      </c>
      <c r="V1835" s="77" t="str">
        <f>HYPERLINK("https://pbs.twimg.com/profile_images/1618052059596554246/eJ7XknId_normal.jpg")</f>
        <v>https://pbs.twimg.com/profile_images/1618052059596554246/eJ7XknId_normal.jpg</v>
      </c>
      <c r="W1835" s="76">
        <v>44958.717002314814</v>
      </c>
      <c r="X1835" s="80">
        <v>44958</v>
      </c>
      <c r="Y1835" s="78" t="s">
        <v>2665</v>
      </c>
      <c r="Z1835" s="77" t="str">
        <f>HYPERLINK("https://twitter.com/hileyhearts/status/1620832471343587331")</f>
        <v>https://twitter.com/hileyhearts/status/1620832471343587331</v>
      </c>
      <c r="AC1835" s="78" t="s">
        <v>3683</v>
      </c>
      <c r="AE1835" t="b">
        <v>0</v>
      </c>
      <c r="AF1835">
        <v>0</v>
      </c>
      <c r="AG1835" s="78" t="s">
        <v>4640</v>
      </c>
      <c r="AH1835" t="b">
        <v>0</v>
      </c>
      <c r="AI1835" t="s">
        <v>4829</v>
      </c>
      <c r="AK1835" s="78" t="s">
        <v>4640</v>
      </c>
      <c r="AL1835" t="b">
        <v>0</v>
      </c>
      <c r="AM1835">
        <v>162</v>
      </c>
      <c r="AN1835" s="78" t="s">
        <v>4473</v>
      </c>
      <c r="AO1835" s="78" t="s">
        <v>4851</v>
      </c>
      <c r="AP1835" t="b">
        <v>0</v>
      </c>
      <c r="AQ1835" s="78" t="s">
        <v>4473</v>
      </c>
      <c r="AR1835" t="s">
        <v>179</v>
      </c>
      <c r="AS1835">
        <v>0</v>
      </c>
      <c r="AT1835">
        <v>0</v>
      </c>
    </row>
    <row r="1836" spans="1:46" x14ac:dyDescent="0.45">
      <c r="A1836" s="62" t="s">
        <v>436</v>
      </c>
      <c r="B1836" s="62" t="s">
        <v>242</v>
      </c>
      <c r="C1836" s="63"/>
      <c r="D1836" s="64"/>
      <c r="E1836" s="65"/>
      <c r="F1836" s="66"/>
      <c r="G1836" s="63"/>
      <c r="H1836" s="67"/>
      <c r="I1836" s="68"/>
      <c r="J1836" s="68"/>
      <c r="K1836" s="32"/>
      <c r="L1836" s="75"/>
      <c r="M1836" s="75"/>
      <c r="N1836" s="70"/>
      <c r="O1836" t="s">
        <v>1567</v>
      </c>
      <c r="P1836" s="76">
        <v>44958.717222222222</v>
      </c>
      <c r="Q1836" t="s">
        <v>1746</v>
      </c>
      <c r="V1836" s="77" t="str">
        <f>HYPERLINK("https://pbs.twimg.com/profile_images/1569926167242706944/9R14cp4j_normal.jpg")</f>
        <v>https://pbs.twimg.com/profile_images/1569926167242706944/9R14cp4j_normal.jpg</v>
      </c>
      <c r="W1836" s="76">
        <v>44958.717222222222</v>
      </c>
      <c r="X1836" s="80">
        <v>44958</v>
      </c>
      <c r="Y1836" s="78" t="s">
        <v>2666</v>
      </c>
      <c r="Z1836" s="77" t="str">
        <f>HYPERLINK("https://twitter.com/jussshaunnaa/status/1620832553379987456")</f>
        <v>https://twitter.com/jussshaunnaa/status/1620832553379987456</v>
      </c>
      <c r="AC1836" s="78" t="s">
        <v>3684</v>
      </c>
      <c r="AE1836" t="b">
        <v>0</v>
      </c>
      <c r="AF1836">
        <v>0</v>
      </c>
      <c r="AG1836" s="78" t="s">
        <v>4639</v>
      </c>
      <c r="AH1836" t="b">
        <v>0</v>
      </c>
      <c r="AI1836" t="s">
        <v>4829</v>
      </c>
      <c r="AK1836" s="78" t="s">
        <v>4640</v>
      </c>
      <c r="AL1836" t="b">
        <v>0</v>
      </c>
      <c r="AM1836">
        <v>0</v>
      </c>
      <c r="AN1836" s="78" t="s">
        <v>4640</v>
      </c>
      <c r="AO1836" s="78" t="s">
        <v>4849</v>
      </c>
      <c r="AP1836" t="b">
        <v>0</v>
      </c>
      <c r="AQ1836" s="78" t="s">
        <v>3684</v>
      </c>
      <c r="AR1836" t="s">
        <v>179</v>
      </c>
      <c r="AS1836">
        <v>0</v>
      </c>
      <c r="AT1836">
        <v>0</v>
      </c>
    </row>
    <row r="1837" spans="1:46" x14ac:dyDescent="0.45">
      <c r="A1837" s="62" t="s">
        <v>437</v>
      </c>
      <c r="B1837" s="62" t="s">
        <v>242</v>
      </c>
      <c r="C1837" s="63"/>
      <c r="D1837" s="64"/>
      <c r="E1837" s="65"/>
      <c r="F1837" s="66"/>
      <c r="G1837" s="63"/>
      <c r="H1837" s="67"/>
      <c r="I1837" s="68"/>
      <c r="J1837" s="68"/>
      <c r="K1837" s="32"/>
      <c r="L1837" s="75"/>
      <c r="M1837" s="75"/>
      <c r="N1837" s="70"/>
      <c r="O1837" t="s">
        <v>1568</v>
      </c>
      <c r="P1837" s="76">
        <v>44958.717256944445</v>
      </c>
      <c r="Q1837" t="s">
        <v>1747</v>
      </c>
      <c r="V1837" s="77" t="str">
        <f>HYPERLINK("https://pbs.twimg.com/profile_images/934869797925466113/R39cJxWr_normal.jpg")</f>
        <v>https://pbs.twimg.com/profile_images/934869797925466113/R39cJxWr_normal.jpg</v>
      </c>
      <c r="W1837" s="76">
        <v>44958.717256944445</v>
      </c>
      <c r="X1837" s="80">
        <v>44958</v>
      </c>
      <c r="Y1837" s="78" t="s">
        <v>2667</v>
      </c>
      <c r="Z1837" s="77" t="str">
        <f>HYPERLINK("https://twitter.com/reallilgham/status/1620832563270139905")</f>
        <v>https://twitter.com/reallilgham/status/1620832563270139905</v>
      </c>
      <c r="AC1837" s="78" t="s">
        <v>3685</v>
      </c>
      <c r="AE1837" t="b">
        <v>0</v>
      </c>
      <c r="AF1837">
        <v>0</v>
      </c>
      <c r="AG1837" s="78" t="s">
        <v>4640</v>
      </c>
      <c r="AH1837" t="b">
        <v>0</v>
      </c>
      <c r="AI1837" t="s">
        <v>4829</v>
      </c>
      <c r="AK1837" s="78" t="s">
        <v>4640</v>
      </c>
      <c r="AL1837" t="b">
        <v>0</v>
      </c>
      <c r="AM1837">
        <v>0</v>
      </c>
      <c r="AN1837" s="78" t="s">
        <v>4640</v>
      </c>
      <c r="AO1837" s="78" t="s">
        <v>4849</v>
      </c>
      <c r="AP1837" t="b">
        <v>0</v>
      </c>
      <c r="AQ1837" s="78" t="s">
        <v>3685</v>
      </c>
      <c r="AR1837" t="s">
        <v>179</v>
      </c>
      <c r="AS1837">
        <v>0</v>
      </c>
      <c r="AT1837">
        <v>0</v>
      </c>
    </row>
    <row r="1838" spans="1:46" x14ac:dyDescent="0.45">
      <c r="A1838" s="62" t="s">
        <v>438</v>
      </c>
      <c r="B1838" s="62" t="s">
        <v>1230</v>
      </c>
      <c r="C1838" s="63"/>
      <c r="D1838" s="64"/>
      <c r="E1838" s="65"/>
      <c r="F1838" s="66"/>
      <c r="G1838" s="63"/>
      <c r="H1838" s="67"/>
      <c r="I1838" s="68"/>
      <c r="J1838" s="68"/>
      <c r="K1838" s="32"/>
      <c r="L1838" s="75"/>
      <c r="M1838" s="75"/>
      <c r="N1838" s="70"/>
      <c r="O1838" t="s">
        <v>1570</v>
      </c>
      <c r="P1838" s="76">
        <v>44958.717997685184</v>
      </c>
      <c r="Q1838" t="s">
        <v>1693</v>
      </c>
      <c r="V1838" s="77" t="str">
        <f>HYPERLINK("https://pbs.twimg.com/profile_images/1555939086506000385/-pIAuQH3_normal.jpg")</f>
        <v>https://pbs.twimg.com/profile_images/1555939086506000385/-pIAuQH3_normal.jpg</v>
      </c>
      <c r="W1838" s="76">
        <v>44958.717997685184</v>
      </c>
      <c r="X1838" s="80">
        <v>44958</v>
      </c>
      <c r="Y1838" s="78" t="s">
        <v>2668</v>
      </c>
      <c r="Z1838" s="77" t="str">
        <f>HYPERLINK("https://twitter.com/micapereyra1813/status/1620832832108269570")</f>
        <v>https://twitter.com/micapereyra1813/status/1620832832108269570</v>
      </c>
      <c r="AC1838" s="78" t="s">
        <v>3686</v>
      </c>
      <c r="AE1838" t="b">
        <v>0</v>
      </c>
      <c r="AF1838">
        <v>0</v>
      </c>
      <c r="AG1838" s="78" t="s">
        <v>4640</v>
      </c>
      <c r="AH1838" t="b">
        <v>0</v>
      </c>
      <c r="AI1838" t="s">
        <v>4829</v>
      </c>
      <c r="AK1838" s="78" t="s">
        <v>4640</v>
      </c>
      <c r="AL1838" t="b">
        <v>0</v>
      </c>
      <c r="AM1838">
        <v>162</v>
      </c>
      <c r="AN1838" s="78" t="s">
        <v>4473</v>
      </c>
      <c r="AO1838" s="78" t="s">
        <v>4851</v>
      </c>
      <c r="AP1838" t="b">
        <v>0</v>
      </c>
      <c r="AQ1838" s="78" t="s">
        <v>4473</v>
      </c>
      <c r="AR1838" t="s">
        <v>179</v>
      </c>
      <c r="AS1838">
        <v>0</v>
      </c>
      <c r="AT1838">
        <v>0</v>
      </c>
    </row>
    <row r="1839" spans="1:46" x14ac:dyDescent="0.45">
      <c r="A1839" s="62" t="s">
        <v>438</v>
      </c>
      <c r="B1839" s="62" t="s">
        <v>242</v>
      </c>
      <c r="C1839" s="63"/>
      <c r="D1839" s="64"/>
      <c r="E1839" s="65"/>
      <c r="F1839" s="66"/>
      <c r="G1839" s="63"/>
      <c r="H1839" s="67"/>
      <c r="I1839" s="68"/>
      <c r="J1839" s="68"/>
      <c r="K1839" s="32"/>
      <c r="L1839" s="75"/>
      <c r="M1839" s="75"/>
      <c r="N1839" s="70"/>
      <c r="O1839" t="s">
        <v>1569</v>
      </c>
      <c r="P1839" s="76">
        <v>44958.717997685184</v>
      </c>
      <c r="Q1839" t="s">
        <v>1693</v>
      </c>
      <c r="V1839" s="77" t="str">
        <f>HYPERLINK("https://pbs.twimg.com/profile_images/1555939086506000385/-pIAuQH3_normal.jpg")</f>
        <v>https://pbs.twimg.com/profile_images/1555939086506000385/-pIAuQH3_normal.jpg</v>
      </c>
      <c r="W1839" s="76">
        <v>44958.717997685184</v>
      </c>
      <c r="X1839" s="80">
        <v>44958</v>
      </c>
      <c r="Y1839" s="78" t="s">
        <v>2668</v>
      </c>
      <c r="Z1839" s="77" t="str">
        <f>HYPERLINK("https://twitter.com/micapereyra1813/status/1620832832108269570")</f>
        <v>https://twitter.com/micapereyra1813/status/1620832832108269570</v>
      </c>
      <c r="AC1839" s="78" t="s">
        <v>3686</v>
      </c>
      <c r="AE1839" t="b">
        <v>0</v>
      </c>
      <c r="AF1839">
        <v>0</v>
      </c>
      <c r="AG1839" s="78" t="s">
        <v>4640</v>
      </c>
      <c r="AH1839" t="b">
        <v>0</v>
      </c>
      <c r="AI1839" t="s">
        <v>4829</v>
      </c>
      <c r="AK1839" s="78" t="s">
        <v>4640</v>
      </c>
      <c r="AL1839" t="b">
        <v>0</v>
      </c>
      <c r="AM1839">
        <v>162</v>
      </c>
      <c r="AN1839" s="78" t="s">
        <v>4473</v>
      </c>
      <c r="AO1839" s="78" t="s">
        <v>4851</v>
      </c>
      <c r="AP1839" t="b">
        <v>0</v>
      </c>
      <c r="AQ1839" s="78" t="s">
        <v>4473</v>
      </c>
      <c r="AR1839" t="s">
        <v>179</v>
      </c>
      <c r="AS1839">
        <v>0</v>
      </c>
      <c r="AT1839">
        <v>0</v>
      </c>
    </row>
    <row r="1840" spans="1:46" x14ac:dyDescent="0.45">
      <c r="A1840" s="62" t="s">
        <v>439</v>
      </c>
      <c r="B1840" s="62" t="s">
        <v>1230</v>
      </c>
      <c r="C1840" s="63"/>
      <c r="D1840" s="64"/>
      <c r="E1840" s="65"/>
      <c r="F1840" s="66"/>
      <c r="G1840" s="63"/>
      <c r="H1840" s="67"/>
      <c r="I1840" s="68"/>
      <c r="J1840" s="68"/>
      <c r="K1840" s="32"/>
      <c r="L1840" s="75"/>
      <c r="M1840" s="75"/>
      <c r="N1840" s="70"/>
      <c r="O1840" t="s">
        <v>1570</v>
      </c>
      <c r="P1840" s="76">
        <v>44958.71802083333</v>
      </c>
      <c r="Q1840" t="s">
        <v>1693</v>
      </c>
      <c r="V1840" s="77" t="str">
        <f>HYPERLINK("https://pbs.twimg.com/profile_images/1605879247284862977/x-gqR-4D_normal.jpg")</f>
        <v>https://pbs.twimg.com/profile_images/1605879247284862977/x-gqR-4D_normal.jpg</v>
      </c>
      <c r="W1840" s="76">
        <v>44958.71802083333</v>
      </c>
      <c r="X1840" s="80">
        <v>44958</v>
      </c>
      <c r="Y1840" s="78" t="s">
        <v>2669</v>
      </c>
      <c r="Z1840" s="77" t="str">
        <f>HYPERLINK("https://twitter.com/alexanderojasa/status/1620832839200800770")</f>
        <v>https://twitter.com/alexanderojasa/status/1620832839200800770</v>
      </c>
      <c r="AC1840" s="78" t="s">
        <v>3687</v>
      </c>
      <c r="AE1840" t="b">
        <v>0</v>
      </c>
      <c r="AF1840">
        <v>0</v>
      </c>
      <c r="AG1840" s="78" t="s">
        <v>4640</v>
      </c>
      <c r="AH1840" t="b">
        <v>0</v>
      </c>
      <c r="AI1840" t="s">
        <v>4829</v>
      </c>
      <c r="AK1840" s="78" t="s">
        <v>4640</v>
      </c>
      <c r="AL1840" t="b">
        <v>0</v>
      </c>
      <c r="AM1840">
        <v>162</v>
      </c>
      <c r="AN1840" s="78" t="s">
        <v>4473</v>
      </c>
      <c r="AO1840" s="78" t="s">
        <v>4849</v>
      </c>
      <c r="AP1840" t="b">
        <v>0</v>
      </c>
      <c r="AQ1840" s="78" t="s">
        <v>4473</v>
      </c>
      <c r="AR1840" t="s">
        <v>179</v>
      </c>
      <c r="AS1840">
        <v>0</v>
      </c>
      <c r="AT1840">
        <v>0</v>
      </c>
    </row>
    <row r="1841" spans="1:46" x14ac:dyDescent="0.45">
      <c r="A1841" s="62" t="s">
        <v>439</v>
      </c>
      <c r="B1841" s="62" t="s">
        <v>242</v>
      </c>
      <c r="C1841" s="63"/>
      <c r="D1841" s="64"/>
      <c r="E1841" s="65"/>
      <c r="F1841" s="66"/>
      <c r="G1841" s="63"/>
      <c r="H1841" s="67"/>
      <c r="I1841" s="68"/>
      <c r="J1841" s="68"/>
      <c r="K1841" s="32"/>
      <c r="L1841" s="75"/>
      <c r="M1841" s="75"/>
      <c r="N1841" s="70"/>
      <c r="O1841" t="s">
        <v>1569</v>
      </c>
      <c r="P1841" s="76">
        <v>44958.71802083333</v>
      </c>
      <c r="Q1841" t="s">
        <v>1693</v>
      </c>
      <c r="V1841" s="77" t="str">
        <f>HYPERLINK("https://pbs.twimg.com/profile_images/1605879247284862977/x-gqR-4D_normal.jpg")</f>
        <v>https://pbs.twimg.com/profile_images/1605879247284862977/x-gqR-4D_normal.jpg</v>
      </c>
      <c r="W1841" s="76">
        <v>44958.71802083333</v>
      </c>
      <c r="X1841" s="80">
        <v>44958</v>
      </c>
      <c r="Y1841" s="78" t="s">
        <v>2669</v>
      </c>
      <c r="Z1841" s="77" t="str">
        <f>HYPERLINK("https://twitter.com/alexanderojasa/status/1620832839200800770")</f>
        <v>https://twitter.com/alexanderojasa/status/1620832839200800770</v>
      </c>
      <c r="AC1841" s="78" t="s">
        <v>3687</v>
      </c>
      <c r="AE1841" t="b">
        <v>0</v>
      </c>
      <c r="AF1841">
        <v>0</v>
      </c>
      <c r="AG1841" s="78" t="s">
        <v>4640</v>
      </c>
      <c r="AH1841" t="b">
        <v>0</v>
      </c>
      <c r="AI1841" t="s">
        <v>4829</v>
      </c>
      <c r="AK1841" s="78" t="s">
        <v>4640</v>
      </c>
      <c r="AL1841" t="b">
        <v>0</v>
      </c>
      <c r="AM1841">
        <v>162</v>
      </c>
      <c r="AN1841" s="78" t="s">
        <v>4473</v>
      </c>
      <c r="AO1841" s="78" t="s">
        <v>4849</v>
      </c>
      <c r="AP1841" t="b">
        <v>0</v>
      </c>
      <c r="AQ1841" s="78" t="s">
        <v>4473</v>
      </c>
      <c r="AR1841" t="s">
        <v>179</v>
      </c>
      <c r="AS1841">
        <v>0</v>
      </c>
      <c r="AT1841">
        <v>0</v>
      </c>
    </row>
    <row r="1842" spans="1:46" x14ac:dyDescent="0.45">
      <c r="A1842" s="62" t="s">
        <v>440</v>
      </c>
      <c r="B1842" s="62" t="s">
        <v>1230</v>
      </c>
      <c r="C1842" s="63"/>
      <c r="D1842" s="64"/>
      <c r="E1842" s="65"/>
      <c r="F1842" s="66"/>
      <c r="G1842" s="63"/>
      <c r="H1842" s="67"/>
      <c r="I1842" s="68"/>
      <c r="J1842" s="68"/>
      <c r="K1842" s="32"/>
      <c r="L1842" s="75"/>
      <c r="M1842" s="75"/>
      <c r="N1842" s="70"/>
      <c r="O1842" t="s">
        <v>1570</v>
      </c>
      <c r="P1842" s="76">
        <v>44958.71875</v>
      </c>
      <c r="Q1842" t="s">
        <v>1693</v>
      </c>
      <c r="V1842" s="77" t="str">
        <f>HYPERLINK("https://pbs.twimg.com/profile_images/1302762916962349056/kmI14_VA_normal.jpg")</f>
        <v>https://pbs.twimg.com/profile_images/1302762916962349056/kmI14_VA_normal.jpg</v>
      </c>
      <c r="W1842" s="76">
        <v>44958.71875</v>
      </c>
      <c r="X1842" s="80">
        <v>44958</v>
      </c>
      <c r="Y1842" s="78" t="s">
        <v>2670</v>
      </c>
      <c r="Z1842" s="77" t="str">
        <f>HYPERLINK("https://twitter.com/tash_delellis/status/1620833105044205570")</f>
        <v>https://twitter.com/tash_delellis/status/1620833105044205570</v>
      </c>
      <c r="AC1842" s="78" t="s">
        <v>3688</v>
      </c>
      <c r="AE1842" t="b">
        <v>0</v>
      </c>
      <c r="AF1842">
        <v>0</v>
      </c>
      <c r="AG1842" s="78" t="s">
        <v>4640</v>
      </c>
      <c r="AH1842" t="b">
        <v>0</v>
      </c>
      <c r="AI1842" t="s">
        <v>4829</v>
      </c>
      <c r="AK1842" s="78" t="s">
        <v>4640</v>
      </c>
      <c r="AL1842" t="b">
        <v>0</v>
      </c>
      <c r="AM1842">
        <v>162</v>
      </c>
      <c r="AN1842" s="78" t="s">
        <v>4473</v>
      </c>
      <c r="AO1842" s="78" t="s">
        <v>4849</v>
      </c>
      <c r="AP1842" t="b">
        <v>0</v>
      </c>
      <c r="AQ1842" s="78" t="s">
        <v>4473</v>
      </c>
      <c r="AR1842" t="s">
        <v>179</v>
      </c>
      <c r="AS1842">
        <v>0</v>
      </c>
      <c r="AT1842">
        <v>0</v>
      </c>
    </row>
    <row r="1843" spans="1:46" x14ac:dyDescent="0.45">
      <c r="A1843" s="62" t="s">
        <v>440</v>
      </c>
      <c r="B1843" s="62" t="s">
        <v>242</v>
      </c>
      <c r="C1843" s="63"/>
      <c r="D1843" s="64"/>
      <c r="E1843" s="65"/>
      <c r="F1843" s="66"/>
      <c r="G1843" s="63"/>
      <c r="H1843" s="67"/>
      <c r="I1843" s="68"/>
      <c r="J1843" s="68"/>
      <c r="K1843" s="32"/>
      <c r="L1843" s="75"/>
      <c r="M1843" s="75"/>
      <c r="N1843" s="70"/>
      <c r="O1843" t="s">
        <v>1569</v>
      </c>
      <c r="P1843" s="76">
        <v>44958.71875</v>
      </c>
      <c r="Q1843" t="s">
        <v>1693</v>
      </c>
      <c r="V1843" s="77" t="str">
        <f>HYPERLINK("https://pbs.twimg.com/profile_images/1302762916962349056/kmI14_VA_normal.jpg")</f>
        <v>https://pbs.twimg.com/profile_images/1302762916962349056/kmI14_VA_normal.jpg</v>
      </c>
      <c r="W1843" s="76">
        <v>44958.71875</v>
      </c>
      <c r="X1843" s="80">
        <v>44958</v>
      </c>
      <c r="Y1843" s="78" t="s">
        <v>2670</v>
      </c>
      <c r="Z1843" s="77" t="str">
        <f>HYPERLINK("https://twitter.com/tash_delellis/status/1620833105044205570")</f>
        <v>https://twitter.com/tash_delellis/status/1620833105044205570</v>
      </c>
      <c r="AC1843" s="78" t="s">
        <v>3688</v>
      </c>
      <c r="AE1843" t="b">
        <v>0</v>
      </c>
      <c r="AF1843">
        <v>0</v>
      </c>
      <c r="AG1843" s="78" t="s">
        <v>4640</v>
      </c>
      <c r="AH1843" t="b">
        <v>0</v>
      </c>
      <c r="AI1843" t="s">
        <v>4829</v>
      </c>
      <c r="AK1843" s="78" t="s">
        <v>4640</v>
      </c>
      <c r="AL1843" t="b">
        <v>0</v>
      </c>
      <c r="AM1843">
        <v>162</v>
      </c>
      <c r="AN1843" s="78" t="s">
        <v>4473</v>
      </c>
      <c r="AO1843" s="78" t="s">
        <v>4849</v>
      </c>
      <c r="AP1843" t="b">
        <v>0</v>
      </c>
      <c r="AQ1843" s="78" t="s">
        <v>4473</v>
      </c>
      <c r="AR1843" t="s">
        <v>179</v>
      </c>
      <c r="AS1843">
        <v>0</v>
      </c>
      <c r="AT1843">
        <v>0</v>
      </c>
    </row>
    <row r="1844" spans="1:46" x14ac:dyDescent="0.45">
      <c r="A1844" s="62" t="s">
        <v>441</v>
      </c>
      <c r="B1844" s="62" t="s">
        <v>1259</v>
      </c>
      <c r="C1844" s="63"/>
      <c r="D1844" s="64"/>
      <c r="E1844" s="65"/>
      <c r="F1844" s="66"/>
      <c r="G1844" s="63"/>
      <c r="H1844" s="67"/>
      <c r="I1844" s="68"/>
      <c r="J1844" s="68"/>
      <c r="K1844" s="32"/>
      <c r="L1844" s="75"/>
      <c r="M1844" s="75"/>
      <c r="N1844" s="70"/>
      <c r="O1844" t="s">
        <v>1568</v>
      </c>
      <c r="P1844" s="76">
        <v>44958.719733796293</v>
      </c>
      <c r="Q1844" t="s">
        <v>1748</v>
      </c>
      <c r="V1844" s="77" t="str">
        <f>HYPERLINK("https://pbs.twimg.com/profile_images/971051160240054272/uDIQu0Cn_normal.jpg")</f>
        <v>https://pbs.twimg.com/profile_images/971051160240054272/uDIQu0Cn_normal.jpg</v>
      </c>
      <c r="W1844" s="76">
        <v>44958.719733796293</v>
      </c>
      <c r="X1844" s="80">
        <v>44958</v>
      </c>
      <c r="Y1844" s="78" t="s">
        <v>2671</v>
      </c>
      <c r="Z1844" s="77" t="str">
        <f>HYPERLINK("https://twitter.com/gonzabear/status/1620833463292002304")</f>
        <v>https://twitter.com/gonzabear/status/1620833463292002304</v>
      </c>
      <c r="AC1844" s="78" t="s">
        <v>3689</v>
      </c>
      <c r="AD1844" s="78" t="s">
        <v>4535</v>
      </c>
      <c r="AE1844" t="b">
        <v>0</v>
      </c>
      <c r="AF1844">
        <v>0</v>
      </c>
      <c r="AG1844" s="78" t="s">
        <v>4692</v>
      </c>
      <c r="AH1844" t="b">
        <v>0</v>
      </c>
      <c r="AI1844" t="s">
        <v>4829</v>
      </c>
      <c r="AK1844" s="78" t="s">
        <v>4640</v>
      </c>
      <c r="AL1844" t="b">
        <v>0</v>
      </c>
      <c r="AM1844">
        <v>0</v>
      </c>
      <c r="AN1844" s="78" t="s">
        <v>4640</v>
      </c>
      <c r="AO1844" s="78" t="s">
        <v>4849</v>
      </c>
      <c r="AP1844" t="b">
        <v>0</v>
      </c>
      <c r="AQ1844" s="78" t="s">
        <v>4535</v>
      </c>
      <c r="AR1844" t="s">
        <v>179</v>
      </c>
      <c r="AS1844">
        <v>0</v>
      </c>
      <c r="AT1844">
        <v>0</v>
      </c>
    </row>
    <row r="1845" spans="1:46" x14ac:dyDescent="0.45">
      <c r="A1845" s="62" t="s">
        <v>441</v>
      </c>
      <c r="B1845" s="62" t="s">
        <v>1260</v>
      </c>
      <c r="C1845" s="63"/>
      <c r="D1845" s="64"/>
      <c r="E1845" s="65"/>
      <c r="F1845" s="66"/>
      <c r="G1845" s="63"/>
      <c r="H1845" s="67"/>
      <c r="I1845" s="68"/>
      <c r="J1845" s="68"/>
      <c r="K1845" s="32"/>
      <c r="L1845" s="75"/>
      <c r="M1845" s="75"/>
      <c r="N1845" s="70"/>
      <c r="O1845" t="s">
        <v>1568</v>
      </c>
      <c r="P1845" s="76">
        <v>44958.719733796293</v>
      </c>
      <c r="Q1845" t="s">
        <v>1748</v>
      </c>
      <c r="V1845" s="77" t="str">
        <f>HYPERLINK("https://pbs.twimg.com/profile_images/971051160240054272/uDIQu0Cn_normal.jpg")</f>
        <v>https://pbs.twimg.com/profile_images/971051160240054272/uDIQu0Cn_normal.jpg</v>
      </c>
      <c r="W1845" s="76">
        <v>44958.719733796293</v>
      </c>
      <c r="X1845" s="80">
        <v>44958</v>
      </c>
      <c r="Y1845" s="78" t="s">
        <v>2671</v>
      </c>
      <c r="Z1845" s="77" t="str">
        <f>HYPERLINK("https://twitter.com/gonzabear/status/1620833463292002304")</f>
        <v>https://twitter.com/gonzabear/status/1620833463292002304</v>
      </c>
      <c r="AC1845" s="78" t="s">
        <v>3689</v>
      </c>
      <c r="AD1845" s="78" t="s">
        <v>4535</v>
      </c>
      <c r="AE1845" t="b">
        <v>0</v>
      </c>
      <c r="AF1845">
        <v>0</v>
      </c>
      <c r="AG1845" s="78" t="s">
        <v>4692</v>
      </c>
      <c r="AH1845" t="b">
        <v>0</v>
      </c>
      <c r="AI1845" t="s">
        <v>4829</v>
      </c>
      <c r="AK1845" s="78" t="s">
        <v>4640</v>
      </c>
      <c r="AL1845" t="b">
        <v>0</v>
      </c>
      <c r="AM1845">
        <v>0</v>
      </c>
      <c r="AN1845" s="78" t="s">
        <v>4640</v>
      </c>
      <c r="AO1845" s="78" t="s">
        <v>4849</v>
      </c>
      <c r="AP1845" t="b">
        <v>0</v>
      </c>
      <c r="AQ1845" s="78" t="s">
        <v>4535</v>
      </c>
      <c r="AR1845" t="s">
        <v>179</v>
      </c>
      <c r="AS1845">
        <v>0</v>
      </c>
      <c r="AT1845">
        <v>0</v>
      </c>
    </row>
    <row r="1846" spans="1:46" x14ac:dyDescent="0.45">
      <c r="A1846" s="62" t="s">
        <v>441</v>
      </c>
      <c r="B1846" s="62" t="s">
        <v>1261</v>
      </c>
      <c r="C1846" s="63"/>
      <c r="D1846" s="64"/>
      <c r="E1846" s="65"/>
      <c r="F1846" s="66"/>
      <c r="G1846" s="63"/>
      <c r="H1846" s="67"/>
      <c r="I1846" s="68"/>
      <c r="J1846" s="68"/>
      <c r="K1846" s="32"/>
      <c r="L1846" s="75"/>
      <c r="M1846" s="75"/>
      <c r="N1846" s="70"/>
      <c r="O1846" t="s">
        <v>1567</v>
      </c>
      <c r="P1846" s="76">
        <v>44958.719733796293</v>
      </c>
      <c r="Q1846" t="s">
        <v>1748</v>
      </c>
      <c r="V1846" s="77" t="str">
        <f>HYPERLINK("https://pbs.twimg.com/profile_images/971051160240054272/uDIQu0Cn_normal.jpg")</f>
        <v>https://pbs.twimg.com/profile_images/971051160240054272/uDIQu0Cn_normal.jpg</v>
      </c>
      <c r="W1846" s="76">
        <v>44958.719733796293</v>
      </c>
      <c r="X1846" s="80">
        <v>44958</v>
      </c>
      <c r="Y1846" s="78" t="s">
        <v>2671</v>
      </c>
      <c r="Z1846" s="77" t="str">
        <f>HYPERLINK("https://twitter.com/gonzabear/status/1620833463292002304")</f>
        <v>https://twitter.com/gonzabear/status/1620833463292002304</v>
      </c>
      <c r="AC1846" s="78" t="s">
        <v>3689</v>
      </c>
      <c r="AD1846" s="78" t="s">
        <v>4535</v>
      </c>
      <c r="AE1846" t="b">
        <v>0</v>
      </c>
      <c r="AF1846">
        <v>0</v>
      </c>
      <c r="AG1846" s="78" t="s">
        <v>4692</v>
      </c>
      <c r="AH1846" t="b">
        <v>0</v>
      </c>
      <c r="AI1846" t="s">
        <v>4829</v>
      </c>
      <c r="AK1846" s="78" t="s">
        <v>4640</v>
      </c>
      <c r="AL1846" t="b">
        <v>0</v>
      </c>
      <c r="AM1846">
        <v>0</v>
      </c>
      <c r="AN1846" s="78" t="s">
        <v>4640</v>
      </c>
      <c r="AO1846" s="78" t="s">
        <v>4849</v>
      </c>
      <c r="AP1846" t="b">
        <v>0</v>
      </c>
      <c r="AQ1846" s="78" t="s">
        <v>4535</v>
      </c>
      <c r="AR1846" t="s">
        <v>179</v>
      </c>
      <c r="AS1846">
        <v>0</v>
      </c>
      <c r="AT1846">
        <v>0</v>
      </c>
    </row>
    <row r="1847" spans="1:46" x14ac:dyDescent="0.45">
      <c r="A1847" s="62" t="s">
        <v>441</v>
      </c>
      <c r="B1847" s="62" t="s">
        <v>242</v>
      </c>
      <c r="C1847" s="63"/>
      <c r="D1847" s="64"/>
      <c r="E1847" s="65"/>
      <c r="F1847" s="66"/>
      <c r="G1847" s="63"/>
      <c r="H1847" s="67"/>
      <c r="I1847" s="68"/>
      <c r="J1847" s="68"/>
      <c r="K1847" s="32"/>
      <c r="L1847" s="75"/>
      <c r="M1847" s="75"/>
      <c r="N1847" s="70"/>
      <c r="O1847" t="s">
        <v>1568</v>
      </c>
      <c r="P1847" s="76">
        <v>44958.719733796293</v>
      </c>
      <c r="Q1847" t="s">
        <v>1748</v>
      </c>
      <c r="V1847" s="77" t="str">
        <f>HYPERLINK("https://pbs.twimg.com/profile_images/971051160240054272/uDIQu0Cn_normal.jpg")</f>
        <v>https://pbs.twimg.com/profile_images/971051160240054272/uDIQu0Cn_normal.jpg</v>
      </c>
      <c r="W1847" s="76">
        <v>44958.719733796293</v>
      </c>
      <c r="X1847" s="80">
        <v>44958</v>
      </c>
      <c r="Y1847" s="78" t="s">
        <v>2671</v>
      </c>
      <c r="Z1847" s="77" t="str">
        <f>HYPERLINK("https://twitter.com/gonzabear/status/1620833463292002304")</f>
        <v>https://twitter.com/gonzabear/status/1620833463292002304</v>
      </c>
      <c r="AC1847" s="78" t="s">
        <v>3689</v>
      </c>
      <c r="AD1847" s="78" t="s">
        <v>4535</v>
      </c>
      <c r="AE1847" t="b">
        <v>0</v>
      </c>
      <c r="AF1847">
        <v>0</v>
      </c>
      <c r="AG1847" s="78" t="s">
        <v>4692</v>
      </c>
      <c r="AH1847" t="b">
        <v>0</v>
      </c>
      <c r="AI1847" t="s">
        <v>4829</v>
      </c>
      <c r="AK1847" s="78" t="s">
        <v>4640</v>
      </c>
      <c r="AL1847" t="b">
        <v>0</v>
      </c>
      <c r="AM1847">
        <v>0</v>
      </c>
      <c r="AN1847" s="78" t="s">
        <v>4640</v>
      </c>
      <c r="AO1847" s="78" t="s">
        <v>4849</v>
      </c>
      <c r="AP1847" t="b">
        <v>0</v>
      </c>
      <c r="AQ1847" s="78" t="s">
        <v>4535</v>
      </c>
      <c r="AR1847" t="s">
        <v>179</v>
      </c>
      <c r="AS1847">
        <v>0</v>
      </c>
      <c r="AT1847">
        <v>0</v>
      </c>
    </row>
    <row r="1848" spans="1:46" x14ac:dyDescent="0.45">
      <c r="A1848" s="62" t="s">
        <v>441</v>
      </c>
      <c r="B1848" s="62" t="s">
        <v>1181</v>
      </c>
      <c r="C1848" s="63"/>
      <c r="D1848" s="64"/>
      <c r="E1848" s="65"/>
      <c r="F1848" s="66"/>
      <c r="G1848" s="63"/>
      <c r="H1848" s="67"/>
      <c r="I1848" s="68"/>
      <c r="J1848" s="68"/>
      <c r="K1848" s="32"/>
      <c r="L1848" s="75"/>
      <c r="M1848" s="75"/>
      <c r="N1848" s="70"/>
      <c r="O1848" t="s">
        <v>1568</v>
      </c>
      <c r="P1848" s="76">
        <v>44958.719733796293</v>
      </c>
      <c r="Q1848" t="s">
        <v>1748</v>
      </c>
      <c r="V1848" s="77" t="str">
        <f>HYPERLINK("https://pbs.twimg.com/profile_images/971051160240054272/uDIQu0Cn_normal.jpg")</f>
        <v>https://pbs.twimg.com/profile_images/971051160240054272/uDIQu0Cn_normal.jpg</v>
      </c>
      <c r="W1848" s="76">
        <v>44958.719733796293</v>
      </c>
      <c r="X1848" s="80">
        <v>44958</v>
      </c>
      <c r="Y1848" s="78" t="s">
        <v>2671</v>
      </c>
      <c r="Z1848" s="77" t="str">
        <f>HYPERLINK("https://twitter.com/gonzabear/status/1620833463292002304")</f>
        <v>https://twitter.com/gonzabear/status/1620833463292002304</v>
      </c>
      <c r="AC1848" s="78" t="s">
        <v>3689</v>
      </c>
      <c r="AD1848" s="78" t="s">
        <v>4535</v>
      </c>
      <c r="AE1848" t="b">
        <v>0</v>
      </c>
      <c r="AF1848">
        <v>0</v>
      </c>
      <c r="AG1848" s="78" t="s">
        <v>4692</v>
      </c>
      <c r="AH1848" t="b">
        <v>0</v>
      </c>
      <c r="AI1848" t="s">
        <v>4829</v>
      </c>
      <c r="AK1848" s="78" t="s">
        <v>4640</v>
      </c>
      <c r="AL1848" t="b">
        <v>0</v>
      </c>
      <c r="AM1848">
        <v>0</v>
      </c>
      <c r="AN1848" s="78" t="s">
        <v>4640</v>
      </c>
      <c r="AO1848" s="78" t="s">
        <v>4849</v>
      </c>
      <c r="AP1848" t="b">
        <v>0</v>
      </c>
      <c r="AQ1848" s="78" t="s">
        <v>4535</v>
      </c>
      <c r="AR1848" t="s">
        <v>179</v>
      </c>
      <c r="AS1848">
        <v>0</v>
      </c>
      <c r="AT1848">
        <v>0</v>
      </c>
    </row>
    <row r="1849" spans="1:46" x14ac:dyDescent="0.45">
      <c r="A1849" s="62" t="s">
        <v>441</v>
      </c>
      <c r="B1849" s="62" t="s">
        <v>1262</v>
      </c>
      <c r="C1849" s="63"/>
      <c r="D1849" s="64"/>
      <c r="E1849" s="65"/>
      <c r="F1849" s="66"/>
      <c r="G1849" s="63"/>
      <c r="H1849" s="67"/>
      <c r="I1849" s="68"/>
      <c r="J1849" s="68"/>
      <c r="K1849" s="32"/>
      <c r="L1849" s="75"/>
      <c r="M1849" s="75"/>
      <c r="N1849" s="70"/>
      <c r="O1849" t="s">
        <v>1568</v>
      </c>
      <c r="P1849" s="76">
        <v>44958.719733796293</v>
      </c>
      <c r="Q1849" t="s">
        <v>1748</v>
      </c>
      <c r="V1849" s="77" t="str">
        <f>HYPERLINK("https://pbs.twimg.com/profile_images/971051160240054272/uDIQu0Cn_normal.jpg")</f>
        <v>https://pbs.twimg.com/profile_images/971051160240054272/uDIQu0Cn_normal.jpg</v>
      </c>
      <c r="W1849" s="76">
        <v>44958.719733796293</v>
      </c>
      <c r="X1849" s="80">
        <v>44958</v>
      </c>
      <c r="Y1849" s="78" t="s">
        <v>2671</v>
      </c>
      <c r="Z1849" s="77" t="str">
        <f>HYPERLINK("https://twitter.com/gonzabear/status/1620833463292002304")</f>
        <v>https://twitter.com/gonzabear/status/1620833463292002304</v>
      </c>
      <c r="AC1849" s="78" t="s">
        <v>3689</v>
      </c>
      <c r="AD1849" s="78" t="s">
        <v>4535</v>
      </c>
      <c r="AE1849" t="b">
        <v>0</v>
      </c>
      <c r="AF1849">
        <v>0</v>
      </c>
      <c r="AG1849" s="78" t="s">
        <v>4692</v>
      </c>
      <c r="AH1849" t="b">
        <v>0</v>
      </c>
      <c r="AI1849" t="s">
        <v>4829</v>
      </c>
      <c r="AK1849" s="78" t="s">
        <v>4640</v>
      </c>
      <c r="AL1849" t="b">
        <v>0</v>
      </c>
      <c r="AM1849">
        <v>0</v>
      </c>
      <c r="AN1849" s="78" t="s">
        <v>4640</v>
      </c>
      <c r="AO1849" s="78" t="s">
        <v>4849</v>
      </c>
      <c r="AP1849" t="b">
        <v>0</v>
      </c>
      <c r="AQ1849" s="78" t="s">
        <v>4535</v>
      </c>
      <c r="AR1849" t="s">
        <v>179</v>
      </c>
      <c r="AS1849">
        <v>0</v>
      </c>
      <c r="AT1849">
        <v>0</v>
      </c>
    </row>
    <row r="1850" spans="1:46" x14ac:dyDescent="0.45">
      <c r="A1850" s="62" t="s">
        <v>442</v>
      </c>
      <c r="B1850" s="62" t="s">
        <v>1230</v>
      </c>
      <c r="C1850" s="63"/>
      <c r="D1850" s="64"/>
      <c r="E1850" s="65"/>
      <c r="F1850" s="66"/>
      <c r="G1850" s="63"/>
      <c r="H1850" s="67"/>
      <c r="I1850" s="68"/>
      <c r="J1850" s="68"/>
      <c r="K1850" s="32"/>
      <c r="L1850" s="75"/>
      <c r="M1850" s="75"/>
      <c r="N1850" s="70"/>
      <c r="O1850" t="s">
        <v>1570</v>
      </c>
      <c r="P1850" s="76">
        <v>44958.72047453704</v>
      </c>
      <c r="Q1850" t="s">
        <v>1693</v>
      </c>
      <c r="V1850" s="77" t="str">
        <f>HYPERLINK("https://pbs.twimg.com/profile_images/1529617918484414464/on7n_kHi_normal.jpg")</f>
        <v>https://pbs.twimg.com/profile_images/1529617918484414464/on7n_kHi_normal.jpg</v>
      </c>
      <c r="W1850" s="76">
        <v>44958.72047453704</v>
      </c>
      <c r="X1850" s="80">
        <v>44958</v>
      </c>
      <c r="Y1850" s="78" t="s">
        <v>2672</v>
      </c>
      <c r="Z1850" s="77" t="str">
        <f>HYPERLINK("https://twitter.com/mileyfromws/status/1620833730570129414")</f>
        <v>https://twitter.com/mileyfromws/status/1620833730570129414</v>
      </c>
      <c r="AC1850" s="78" t="s">
        <v>3690</v>
      </c>
      <c r="AE1850" t="b">
        <v>0</v>
      </c>
      <c r="AF1850">
        <v>0</v>
      </c>
      <c r="AG1850" s="78" t="s">
        <v>4640</v>
      </c>
      <c r="AH1850" t="b">
        <v>0</v>
      </c>
      <c r="AI1850" t="s">
        <v>4829</v>
      </c>
      <c r="AK1850" s="78" t="s">
        <v>4640</v>
      </c>
      <c r="AL1850" t="b">
        <v>0</v>
      </c>
      <c r="AM1850">
        <v>162</v>
      </c>
      <c r="AN1850" s="78" t="s">
        <v>4473</v>
      </c>
      <c r="AO1850" s="78" t="s">
        <v>4849</v>
      </c>
      <c r="AP1850" t="b">
        <v>0</v>
      </c>
      <c r="AQ1850" s="78" t="s">
        <v>4473</v>
      </c>
      <c r="AR1850" t="s">
        <v>179</v>
      </c>
      <c r="AS1850">
        <v>0</v>
      </c>
      <c r="AT1850">
        <v>0</v>
      </c>
    </row>
    <row r="1851" spans="1:46" x14ac:dyDescent="0.45">
      <c r="A1851" s="62" t="s">
        <v>442</v>
      </c>
      <c r="B1851" s="62" t="s">
        <v>242</v>
      </c>
      <c r="C1851" s="63"/>
      <c r="D1851" s="64"/>
      <c r="E1851" s="65"/>
      <c r="F1851" s="66"/>
      <c r="G1851" s="63"/>
      <c r="H1851" s="67"/>
      <c r="I1851" s="68"/>
      <c r="J1851" s="68"/>
      <c r="K1851" s="32"/>
      <c r="L1851" s="75"/>
      <c r="M1851" s="75"/>
      <c r="N1851" s="70"/>
      <c r="O1851" t="s">
        <v>1569</v>
      </c>
      <c r="P1851" s="76">
        <v>44958.72047453704</v>
      </c>
      <c r="Q1851" t="s">
        <v>1693</v>
      </c>
      <c r="V1851" s="77" t="str">
        <f>HYPERLINK("https://pbs.twimg.com/profile_images/1529617918484414464/on7n_kHi_normal.jpg")</f>
        <v>https://pbs.twimg.com/profile_images/1529617918484414464/on7n_kHi_normal.jpg</v>
      </c>
      <c r="W1851" s="76">
        <v>44958.72047453704</v>
      </c>
      <c r="X1851" s="80">
        <v>44958</v>
      </c>
      <c r="Y1851" s="78" t="s">
        <v>2672</v>
      </c>
      <c r="Z1851" s="77" t="str">
        <f>HYPERLINK("https://twitter.com/mileyfromws/status/1620833730570129414")</f>
        <v>https://twitter.com/mileyfromws/status/1620833730570129414</v>
      </c>
      <c r="AC1851" s="78" t="s">
        <v>3690</v>
      </c>
      <c r="AE1851" t="b">
        <v>0</v>
      </c>
      <c r="AF1851">
        <v>0</v>
      </c>
      <c r="AG1851" s="78" t="s">
        <v>4640</v>
      </c>
      <c r="AH1851" t="b">
        <v>0</v>
      </c>
      <c r="AI1851" t="s">
        <v>4829</v>
      </c>
      <c r="AK1851" s="78" t="s">
        <v>4640</v>
      </c>
      <c r="AL1851" t="b">
        <v>0</v>
      </c>
      <c r="AM1851">
        <v>162</v>
      </c>
      <c r="AN1851" s="78" t="s">
        <v>4473</v>
      </c>
      <c r="AO1851" s="78" t="s">
        <v>4849</v>
      </c>
      <c r="AP1851" t="b">
        <v>0</v>
      </c>
      <c r="AQ1851" s="78" t="s">
        <v>4473</v>
      </c>
      <c r="AR1851" t="s">
        <v>179</v>
      </c>
      <c r="AS1851">
        <v>0</v>
      </c>
      <c r="AT1851">
        <v>0</v>
      </c>
    </row>
    <row r="1852" spans="1:46" x14ac:dyDescent="0.45">
      <c r="A1852" s="62" t="s">
        <v>443</v>
      </c>
      <c r="B1852" s="62" t="s">
        <v>1230</v>
      </c>
      <c r="C1852" s="63"/>
      <c r="D1852" s="64"/>
      <c r="E1852" s="65"/>
      <c r="F1852" s="66"/>
      <c r="G1852" s="63"/>
      <c r="H1852" s="67"/>
      <c r="I1852" s="68"/>
      <c r="J1852" s="68"/>
      <c r="K1852" s="32"/>
      <c r="L1852" s="75"/>
      <c r="M1852" s="75"/>
      <c r="N1852" s="70"/>
      <c r="O1852" t="s">
        <v>1570</v>
      </c>
      <c r="P1852" s="76">
        <v>44958.720532407409</v>
      </c>
      <c r="Q1852" t="s">
        <v>1693</v>
      </c>
      <c r="V1852" s="77" t="str">
        <f>HYPERLINK("https://pbs.twimg.com/profile_images/1618130143993536514/esJIyk7a_normal.jpg")</f>
        <v>https://pbs.twimg.com/profile_images/1618130143993536514/esJIyk7a_normal.jpg</v>
      </c>
      <c r="W1852" s="76">
        <v>44958.720532407409</v>
      </c>
      <c r="X1852" s="80">
        <v>44958</v>
      </c>
      <c r="Y1852" s="78" t="s">
        <v>2673</v>
      </c>
      <c r="Z1852" s="77" t="str">
        <f>HYPERLINK("https://twitter.com/neverbegera/status/1620833752799903745")</f>
        <v>https://twitter.com/neverbegera/status/1620833752799903745</v>
      </c>
      <c r="AC1852" s="78" t="s">
        <v>3691</v>
      </c>
      <c r="AE1852" t="b">
        <v>0</v>
      </c>
      <c r="AF1852">
        <v>0</v>
      </c>
      <c r="AG1852" s="78" t="s">
        <v>4640</v>
      </c>
      <c r="AH1852" t="b">
        <v>0</v>
      </c>
      <c r="AI1852" t="s">
        <v>4829</v>
      </c>
      <c r="AK1852" s="78" t="s">
        <v>4640</v>
      </c>
      <c r="AL1852" t="b">
        <v>0</v>
      </c>
      <c r="AM1852">
        <v>162</v>
      </c>
      <c r="AN1852" s="78" t="s">
        <v>4473</v>
      </c>
      <c r="AO1852" s="78" t="s">
        <v>4849</v>
      </c>
      <c r="AP1852" t="b">
        <v>0</v>
      </c>
      <c r="AQ1852" s="78" t="s">
        <v>4473</v>
      </c>
      <c r="AR1852" t="s">
        <v>179</v>
      </c>
      <c r="AS1852">
        <v>0</v>
      </c>
      <c r="AT1852">
        <v>0</v>
      </c>
    </row>
    <row r="1853" spans="1:46" x14ac:dyDescent="0.45">
      <c r="A1853" s="62" t="s">
        <v>443</v>
      </c>
      <c r="B1853" s="62" t="s">
        <v>242</v>
      </c>
      <c r="C1853" s="63"/>
      <c r="D1853" s="64"/>
      <c r="E1853" s="65"/>
      <c r="F1853" s="66"/>
      <c r="G1853" s="63"/>
      <c r="H1853" s="67"/>
      <c r="I1853" s="68"/>
      <c r="J1853" s="68"/>
      <c r="K1853" s="32"/>
      <c r="L1853" s="75"/>
      <c r="M1853" s="75"/>
      <c r="N1853" s="70"/>
      <c r="O1853" t="s">
        <v>1569</v>
      </c>
      <c r="P1853" s="76">
        <v>44958.720532407409</v>
      </c>
      <c r="Q1853" t="s">
        <v>1693</v>
      </c>
      <c r="V1853" s="77" t="str">
        <f>HYPERLINK("https://pbs.twimg.com/profile_images/1618130143993536514/esJIyk7a_normal.jpg")</f>
        <v>https://pbs.twimg.com/profile_images/1618130143993536514/esJIyk7a_normal.jpg</v>
      </c>
      <c r="W1853" s="76">
        <v>44958.720532407409</v>
      </c>
      <c r="X1853" s="80">
        <v>44958</v>
      </c>
      <c r="Y1853" s="78" t="s">
        <v>2673</v>
      </c>
      <c r="Z1853" s="77" t="str">
        <f>HYPERLINK("https://twitter.com/neverbegera/status/1620833752799903745")</f>
        <v>https://twitter.com/neverbegera/status/1620833752799903745</v>
      </c>
      <c r="AC1853" s="78" t="s">
        <v>3691</v>
      </c>
      <c r="AE1853" t="b">
        <v>0</v>
      </c>
      <c r="AF1853">
        <v>0</v>
      </c>
      <c r="AG1853" s="78" t="s">
        <v>4640</v>
      </c>
      <c r="AH1853" t="b">
        <v>0</v>
      </c>
      <c r="AI1853" t="s">
        <v>4829</v>
      </c>
      <c r="AK1853" s="78" t="s">
        <v>4640</v>
      </c>
      <c r="AL1853" t="b">
        <v>0</v>
      </c>
      <c r="AM1853">
        <v>162</v>
      </c>
      <c r="AN1853" s="78" t="s">
        <v>4473</v>
      </c>
      <c r="AO1853" s="78" t="s">
        <v>4849</v>
      </c>
      <c r="AP1853" t="b">
        <v>0</v>
      </c>
      <c r="AQ1853" s="78" t="s">
        <v>4473</v>
      </c>
      <c r="AR1853" t="s">
        <v>179</v>
      </c>
      <c r="AS1853">
        <v>0</v>
      </c>
      <c r="AT1853">
        <v>0</v>
      </c>
    </row>
    <row r="1854" spans="1:46" x14ac:dyDescent="0.45">
      <c r="A1854" s="62" t="s">
        <v>444</v>
      </c>
      <c r="B1854" s="62" t="s">
        <v>1230</v>
      </c>
      <c r="C1854" s="63"/>
      <c r="D1854" s="64"/>
      <c r="E1854" s="65"/>
      <c r="F1854" s="66"/>
      <c r="G1854" s="63"/>
      <c r="H1854" s="67"/>
      <c r="I1854" s="68"/>
      <c r="J1854" s="68"/>
      <c r="K1854" s="32"/>
      <c r="L1854" s="75"/>
      <c r="M1854" s="75"/>
      <c r="N1854" s="70"/>
      <c r="O1854" t="s">
        <v>1570</v>
      </c>
      <c r="P1854" s="76">
        <v>44958.721284722225</v>
      </c>
      <c r="Q1854" t="s">
        <v>1693</v>
      </c>
      <c r="V1854" s="77" t="str">
        <f>HYPERLINK("https://pbs.twimg.com/profile_images/1620487955075801096/v5o5Lh6w_normal.jpg")</f>
        <v>https://pbs.twimg.com/profile_images/1620487955075801096/v5o5Lh6w_normal.jpg</v>
      </c>
      <c r="W1854" s="76">
        <v>44958.721284722225</v>
      </c>
      <c r="X1854" s="80">
        <v>44958</v>
      </c>
      <c r="Y1854" s="78" t="s">
        <v>2674</v>
      </c>
      <c r="Z1854" s="77" t="str">
        <f>HYPERLINK("https://twitter.com/elvisrondon_/status/1620834023592562688")</f>
        <v>https://twitter.com/elvisrondon_/status/1620834023592562688</v>
      </c>
      <c r="AC1854" s="78" t="s">
        <v>3692</v>
      </c>
      <c r="AE1854" t="b">
        <v>0</v>
      </c>
      <c r="AF1854">
        <v>0</v>
      </c>
      <c r="AG1854" s="78" t="s">
        <v>4640</v>
      </c>
      <c r="AH1854" t="b">
        <v>0</v>
      </c>
      <c r="AI1854" t="s">
        <v>4829</v>
      </c>
      <c r="AK1854" s="78" t="s">
        <v>4640</v>
      </c>
      <c r="AL1854" t="b">
        <v>0</v>
      </c>
      <c r="AM1854">
        <v>162</v>
      </c>
      <c r="AN1854" s="78" t="s">
        <v>4473</v>
      </c>
      <c r="AO1854" s="78" t="s">
        <v>4849</v>
      </c>
      <c r="AP1854" t="b">
        <v>0</v>
      </c>
      <c r="AQ1854" s="78" t="s">
        <v>4473</v>
      </c>
      <c r="AR1854" t="s">
        <v>179</v>
      </c>
      <c r="AS1854">
        <v>0</v>
      </c>
      <c r="AT1854">
        <v>0</v>
      </c>
    </row>
    <row r="1855" spans="1:46" x14ac:dyDescent="0.45">
      <c r="A1855" s="62" t="s">
        <v>444</v>
      </c>
      <c r="B1855" s="62" t="s">
        <v>242</v>
      </c>
      <c r="C1855" s="63"/>
      <c r="D1855" s="64"/>
      <c r="E1855" s="65"/>
      <c r="F1855" s="66"/>
      <c r="G1855" s="63"/>
      <c r="H1855" s="67"/>
      <c r="I1855" s="68"/>
      <c r="J1855" s="68"/>
      <c r="K1855" s="32"/>
      <c r="L1855" s="75"/>
      <c r="M1855" s="75"/>
      <c r="N1855" s="70"/>
      <c r="O1855" t="s">
        <v>1569</v>
      </c>
      <c r="P1855" s="76">
        <v>44958.721284722225</v>
      </c>
      <c r="Q1855" t="s">
        <v>1693</v>
      </c>
      <c r="V1855" s="77" t="str">
        <f>HYPERLINK("https://pbs.twimg.com/profile_images/1620487955075801096/v5o5Lh6w_normal.jpg")</f>
        <v>https://pbs.twimg.com/profile_images/1620487955075801096/v5o5Lh6w_normal.jpg</v>
      </c>
      <c r="W1855" s="76">
        <v>44958.721284722225</v>
      </c>
      <c r="X1855" s="80">
        <v>44958</v>
      </c>
      <c r="Y1855" s="78" t="s">
        <v>2674</v>
      </c>
      <c r="Z1855" s="77" t="str">
        <f>HYPERLINK("https://twitter.com/elvisrondon_/status/1620834023592562688")</f>
        <v>https://twitter.com/elvisrondon_/status/1620834023592562688</v>
      </c>
      <c r="AC1855" s="78" t="s">
        <v>3692</v>
      </c>
      <c r="AE1855" t="b">
        <v>0</v>
      </c>
      <c r="AF1855">
        <v>0</v>
      </c>
      <c r="AG1855" s="78" t="s">
        <v>4640</v>
      </c>
      <c r="AH1855" t="b">
        <v>0</v>
      </c>
      <c r="AI1855" t="s">
        <v>4829</v>
      </c>
      <c r="AK1855" s="78" t="s">
        <v>4640</v>
      </c>
      <c r="AL1855" t="b">
        <v>0</v>
      </c>
      <c r="AM1855">
        <v>162</v>
      </c>
      <c r="AN1855" s="78" t="s">
        <v>4473</v>
      </c>
      <c r="AO1855" s="78" t="s">
        <v>4849</v>
      </c>
      <c r="AP1855" t="b">
        <v>0</v>
      </c>
      <c r="AQ1855" s="78" t="s">
        <v>4473</v>
      </c>
      <c r="AR1855" t="s">
        <v>179</v>
      </c>
      <c r="AS1855">
        <v>0</v>
      </c>
      <c r="AT1855">
        <v>0</v>
      </c>
    </row>
    <row r="1856" spans="1:46" x14ac:dyDescent="0.45">
      <c r="A1856" s="62" t="s">
        <v>445</v>
      </c>
      <c r="B1856" s="62" t="s">
        <v>1230</v>
      </c>
      <c r="C1856" s="63"/>
      <c r="D1856" s="64"/>
      <c r="E1856" s="65"/>
      <c r="F1856" s="66"/>
      <c r="G1856" s="63"/>
      <c r="H1856" s="67"/>
      <c r="I1856" s="68"/>
      <c r="J1856" s="68"/>
      <c r="K1856" s="32"/>
      <c r="L1856" s="75"/>
      <c r="M1856" s="75"/>
      <c r="N1856" s="70"/>
      <c r="O1856" t="s">
        <v>1570</v>
      </c>
      <c r="P1856" s="76">
        <v>44958.721342592595</v>
      </c>
      <c r="Q1856" t="s">
        <v>1693</v>
      </c>
      <c r="V1856" s="77" t="str">
        <f>HYPERLINK("https://pbs.twimg.com/profile_images/1620652585408696321/MTRzm-qP_normal.jpg")</f>
        <v>https://pbs.twimg.com/profile_images/1620652585408696321/MTRzm-qP_normal.jpg</v>
      </c>
      <c r="W1856" s="76">
        <v>44958.721342592595</v>
      </c>
      <c r="X1856" s="80">
        <v>44958</v>
      </c>
      <c r="Y1856" s="78" t="s">
        <v>2675</v>
      </c>
      <c r="Z1856" s="77" t="str">
        <f>HYPERLINK("https://twitter.com/deancentenotv/status/1620834042768928768")</f>
        <v>https://twitter.com/deancentenotv/status/1620834042768928768</v>
      </c>
      <c r="AC1856" s="78" t="s">
        <v>3693</v>
      </c>
      <c r="AE1856" t="b">
        <v>0</v>
      </c>
      <c r="AF1856">
        <v>0</v>
      </c>
      <c r="AG1856" s="78" t="s">
        <v>4640</v>
      </c>
      <c r="AH1856" t="b">
        <v>0</v>
      </c>
      <c r="AI1856" t="s">
        <v>4829</v>
      </c>
      <c r="AK1856" s="78" t="s">
        <v>4640</v>
      </c>
      <c r="AL1856" t="b">
        <v>0</v>
      </c>
      <c r="AM1856">
        <v>162</v>
      </c>
      <c r="AN1856" s="78" t="s">
        <v>4473</v>
      </c>
      <c r="AO1856" s="78" t="s">
        <v>4849</v>
      </c>
      <c r="AP1856" t="b">
        <v>0</v>
      </c>
      <c r="AQ1856" s="78" t="s">
        <v>4473</v>
      </c>
      <c r="AR1856" t="s">
        <v>179</v>
      </c>
      <c r="AS1856">
        <v>0</v>
      </c>
      <c r="AT1856">
        <v>0</v>
      </c>
    </row>
    <row r="1857" spans="1:46" x14ac:dyDescent="0.45">
      <c r="A1857" s="62" t="s">
        <v>445</v>
      </c>
      <c r="B1857" s="62" t="s">
        <v>242</v>
      </c>
      <c r="C1857" s="63"/>
      <c r="D1857" s="64"/>
      <c r="E1857" s="65"/>
      <c r="F1857" s="66"/>
      <c r="G1857" s="63"/>
      <c r="H1857" s="67"/>
      <c r="I1857" s="68"/>
      <c r="J1857" s="68"/>
      <c r="K1857" s="32"/>
      <c r="L1857" s="75"/>
      <c r="M1857" s="75"/>
      <c r="N1857" s="70"/>
      <c r="O1857" t="s">
        <v>1569</v>
      </c>
      <c r="P1857" s="76">
        <v>44958.721342592595</v>
      </c>
      <c r="Q1857" t="s">
        <v>1693</v>
      </c>
      <c r="V1857" s="77" t="str">
        <f>HYPERLINK("https://pbs.twimg.com/profile_images/1620652585408696321/MTRzm-qP_normal.jpg")</f>
        <v>https://pbs.twimg.com/profile_images/1620652585408696321/MTRzm-qP_normal.jpg</v>
      </c>
      <c r="W1857" s="76">
        <v>44958.721342592595</v>
      </c>
      <c r="X1857" s="80">
        <v>44958</v>
      </c>
      <c r="Y1857" s="78" t="s">
        <v>2675</v>
      </c>
      <c r="Z1857" s="77" t="str">
        <f>HYPERLINK("https://twitter.com/deancentenotv/status/1620834042768928768")</f>
        <v>https://twitter.com/deancentenotv/status/1620834042768928768</v>
      </c>
      <c r="AC1857" s="78" t="s">
        <v>3693</v>
      </c>
      <c r="AE1857" t="b">
        <v>0</v>
      </c>
      <c r="AF1857">
        <v>0</v>
      </c>
      <c r="AG1857" s="78" t="s">
        <v>4640</v>
      </c>
      <c r="AH1857" t="b">
        <v>0</v>
      </c>
      <c r="AI1857" t="s">
        <v>4829</v>
      </c>
      <c r="AK1857" s="78" t="s">
        <v>4640</v>
      </c>
      <c r="AL1857" t="b">
        <v>0</v>
      </c>
      <c r="AM1857">
        <v>162</v>
      </c>
      <c r="AN1857" s="78" t="s">
        <v>4473</v>
      </c>
      <c r="AO1857" s="78" t="s">
        <v>4849</v>
      </c>
      <c r="AP1857" t="b">
        <v>0</v>
      </c>
      <c r="AQ1857" s="78" t="s">
        <v>4473</v>
      </c>
      <c r="AR1857" t="s">
        <v>179</v>
      </c>
      <c r="AS1857">
        <v>0</v>
      </c>
      <c r="AT1857">
        <v>0</v>
      </c>
    </row>
    <row r="1858" spans="1:46" x14ac:dyDescent="0.45">
      <c r="A1858" s="62" t="s">
        <v>446</v>
      </c>
      <c r="B1858" s="62" t="s">
        <v>1230</v>
      </c>
      <c r="C1858" s="63"/>
      <c r="D1858" s="64"/>
      <c r="E1858" s="65"/>
      <c r="F1858" s="66"/>
      <c r="G1858" s="63"/>
      <c r="H1858" s="67"/>
      <c r="I1858" s="68"/>
      <c r="J1858" s="68"/>
      <c r="K1858" s="32"/>
      <c r="L1858" s="75"/>
      <c r="M1858" s="75"/>
      <c r="N1858" s="70"/>
      <c r="O1858" t="s">
        <v>1570</v>
      </c>
      <c r="P1858" s="76">
        <v>44958.721666666665</v>
      </c>
      <c r="Q1858" t="s">
        <v>1693</v>
      </c>
      <c r="V1858" s="77" t="str">
        <f>HYPERLINK("https://pbs.twimg.com/profile_images/1555665985604042752/A6si9aHr_normal.png")</f>
        <v>https://pbs.twimg.com/profile_images/1555665985604042752/A6si9aHr_normal.png</v>
      </c>
      <c r="W1858" s="76">
        <v>44958.721666666665</v>
      </c>
      <c r="X1858" s="80">
        <v>44958</v>
      </c>
      <c r="Y1858" s="78" t="s">
        <v>2676</v>
      </c>
      <c r="Z1858" s="77" t="str">
        <f>HYPERLINK("https://twitter.com/bella5900g/status/1620834160112984064")</f>
        <v>https://twitter.com/bella5900g/status/1620834160112984064</v>
      </c>
      <c r="AC1858" s="78" t="s">
        <v>3694</v>
      </c>
      <c r="AE1858" t="b">
        <v>0</v>
      </c>
      <c r="AF1858">
        <v>0</v>
      </c>
      <c r="AG1858" s="78" t="s">
        <v>4640</v>
      </c>
      <c r="AH1858" t="b">
        <v>0</v>
      </c>
      <c r="AI1858" t="s">
        <v>4829</v>
      </c>
      <c r="AK1858" s="78" t="s">
        <v>4640</v>
      </c>
      <c r="AL1858" t="b">
        <v>0</v>
      </c>
      <c r="AM1858">
        <v>162</v>
      </c>
      <c r="AN1858" s="78" t="s">
        <v>4473</v>
      </c>
      <c r="AO1858" s="78" t="s">
        <v>4850</v>
      </c>
      <c r="AP1858" t="b">
        <v>0</v>
      </c>
      <c r="AQ1858" s="78" t="s">
        <v>4473</v>
      </c>
      <c r="AR1858" t="s">
        <v>179</v>
      </c>
      <c r="AS1858">
        <v>0</v>
      </c>
      <c r="AT1858">
        <v>0</v>
      </c>
    </row>
    <row r="1859" spans="1:46" x14ac:dyDescent="0.45">
      <c r="A1859" s="62" t="s">
        <v>446</v>
      </c>
      <c r="B1859" s="62" t="s">
        <v>242</v>
      </c>
      <c r="C1859" s="63"/>
      <c r="D1859" s="64"/>
      <c r="E1859" s="65"/>
      <c r="F1859" s="66"/>
      <c r="G1859" s="63"/>
      <c r="H1859" s="67"/>
      <c r="I1859" s="68"/>
      <c r="J1859" s="68"/>
      <c r="K1859" s="32"/>
      <c r="L1859" s="75"/>
      <c r="M1859" s="75"/>
      <c r="N1859" s="70"/>
      <c r="O1859" t="s">
        <v>1569</v>
      </c>
      <c r="P1859" s="76">
        <v>44958.721666666665</v>
      </c>
      <c r="Q1859" t="s">
        <v>1693</v>
      </c>
      <c r="V1859" s="77" t="str">
        <f>HYPERLINK("https://pbs.twimg.com/profile_images/1555665985604042752/A6si9aHr_normal.png")</f>
        <v>https://pbs.twimg.com/profile_images/1555665985604042752/A6si9aHr_normal.png</v>
      </c>
      <c r="W1859" s="76">
        <v>44958.721666666665</v>
      </c>
      <c r="X1859" s="80">
        <v>44958</v>
      </c>
      <c r="Y1859" s="78" t="s">
        <v>2676</v>
      </c>
      <c r="Z1859" s="77" t="str">
        <f>HYPERLINK("https://twitter.com/bella5900g/status/1620834160112984064")</f>
        <v>https://twitter.com/bella5900g/status/1620834160112984064</v>
      </c>
      <c r="AC1859" s="78" t="s">
        <v>3694</v>
      </c>
      <c r="AE1859" t="b">
        <v>0</v>
      </c>
      <c r="AF1859">
        <v>0</v>
      </c>
      <c r="AG1859" s="78" t="s">
        <v>4640</v>
      </c>
      <c r="AH1859" t="b">
        <v>0</v>
      </c>
      <c r="AI1859" t="s">
        <v>4829</v>
      </c>
      <c r="AK1859" s="78" t="s">
        <v>4640</v>
      </c>
      <c r="AL1859" t="b">
        <v>0</v>
      </c>
      <c r="AM1859">
        <v>162</v>
      </c>
      <c r="AN1859" s="78" t="s">
        <v>4473</v>
      </c>
      <c r="AO1859" s="78" t="s">
        <v>4850</v>
      </c>
      <c r="AP1859" t="b">
        <v>0</v>
      </c>
      <c r="AQ1859" s="78" t="s">
        <v>4473</v>
      </c>
      <c r="AR1859" t="s">
        <v>179</v>
      </c>
      <c r="AS1859">
        <v>0</v>
      </c>
      <c r="AT1859">
        <v>0</v>
      </c>
    </row>
    <row r="1860" spans="1:46" x14ac:dyDescent="0.45">
      <c r="A1860" s="62" t="s">
        <v>448</v>
      </c>
      <c r="B1860" s="62" t="s">
        <v>1265</v>
      </c>
      <c r="C1860" s="63"/>
      <c r="D1860" s="64"/>
      <c r="E1860" s="65"/>
      <c r="F1860" s="66"/>
      <c r="G1860" s="63"/>
      <c r="H1860" s="67"/>
      <c r="I1860" s="68"/>
      <c r="J1860" s="68"/>
      <c r="K1860" s="32"/>
      <c r="L1860" s="75"/>
      <c r="M1860" s="75"/>
      <c r="N1860" s="70"/>
      <c r="O1860" t="s">
        <v>1568</v>
      </c>
      <c r="P1860" s="76">
        <v>44958.722037037034</v>
      </c>
      <c r="Q1860" t="s">
        <v>1750</v>
      </c>
      <c r="V1860" s="77" t="str">
        <f>HYPERLINK("https://pbs.twimg.com/profile_images/1228200485397516289/Xi4Knveu_normal.jpg")</f>
        <v>https://pbs.twimg.com/profile_images/1228200485397516289/Xi4Knveu_normal.jpg</v>
      </c>
      <c r="W1860" s="76">
        <v>44958.722037037034</v>
      </c>
      <c r="X1860" s="80">
        <v>44958</v>
      </c>
      <c r="Y1860" s="78" t="s">
        <v>2678</v>
      </c>
      <c r="Z1860" s="77" t="str">
        <f>HYPERLINK("https://twitter.com/citasix/status/1620834296973103107")</f>
        <v>https://twitter.com/citasix/status/1620834296973103107</v>
      </c>
      <c r="AC1860" s="78" t="s">
        <v>3696</v>
      </c>
      <c r="AD1860" s="78" t="s">
        <v>4226</v>
      </c>
      <c r="AE1860" t="b">
        <v>0</v>
      </c>
      <c r="AF1860">
        <v>0</v>
      </c>
      <c r="AG1860" s="78" t="s">
        <v>4693</v>
      </c>
      <c r="AH1860" t="b">
        <v>0</v>
      </c>
      <c r="AI1860" t="s">
        <v>4829</v>
      </c>
      <c r="AK1860" s="78" t="s">
        <v>4640</v>
      </c>
      <c r="AL1860" t="b">
        <v>0</v>
      </c>
      <c r="AM1860">
        <v>0</v>
      </c>
      <c r="AN1860" s="78" t="s">
        <v>4640</v>
      </c>
      <c r="AO1860" s="78" t="s">
        <v>4850</v>
      </c>
      <c r="AP1860" t="b">
        <v>0</v>
      </c>
      <c r="AQ1860" s="78" t="s">
        <v>4226</v>
      </c>
      <c r="AR1860" t="s">
        <v>179</v>
      </c>
      <c r="AS1860">
        <v>0</v>
      </c>
      <c r="AT1860">
        <v>0</v>
      </c>
    </row>
    <row r="1861" spans="1:46" x14ac:dyDescent="0.45">
      <c r="A1861" s="62" t="s">
        <v>448</v>
      </c>
      <c r="B1861" s="62" t="s">
        <v>1266</v>
      </c>
      <c r="C1861" s="63"/>
      <c r="D1861" s="64"/>
      <c r="E1861" s="65"/>
      <c r="F1861" s="66"/>
      <c r="G1861" s="63"/>
      <c r="H1861" s="67"/>
      <c r="I1861" s="68"/>
      <c r="J1861" s="68"/>
      <c r="K1861" s="32"/>
      <c r="L1861" s="75"/>
      <c r="M1861" s="75"/>
      <c r="N1861" s="70"/>
      <c r="O1861" t="s">
        <v>1568</v>
      </c>
      <c r="P1861" s="76">
        <v>44958.722037037034</v>
      </c>
      <c r="Q1861" t="s">
        <v>1750</v>
      </c>
      <c r="V1861" s="77" t="str">
        <f>HYPERLINK("https://pbs.twimg.com/profile_images/1228200485397516289/Xi4Knveu_normal.jpg")</f>
        <v>https://pbs.twimg.com/profile_images/1228200485397516289/Xi4Knveu_normal.jpg</v>
      </c>
      <c r="W1861" s="76">
        <v>44958.722037037034</v>
      </c>
      <c r="X1861" s="80">
        <v>44958</v>
      </c>
      <c r="Y1861" s="78" t="s">
        <v>2678</v>
      </c>
      <c r="Z1861" s="77" t="str">
        <f>HYPERLINK("https://twitter.com/citasix/status/1620834296973103107")</f>
        <v>https://twitter.com/citasix/status/1620834296973103107</v>
      </c>
      <c r="AC1861" s="78" t="s">
        <v>3696</v>
      </c>
      <c r="AD1861" s="78" t="s">
        <v>4226</v>
      </c>
      <c r="AE1861" t="b">
        <v>0</v>
      </c>
      <c r="AF1861">
        <v>0</v>
      </c>
      <c r="AG1861" s="78" t="s">
        <v>4693</v>
      </c>
      <c r="AH1861" t="b">
        <v>0</v>
      </c>
      <c r="AI1861" t="s">
        <v>4829</v>
      </c>
      <c r="AK1861" s="78" t="s">
        <v>4640</v>
      </c>
      <c r="AL1861" t="b">
        <v>0</v>
      </c>
      <c r="AM1861">
        <v>0</v>
      </c>
      <c r="AN1861" s="78" t="s">
        <v>4640</v>
      </c>
      <c r="AO1861" s="78" t="s">
        <v>4850</v>
      </c>
      <c r="AP1861" t="b">
        <v>0</v>
      </c>
      <c r="AQ1861" s="78" t="s">
        <v>4226</v>
      </c>
      <c r="AR1861" t="s">
        <v>179</v>
      </c>
      <c r="AS1861">
        <v>0</v>
      </c>
      <c r="AT1861">
        <v>0</v>
      </c>
    </row>
    <row r="1862" spans="1:46" x14ac:dyDescent="0.45">
      <c r="A1862" s="62" t="s">
        <v>448</v>
      </c>
      <c r="B1862" s="62" t="s">
        <v>1267</v>
      </c>
      <c r="C1862" s="63"/>
      <c r="D1862" s="64"/>
      <c r="E1862" s="65"/>
      <c r="F1862" s="66"/>
      <c r="G1862" s="63"/>
      <c r="H1862" s="67"/>
      <c r="I1862" s="68"/>
      <c r="J1862" s="68"/>
      <c r="K1862" s="32"/>
      <c r="L1862" s="75"/>
      <c r="M1862" s="75"/>
      <c r="N1862" s="70"/>
      <c r="O1862" t="s">
        <v>1568</v>
      </c>
      <c r="P1862" s="76">
        <v>44958.722037037034</v>
      </c>
      <c r="Q1862" t="s">
        <v>1750</v>
      </c>
      <c r="V1862" s="77" t="str">
        <f>HYPERLINK("https://pbs.twimg.com/profile_images/1228200485397516289/Xi4Knveu_normal.jpg")</f>
        <v>https://pbs.twimg.com/profile_images/1228200485397516289/Xi4Knveu_normal.jpg</v>
      </c>
      <c r="W1862" s="76">
        <v>44958.722037037034</v>
      </c>
      <c r="X1862" s="80">
        <v>44958</v>
      </c>
      <c r="Y1862" s="78" t="s">
        <v>2678</v>
      </c>
      <c r="Z1862" s="77" t="str">
        <f>HYPERLINK("https://twitter.com/citasix/status/1620834296973103107")</f>
        <v>https://twitter.com/citasix/status/1620834296973103107</v>
      </c>
      <c r="AC1862" s="78" t="s">
        <v>3696</v>
      </c>
      <c r="AD1862" s="78" t="s">
        <v>4226</v>
      </c>
      <c r="AE1862" t="b">
        <v>0</v>
      </c>
      <c r="AF1862">
        <v>0</v>
      </c>
      <c r="AG1862" s="78" t="s">
        <v>4693</v>
      </c>
      <c r="AH1862" t="b">
        <v>0</v>
      </c>
      <c r="AI1862" t="s">
        <v>4829</v>
      </c>
      <c r="AK1862" s="78" t="s">
        <v>4640</v>
      </c>
      <c r="AL1862" t="b">
        <v>0</v>
      </c>
      <c r="AM1862">
        <v>0</v>
      </c>
      <c r="AN1862" s="78" t="s">
        <v>4640</v>
      </c>
      <c r="AO1862" s="78" t="s">
        <v>4850</v>
      </c>
      <c r="AP1862" t="b">
        <v>0</v>
      </c>
      <c r="AQ1862" s="78" t="s">
        <v>4226</v>
      </c>
      <c r="AR1862" t="s">
        <v>179</v>
      </c>
      <c r="AS1862">
        <v>0</v>
      </c>
      <c r="AT1862">
        <v>0</v>
      </c>
    </row>
    <row r="1863" spans="1:46" x14ac:dyDescent="0.45">
      <c r="A1863" s="62" t="s">
        <v>448</v>
      </c>
      <c r="B1863" s="62" t="s">
        <v>1268</v>
      </c>
      <c r="C1863" s="63"/>
      <c r="D1863" s="64"/>
      <c r="E1863" s="65"/>
      <c r="F1863" s="66"/>
      <c r="G1863" s="63"/>
      <c r="H1863" s="67"/>
      <c r="I1863" s="68"/>
      <c r="J1863" s="68"/>
      <c r="K1863" s="32"/>
      <c r="L1863" s="75"/>
      <c r="M1863" s="75"/>
      <c r="N1863" s="70"/>
      <c r="O1863" t="s">
        <v>1568</v>
      </c>
      <c r="P1863" s="76">
        <v>44958.722037037034</v>
      </c>
      <c r="Q1863" t="s">
        <v>1750</v>
      </c>
      <c r="V1863" s="77" t="str">
        <f>HYPERLINK("https://pbs.twimg.com/profile_images/1228200485397516289/Xi4Knveu_normal.jpg")</f>
        <v>https://pbs.twimg.com/profile_images/1228200485397516289/Xi4Knveu_normal.jpg</v>
      </c>
      <c r="W1863" s="76">
        <v>44958.722037037034</v>
      </c>
      <c r="X1863" s="80">
        <v>44958</v>
      </c>
      <c r="Y1863" s="78" t="s">
        <v>2678</v>
      </c>
      <c r="Z1863" s="77" t="str">
        <f>HYPERLINK("https://twitter.com/citasix/status/1620834296973103107")</f>
        <v>https://twitter.com/citasix/status/1620834296973103107</v>
      </c>
      <c r="AC1863" s="78" t="s">
        <v>3696</v>
      </c>
      <c r="AD1863" s="78" t="s">
        <v>4226</v>
      </c>
      <c r="AE1863" t="b">
        <v>0</v>
      </c>
      <c r="AF1863">
        <v>0</v>
      </c>
      <c r="AG1863" s="78" t="s">
        <v>4693</v>
      </c>
      <c r="AH1863" t="b">
        <v>0</v>
      </c>
      <c r="AI1863" t="s">
        <v>4829</v>
      </c>
      <c r="AK1863" s="78" t="s">
        <v>4640</v>
      </c>
      <c r="AL1863" t="b">
        <v>0</v>
      </c>
      <c r="AM1863">
        <v>0</v>
      </c>
      <c r="AN1863" s="78" t="s">
        <v>4640</v>
      </c>
      <c r="AO1863" s="78" t="s">
        <v>4850</v>
      </c>
      <c r="AP1863" t="b">
        <v>0</v>
      </c>
      <c r="AQ1863" s="78" t="s">
        <v>4226</v>
      </c>
      <c r="AR1863" t="s">
        <v>179</v>
      </c>
      <c r="AS1863">
        <v>0</v>
      </c>
      <c r="AT1863">
        <v>0</v>
      </c>
    </row>
    <row r="1864" spans="1:46" x14ac:dyDescent="0.45">
      <c r="A1864" s="62" t="s">
        <v>448</v>
      </c>
      <c r="B1864" s="62" t="s">
        <v>1181</v>
      </c>
      <c r="C1864" s="63"/>
      <c r="D1864" s="64"/>
      <c r="E1864" s="65"/>
      <c r="F1864" s="66"/>
      <c r="G1864" s="63"/>
      <c r="H1864" s="67"/>
      <c r="I1864" s="68"/>
      <c r="J1864" s="68"/>
      <c r="K1864" s="32"/>
      <c r="L1864" s="75"/>
      <c r="M1864" s="75"/>
      <c r="N1864" s="70"/>
      <c r="O1864" t="s">
        <v>1568</v>
      </c>
      <c r="P1864" s="76">
        <v>44958.722037037034</v>
      </c>
      <c r="Q1864" t="s">
        <v>1750</v>
      </c>
      <c r="V1864" s="77" t="str">
        <f>HYPERLINK("https://pbs.twimg.com/profile_images/1228200485397516289/Xi4Knveu_normal.jpg")</f>
        <v>https://pbs.twimg.com/profile_images/1228200485397516289/Xi4Knveu_normal.jpg</v>
      </c>
      <c r="W1864" s="76">
        <v>44958.722037037034</v>
      </c>
      <c r="X1864" s="80">
        <v>44958</v>
      </c>
      <c r="Y1864" s="78" t="s">
        <v>2678</v>
      </c>
      <c r="Z1864" s="77" t="str">
        <f>HYPERLINK("https://twitter.com/citasix/status/1620834296973103107")</f>
        <v>https://twitter.com/citasix/status/1620834296973103107</v>
      </c>
      <c r="AC1864" s="78" t="s">
        <v>3696</v>
      </c>
      <c r="AD1864" s="78" t="s">
        <v>4226</v>
      </c>
      <c r="AE1864" t="b">
        <v>0</v>
      </c>
      <c r="AF1864">
        <v>0</v>
      </c>
      <c r="AG1864" s="78" t="s">
        <v>4693</v>
      </c>
      <c r="AH1864" t="b">
        <v>0</v>
      </c>
      <c r="AI1864" t="s">
        <v>4829</v>
      </c>
      <c r="AK1864" s="78" t="s">
        <v>4640</v>
      </c>
      <c r="AL1864" t="b">
        <v>0</v>
      </c>
      <c r="AM1864">
        <v>0</v>
      </c>
      <c r="AN1864" s="78" t="s">
        <v>4640</v>
      </c>
      <c r="AO1864" s="78" t="s">
        <v>4850</v>
      </c>
      <c r="AP1864" t="b">
        <v>0</v>
      </c>
      <c r="AQ1864" s="78" t="s">
        <v>4226</v>
      </c>
      <c r="AR1864" t="s">
        <v>179</v>
      </c>
      <c r="AS1864">
        <v>0</v>
      </c>
      <c r="AT1864">
        <v>0</v>
      </c>
    </row>
    <row r="1865" spans="1:46" x14ac:dyDescent="0.45">
      <c r="A1865" s="62" t="s">
        <v>448</v>
      </c>
      <c r="B1865" s="62" t="s">
        <v>1113</v>
      </c>
      <c r="C1865" s="63"/>
      <c r="D1865" s="64"/>
      <c r="E1865" s="65"/>
      <c r="F1865" s="66"/>
      <c r="G1865" s="63"/>
      <c r="H1865" s="67"/>
      <c r="I1865" s="68"/>
      <c r="J1865" s="68"/>
      <c r="K1865" s="32"/>
      <c r="L1865" s="75"/>
      <c r="M1865" s="75"/>
      <c r="N1865" s="70"/>
      <c r="O1865" t="s">
        <v>1568</v>
      </c>
      <c r="P1865" s="76">
        <v>44958.722037037034</v>
      </c>
      <c r="Q1865" t="s">
        <v>1750</v>
      </c>
      <c r="V1865" s="77" t="str">
        <f>HYPERLINK("https://pbs.twimg.com/profile_images/1228200485397516289/Xi4Knveu_normal.jpg")</f>
        <v>https://pbs.twimg.com/profile_images/1228200485397516289/Xi4Knveu_normal.jpg</v>
      </c>
      <c r="W1865" s="76">
        <v>44958.722037037034</v>
      </c>
      <c r="X1865" s="80">
        <v>44958</v>
      </c>
      <c r="Y1865" s="78" t="s">
        <v>2678</v>
      </c>
      <c r="Z1865" s="77" t="str">
        <f>HYPERLINK("https://twitter.com/citasix/status/1620834296973103107")</f>
        <v>https://twitter.com/citasix/status/1620834296973103107</v>
      </c>
      <c r="AC1865" s="78" t="s">
        <v>3696</v>
      </c>
      <c r="AD1865" s="78" t="s">
        <v>4226</v>
      </c>
      <c r="AE1865" t="b">
        <v>0</v>
      </c>
      <c r="AF1865">
        <v>0</v>
      </c>
      <c r="AG1865" s="78" t="s">
        <v>4693</v>
      </c>
      <c r="AH1865" t="b">
        <v>0</v>
      </c>
      <c r="AI1865" t="s">
        <v>4829</v>
      </c>
      <c r="AK1865" s="78" t="s">
        <v>4640</v>
      </c>
      <c r="AL1865" t="b">
        <v>0</v>
      </c>
      <c r="AM1865">
        <v>0</v>
      </c>
      <c r="AN1865" s="78" t="s">
        <v>4640</v>
      </c>
      <c r="AO1865" s="78" t="s">
        <v>4850</v>
      </c>
      <c r="AP1865" t="b">
        <v>0</v>
      </c>
      <c r="AQ1865" s="78" t="s">
        <v>4226</v>
      </c>
      <c r="AR1865" t="s">
        <v>179</v>
      </c>
      <c r="AS1865">
        <v>0</v>
      </c>
      <c r="AT1865">
        <v>0</v>
      </c>
    </row>
    <row r="1866" spans="1:46" x14ac:dyDescent="0.45">
      <c r="A1866" s="62" t="s">
        <v>448</v>
      </c>
      <c r="B1866" s="62" t="s">
        <v>242</v>
      </c>
      <c r="C1866" s="63"/>
      <c r="D1866" s="64"/>
      <c r="E1866" s="65"/>
      <c r="F1866" s="66"/>
      <c r="G1866" s="63"/>
      <c r="H1866" s="67"/>
      <c r="I1866" s="68"/>
      <c r="J1866" s="68"/>
      <c r="K1866" s="32"/>
      <c r="L1866" s="75"/>
      <c r="M1866" s="75"/>
      <c r="N1866" s="70"/>
      <c r="O1866" t="s">
        <v>1568</v>
      </c>
      <c r="P1866" s="76">
        <v>44958.722037037034</v>
      </c>
      <c r="Q1866" t="s">
        <v>1750</v>
      </c>
      <c r="V1866" s="77" t="str">
        <f>HYPERLINK("https://pbs.twimg.com/profile_images/1228200485397516289/Xi4Knveu_normal.jpg")</f>
        <v>https://pbs.twimg.com/profile_images/1228200485397516289/Xi4Knveu_normal.jpg</v>
      </c>
      <c r="W1866" s="76">
        <v>44958.722037037034</v>
      </c>
      <c r="X1866" s="80">
        <v>44958</v>
      </c>
      <c r="Y1866" s="78" t="s">
        <v>2678</v>
      </c>
      <c r="Z1866" s="77" t="str">
        <f>HYPERLINK("https://twitter.com/citasix/status/1620834296973103107")</f>
        <v>https://twitter.com/citasix/status/1620834296973103107</v>
      </c>
      <c r="AC1866" s="78" t="s">
        <v>3696</v>
      </c>
      <c r="AD1866" s="78" t="s">
        <v>4226</v>
      </c>
      <c r="AE1866" t="b">
        <v>0</v>
      </c>
      <c r="AF1866">
        <v>0</v>
      </c>
      <c r="AG1866" s="78" t="s">
        <v>4693</v>
      </c>
      <c r="AH1866" t="b">
        <v>0</v>
      </c>
      <c r="AI1866" t="s">
        <v>4829</v>
      </c>
      <c r="AK1866" s="78" t="s">
        <v>4640</v>
      </c>
      <c r="AL1866" t="b">
        <v>0</v>
      </c>
      <c r="AM1866">
        <v>0</v>
      </c>
      <c r="AN1866" s="78" t="s">
        <v>4640</v>
      </c>
      <c r="AO1866" s="78" t="s">
        <v>4850</v>
      </c>
      <c r="AP1866" t="b">
        <v>0</v>
      </c>
      <c r="AQ1866" s="78" t="s">
        <v>4226</v>
      </c>
      <c r="AR1866" t="s">
        <v>179</v>
      </c>
      <c r="AS1866">
        <v>0</v>
      </c>
      <c r="AT1866">
        <v>0</v>
      </c>
    </row>
    <row r="1867" spans="1:46" x14ac:dyDescent="0.45">
      <c r="A1867" s="62" t="s">
        <v>448</v>
      </c>
      <c r="B1867" s="62" t="s">
        <v>899</v>
      </c>
      <c r="C1867" s="63"/>
      <c r="D1867" s="64"/>
      <c r="E1867" s="65"/>
      <c r="F1867" s="66"/>
      <c r="G1867" s="63"/>
      <c r="H1867" s="67"/>
      <c r="I1867" s="68"/>
      <c r="J1867" s="68"/>
      <c r="K1867" s="32"/>
      <c r="L1867" s="75"/>
      <c r="M1867" s="75"/>
      <c r="N1867" s="70"/>
      <c r="O1867" t="s">
        <v>1567</v>
      </c>
      <c r="P1867" s="76">
        <v>44958.722037037034</v>
      </c>
      <c r="Q1867" t="s">
        <v>1750</v>
      </c>
      <c r="V1867" s="77" t="str">
        <f>HYPERLINK("https://pbs.twimg.com/profile_images/1228200485397516289/Xi4Knveu_normal.jpg")</f>
        <v>https://pbs.twimg.com/profile_images/1228200485397516289/Xi4Knveu_normal.jpg</v>
      </c>
      <c r="W1867" s="76">
        <v>44958.722037037034</v>
      </c>
      <c r="X1867" s="80">
        <v>44958</v>
      </c>
      <c r="Y1867" s="78" t="s">
        <v>2678</v>
      </c>
      <c r="Z1867" s="77" t="str">
        <f>HYPERLINK("https://twitter.com/citasix/status/1620834296973103107")</f>
        <v>https://twitter.com/citasix/status/1620834296973103107</v>
      </c>
      <c r="AC1867" s="78" t="s">
        <v>3696</v>
      </c>
      <c r="AD1867" s="78" t="s">
        <v>4226</v>
      </c>
      <c r="AE1867" t="b">
        <v>0</v>
      </c>
      <c r="AF1867">
        <v>0</v>
      </c>
      <c r="AG1867" s="78" t="s">
        <v>4693</v>
      </c>
      <c r="AH1867" t="b">
        <v>0</v>
      </c>
      <c r="AI1867" t="s">
        <v>4829</v>
      </c>
      <c r="AK1867" s="78" t="s">
        <v>4640</v>
      </c>
      <c r="AL1867" t="b">
        <v>0</v>
      </c>
      <c r="AM1867">
        <v>0</v>
      </c>
      <c r="AN1867" s="78" t="s">
        <v>4640</v>
      </c>
      <c r="AO1867" s="78" t="s">
        <v>4850</v>
      </c>
      <c r="AP1867" t="b">
        <v>0</v>
      </c>
      <c r="AQ1867" s="78" t="s">
        <v>4226</v>
      </c>
      <c r="AR1867" t="s">
        <v>179</v>
      </c>
      <c r="AS1867">
        <v>0</v>
      </c>
      <c r="AT1867">
        <v>0</v>
      </c>
    </row>
    <row r="1868" spans="1:46" x14ac:dyDescent="0.45">
      <c r="A1868" s="62" t="s">
        <v>449</v>
      </c>
      <c r="B1868" s="62" t="s">
        <v>1230</v>
      </c>
      <c r="C1868" s="63"/>
      <c r="D1868" s="64"/>
      <c r="E1868" s="65"/>
      <c r="F1868" s="66"/>
      <c r="G1868" s="63"/>
      <c r="H1868" s="67"/>
      <c r="I1868" s="68"/>
      <c r="J1868" s="68"/>
      <c r="K1868" s="32"/>
      <c r="L1868" s="75"/>
      <c r="M1868" s="75"/>
      <c r="N1868" s="70"/>
      <c r="O1868" t="s">
        <v>1570</v>
      </c>
      <c r="P1868" s="76">
        <v>44958.723935185182</v>
      </c>
      <c r="Q1868" t="s">
        <v>1693</v>
      </c>
      <c r="V1868" s="77" t="str">
        <f>HYPERLINK("https://pbs.twimg.com/profile_images/1381275385346859009/2evBGgHK_normal.jpg")</f>
        <v>https://pbs.twimg.com/profile_images/1381275385346859009/2evBGgHK_normal.jpg</v>
      </c>
      <c r="W1868" s="76">
        <v>44958.723935185182</v>
      </c>
      <c r="X1868" s="80">
        <v>44958</v>
      </c>
      <c r="Y1868" s="78" t="s">
        <v>2679</v>
      </c>
      <c r="Z1868" s="77" t="str">
        <f>HYPERLINK("https://twitter.com/queenilamay/status/1620834983622627328")</f>
        <v>https://twitter.com/queenilamay/status/1620834983622627328</v>
      </c>
      <c r="AC1868" s="78" t="s">
        <v>3697</v>
      </c>
      <c r="AE1868" t="b">
        <v>0</v>
      </c>
      <c r="AF1868">
        <v>0</v>
      </c>
      <c r="AG1868" s="78" t="s">
        <v>4640</v>
      </c>
      <c r="AH1868" t="b">
        <v>0</v>
      </c>
      <c r="AI1868" t="s">
        <v>4829</v>
      </c>
      <c r="AK1868" s="78" t="s">
        <v>4640</v>
      </c>
      <c r="AL1868" t="b">
        <v>0</v>
      </c>
      <c r="AM1868">
        <v>162</v>
      </c>
      <c r="AN1868" s="78" t="s">
        <v>4473</v>
      </c>
      <c r="AO1868" s="78" t="s">
        <v>4850</v>
      </c>
      <c r="AP1868" t="b">
        <v>0</v>
      </c>
      <c r="AQ1868" s="78" t="s">
        <v>4473</v>
      </c>
      <c r="AR1868" t="s">
        <v>179</v>
      </c>
      <c r="AS1868">
        <v>0</v>
      </c>
      <c r="AT1868">
        <v>0</v>
      </c>
    </row>
    <row r="1869" spans="1:46" x14ac:dyDescent="0.45">
      <c r="A1869" s="62" t="s">
        <v>449</v>
      </c>
      <c r="B1869" s="62" t="s">
        <v>242</v>
      </c>
      <c r="C1869" s="63"/>
      <c r="D1869" s="64"/>
      <c r="E1869" s="65"/>
      <c r="F1869" s="66"/>
      <c r="G1869" s="63"/>
      <c r="H1869" s="67"/>
      <c r="I1869" s="68"/>
      <c r="J1869" s="68"/>
      <c r="K1869" s="32"/>
      <c r="L1869" s="75"/>
      <c r="M1869" s="75"/>
      <c r="N1869" s="70"/>
      <c r="O1869" t="s">
        <v>1569</v>
      </c>
      <c r="P1869" s="76">
        <v>44958.723935185182</v>
      </c>
      <c r="Q1869" t="s">
        <v>1693</v>
      </c>
      <c r="V1869" s="77" t="str">
        <f>HYPERLINK("https://pbs.twimg.com/profile_images/1381275385346859009/2evBGgHK_normal.jpg")</f>
        <v>https://pbs.twimg.com/profile_images/1381275385346859009/2evBGgHK_normal.jpg</v>
      </c>
      <c r="W1869" s="76">
        <v>44958.723935185182</v>
      </c>
      <c r="X1869" s="80">
        <v>44958</v>
      </c>
      <c r="Y1869" s="78" t="s">
        <v>2679</v>
      </c>
      <c r="Z1869" s="77" t="str">
        <f>HYPERLINK("https://twitter.com/queenilamay/status/1620834983622627328")</f>
        <v>https://twitter.com/queenilamay/status/1620834983622627328</v>
      </c>
      <c r="AC1869" s="78" t="s">
        <v>3697</v>
      </c>
      <c r="AE1869" t="b">
        <v>0</v>
      </c>
      <c r="AF1869">
        <v>0</v>
      </c>
      <c r="AG1869" s="78" t="s">
        <v>4640</v>
      </c>
      <c r="AH1869" t="b">
        <v>0</v>
      </c>
      <c r="AI1869" t="s">
        <v>4829</v>
      </c>
      <c r="AK1869" s="78" t="s">
        <v>4640</v>
      </c>
      <c r="AL1869" t="b">
        <v>0</v>
      </c>
      <c r="AM1869">
        <v>162</v>
      </c>
      <c r="AN1869" s="78" t="s">
        <v>4473</v>
      </c>
      <c r="AO1869" s="78" t="s">
        <v>4850</v>
      </c>
      <c r="AP1869" t="b">
        <v>0</v>
      </c>
      <c r="AQ1869" s="78" t="s">
        <v>4473</v>
      </c>
      <c r="AR1869" t="s">
        <v>179</v>
      </c>
      <c r="AS1869">
        <v>0</v>
      </c>
      <c r="AT1869">
        <v>0</v>
      </c>
    </row>
    <row r="1870" spans="1:46" x14ac:dyDescent="0.45">
      <c r="A1870" s="62" t="s">
        <v>450</v>
      </c>
      <c r="B1870" s="62" t="s">
        <v>242</v>
      </c>
      <c r="C1870" s="63"/>
      <c r="D1870" s="64"/>
      <c r="E1870" s="65"/>
      <c r="F1870" s="66"/>
      <c r="G1870" s="63"/>
      <c r="H1870" s="67"/>
      <c r="I1870" s="68"/>
      <c r="J1870" s="68"/>
      <c r="K1870" s="32"/>
      <c r="L1870" s="75"/>
      <c r="M1870" s="75"/>
      <c r="N1870" s="70"/>
      <c r="O1870" t="s">
        <v>1567</v>
      </c>
      <c r="P1870" s="76">
        <v>44958.726006944446</v>
      </c>
      <c r="Q1870" t="s">
        <v>1751</v>
      </c>
      <c r="V1870" s="77" t="str">
        <f>HYPERLINK("https://pbs.twimg.com/profile_images/706208868217581568/hVfFYTkn_normal.jpg")</f>
        <v>https://pbs.twimg.com/profile_images/706208868217581568/hVfFYTkn_normal.jpg</v>
      </c>
      <c r="W1870" s="76">
        <v>44958.726006944446</v>
      </c>
      <c r="X1870" s="80">
        <v>44958</v>
      </c>
      <c r="Y1870" s="78" t="s">
        <v>2680</v>
      </c>
      <c r="Z1870" s="77" t="str">
        <f>HYPERLINK("https://twitter.com/julietbogen/status/1620835732733698049")</f>
        <v>https://twitter.com/julietbogen/status/1620835732733698049</v>
      </c>
      <c r="AC1870" s="78" t="s">
        <v>3698</v>
      </c>
      <c r="AE1870" t="b">
        <v>0</v>
      </c>
      <c r="AF1870">
        <v>0</v>
      </c>
      <c r="AG1870" s="78" t="s">
        <v>4639</v>
      </c>
      <c r="AH1870" t="b">
        <v>0</v>
      </c>
      <c r="AI1870" t="s">
        <v>4829</v>
      </c>
      <c r="AK1870" s="78" t="s">
        <v>4640</v>
      </c>
      <c r="AL1870" t="b">
        <v>0</v>
      </c>
      <c r="AM1870">
        <v>0</v>
      </c>
      <c r="AN1870" s="78" t="s">
        <v>4640</v>
      </c>
      <c r="AO1870" s="78" t="s">
        <v>4849</v>
      </c>
      <c r="AP1870" t="b">
        <v>0</v>
      </c>
      <c r="AQ1870" s="78" t="s">
        <v>3698</v>
      </c>
      <c r="AR1870" t="s">
        <v>179</v>
      </c>
      <c r="AS1870">
        <v>0</v>
      </c>
      <c r="AT1870">
        <v>0</v>
      </c>
    </row>
    <row r="1871" spans="1:46" x14ac:dyDescent="0.45">
      <c r="A1871" s="62" t="s">
        <v>451</v>
      </c>
      <c r="B1871" s="62" t="s">
        <v>1230</v>
      </c>
      <c r="C1871" s="63"/>
      <c r="D1871" s="64"/>
      <c r="E1871" s="65"/>
      <c r="F1871" s="66"/>
      <c r="G1871" s="63"/>
      <c r="H1871" s="67"/>
      <c r="I1871" s="68"/>
      <c r="J1871" s="68"/>
      <c r="K1871" s="32"/>
      <c r="L1871" s="75"/>
      <c r="M1871" s="75"/>
      <c r="N1871" s="70"/>
      <c r="O1871" t="s">
        <v>1570</v>
      </c>
      <c r="P1871" s="76">
        <v>44958.726226851853</v>
      </c>
      <c r="Q1871" t="s">
        <v>1693</v>
      </c>
      <c r="V1871" s="77" t="str">
        <f>HYPERLINK("https://pbs.twimg.com/profile_images/1614676917256441856/rTNY4DBT_normal.jpg")</f>
        <v>https://pbs.twimg.com/profile_images/1614676917256441856/rTNY4DBT_normal.jpg</v>
      </c>
      <c r="W1871" s="76">
        <v>44958.726226851853</v>
      </c>
      <c r="X1871" s="80">
        <v>44958</v>
      </c>
      <c r="Y1871" s="78" t="s">
        <v>2681</v>
      </c>
      <c r="Z1871" s="77" t="str">
        <f>HYPERLINK("https://twitter.com/sitemileybrasil/status/1620835813834772480")</f>
        <v>https://twitter.com/sitemileybrasil/status/1620835813834772480</v>
      </c>
      <c r="AC1871" s="78" t="s">
        <v>3699</v>
      </c>
      <c r="AE1871" t="b">
        <v>0</v>
      </c>
      <c r="AF1871">
        <v>0</v>
      </c>
      <c r="AG1871" s="78" t="s">
        <v>4640</v>
      </c>
      <c r="AH1871" t="b">
        <v>0</v>
      </c>
      <c r="AI1871" t="s">
        <v>4829</v>
      </c>
      <c r="AK1871" s="78" t="s">
        <v>4640</v>
      </c>
      <c r="AL1871" t="b">
        <v>0</v>
      </c>
      <c r="AM1871">
        <v>162</v>
      </c>
      <c r="AN1871" s="78" t="s">
        <v>4473</v>
      </c>
      <c r="AO1871" s="78" t="s">
        <v>4849</v>
      </c>
      <c r="AP1871" t="b">
        <v>0</v>
      </c>
      <c r="AQ1871" s="78" t="s">
        <v>4473</v>
      </c>
      <c r="AR1871" t="s">
        <v>179</v>
      </c>
      <c r="AS1871">
        <v>0</v>
      </c>
      <c r="AT1871">
        <v>0</v>
      </c>
    </row>
    <row r="1872" spans="1:46" x14ac:dyDescent="0.45">
      <c r="A1872" s="62" t="s">
        <v>451</v>
      </c>
      <c r="B1872" s="62" t="s">
        <v>242</v>
      </c>
      <c r="C1872" s="63"/>
      <c r="D1872" s="64"/>
      <c r="E1872" s="65"/>
      <c r="F1872" s="66"/>
      <c r="G1872" s="63"/>
      <c r="H1872" s="67"/>
      <c r="I1872" s="68"/>
      <c r="J1872" s="68"/>
      <c r="K1872" s="32"/>
      <c r="L1872" s="75"/>
      <c r="M1872" s="75"/>
      <c r="N1872" s="70"/>
      <c r="O1872" t="s">
        <v>1569</v>
      </c>
      <c r="P1872" s="76">
        <v>44958.726226851853</v>
      </c>
      <c r="Q1872" t="s">
        <v>1693</v>
      </c>
      <c r="V1872" s="77" t="str">
        <f>HYPERLINK("https://pbs.twimg.com/profile_images/1614676917256441856/rTNY4DBT_normal.jpg")</f>
        <v>https://pbs.twimg.com/profile_images/1614676917256441856/rTNY4DBT_normal.jpg</v>
      </c>
      <c r="W1872" s="76">
        <v>44958.726226851853</v>
      </c>
      <c r="X1872" s="80">
        <v>44958</v>
      </c>
      <c r="Y1872" s="78" t="s">
        <v>2681</v>
      </c>
      <c r="Z1872" s="77" t="str">
        <f>HYPERLINK("https://twitter.com/sitemileybrasil/status/1620835813834772480")</f>
        <v>https://twitter.com/sitemileybrasil/status/1620835813834772480</v>
      </c>
      <c r="AC1872" s="78" t="s">
        <v>3699</v>
      </c>
      <c r="AE1872" t="b">
        <v>0</v>
      </c>
      <c r="AF1872">
        <v>0</v>
      </c>
      <c r="AG1872" s="78" t="s">
        <v>4640</v>
      </c>
      <c r="AH1872" t="b">
        <v>0</v>
      </c>
      <c r="AI1872" t="s">
        <v>4829</v>
      </c>
      <c r="AK1872" s="78" t="s">
        <v>4640</v>
      </c>
      <c r="AL1872" t="b">
        <v>0</v>
      </c>
      <c r="AM1872">
        <v>162</v>
      </c>
      <c r="AN1872" s="78" t="s">
        <v>4473</v>
      </c>
      <c r="AO1872" s="78" t="s">
        <v>4849</v>
      </c>
      <c r="AP1872" t="b">
        <v>0</v>
      </c>
      <c r="AQ1872" s="78" t="s">
        <v>4473</v>
      </c>
      <c r="AR1872" t="s">
        <v>179</v>
      </c>
      <c r="AS1872">
        <v>0</v>
      </c>
      <c r="AT1872">
        <v>0</v>
      </c>
    </row>
    <row r="1873" spans="1:46" x14ac:dyDescent="0.45">
      <c r="A1873" s="62" t="s">
        <v>453</v>
      </c>
      <c r="B1873" s="62" t="s">
        <v>1198</v>
      </c>
      <c r="C1873" s="63"/>
      <c r="D1873" s="64"/>
      <c r="E1873" s="65"/>
      <c r="F1873" s="66"/>
      <c r="G1873" s="63"/>
      <c r="H1873" s="67"/>
      <c r="I1873" s="68"/>
      <c r="J1873" s="68"/>
      <c r="K1873" s="32"/>
      <c r="L1873" s="75"/>
      <c r="M1873" s="75"/>
      <c r="N1873" s="70"/>
      <c r="O1873" t="s">
        <v>1568</v>
      </c>
      <c r="P1873" s="76">
        <v>44958.728564814817</v>
      </c>
      <c r="Q1873" t="s">
        <v>1752</v>
      </c>
      <c r="V1873" s="77" t="str">
        <f>HYPERLINK("https://pbs.twimg.com/profile_images/1470967052357799937/IaT6i0Rq_normal.jpg")</f>
        <v>https://pbs.twimg.com/profile_images/1470967052357799937/IaT6i0Rq_normal.jpg</v>
      </c>
      <c r="W1873" s="76">
        <v>44958.728564814817</v>
      </c>
      <c r="X1873" s="80">
        <v>44958</v>
      </c>
      <c r="Y1873" s="78" t="s">
        <v>2683</v>
      </c>
      <c r="Z1873" s="77" t="str">
        <f>HYPERLINK("https://twitter.com/maxxchewning/status/1620836660685721602")</f>
        <v>https://twitter.com/maxxchewning/status/1620836660685721602</v>
      </c>
      <c r="AC1873" s="78" t="s">
        <v>3701</v>
      </c>
      <c r="AD1873" s="78" t="s">
        <v>3722</v>
      </c>
      <c r="AE1873" t="b">
        <v>0</v>
      </c>
      <c r="AF1873">
        <v>0</v>
      </c>
      <c r="AG1873" s="78" t="s">
        <v>4673</v>
      </c>
      <c r="AH1873" t="b">
        <v>0</v>
      </c>
      <c r="AI1873" t="s">
        <v>4829</v>
      </c>
      <c r="AK1873" s="78" t="s">
        <v>4640</v>
      </c>
      <c r="AL1873" t="b">
        <v>0</v>
      </c>
      <c r="AM1873">
        <v>0</v>
      </c>
      <c r="AN1873" s="78" t="s">
        <v>4640</v>
      </c>
      <c r="AO1873" s="78" t="s">
        <v>4849</v>
      </c>
      <c r="AP1873" t="b">
        <v>0</v>
      </c>
      <c r="AQ1873" s="78" t="s">
        <v>3722</v>
      </c>
      <c r="AR1873" t="s">
        <v>179</v>
      </c>
      <c r="AS1873">
        <v>0</v>
      </c>
      <c r="AT1873">
        <v>0</v>
      </c>
    </row>
    <row r="1874" spans="1:46" x14ac:dyDescent="0.45">
      <c r="A1874" s="62" t="s">
        <v>453</v>
      </c>
      <c r="B1874" s="62" t="s">
        <v>1181</v>
      </c>
      <c r="C1874" s="63"/>
      <c r="D1874" s="64"/>
      <c r="E1874" s="65"/>
      <c r="F1874" s="66"/>
      <c r="G1874" s="63"/>
      <c r="H1874" s="67"/>
      <c r="I1874" s="68"/>
      <c r="J1874" s="68"/>
      <c r="K1874" s="32"/>
      <c r="L1874" s="75"/>
      <c r="M1874" s="75"/>
      <c r="N1874" s="70"/>
      <c r="O1874" t="s">
        <v>1568</v>
      </c>
      <c r="P1874" s="76">
        <v>44958.728564814817</v>
      </c>
      <c r="Q1874" t="s">
        <v>1752</v>
      </c>
      <c r="V1874" s="77" t="str">
        <f>HYPERLINK("https://pbs.twimg.com/profile_images/1470967052357799937/IaT6i0Rq_normal.jpg")</f>
        <v>https://pbs.twimg.com/profile_images/1470967052357799937/IaT6i0Rq_normal.jpg</v>
      </c>
      <c r="W1874" s="76">
        <v>44958.728564814817</v>
      </c>
      <c r="X1874" s="80">
        <v>44958</v>
      </c>
      <c r="Y1874" s="78" t="s">
        <v>2683</v>
      </c>
      <c r="Z1874" s="77" t="str">
        <f>HYPERLINK("https://twitter.com/maxxchewning/status/1620836660685721602")</f>
        <v>https://twitter.com/maxxchewning/status/1620836660685721602</v>
      </c>
      <c r="AC1874" s="78" t="s">
        <v>3701</v>
      </c>
      <c r="AD1874" s="78" t="s">
        <v>3722</v>
      </c>
      <c r="AE1874" t="b">
        <v>0</v>
      </c>
      <c r="AF1874">
        <v>0</v>
      </c>
      <c r="AG1874" s="78" t="s">
        <v>4673</v>
      </c>
      <c r="AH1874" t="b">
        <v>0</v>
      </c>
      <c r="AI1874" t="s">
        <v>4829</v>
      </c>
      <c r="AK1874" s="78" t="s">
        <v>4640</v>
      </c>
      <c r="AL1874" t="b">
        <v>0</v>
      </c>
      <c r="AM1874">
        <v>0</v>
      </c>
      <c r="AN1874" s="78" t="s">
        <v>4640</v>
      </c>
      <c r="AO1874" s="78" t="s">
        <v>4849</v>
      </c>
      <c r="AP1874" t="b">
        <v>0</v>
      </c>
      <c r="AQ1874" s="78" t="s">
        <v>3722</v>
      </c>
      <c r="AR1874" t="s">
        <v>179</v>
      </c>
      <c r="AS1874">
        <v>0</v>
      </c>
      <c r="AT1874">
        <v>0</v>
      </c>
    </row>
    <row r="1875" spans="1:46" x14ac:dyDescent="0.45">
      <c r="A1875" s="62" t="s">
        <v>453</v>
      </c>
      <c r="B1875" s="62" t="s">
        <v>1199</v>
      </c>
      <c r="C1875" s="63"/>
      <c r="D1875" s="64"/>
      <c r="E1875" s="65"/>
      <c r="F1875" s="66"/>
      <c r="G1875" s="63"/>
      <c r="H1875" s="67"/>
      <c r="I1875" s="68"/>
      <c r="J1875" s="68"/>
      <c r="K1875" s="32"/>
      <c r="L1875" s="75"/>
      <c r="M1875" s="75"/>
      <c r="N1875" s="70"/>
      <c r="O1875" t="s">
        <v>1568</v>
      </c>
      <c r="P1875" s="76">
        <v>44958.728564814817</v>
      </c>
      <c r="Q1875" t="s">
        <v>1752</v>
      </c>
      <c r="V1875" s="77" t="str">
        <f>HYPERLINK("https://pbs.twimg.com/profile_images/1470967052357799937/IaT6i0Rq_normal.jpg")</f>
        <v>https://pbs.twimg.com/profile_images/1470967052357799937/IaT6i0Rq_normal.jpg</v>
      </c>
      <c r="W1875" s="76">
        <v>44958.728564814817</v>
      </c>
      <c r="X1875" s="80">
        <v>44958</v>
      </c>
      <c r="Y1875" s="78" t="s">
        <v>2683</v>
      </c>
      <c r="Z1875" s="77" t="str">
        <f>HYPERLINK("https://twitter.com/maxxchewning/status/1620836660685721602")</f>
        <v>https://twitter.com/maxxchewning/status/1620836660685721602</v>
      </c>
      <c r="AC1875" s="78" t="s">
        <v>3701</v>
      </c>
      <c r="AD1875" s="78" t="s">
        <v>3722</v>
      </c>
      <c r="AE1875" t="b">
        <v>0</v>
      </c>
      <c r="AF1875">
        <v>0</v>
      </c>
      <c r="AG1875" s="78" t="s">
        <v>4673</v>
      </c>
      <c r="AH1875" t="b">
        <v>0</v>
      </c>
      <c r="AI1875" t="s">
        <v>4829</v>
      </c>
      <c r="AK1875" s="78" t="s">
        <v>4640</v>
      </c>
      <c r="AL1875" t="b">
        <v>0</v>
      </c>
      <c r="AM1875">
        <v>0</v>
      </c>
      <c r="AN1875" s="78" t="s">
        <v>4640</v>
      </c>
      <c r="AO1875" s="78" t="s">
        <v>4849</v>
      </c>
      <c r="AP1875" t="b">
        <v>0</v>
      </c>
      <c r="AQ1875" s="78" t="s">
        <v>3722</v>
      </c>
      <c r="AR1875" t="s">
        <v>179</v>
      </c>
      <c r="AS1875">
        <v>0</v>
      </c>
      <c r="AT1875">
        <v>0</v>
      </c>
    </row>
    <row r="1876" spans="1:46" x14ac:dyDescent="0.45">
      <c r="A1876" s="62" t="s">
        <v>453</v>
      </c>
      <c r="B1876" s="62" t="s">
        <v>1185</v>
      </c>
      <c r="C1876" s="63"/>
      <c r="D1876" s="64"/>
      <c r="E1876" s="65"/>
      <c r="F1876" s="66"/>
      <c r="G1876" s="63"/>
      <c r="H1876" s="67"/>
      <c r="I1876" s="68"/>
      <c r="J1876" s="68"/>
      <c r="K1876" s="32"/>
      <c r="L1876" s="75"/>
      <c r="M1876" s="75"/>
      <c r="N1876" s="70"/>
      <c r="O1876" t="s">
        <v>1568</v>
      </c>
      <c r="P1876" s="76">
        <v>44958.728564814817</v>
      </c>
      <c r="Q1876" t="s">
        <v>1752</v>
      </c>
      <c r="V1876" s="77" t="str">
        <f>HYPERLINK("https://pbs.twimg.com/profile_images/1470967052357799937/IaT6i0Rq_normal.jpg")</f>
        <v>https://pbs.twimg.com/profile_images/1470967052357799937/IaT6i0Rq_normal.jpg</v>
      </c>
      <c r="W1876" s="76">
        <v>44958.728564814817</v>
      </c>
      <c r="X1876" s="80">
        <v>44958</v>
      </c>
      <c r="Y1876" s="78" t="s">
        <v>2683</v>
      </c>
      <c r="Z1876" s="77" t="str">
        <f>HYPERLINK("https://twitter.com/maxxchewning/status/1620836660685721602")</f>
        <v>https://twitter.com/maxxchewning/status/1620836660685721602</v>
      </c>
      <c r="AC1876" s="78" t="s">
        <v>3701</v>
      </c>
      <c r="AD1876" s="78" t="s">
        <v>3722</v>
      </c>
      <c r="AE1876" t="b">
        <v>0</v>
      </c>
      <c r="AF1876">
        <v>0</v>
      </c>
      <c r="AG1876" s="78" t="s">
        <v>4673</v>
      </c>
      <c r="AH1876" t="b">
        <v>0</v>
      </c>
      <c r="AI1876" t="s">
        <v>4829</v>
      </c>
      <c r="AK1876" s="78" t="s">
        <v>4640</v>
      </c>
      <c r="AL1876" t="b">
        <v>0</v>
      </c>
      <c r="AM1876">
        <v>0</v>
      </c>
      <c r="AN1876" s="78" t="s">
        <v>4640</v>
      </c>
      <c r="AO1876" s="78" t="s">
        <v>4849</v>
      </c>
      <c r="AP1876" t="b">
        <v>0</v>
      </c>
      <c r="AQ1876" s="78" t="s">
        <v>3722</v>
      </c>
      <c r="AR1876" t="s">
        <v>179</v>
      </c>
      <c r="AS1876">
        <v>0</v>
      </c>
      <c r="AT1876">
        <v>0</v>
      </c>
    </row>
    <row r="1877" spans="1:46" x14ac:dyDescent="0.45">
      <c r="A1877" s="62" t="s">
        <v>453</v>
      </c>
      <c r="B1877" s="62" t="s">
        <v>242</v>
      </c>
      <c r="C1877" s="63"/>
      <c r="D1877" s="64"/>
      <c r="E1877" s="65"/>
      <c r="F1877" s="66"/>
      <c r="G1877" s="63"/>
      <c r="H1877" s="67"/>
      <c r="I1877" s="68"/>
      <c r="J1877" s="68"/>
      <c r="K1877" s="32"/>
      <c r="L1877" s="75"/>
      <c r="M1877" s="75"/>
      <c r="N1877" s="70"/>
      <c r="O1877" t="s">
        <v>1568</v>
      </c>
      <c r="P1877" s="76">
        <v>44958.728564814817</v>
      </c>
      <c r="Q1877" t="s">
        <v>1752</v>
      </c>
      <c r="V1877" s="77" t="str">
        <f>HYPERLINK("https://pbs.twimg.com/profile_images/1470967052357799937/IaT6i0Rq_normal.jpg")</f>
        <v>https://pbs.twimg.com/profile_images/1470967052357799937/IaT6i0Rq_normal.jpg</v>
      </c>
      <c r="W1877" s="76">
        <v>44958.728564814817</v>
      </c>
      <c r="X1877" s="80">
        <v>44958</v>
      </c>
      <c r="Y1877" s="78" t="s">
        <v>2683</v>
      </c>
      <c r="Z1877" s="77" t="str">
        <f>HYPERLINK("https://twitter.com/maxxchewning/status/1620836660685721602")</f>
        <v>https://twitter.com/maxxchewning/status/1620836660685721602</v>
      </c>
      <c r="AC1877" s="78" t="s">
        <v>3701</v>
      </c>
      <c r="AD1877" s="78" t="s">
        <v>3722</v>
      </c>
      <c r="AE1877" t="b">
        <v>0</v>
      </c>
      <c r="AF1877">
        <v>0</v>
      </c>
      <c r="AG1877" s="78" t="s">
        <v>4673</v>
      </c>
      <c r="AH1877" t="b">
        <v>0</v>
      </c>
      <c r="AI1877" t="s">
        <v>4829</v>
      </c>
      <c r="AK1877" s="78" t="s">
        <v>4640</v>
      </c>
      <c r="AL1877" t="b">
        <v>0</v>
      </c>
      <c r="AM1877">
        <v>0</v>
      </c>
      <c r="AN1877" s="78" t="s">
        <v>4640</v>
      </c>
      <c r="AO1877" s="78" t="s">
        <v>4849</v>
      </c>
      <c r="AP1877" t="b">
        <v>0</v>
      </c>
      <c r="AQ1877" s="78" t="s">
        <v>3722</v>
      </c>
      <c r="AR1877" t="s">
        <v>179</v>
      </c>
      <c r="AS1877">
        <v>0</v>
      </c>
      <c r="AT1877">
        <v>0</v>
      </c>
    </row>
    <row r="1878" spans="1:46" x14ac:dyDescent="0.45">
      <c r="A1878" s="62" t="s">
        <v>453</v>
      </c>
      <c r="B1878" s="62" t="s">
        <v>379</v>
      </c>
      <c r="C1878" s="63"/>
      <c r="D1878" s="64"/>
      <c r="E1878" s="65"/>
      <c r="F1878" s="66"/>
      <c r="G1878" s="63"/>
      <c r="H1878" s="67"/>
      <c r="I1878" s="68"/>
      <c r="J1878" s="68"/>
      <c r="K1878" s="32"/>
      <c r="L1878" s="75"/>
      <c r="M1878" s="75"/>
      <c r="N1878" s="70"/>
      <c r="O1878" t="s">
        <v>1567</v>
      </c>
      <c r="P1878" s="76">
        <v>44958.728564814817</v>
      </c>
      <c r="Q1878" t="s">
        <v>1752</v>
      </c>
      <c r="V1878" s="77" t="str">
        <f>HYPERLINK("https://pbs.twimg.com/profile_images/1470967052357799937/IaT6i0Rq_normal.jpg")</f>
        <v>https://pbs.twimg.com/profile_images/1470967052357799937/IaT6i0Rq_normal.jpg</v>
      </c>
      <c r="W1878" s="76">
        <v>44958.728564814817</v>
      </c>
      <c r="X1878" s="80">
        <v>44958</v>
      </c>
      <c r="Y1878" s="78" t="s">
        <v>2683</v>
      </c>
      <c r="Z1878" s="77" t="str">
        <f>HYPERLINK("https://twitter.com/maxxchewning/status/1620836660685721602")</f>
        <v>https://twitter.com/maxxchewning/status/1620836660685721602</v>
      </c>
      <c r="AC1878" s="78" t="s">
        <v>3701</v>
      </c>
      <c r="AD1878" s="78" t="s">
        <v>3722</v>
      </c>
      <c r="AE1878" t="b">
        <v>0</v>
      </c>
      <c r="AF1878">
        <v>0</v>
      </c>
      <c r="AG1878" s="78" t="s">
        <v>4673</v>
      </c>
      <c r="AH1878" t="b">
        <v>0</v>
      </c>
      <c r="AI1878" t="s">
        <v>4829</v>
      </c>
      <c r="AK1878" s="78" t="s">
        <v>4640</v>
      </c>
      <c r="AL1878" t="b">
        <v>0</v>
      </c>
      <c r="AM1878">
        <v>0</v>
      </c>
      <c r="AN1878" s="78" t="s">
        <v>4640</v>
      </c>
      <c r="AO1878" s="78" t="s">
        <v>4849</v>
      </c>
      <c r="AP1878" t="b">
        <v>0</v>
      </c>
      <c r="AQ1878" s="78" t="s">
        <v>3722</v>
      </c>
      <c r="AR1878" t="s">
        <v>179</v>
      </c>
      <c r="AS1878">
        <v>0</v>
      </c>
      <c r="AT1878">
        <v>0</v>
      </c>
    </row>
    <row r="1879" spans="1:46" x14ac:dyDescent="0.45">
      <c r="A1879" s="62" t="s">
        <v>454</v>
      </c>
      <c r="B1879" s="62" t="s">
        <v>1230</v>
      </c>
      <c r="C1879" s="63"/>
      <c r="D1879" s="64"/>
      <c r="E1879" s="65"/>
      <c r="F1879" s="66"/>
      <c r="G1879" s="63"/>
      <c r="H1879" s="67"/>
      <c r="I1879" s="68"/>
      <c r="J1879" s="68"/>
      <c r="K1879" s="32"/>
      <c r="L1879" s="75"/>
      <c r="M1879" s="75"/>
      <c r="N1879" s="70"/>
      <c r="O1879" t="s">
        <v>1570</v>
      </c>
      <c r="P1879" s="76">
        <v>44958.729166666664</v>
      </c>
      <c r="Q1879" t="s">
        <v>1693</v>
      </c>
      <c r="V1879" s="77" t="str">
        <f>HYPERLINK("https://pbs.twimg.com/profile_images/1613624139301982233/TGVnOeFS_normal.jpg")</f>
        <v>https://pbs.twimg.com/profile_images/1613624139301982233/TGVnOeFS_normal.jpg</v>
      </c>
      <c r="W1879" s="76">
        <v>44958.729166666664</v>
      </c>
      <c r="X1879" s="80">
        <v>44958</v>
      </c>
      <c r="Y1879" s="78" t="s">
        <v>2684</v>
      </c>
      <c r="Z1879" s="77" t="str">
        <f>HYPERLINK("https://twitter.com/mileyz_smilerz/status/1620836877799665664")</f>
        <v>https://twitter.com/mileyz_smilerz/status/1620836877799665664</v>
      </c>
      <c r="AC1879" s="78" t="s">
        <v>3702</v>
      </c>
      <c r="AE1879" t="b">
        <v>0</v>
      </c>
      <c r="AF1879">
        <v>0</v>
      </c>
      <c r="AG1879" s="78" t="s">
        <v>4640</v>
      </c>
      <c r="AH1879" t="b">
        <v>0</v>
      </c>
      <c r="AI1879" t="s">
        <v>4829</v>
      </c>
      <c r="AK1879" s="78" t="s">
        <v>4640</v>
      </c>
      <c r="AL1879" t="b">
        <v>0</v>
      </c>
      <c r="AM1879">
        <v>162</v>
      </c>
      <c r="AN1879" s="78" t="s">
        <v>4473</v>
      </c>
      <c r="AO1879" s="78" t="s">
        <v>4849</v>
      </c>
      <c r="AP1879" t="b">
        <v>0</v>
      </c>
      <c r="AQ1879" s="78" t="s">
        <v>4473</v>
      </c>
      <c r="AR1879" t="s">
        <v>179</v>
      </c>
      <c r="AS1879">
        <v>0</v>
      </c>
      <c r="AT1879">
        <v>0</v>
      </c>
    </row>
    <row r="1880" spans="1:46" x14ac:dyDescent="0.45">
      <c r="A1880" s="62" t="s">
        <v>454</v>
      </c>
      <c r="B1880" s="62" t="s">
        <v>242</v>
      </c>
      <c r="C1880" s="63"/>
      <c r="D1880" s="64"/>
      <c r="E1880" s="65"/>
      <c r="F1880" s="66"/>
      <c r="G1880" s="63"/>
      <c r="H1880" s="67"/>
      <c r="I1880" s="68"/>
      <c r="J1880" s="68"/>
      <c r="K1880" s="32"/>
      <c r="L1880" s="75"/>
      <c r="M1880" s="75"/>
      <c r="N1880" s="70"/>
      <c r="O1880" t="s">
        <v>1569</v>
      </c>
      <c r="P1880" s="76">
        <v>44958.729166666664</v>
      </c>
      <c r="Q1880" t="s">
        <v>1693</v>
      </c>
      <c r="V1880" s="77" t="str">
        <f>HYPERLINK("https://pbs.twimg.com/profile_images/1613624139301982233/TGVnOeFS_normal.jpg")</f>
        <v>https://pbs.twimg.com/profile_images/1613624139301982233/TGVnOeFS_normal.jpg</v>
      </c>
      <c r="W1880" s="76">
        <v>44958.729166666664</v>
      </c>
      <c r="X1880" s="80">
        <v>44958</v>
      </c>
      <c r="Y1880" s="78" t="s">
        <v>2684</v>
      </c>
      <c r="Z1880" s="77" t="str">
        <f>HYPERLINK("https://twitter.com/mileyz_smilerz/status/1620836877799665664")</f>
        <v>https://twitter.com/mileyz_smilerz/status/1620836877799665664</v>
      </c>
      <c r="AC1880" s="78" t="s">
        <v>3702</v>
      </c>
      <c r="AE1880" t="b">
        <v>0</v>
      </c>
      <c r="AF1880">
        <v>0</v>
      </c>
      <c r="AG1880" s="78" t="s">
        <v>4640</v>
      </c>
      <c r="AH1880" t="b">
        <v>0</v>
      </c>
      <c r="AI1880" t="s">
        <v>4829</v>
      </c>
      <c r="AK1880" s="78" t="s">
        <v>4640</v>
      </c>
      <c r="AL1880" t="b">
        <v>0</v>
      </c>
      <c r="AM1880">
        <v>162</v>
      </c>
      <c r="AN1880" s="78" t="s">
        <v>4473</v>
      </c>
      <c r="AO1880" s="78" t="s">
        <v>4849</v>
      </c>
      <c r="AP1880" t="b">
        <v>0</v>
      </c>
      <c r="AQ1880" s="78" t="s">
        <v>4473</v>
      </c>
      <c r="AR1880" t="s">
        <v>179</v>
      </c>
      <c r="AS1880">
        <v>0</v>
      </c>
      <c r="AT1880">
        <v>0</v>
      </c>
    </row>
    <row r="1881" spans="1:46" x14ac:dyDescent="0.45">
      <c r="A1881" s="62" t="s">
        <v>457</v>
      </c>
      <c r="B1881" s="62" t="s">
        <v>1230</v>
      </c>
      <c r="C1881" s="63"/>
      <c r="D1881" s="64"/>
      <c r="E1881" s="65"/>
      <c r="F1881" s="66"/>
      <c r="G1881" s="63"/>
      <c r="H1881" s="67"/>
      <c r="I1881" s="68"/>
      <c r="J1881" s="68"/>
      <c r="K1881" s="32"/>
      <c r="L1881" s="75"/>
      <c r="M1881" s="75"/>
      <c r="N1881" s="70"/>
      <c r="O1881" t="s">
        <v>1570</v>
      </c>
      <c r="P1881" s="76">
        <v>44958.730034722219</v>
      </c>
      <c r="Q1881" t="s">
        <v>1693</v>
      </c>
      <c r="V1881" s="77" t="str">
        <f>HYPERLINK("https://pbs.twimg.com/profile_images/1506284509771272218/eJ2zpOTe_normal.jpg")</f>
        <v>https://pbs.twimg.com/profile_images/1506284509771272218/eJ2zpOTe_normal.jpg</v>
      </c>
      <c r="W1881" s="76">
        <v>44958.730034722219</v>
      </c>
      <c r="X1881" s="80">
        <v>44958</v>
      </c>
      <c r="Y1881" s="78" t="s">
        <v>2687</v>
      </c>
      <c r="Z1881" s="77" t="str">
        <f>HYPERLINK("https://twitter.com/obsessedsmiler/status/1620837194658385920")</f>
        <v>https://twitter.com/obsessedsmiler/status/1620837194658385920</v>
      </c>
      <c r="AC1881" s="78" t="s">
        <v>3705</v>
      </c>
      <c r="AE1881" t="b">
        <v>0</v>
      </c>
      <c r="AF1881">
        <v>0</v>
      </c>
      <c r="AG1881" s="78" t="s">
        <v>4640</v>
      </c>
      <c r="AH1881" t="b">
        <v>0</v>
      </c>
      <c r="AI1881" t="s">
        <v>4829</v>
      </c>
      <c r="AK1881" s="78" t="s">
        <v>4640</v>
      </c>
      <c r="AL1881" t="b">
        <v>0</v>
      </c>
      <c r="AM1881">
        <v>162</v>
      </c>
      <c r="AN1881" s="78" t="s">
        <v>4473</v>
      </c>
      <c r="AO1881" s="78" t="s">
        <v>4849</v>
      </c>
      <c r="AP1881" t="b">
        <v>0</v>
      </c>
      <c r="AQ1881" s="78" t="s">
        <v>4473</v>
      </c>
      <c r="AR1881" t="s">
        <v>179</v>
      </c>
      <c r="AS1881">
        <v>0</v>
      </c>
      <c r="AT1881">
        <v>0</v>
      </c>
    </row>
    <row r="1882" spans="1:46" x14ac:dyDescent="0.45">
      <c r="A1882" s="62" t="s">
        <v>457</v>
      </c>
      <c r="B1882" s="62" t="s">
        <v>242</v>
      </c>
      <c r="C1882" s="63"/>
      <c r="D1882" s="64"/>
      <c r="E1882" s="65"/>
      <c r="F1882" s="66"/>
      <c r="G1882" s="63"/>
      <c r="H1882" s="67"/>
      <c r="I1882" s="68"/>
      <c r="J1882" s="68"/>
      <c r="K1882" s="32"/>
      <c r="L1882" s="75"/>
      <c r="M1882" s="75"/>
      <c r="N1882" s="70"/>
      <c r="O1882" t="s">
        <v>1569</v>
      </c>
      <c r="P1882" s="76">
        <v>44958.730034722219</v>
      </c>
      <c r="Q1882" t="s">
        <v>1693</v>
      </c>
      <c r="V1882" s="77" t="str">
        <f>HYPERLINK("https://pbs.twimg.com/profile_images/1506284509771272218/eJ2zpOTe_normal.jpg")</f>
        <v>https://pbs.twimg.com/profile_images/1506284509771272218/eJ2zpOTe_normal.jpg</v>
      </c>
      <c r="W1882" s="76">
        <v>44958.730034722219</v>
      </c>
      <c r="X1882" s="80">
        <v>44958</v>
      </c>
      <c r="Y1882" s="78" t="s">
        <v>2687</v>
      </c>
      <c r="Z1882" s="77" t="str">
        <f>HYPERLINK("https://twitter.com/obsessedsmiler/status/1620837194658385920")</f>
        <v>https://twitter.com/obsessedsmiler/status/1620837194658385920</v>
      </c>
      <c r="AC1882" s="78" t="s">
        <v>3705</v>
      </c>
      <c r="AE1882" t="b">
        <v>0</v>
      </c>
      <c r="AF1882">
        <v>0</v>
      </c>
      <c r="AG1882" s="78" t="s">
        <v>4640</v>
      </c>
      <c r="AH1882" t="b">
        <v>0</v>
      </c>
      <c r="AI1882" t="s">
        <v>4829</v>
      </c>
      <c r="AK1882" s="78" t="s">
        <v>4640</v>
      </c>
      <c r="AL1882" t="b">
        <v>0</v>
      </c>
      <c r="AM1882">
        <v>162</v>
      </c>
      <c r="AN1882" s="78" t="s">
        <v>4473</v>
      </c>
      <c r="AO1882" s="78" t="s">
        <v>4849</v>
      </c>
      <c r="AP1882" t="b">
        <v>0</v>
      </c>
      <c r="AQ1882" s="78" t="s">
        <v>4473</v>
      </c>
      <c r="AR1882" t="s">
        <v>179</v>
      </c>
      <c r="AS1882">
        <v>0</v>
      </c>
      <c r="AT1882">
        <v>0</v>
      </c>
    </row>
    <row r="1883" spans="1:46" x14ac:dyDescent="0.45">
      <c r="A1883" s="62" t="s">
        <v>458</v>
      </c>
      <c r="B1883" s="62" t="s">
        <v>1230</v>
      </c>
      <c r="C1883" s="63"/>
      <c r="D1883" s="64"/>
      <c r="E1883" s="65"/>
      <c r="F1883" s="66"/>
      <c r="G1883" s="63"/>
      <c r="H1883" s="67"/>
      <c r="I1883" s="68"/>
      <c r="J1883" s="68"/>
      <c r="K1883" s="32"/>
      <c r="L1883" s="75"/>
      <c r="M1883" s="75"/>
      <c r="N1883" s="70"/>
      <c r="O1883" t="s">
        <v>1570</v>
      </c>
      <c r="P1883" s="76">
        <v>44958.730081018519</v>
      </c>
      <c r="Q1883" t="s">
        <v>1693</v>
      </c>
      <c r="V1883" s="77" t="str">
        <f>HYPERLINK("https://pbs.twimg.com/profile_images/1613691297260265475/ao7Pgwgu_normal.jpg")</f>
        <v>https://pbs.twimg.com/profile_images/1613691297260265475/ao7Pgwgu_normal.jpg</v>
      </c>
      <c r="W1883" s="76">
        <v>44958.730081018519</v>
      </c>
      <c r="X1883" s="80">
        <v>44958</v>
      </c>
      <c r="Y1883" s="78" t="s">
        <v>2688</v>
      </c>
      <c r="Z1883" s="77" t="str">
        <f>HYPERLINK("https://twitter.com/rodrigo_s1997/status/1620837212559675392")</f>
        <v>https://twitter.com/rodrigo_s1997/status/1620837212559675392</v>
      </c>
      <c r="AC1883" s="78" t="s">
        <v>3706</v>
      </c>
      <c r="AE1883" t="b">
        <v>0</v>
      </c>
      <c r="AF1883">
        <v>0</v>
      </c>
      <c r="AG1883" s="78" t="s">
        <v>4640</v>
      </c>
      <c r="AH1883" t="b">
        <v>0</v>
      </c>
      <c r="AI1883" t="s">
        <v>4829</v>
      </c>
      <c r="AK1883" s="78" t="s">
        <v>4640</v>
      </c>
      <c r="AL1883" t="b">
        <v>0</v>
      </c>
      <c r="AM1883">
        <v>162</v>
      </c>
      <c r="AN1883" s="78" t="s">
        <v>4473</v>
      </c>
      <c r="AO1883" s="78" t="s">
        <v>4850</v>
      </c>
      <c r="AP1883" t="b">
        <v>0</v>
      </c>
      <c r="AQ1883" s="78" t="s">
        <v>4473</v>
      </c>
      <c r="AR1883" t="s">
        <v>179</v>
      </c>
      <c r="AS1883">
        <v>0</v>
      </c>
      <c r="AT1883">
        <v>0</v>
      </c>
    </row>
    <row r="1884" spans="1:46" x14ac:dyDescent="0.45">
      <c r="A1884" s="62" t="s">
        <v>458</v>
      </c>
      <c r="B1884" s="62" t="s">
        <v>242</v>
      </c>
      <c r="C1884" s="63"/>
      <c r="D1884" s="64"/>
      <c r="E1884" s="65"/>
      <c r="F1884" s="66"/>
      <c r="G1884" s="63"/>
      <c r="H1884" s="67"/>
      <c r="I1884" s="68"/>
      <c r="J1884" s="68"/>
      <c r="K1884" s="32"/>
      <c r="L1884" s="75"/>
      <c r="M1884" s="75"/>
      <c r="N1884" s="70"/>
      <c r="O1884" t="s">
        <v>1569</v>
      </c>
      <c r="P1884" s="76">
        <v>44958.730081018519</v>
      </c>
      <c r="Q1884" t="s">
        <v>1693</v>
      </c>
      <c r="V1884" s="77" t="str">
        <f>HYPERLINK("https://pbs.twimg.com/profile_images/1613691297260265475/ao7Pgwgu_normal.jpg")</f>
        <v>https://pbs.twimg.com/profile_images/1613691297260265475/ao7Pgwgu_normal.jpg</v>
      </c>
      <c r="W1884" s="76">
        <v>44958.730081018519</v>
      </c>
      <c r="X1884" s="80">
        <v>44958</v>
      </c>
      <c r="Y1884" s="78" t="s">
        <v>2688</v>
      </c>
      <c r="Z1884" s="77" t="str">
        <f>HYPERLINK("https://twitter.com/rodrigo_s1997/status/1620837212559675392")</f>
        <v>https://twitter.com/rodrigo_s1997/status/1620837212559675392</v>
      </c>
      <c r="AC1884" s="78" t="s">
        <v>3706</v>
      </c>
      <c r="AE1884" t="b">
        <v>0</v>
      </c>
      <c r="AF1884">
        <v>0</v>
      </c>
      <c r="AG1884" s="78" t="s">
        <v>4640</v>
      </c>
      <c r="AH1884" t="b">
        <v>0</v>
      </c>
      <c r="AI1884" t="s">
        <v>4829</v>
      </c>
      <c r="AK1884" s="78" t="s">
        <v>4640</v>
      </c>
      <c r="AL1884" t="b">
        <v>0</v>
      </c>
      <c r="AM1884">
        <v>162</v>
      </c>
      <c r="AN1884" s="78" t="s">
        <v>4473</v>
      </c>
      <c r="AO1884" s="78" t="s">
        <v>4850</v>
      </c>
      <c r="AP1884" t="b">
        <v>0</v>
      </c>
      <c r="AQ1884" s="78" t="s">
        <v>4473</v>
      </c>
      <c r="AR1884" t="s">
        <v>179</v>
      </c>
      <c r="AS1884">
        <v>0</v>
      </c>
      <c r="AT1884">
        <v>0</v>
      </c>
    </row>
    <row r="1885" spans="1:46" x14ac:dyDescent="0.45">
      <c r="A1885" s="62" t="s">
        <v>459</v>
      </c>
      <c r="B1885" s="62" t="s">
        <v>1230</v>
      </c>
      <c r="C1885" s="63"/>
      <c r="D1885" s="64"/>
      <c r="E1885" s="65"/>
      <c r="F1885" s="66"/>
      <c r="G1885" s="63"/>
      <c r="H1885" s="67"/>
      <c r="I1885" s="68"/>
      <c r="J1885" s="68"/>
      <c r="K1885" s="32"/>
      <c r="L1885" s="75"/>
      <c r="M1885" s="75"/>
      <c r="N1885" s="70"/>
      <c r="O1885" t="s">
        <v>1570</v>
      </c>
      <c r="P1885" s="76">
        <v>44958.730381944442</v>
      </c>
      <c r="Q1885" t="s">
        <v>1693</v>
      </c>
      <c r="V1885" s="77" t="str">
        <f>HYPERLINK("https://pbs.twimg.com/profile_images/1609526758327435264/dpSxILBa_normal.jpg")</f>
        <v>https://pbs.twimg.com/profile_images/1609526758327435264/dpSxILBa_normal.jpg</v>
      </c>
      <c r="W1885" s="76">
        <v>44958.730381944442</v>
      </c>
      <c r="X1885" s="80">
        <v>44958</v>
      </c>
      <c r="Y1885" s="78" t="s">
        <v>2689</v>
      </c>
      <c r="Z1885" s="77" t="str">
        <f>HYPERLINK("https://twitter.com/cakesonmiley/status/1620837319233380352")</f>
        <v>https://twitter.com/cakesonmiley/status/1620837319233380352</v>
      </c>
      <c r="AC1885" s="78" t="s">
        <v>3707</v>
      </c>
      <c r="AE1885" t="b">
        <v>0</v>
      </c>
      <c r="AF1885">
        <v>0</v>
      </c>
      <c r="AG1885" s="78" t="s">
        <v>4640</v>
      </c>
      <c r="AH1885" t="b">
        <v>0</v>
      </c>
      <c r="AI1885" t="s">
        <v>4829</v>
      </c>
      <c r="AK1885" s="78" t="s">
        <v>4640</v>
      </c>
      <c r="AL1885" t="b">
        <v>0</v>
      </c>
      <c r="AM1885">
        <v>162</v>
      </c>
      <c r="AN1885" s="78" t="s">
        <v>4473</v>
      </c>
      <c r="AO1885" s="78" t="s">
        <v>4849</v>
      </c>
      <c r="AP1885" t="b">
        <v>0</v>
      </c>
      <c r="AQ1885" s="78" t="s">
        <v>4473</v>
      </c>
      <c r="AR1885" t="s">
        <v>179</v>
      </c>
      <c r="AS1885">
        <v>0</v>
      </c>
      <c r="AT1885">
        <v>0</v>
      </c>
    </row>
    <row r="1886" spans="1:46" x14ac:dyDescent="0.45">
      <c r="A1886" s="62" t="s">
        <v>459</v>
      </c>
      <c r="B1886" s="62" t="s">
        <v>242</v>
      </c>
      <c r="C1886" s="63"/>
      <c r="D1886" s="64"/>
      <c r="E1886" s="65"/>
      <c r="F1886" s="66"/>
      <c r="G1886" s="63"/>
      <c r="H1886" s="67"/>
      <c r="I1886" s="68"/>
      <c r="J1886" s="68"/>
      <c r="K1886" s="32"/>
      <c r="L1886" s="75"/>
      <c r="M1886" s="75"/>
      <c r="N1886" s="70"/>
      <c r="O1886" t="s">
        <v>1569</v>
      </c>
      <c r="P1886" s="76">
        <v>44958.730381944442</v>
      </c>
      <c r="Q1886" t="s">
        <v>1693</v>
      </c>
      <c r="V1886" s="77" t="str">
        <f>HYPERLINK("https://pbs.twimg.com/profile_images/1609526758327435264/dpSxILBa_normal.jpg")</f>
        <v>https://pbs.twimg.com/profile_images/1609526758327435264/dpSxILBa_normal.jpg</v>
      </c>
      <c r="W1886" s="76">
        <v>44958.730381944442</v>
      </c>
      <c r="X1886" s="80">
        <v>44958</v>
      </c>
      <c r="Y1886" s="78" t="s">
        <v>2689</v>
      </c>
      <c r="Z1886" s="77" t="str">
        <f>HYPERLINK("https://twitter.com/cakesonmiley/status/1620837319233380352")</f>
        <v>https://twitter.com/cakesonmiley/status/1620837319233380352</v>
      </c>
      <c r="AC1886" s="78" t="s">
        <v>3707</v>
      </c>
      <c r="AE1886" t="b">
        <v>0</v>
      </c>
      <c r="AF1886">
        <v>0</v>
      </c>
      <c r="AG1886" s="78" t="s">
        <v>4640</v>
      </c>
      <c r="AH1886" t="b">
        <v>0</v>
      </c>
      <c r="AI1886" t="s">
        <v>4829</v>
      </c>
      <c r="AK1886" s="78" t="s">
        <v>4640</v>
      </c>
      <c r="AL1886" t="b">
        <v>0</v>
      </c>
      <c r="AM1886">
        <v>162</v>
      </c>
      <c r="AN1886" s="78" t="s">
        <v>4473</v>
      </c>
      <c r="AO1886" s="78" t="s">
        <v>4849</v>
      </c>
      <c r="AP1886" t="b">
        <v>0</v>
      </c>
      <c r="AQ1886" s="78" t="s">
        <v>4473</v>
      </c>
      <c r="AR1886" t="s">
        <v>179</v>
      </c>
      <c r="AS1886">
        <v>0</v>
      </c>
      <c r="AT1886">
        <v>0</v>
      </c>
    </row>
    <row r="1887" spans="1:46" x14ac:dyDescent="0.45">
      <c r="A1887" s="62" t="s">
        <v>462</v>
      </c>
      <c r="B1887" s="62" t="s">
        <v>242</v>
      </c>
      <c r="C1887" s="63"/>
      <c r="D1887" s="64"/>
      <c r="E1887" s="65"/>
      <c r="F1887" s="66"/>
      <c r="G1887" s="63"/>
      <c r="H1887" s="67"/>
      <c r="I1887" s="68"/>
      <c r="J1887" s="68"/>
      <c r="K1887" s="32"/>
      <c r="L1887" s="75"/>
      <c r="M1887" s="75"/>
      <c r="N1887" s="70"/>
      <c r="O1887" t="s">
        <v>1570</v>
      </c>
      <c r="P1887" s="76">
        <v>44958.731238425928</v>
      </c>
      <c r="Q1887" t="s">
        <v>1597</v>
      </c>
      <c r="U1887" s="77" t="str">
        <f>HYPERLINK("https://pbs.twimg.com/media/Fn21cCpaEAIoT8g.jpg")</f>
        <v>https://pbs.twimg.com/media/Fn21cCpaEAIoT8g.jpg</v>
      </c>
      <c r="V1887" s="77" t="str">
        <f>HYPERLINK("https://pbs.twimg.com/media/Fn21cCpaEAIoT8g.jpg")</f>
        <v>https://pbs.twimg.com/media/Fn21cCpaEAIoT8g.jpg</v>
      </c>
      <c r="W1887" s="76">
        <v>44958.731238425928</v>
      </c>
      <c r="X1887" s="80">
        <v>44958</v>
      </c>
      <c r="Y1887" s="78" t="s">
        <v>2693</v>
      </c>
      <c r="Z1887" s="77" t="str">
        <f>HYPERLINK("https://twitter.com/eddie_tex_tex/status/1620837629351858183")</f>
        <v>https://twitter.com/eddie_tex_tex/status/1620837629351858183</v>
      </c>
      <c r="AC1887" s="78" t="s">
        <v>3711</v>
      </c>
      <c r="AE1887" t="b">
        <v>0</v>
      </c>
      <c r="AF1887">
        <v>0</v>
      </c>
      <c r="AG1887" s="78" t="s">
        <v>4640</v>
      </c>
      <c r="AH1887" t="b">
        <v>0</v>
      </c>
      <c r="AI1887" t="s">
        <v>4829</v>
      </c>
      <c r="AK1887" s="78" t="s">
        <v>4640</v>
      </c>
      <c r="AL1887" t="b">
        <v>0</v>
      </c>
      <c r="AM1887">
        <v>13</v>
      </c>
      <c r="AN1887" s="78" t="s">
        <v>4342</v>
      </c>
      <c r="AO1887" s="78" t="s">
        <v>4850</v>
      </c>
      <c r="AP1887" t="b">
        <v>0</v>
      </c>
      <c r="AQ1887" s="78" t="s">
        <v>4342</v>
      </c>
      <c r="AR1887" t="s">
        <v>179</v>
      </c>
      <c r="AS1887">
        <v>0</v>
      </c>
      <c r="AT1887">
        <v>0</v>
      </c>
    </row>
    <row r="1888" spans="1:46" x14ac:dyDescent="0.45">
      <c r="A1888" s="62" t="s">
        <v>462</v>
      </c>
      <c r="B1888" s="62" t="s">
        <v>992</v>
      </c>
      <c r="C1888" s="63"/>
      <c r="D1888" s="64"/>
      <c r="E1888" s="65"/>
      <c r="F1888" s="66"/>
      <c r="G1888" s="63"/>
      <c r="H1888" s="67"/>
      <c r="I1888" s="68"/>
      <c r="J1888" s="68"/>
      <c r="K1888" s="32"/>
      <c r="L1888" s="75"/>
      <c r="M1888" s="75"/>
      <c r="N1888" s="70"/>
      <c r="O1888" t="s">
        <v>1569</v>
      </c>
      <c r="P1888" s="76">
        <v>44958.731238425928</v>
      </c>
      <c r="Q1888" t="s">
        <v>1597</v>
      </c>
      <c r="U1888" s="77" t="str">
        <f>HYPERLINK("https://pbs.twimg.com/media/Fn21cCpaEAIoT8g.jpg")</f>
        <v>https://pbs.twimg.com/media/Fn21cCpaEAIoT8g.jpg</v>
      </c>
      <c r="V1888" s="77" t="str">
        <f>HYPERLINK("https://pbs.twimg.com/media/Fn21cCpaEAIoT8g.jpg")</f>
        <v>https://pbs.twimg.com/media/Fn21cCpaEAIoT8g.jpg</v>
      </c>
      <c r="W1888" s="76">
        <v>44958.731238425928</v>
      </c>
      <c r="X1888" s="80">
        <v>44958</v>
      </c>
      <c r="Y1888" s="78" t="s">
        <v>2693</v>
      </c>
      <c r="Z1888" s="77" t="str">
        <f>HYPERLINK("https://twitter.com/eddie_tex_tex/status/1620837629351858183")</f>
        <v>https://twitter.com/eddie_tex_tex/status/1620837629351858183</v>
      </c>
      <c r="AC1888" s="78" t="s">
        <v>3711</v>
      </c>
      <c r="AE1888" t="b">
        <v>0</v>
      </c>
      <c r="AF1888">
        <v>0</v>
      </c>
      <c r="AG1888" s="78" t="s">
        <v>4640</v>
      </c>
      <c r="AH1888" t="b">
        <v>0</v>
      </c>
      <c r="AI1888" t="s">
        <v>4829</v>
      </c>
      <c r="AK1888" s="78" t="s">
        <v>4640</v>
      </c>
      <c r="AL1888" t="b">
        <v>0</v>
      </c>
      <c r="AM1888">
        <v>13</v>
      </c>
      <c r="AN1888" s="78" t="s">
        <v>4342</v>
      </c>
      <c r="AO1888" s="78" t="s">
        <v>4850</v>
      </c>
      <c r="AP1888" t="b">
        <v>0</v>
      </c>
      <c r="AQ1888" s="78" t="s">
        <v>4342</v>
      </c>
      <c r="AR1888" t="s">
        <v>179</v>
      </c>
      <c r="AS1888">
        <v>0</v>
      </c>
      <c r="AT1888">
        <v>0</v>
      </c>
    </row>
    <row r="1889" spans="1:46" x14ac:dyDescent="0.45">
      <c r="A1889" s="62" t="s">
        <v>463</v>
      </c>
      <c r="B1889" s="62" t="s">
        <v>1269</v>
      </c>
      <c r="C1889" s="63"/>
      <c r="D1889" s="64"/>
      <c r="E1889" s="65"/>
      <c r="F1889" s="66"/>
      <c r="G1889" s="63"/>
      <c r="H1889" s="67"/>
      <c r="I1889" s="68"/>
      <c r="J1889" s="68"/>
      <c r="K1889" s="32"/>
      <c r="L1889" s="75"/>
      <c r="M1889" s="75"/>
      <c r="N1889" s="70"/>
      <c r="O1889" t="s">
        <v>1568</v>
      </c>
      <c r="P1889" s="76">
        <v>44958.730949074074</v>
      </c>
      <c r="Q1889" t="s">
        <v>1756</v>
      </c>
      <c r="V1889" s="77" t="str">
        <f>HYPERLINK("https://pbs.twimg.com/profile_images/1485080968797073408/JSYDgYkg_normal.png")</f>
        <v>https://pbs.twimg.com/profile_images/1485080968797073408/JSYDgYkg_normal.png</v>
      </c>
      <c r="W1889" s="76">
        <v>44958.730949074074</v>
      </c>
      <c r="X1889" s="80">
        <v>44958</v>
      </c>
      <c r="Y1889" s="78" t="s">
        <v>2694</v>
      </c>
      <c r="Z1889" s="77" t="str">
        <f>HYPERLINK("https://twitter.com/taylorkirby254/status/1620837523772805120")</f>
        <v>https://twitter.com/taylorkirby254/status/1620837523772805120</v>
      </c>
      <c r="AC1889" s="78" t="s">
        <v>3712</v>
      </c>
      <c r="AD1889" s="78" t="s">
        <v>4536</v>
      </c>
      <c r="AE1889" t="b">
        <v>0</v>
      </c>
      <c r="AF1889">
        <v>0</v>
      </c>
      <c r="AG1889" s="78" t="s">
        <v>4694</v>
      </c>
      <c r="AH1889" t="b">
        <v>0</v>
      </c>
      <c r="AI1889" t="s">
        <v>4829</v>
      </c>
      <c r="AK1889" s="78" t="s">
        <v>4640</v>
      </c>
      <c r="AL1889" t="b">
        <v>0</v>
      </c>
      <c r="AM1889">
        <v>0</v>
      </c>
      <c r="AN1889" s="78" t="s">
        <v>4640</v>
      </c>
      <c r="AO1889" s="78" t="s">
        <v>4850</v>
      </c>
      <c r="AP1889" t="b">
        <v>0</v>
      </c>
      <c r="AQ1889" s="78" t="s">
        <v>4536</v>
      </c>
      <c r="AR1889" t="s">
        <v>179</v>
      </c>
      <c r="AS1889">
        <v>0</v>
      </c>
      <c r="AT1889">
        <v>0</v>
      </c>
    </row>
    <row r="1890" spans="1:46" x14ac:dyDescent="0.45">
      <c r="A1890" s="62" t="s">
        <v>463</v>
      </c>
      <c r="B1890" s="62" t="s">
        <v>1269</v>
      </c>
      <c r="C1890" s="63"/>
      <c r="D1890" s="64"/>
      <c r="E1890" s="65"/>
      <c r="F1890" s="66"/>
      <c r="G1890" s="63"/>
      <c r="H1890" s="67"/>
      <c r="I1890" s="68"/>
      <c r="J1890" s="68"/>
      <c r="K1890" s="32"/>
      <c r="L1890" s="75"/>
      <c r="M1890" s="75"/>
      <c r="N1890" s="70"/>
      <c r="O1890" t="s">
        <v>1568</v>
      </c>
      <c r="P1890" s="76">
        <v>44958.731458333335</v>
      </c>
      <c r="Q1890" t="s">
        <v>1757</v>
      </c>
      <c r="V1890" s="77" t="str">
        <f>HYPERLINK("https://pbs.twimg.com/profile_images/1485080968797073408/JSYDgYkg_normal.png")</f>
        <v>https://pbs.twimg.com/profile_images/1485080968797073408/JSYDgYkg_normal.png</v>
      </c>
      <c r="W1890" s="76">
        <v>44958.731458333335</v>
      </c>
      <c r="X1890" s="80">
        <v>44958</v>
      </c>
      <c r="Y1890" s="78" t="s">
        <v>2695</v>
      </c>
      <c r="Z1890" s="77" t="str">
        <f>HYPERLINK("https://twitter.com/taylorkirby254/status/1620837710503247872")</f>
        <v>https://twitter.com/taylorkirby254/status/1620837710503247872</v>
      </c>
      <c r="AC1890" s="78" t="s">
        <v>3713</v>
      </c>
      <c r="AD1890" s="78" t="s">
        <v>4536</v>
      </c>
      <c r="AE1890" t="b">
        <v>0</v>
      </c>
      <c r="AF1890">
        <v>0</v>
      </c>
      <c r="AG1890" s="78" t="s">
        <v>4694</v>
      </c>
      <c r="AH1890" t="b">
        <v>0</v>
      </c>
      <c r="AI1890" t="s">
        <v>4829</v>
      </c>
      <c r="AK1890" s="78" t="s">
        <v>4640</v>
      </c>
      <c r="AL1890" t="b">
        <v>0</v>
      </c>
      <c r="AM1890">
        <v>0</v>
      </c>
      <c r="AN1890" s="78" t="s">
        <v>4640</v>
      </c>
      <c r="AO1890" s="78" t="s">
        <v>4850</v>
      </c>
      <c r="AP1890" t="b">
        <v>0</v>
      </c>
      <c r="AQ1890" s="78" t="s">
        <v>4536</v>
      </c>
      <c r="AR1890" t="s">
        <v>179</v>
      </c>
      <c r="AS1890">
        <v>0</v>
      </c>
      <c r="AT1890">
        <v>0</v>
      </c>
    </row>
    <row r="1891" spans="1:46" x14ac:dyDescent="0.45">
      <c r="A1891" s="62" t="s">
        <v>463</v>
      </c>
      <c r="B1891" s="62" t="s">
        <v>1270</v>
      </c>
      <c r="C1891" s="63"/>
      <c r="D1891" s="64"/>
      <c r="E1891" s="65"/>
      <c r="F1891" s="66"/>
      <c r="G1891" s="63"/>
      <c r="H1891" s="67"/>
      <c r="I1891" s="68"/>
      <c r="J1891" s="68"/>
      <c r="K1891" s="32"/>
      <c r="L1891" s="75"/>
      <c r="M1891" s="75"/>
      <c r="N1891" s="70"/>
      <c r="O1891" t="s">
        <v>1567</v>
      </c>
      <c r="P1891" s="76">
        <v>44958.730949074074</v>
      </c>
      <c r="Q1891" t="s">
        <v>1756</v>
      </c>
      <c r="V1891" s="77" t="str">
        <f>HYPERLINK("https://pbs.twimg.com/profile_images/1485080968797073408/JSYDgYkg_normal.png")</f>
        <v>https://pbs.twimg.com/profile_images/1485080968797073408/JSYDgYkg_normal.png</v>
      </c>
      <c r="W1891" s="76">
        <v>44958.730949074074</v>
      </c>
      <c r="X1891" s="80">
        <v>44958</v>
      </c>
      <c r="Y1891" s="78" t="s">
        <v>2694</v>
      </c>
      <c r="Z1891" s="77" t="str">
        <f>HYPERLINK("https://twitter.com/taylorkirby254/status/1620837523772805120")</f>
        <v>https://twitter.com/taylorkirby254/status/1620837523772805120</v>
      </c>
      <c r="AC1891" s="78" t="s">
        <v>3712</v>
      </c>
      <c r="AD1891" s="78" t="s">
        <v>4536</v>
      </c>
      <c r="AE1891" t="b">
        <v>0</v>
      </c>
      <c r="AF1891">
        <v>0</v>
      </c>
      <c r="AG1891" s="78" t="s">
        <v>4694</v>
      </c>
      <c r="AH1891" t="b">
        <v>0</v>
      </c>
      <c r="AI1891" t="s">
        <v>4829</v>
      </c>
      <c r="AK1891" s="78" t="s">
        <v>4640</v>
      </c>
      <c r="AL1891" t="b">
        <v>0</v>
      </c>
      <c r="AM1891">
        <v>0</v>
      </c>
      <c r="AN1891" s="78" t="s">
        <v>4640</v>
      </c>
      <c r="AO1891" s="78" t="s">
        <v>4850</v>
      </c>
      <c r="AP1891" t="b">
        <v>0</v>
      </c>
      <c r="AQ1891" s="78" t="s">
        <v>4536</v>
      </c>
      <c r="AR1891" t="s">
        <v>179</v>
      </c>
      <c r="AS1891">
        <v>0</v>
      </c>
      <c r="AT1891">
        <v>0</v>
      </c>
    </row>
    <row r="1892" spans="1:46" x14ac:dyDescent="0.45">
      <c r="A1892" s="62" t="s">
        <v>463</v>
      </c>
      <c r="B1892" s="62" t="s">
        <v>1270</v>
      </c>
      <c r="C1892" s="63"/>
      <c r="D1892" s="64"/>
      <c r="E1892" s="65"/>
      <c r="F1892" s="66"/>
      <c r="G1892" s="63"/>
      <c r="H1892" s="67"/>
      <c r="I1892" s="68"/>
      <c r="J1892" s="68"/>
      <c r="K1892" s="32"/>
      <c r="L1892" s="75"/>
      <c r="M1892" s="75"/>
      <c r="N1892" s="70"/>
      <c r="O1892" t="s">
        <v>1567</v>
      </c>
      <c r="P1892" s="76">
        <v>44958.731458333335</v>
      </c>
      <c r="Q1892" t="s">
        <v>1757</v>
      </c>
      <c r="V1892" s="77" t="str">
        <f>HYPERLINK("https://pbs.twimg.com/profile_images/1485080968797073408/JSYDgYkg_normal.png")</f>
        <v>https://pbs.twimg.com/profile_images/1485080968797073408/JSYDgYkg_normal.png</v>
      </c>
      <c r="W1892" s="76">
        <v>44958.731458333335</v>
      </c>
      <c r="X1892" s="80">
        <v>44958</v>
      </c>
      <c r="Y1892" s="78" t="s">
        <v>2695</v>
      </c>
      <c r="Z1892" s="77" t="str">
        <f>HYPERLINK("https://twitter.com/taylorkirby254/status/1620837710503247872")</f>
        <v>https://twitter.com/taylorkirby254/status/1620837710503247872</v>
      </c>
      <c r="AC1892" s="78" t="s">
        <v>3713</v>
      </c>
      <c r="AD1892" s="78" t="s">
        <v>4536</v>
      </c>
      <c r="AE1892" t="b">
        <v>0</v>
      </c>
      <c r="AF1892">
        <v>0</v>
      </c>
      <c r="AG1892" s="78" t="s">
        <v>4694</v>
      </c>
      <c r="AH1892" t="b">
        <v>0</v>
      </c>
      <c r="AI1892" t="s">
        <v>4829</v>
      </c>
      <c r="AK1892" s="78" t="s">
        <v>4640</v>
      </c>
      <c r="AL1892" t="b">
        <v>0</v>
      </c>
      <c r="AM1892">
        <v>0</v>
      </c>
      <c r="AN1892" s="78" t="s">
        <v>4640</v>
      </c>
      <c r="AO1892" s="78" t="s">
        <v>4850</v>
      </c>
      <c r="AP1892" t="b">
        <v>0</v>
      </c>
      <c r="AQ1892" s="78" t="s">
        <v>4536</v>
      </c>
      <c r="AR1892" t="s">
        <v>179</v>
      </c>
      <c r="AS1892">
        <v>0</v>
      </c>
      <c r="AT1892">
        <v>0</v>
      </c>
    </row>
    <row r="1893" spans="1:46" x14ac:dyDescent="0.45">
      <c r="A1893" s="62" t="s">
        <v>463</v>
      </c>
      <c r="B1893" s="62" t="s">
        <v>242</v>
      </c>
      <c r="C1893" s="63"/>
      <c r="D1893" s="64"/>
      <c r="E1893" s="65"/>
      <c r="F1893" s="66"/>
      <c r="G1893" s="63"/>
      <c r="H1893" s="67"/>
      <c r="I1893" s="68"/>
      <c r="J1893" s="68"/>
      <c r="K1893" s="32"/>
      <c r="L1893" s="75"/>
      <c r="M1893" s="75"/>
      <c r="N1893" s="70"/>
      <c r="O1893" t="s">
        <v>1568</v>
      </c>
      <c r="P1893" s="76">
        <v>44958.730949074074</v>
      </c>
      <c r="Q1893" t="s">
        <v>1756</v>
      </c>
      <c r="V1893" s="77" t="str">
        <f>HYPERLINK("https://pbs.twimg.com/profile_images/1485080968797073408/JSYDgYkg_normal.png")</f>
        <v>https://pbs.twimg.com/profile_images/1485080968797073408/JSYDgYkg_normal.png</v>
      </c>
      <c r="W1893" s="76">
        <v>44958.730949074074</v>
      </c>
      <c r="X1893" s="80">
        <v>44958</v>
      </c>
      <c r="Y1893" s="78" t="s">
        <v>2694</v>
      </c>
      <c r="Z1893" s="77" t="str">
        <f>HYPERLINK("https://twitter.com/taylorkirby254/status/1620837523772805120")</f>
        <v>https://twitter.com/taylorkirby254/status/1620837523772805120</v>
      </c>
      <c r="AC1893" s="78" t="s">
        <v>3712</v>
      </c>
      <c r="AD1893" s="78" t="s">
        <v>4536</v>
      </c>
      <c r="AE1893" t="b">
        <v>0</v>
      </c>
      <c r="AF1893">
        <v>0</v>
      </c>
      <c r="AG1893" s="78" t="s">
        <v>4694</v>
      </c>
      <c r="AH1893" t="b">
        <v>0</v>
      </c>
      <c r="AI1893" t="s">
        <v>4829</v>
      </c>
      <c r="AK1893" s="78" t="s">
        <v>4640</v>
      </c>
      <c r="AL1893" t="b">
        <v>0</v>
      </c>
      <c r="AM1893">
        <v>0</v>
      </c>
      <c r="AN1893" s="78" t="s">
        <v>4640</v>
      </c>
      <c r="AO1893" s="78" t="s">
        <v>4850</v>
      </c>
      <c r="AP1893" t="b">
        <v>0</v>
      </c>
      <c r="AQ1893" s="78" t="s">
        <v>4536</v>
      </c>
      <c r="AR1893" t="s">
        <v>179</v>
      </c>
      <c r="AS1893">
        <v>0</v>
      </c>
      <c r="AT1893">
        <v>0</v>
      </c>
    </row>
    <row r="1894" spans="1:46" x14ac:dyDescent="0.45">
      <c r="A1894" s="62" t="s">
        <v>463</v>
      </c>
      <c r="B1894" s="62" t="s">
        <v>242</v>
      </c>
      <c r="C1894" s="63"/>
      <c r="D1894" s="64"/>
      <c r="E1894" s="65"/>
      <c r="F1894" s="66"/>
      <c r="G1894" s="63"/>
      <c r="H1894" s="67"/>
      <c r="I1894" s="68"/>
      <c r="J1894" s="68"/>
      <c r="K1894" s="32"/>
      <c r="L1894" s="75"/>
      <c r="M1894" s="75"/>
      <c r="N1894" s="70"/>
      <c r="O1894" t="s">
        <v>1568</v>
      </c>
      <c r="P1894" s="76">
        <v>44958.731458333335</v>
      </c>
      <c r="Q1894" t="s">
        <v>1757</v>
      </c>
      <c r="V1894" s="77" t="str">
        <f>HYPERLINK("https://pbs.twimg.com/profile_images/1485080968797073408/JSYDgYkg_normal.png")</f>
        <v>https://pbs.twimg.com/profile_images/1485080968797073408/JSYDgYkg_normal.png</v>
      </c>
      <c r="W1894" s="76">
        <v>44958.731458333335</v>
      </c>
      <c r="X1894" s="80">
        <v>44958</v>
      </c>
      <c r="Y1894" s="78" t="s">
        <v>2695</v>
      </c>
      <c r="Z1894" s="77" t="str">
        <f>HYPERLINK("https://twitter.com/taylorkirby254/status/1620837710503247872")</f>
        <v>https://twitter.com/taylorkirby254/status/1620837710503247872</v>
      </c>
      <c r="AC1894" s="78" t="s">
        <v>3713</v>
      </c>
      <c r="AD1894" s="78" t="s">
        <v>4536</v>
      </c>
      <c r="AE1894" t="b">
        <v>0</v>
      </c>
      <c r="AF1894">
        <v>0</v>
      </c>
      <c r="AG1894" s="78" t="s">
        <v>4694</v>
      </c>
      <c r="AH1894" t="b">
        <v>0</v>
      </c>
      <c r="AI1894" t="s">
        <v>4829</v>
      </c>
      <c r="AK1894" s="78" t="s">
        <v>4640</v>
      </c>
      <c r="AL1894" t="b">
        <v>0</v>
      </c>
      <c r="AM1894">
        <v>0</v>
      </c>
      <c r="AN1894" s="78" t="s">
        <v>4640</v>
      </c>
      <c r="AO1894" s="78" t="s">
        <v>4850</v>
      </c>
      <c r="AP1894" t="b">
        <v>0</v>
      </c>
      <c r="AQ1894" s="78" t="s">
        <v>4536</v>
      </c>
      <c r="AR1894" t="s">
        <v>179</v>
      </c>
      <c r="AS1894">
        <v>0</v>
      </c>
      <c r="AT1894">
        <v>0</v>
      </c>
    </row>
    <row r="1895" spans="1:46" x14ac:dyDescent="0.45">
      <c r="A1895" s="62" t="s">
        <v>464</v>
      </c>
      <c r="B1895" s="62" t="s">
        <v>1230</v>
      </c>
      <c r="C1895" s="63"/>
      <c r="D1895" s="64"/>
      <c r="E1895" s="65"/>
      <c r="F1895" s="66"/>
      <c r="G1895" s="63"/>
      <c r="H1895" s="67"/>
      <c r="I1895" s="68"/>
      <c r="J1895" s="68"/>
      <c r="K1895" s="32"/>
      <c r="L1895" s="75"/>
      <c r="M1895" s="75"/>
      <c r="N1895" s="70"/>
      <c r="O1895" t="s">
        <v>1570</v>
      </c>
      <c r="P1895" s="76">
        <v>44958.731863425928</v>
      </c>
      <c r="Q1895" t="s">
        <v>1693</v>
      </c>
      <c r="V1895" s="77" t="str">
        <f>HYPERLINK("https://pbs.twimg.com/profile_images/1449063613449314310/D3S1hJ0x_normal.jpg")</f>
        <v>https://pbs.twimg.com/profile_images/1449063613449314310/D3S1hJ0x_normal.jpg</v>
      </c>
      <c r="W1895" s="76">
        <v>44958.731863425928</v>
      </c>
      <c r="X1895" s="80">
        <v>44958</v>
      </c>
      <c r="Y1895" s="78" t="s">
        <v>2696</v>
      </c>
      <c r="Z1895" s="77" t="str">
        <f>HYPERLINK("https://twitter.com/1sun_cyrus/status/1620837857048039424")</f>
        <v>https://twitter.com/1sun_cyrus/status/1620837857048039424</v>
      </c>
      <c r="AC1895" s="78" t="s">
        <v>3714</v>
      </c>
      <c r="AE1895" t="b">
        <v>0</v>
      </c>
      <c r="AF1895">
        <v>0</v>
      </c>
      <c r="AG1895" s="78" t="s">
        <v>4640</v>
      </c>
      <c r="AH1895" t="b">
        <v>0</v>
      </c>
      <c r="AI1895" t="s">
        <v>4829</v>
      </c>
      <c r="AK1895" s="78" t="s">
        <v>4640</v>
      </c>
      <c r="AL1895" t="b">
        <v>0</v>
      </c>
      <c r="AM1895">
        <v>162</v>
      </c>
      <c r="AN1895" s="78" t="s">
        <v>4473</v>
      </c>
      <c r="AO1895" s="78" t="s">
        <v>4850</v>
      </c>
      <c r="AP1895" t="b">
        <v>0</v>
      </c>
      <c r="AQ1895" s="78" t="s">
        <v>4473</v>
      </c>
      <c r="AR1895" t="s">
        <v>179</v>
      </c>
      <c r="AS1895">
        <v>0</v>
      </c>
      <c r="AT1895">
        <v>0</v>
      </c>
    </row>
    <row r="1896" spans="1:46" x14ac:dyDescent="0.45">
      <c r="A1896" s="62" t="s">
        <v>464</v>
      </c>
      <c r="B1896" s="62" t="s">
        <v>242</v>
      </c>
      <c r="C1896" s="63"/>
      <c r="D1896" s="64"/>
      <c r="E1896" s="65"/>
      <c r="F1896" s="66"/>
      <c r="G1896" s="63"/>
      <c r="H1896" s="67"/>
      <c r="I1896" s="68"/>
      <c r="J1896" s="68"/>
      <c r="K1896" s="32"/>
      <c r="L1896" s="75"/>
      <c r="M1896" s="75"/>
      <c r="N1896" s="70"/>
      <c r="O1896" t="s">
        <v>1569</v>
      </c>
      <c r="P1896" s="76">
        <v>44958.731863425928</v>
      </c>
      <c r="Q1896" t="s">
        <v>1693</v>
      </c>
      <c r="V1896" s="77" t="str">
        <f>HYPERLINK("https://pbs.twimg.com/profile_images/1449063613449314310/D3S1hJ0x_normal.jpg")</f>
        <v>https://pbs.twimg.com/profile_images/1449063613449314310/D3S1hJ0x_normal.jpg</v>
      </c>
      <c r="W1896" s="76">
        <v>44958.731863425928</v>
      </c>
      <c r="X1896" s="80">
        <v>44958</v>
      </c>
      <c r="Y1896" s="78" t="s">
        <v>2696</v>
      </c>
      <c r="Z1896" s="77" t="str">
        <f>HYPERLINK("https://twitter.com/1sun_cyrus/status/1620837857048039424")</f>
        <v>https://twitter.com/1sun_cyrus/status/1620837857048039424</v>
      </c>
      <c r="AC1896" s="78" t="s">
        <v>3714</v>
      </c>
      <c r="AE1896" t="b">
        <v>0</v>
      </c>
      <c r="AF1896">
        <v>0</v>
      </c>
      <c r="AG1896" s="78" t="s">
        <v>4640</v>
      </c>
      <c r="AH1896" t="b">
        <v>0</v>
      </c>
      <c r="AI1896" t="s">
        <v>4829</v>
      </c>
      <c r="AK1896" s="78" t="s">
        <v>4640</v>
      </c>
      <c r="AL1896" t="b">
        <v>0</v>
      </c>
      <c r="AM1896">
        <v>162</v>
      </c>
      <c r="AN1896" s="78" t="s">
        <v>4473</v>
      </c>
      <c r="AO1896" s="78" t="s">
        <v>4850</v>
      </c>
      <c r="AP1896" t="b">
        <v>0</v>
      </c>
      <c r="AQ1896" s="78" t="s">
        <v>4473</v>
      </c>
      <c r="AR1896" t="s">
        <v>179</v>
      </c>
      <c r="AS1896">
        <v>0</v>
      </c>
      <c r="AT1896">
        <v>0</v>
      </c>
    </row>
    <row r="1897" spans="1:46" x14ac:dyDescent="0.45">
      <c r="A1897" s="62" t="s">
        <v>465</v>
      </c>
      <c r="B1897" s="62" t="s">
        <v>1271</v>
      </c>
      <c r="C1897" s="63"/>
      <c r="D1897" s="64"/>
      <c r="E1897" s="65"/>
      <c r="F1897" s="66"/>
      <c r="G1897" s="63"/>
      <c r="H1897" s="67"/>
      <c r="I1897" s="68"/>
      <c r="J1897" s="68"/>
      <c r="K1897" s="32"/>
      <c r="L1897" s="75"/>
      <c r="M1897" s="75"/>
      <c r="N1897" s="70"/>
      <c r="O1897" t="s">
        <v>1568</v>
      </c>
      <c r="P1897" s="76">
        <v>44958.732638888891</v>
      </c>
      <c r="Q1897" t="s">
        <v>1758</v>
      </c>
      <c r="V1897" s="77" t="str">
        <f>HYPERLINK("https://pbs.twimg.com/profile_images/1620996539245297665/RuBt8tS4_normal.jpg")</f>
        <v>https://pbs.twimg.com/profile_images/1620996539245297665/RuBt8tS4_normal.jpg</v>
      </c>
      <c r="W1897" s="76">
        <v>44958.732638888891</v>
      </c>
      <c r="X1897" s="80">
        <v>44958</v>
      </c>
      <c r="Y1897" s="78" t="s">
        <v>2697</v>
      </c>
      <c r="Z1897" s="77" t="str">
        <f>HYPERLINK("https://twitter.com/pauuufvr/status/1620838137818910726")</f>
        <v>https://twitter.com/pauuufvr/status/1620838137818910726</v>
      </c>
      <c r="AC1897" s="78" t="s">
        <v>3715</v>
      </c>
      <c r="AD1897" s="78" t="s">
        <v>4473</v>
      </c>
      <c r="AE1897" t="b">
        <v>0</v>
      </c>
      <c r="AF1897">
        <v>0</v>
      </c>
      <c r="AG1897" s="78" t="s">
        <v>4639</v>
      </c>
      <c r="AH1897" t="b">
        <v>0</v>
      </c>
      <c r="AI1897" t="s">
        <v>4829</v>
      </c>
      <c r="AK1897" s="78" t="s">
        <v>4640</v>
      </c>
      <c r="AL1897" t="b">
        <v>0</v>
      </c>
      <c r="AM1897">
        <v>0</v>
      </c>
      <c r="AN1897" s="78" t="s">
        <v>4640</v>
      </c>
      <c r="AO1897" s="78" t="s">
        <v>4849</v>
      </c>
      <c r="AP1897" t="b">
        <v>0</v>
      </c>
      <c r="AQ1897" s="78" t="s">
        <v>4473</v>
      </c>
      <c r="AR1897" t="s">
        <v>179</v>
      </c>
      <c r="AS1897">
        <v>0</v>
      </c>
      <c r="AT1897">
        <v>0</v>
      </c>
    </row>
    <row r="1898" spans="1:46" x14ac:dyDescent="0.45">
      <c r="A1898" s="62" t="s">
        <v>465</v>
      </c>
      <c r="B1898" s="62" t="s">
        <v>1230</v>
      </c>
      <c r="C1898" s="63"/>
      <c r="D1898" s="64"/>
      <c r="E1898" s="65"/>
      <c r="F1898" s="66"/>
      <c r="G1898" s="63"/>
      <c r="H1898" s="67"/>
      <c r="I1898" s="68"/>
      <c r="J1898" s="68"/>
      <c r="K1898" s="32"/>
      <c r="L1898" s="75"/>
      <c r="M1898" s="75"/>
      <c r="N1898" s="70"/>
      <c r="O1898" t="s">
        <v>1570</v>
      </c>
      <c r="P1898" s="76">
        <v>44958.732546296298</v>
      </c>
      <c r="Q1898" t="s">
        <v>1693</v>
      </c>
      <c r="V1898" s="77" t="str">
        <f>HYPERLINK("https://pbs.twimg.com/profile_images/1620996539245297665/RuBt8tS4_normal.jpg")</f>
        <v>https://pbs.twimg.com/profile_images/1620996539245297665/RuBt8tS4_normal.jpg</v>
      </c>
      <c r="W1898" s="76">
        <v>44958.732546296298</v>
      </c>
      <c r="X1898" s="80">
        <v>44958</v>
      </c>
      <c r="Y1898" s="78" t="s">
        <v>2698</v>
      </c>
      <c r="Z1898" s="77" t="str">
        <f>HYPERLINK("https://twitter.com/pauuufvr/status/1620838106386821120")</f>
        <v>https://twitter.com/pauuufvr/status/1620838106386821120</v>
      </c>
      <c r="AC1898" s="78" t="s">
        <v>3716</v>
      </c>
      <c r="AE1898" t="b">
        <v>0</v>
      </c>
      <c r="AF1898">
        <v>0</v>
      </c>
      <c r="AG1898" s="78" t="s">
        <v>4640</v>
      </c>
      <c r="AH1898" t="b">
        <v>0</v>
      </c>
      <c r="AI1898" t="s">
        <v>4829</v>
      </c>
      <c r="AK1898" s="78" t="s">
        <v>4640</v>
      </c>
      <c r="AL1898" t="b">
        <v>0</v>
      </c>
      <c r="AM1898">
        <v>162</v>
      </c>
      <c r="AN1898" s="78" t="s">
        <v>4473</v>
      </c>
      <c r="AO1898" s="78" t="s">
        <v>4849</v>
      </c>
      <c r="AP1898" t="b">
        <v>0</v>
      </c>
      <c r="AQ1898" s="78" t="s">
        <v>4473</v>
      </c>
      <c r="AR1898" t="s">
        <v>179</v>
      </c>
      <c r="AS1898">
        <v>0</v>
      </c>
      <c r="AT1898">
        <v>0</v>
      </c>
    </row>
    <row r="1899" spans="1:46" x14ac:dyDescent="0.45">
      <c r="A1899" s="62" t="s">
        <v>465</v>
      </c>
      <c r="B1899" s="62" t="s">
        <v>242</v>
      </c>
      <c r="C1899" s="63"/>
      <c r="D1899" s="64"/>
      <c r="E1899" s="65"/>
      <c r="F1899" s="66"/>
      <c r="G1899" s="63"/>
      <c r="H1899" s="67"/>
      <c r="I1899" s="68"/>
      <c r="J1899" s="68"/>
      <c r="K1899" s="32"/>
      <c r="L1899" s="75"/>
      <c r="M1899" s="75"/>
      <c r="N1899" s="70"/>
      <c r="O1899" t="s">
        <v>1569</v>
      </c>
      <c r="P1899" s="76">
        <v>44958.732546296298</v>
      </c>
      <c r="Q1899" t="s">
        <v>1693</v>
      </c>
      <c r="V1899" s="77" t="str">
        <f>HYPERLINK("https://pbs.twimg.com/profile_images/1620996539245297665/RuBt8tS4_normal.jpg")</f>
        <v>https://pbs.twimg.com/profile_images/1620996539245297665/RuBt8tS4_normal.jpg</v>
      </c>
      <c r="W1899" s="76">
        <v>44958.732546296298</v>
      </c>
      <c r="X1899" s="80">
        <v>44958</v>
      </c>
      <c r="Y1899" s="78" t="s">
        <v>2698</v>
      </c>
      <c r="Z1899" s="77" t="str">
        <f>HYPERLINK("https://twitter.com/pauuufvr/status/1620838106386821120")</f>
        <v>https://twitter.com/pauuufvr/status/1620838106386821120</v>
      </c>
      <c r="AC1899" s="78" t="s">
        <v>3716</v>
      </c>
      <c r="AE1899" t="b">
        <v>0</v>
      </c>
      <c r="AF1899">
        <v>0</v>
      </c>
      <c r="AG1899" s="78" t="s">
        <v>4640</v>
      </c>
      <c r="AH1899" t="b">
        <v>0</v>
      </c>
      <c r="AI1899" t="s">
        <v>4829</v>
      </c>
      <c r="AK1899" s="78" t="s">
        <v>4640</v>
      </c>
      <c r="AL1899" t="b">
        <v>0</v>
      </c>
      <c r="AM1899">
        <v>162</v>
      </c>
      <c r="AN1899" s="78" t="s">
        <v>4473</v>
      </c>
      <c r="AO1899" s="78" t="s">
        <v>4849</v>
      </c>
      <c r="AP1899" t="b">
        <v>0</v>
      </c>
      <c r="AQ1899" s="78" t="s">
        <v>4473</v>
      </c>
      <c r="AR1899" t="s">
        <v>179</v>
      </c>
      <c r="AS1899">
        <v>0</v>
      </c>
      <c r="AT1899">
        <v>0</v>
      </c>
    </row>
    <row r="1900" spans="1:46" x14ac:dyDescent="0.45">
      <c r="A1900" s="62" t="s">
        <v>465</v>
      </c>
      <c r="B1900" s="62" t="s">
        <v>1230</v>
      </c>
      <c r="C1900" s="63"/>
      <c r="D1900" s="64"/>
      <c r="E1900" s="65"/>
      <c r="F1900" s="66"/>
      <c r="G1900" s="63"/>
      <c r="H1900" s="67"/>
      <c r="I1900" s="68"/>
      <c r="J1900" s="68"/>
      <c r="K1900" s="32"/>
      <c r="L1900" s="75"/>
      <c r="M1900" s="75"/>
      <c r="N1900" s="70"/>
      <c r="O1900" t="s">
        <v>1568</v>
      </c>
      <c r="P1900" s="76">
        <v>44958.732638888891</v>
      </c>
      <c r="Q1900" t="s">
        <v>1758</v>
      </c>
      <c r="V1900" s="77" t="str">
        <f>HYPERLINK("https://pbs.twimg.com/profile_images/1620996539245297665/RuBt8tS4_normal.jpg")</f>
        <v>https://pbs.twimg.com/profile_images/1620996539245297665/RuBt8tS4_normal.jpg</v>
      </c>
      <c r="W1900" s="76">
        <v>44958.732638888891</v>
      </c>
      <c r="X1900" s="80">
        <v>44958</v>
      </c>
      <c r="Y1900" s="78" t="s">
        <v>2697</v>
      </c>
      <c r="Z1900" s="77" t="str">
        <f>HYPERLINK("https://twitter.com/pauuufvr/status/1620838137818910726")</f>
        <v>https://twitter.com/pauuufvr/status/1620838137818910726</v>
      </c>
      <c r="AC1900" s="78" t="s">
        <v>3715</v>
      </c>
      <c r="AD1900" s="78" t="s">
        <v>4473</v>
      </c>
      <c r="AE1900" t="b">
        <v>0</v>
      </c>
      <c r="AF1900">
        <v>0</v>
      </c>
      <c r="AG1900" s="78" t="s">
        <v>4639</v>
      </c>
      <c r="AH1900" t="b">
        <v>0</v>
      </c>
      <c r="AI1900" t="s">
        <v>4829</v>
      </c>
      <c r="AK1900" s="78" t="s">
        <v>4640</v>
      </c>
      <c r="AL1900" t="b">
        <v>0</v>
      </c>
      <c r="AM1900">
        <v>0</v>
      </c>
      <c r="AN1900" s="78" t="s">
        <v>4640</v>
      </c>
      <c r="AO1900" s="78" t="s">
        <v>4849</v>
      </c>
      <c r="AP1900" t="b">
        <v>0</v>
      </c>
      <c r="AQ1900" s="78" t="s">
        <v>4473</v>
      </c>
      <c r="AR1900" t="s">
        <v>179</v>
      </c>
      <c r="AS1900">
        <v>0</v>
      </c>
      <c r="AT1900">
        <v>0</v>
      </c>
    </row>
    <row r="1901" spans="1:46" x14ac:dyDescent="0.45">
      <c r="A1901" s="62" t="s">
        <v>465</v>
      </c>
      <c r="B1901" s="62" t="s">
        <v>242</v>
      </c>
      <c r="C1901" s="63"/>
      <c r="D1901" s="64"/>
      <c r="E1901" s="65"/>
      <c r="F1901" s="66"/>
      <c r="G1901" s="63"/>
      <c r="H1901" s="67"/>
      <c r="I1901" s="68"/>
      <c r="J1901" s="68"/>
      <c r="K1901" s="32"/>
      <c r="L1901" s="75"/>
      <c r="M1901" s="75"/>
      <c r="N1901" s="70"/>
      <c r="O1901" t="s">
        <v>1567</v>
      </c>
      <c r="P1901" s="76">
        <v>44958.732638888891</v>
      </c>
      <c r="Q1901" t="s">
        <v>1758</v>
      </c>
      <c r="V1901" s="77" t="str">
        <f>HYPERLINK("https://pbs.twimg.com/profile_images/1620996539245297665/RuBt8tS4_normal.jpg")</f>
        <v>https://pbs.twimg.com/profile_images/1620996539245297665/RuBt8tS4_normal.jpg</v>
      </c>
      <c r="W1901" s="76">
        <v>44958.732638888891</v>
      </c>
      <c r="X1901" s="80">
        <v>44958</v>
      </c>
      <c r="Y1901" s="78" t="s">
        <v>2697</v>
      </c>
      <c r="Z1901" s="77" t="str">
        <f>HYPERLINK("https://twitter.com/pauuufvr/status/1620838137818910726")</f>
        <v>https://twitter.com/pauuufvr/status/1620838137818910726</v>
      </c>
      <c r="AC1901" s="78" t="s">
        <v>3715</v>
      </c>
      <c r="AD1901" s="78" t="s">
        <v>4473</v>
      </c>
      <c r="AE1901" t="b">
        <v>0</v>
      </c>
      <c r="AF1901">
        <v>0</v>
      </c>
      <c r="AG1901" s="78" t="s">
        <v>4639</v>
      </c>
      <c r="AH1901" t="b">
        <v>0</v>
      </c>
      <c r="AI1901" t="s">
        <v>4829</v>
      </c>
      <c r="AK1901" s="78" t="s">
        <v>4640</v>
      </c>
      <c r="AL1901" t="b">
        <v>0</v>
      </c>
      <c r="AM1901">
        <v>0</v>
      </c>
      <c r="AN1901" s="78" t="s">
        <v>4640</v>
      </c>
      <c r="AO1901" s="78" t="s">
        <v>4849</v>
      </c>
      <c r="AP1901" t="b">
        <v>0</v>
      </c>
      <c r="AQ1901" s="78" t="s">
        <v>4473</v>
      </c>
      <c r="AR1901" t="s">
        <v>179</v>
      </c>
      <c r="AS1901">
        <v>0</v>
      </c>
      <c r="AT1901">
        <v>0</v>
      </c>
    </row>
    <row r="1902" spans="1:46" x14ac:dyDescent="0.45">
      <c r="A1902" s="62" t="s">
        <v>466</v>
      </c>
      <c r="B1902" s="62" t="s">
        <v>1272</v>
      </c>
      <c r="C1902" s="63"/>
      <c r="D1902" s="64"/>
      <c r="E1902" s="65"/>
      <c r="F1902" s="66"/>
      <c r="G1902" s="63"/>
      <c r="H1902" s="67"/>
      <c r="I1902" s="68"/>
      <c r="J1902" s="68"/>
      <c r="K1902" s="32"/>
      <c r="L1902" s="75"/>
      <c r="M1902" s="75"/>
      <c r="N1902" s="70"/>
      <c r="O1902" t="s">
        <v>1568</v>
      </c>
      <c r="P1902" s="76">
        <v>44958.734560185185</v>
      </c>
      <c r="Q1902" t="s">
        <v>1759</v>
      </c>
      <c r="V1902" s="77" t="str">
        <f>HYPERLINK("https://pbs.twimg.com/profile_images/570652026434904064/wDj15zD6_normal.jpeg")</f>
        <v>https://pbs.twimg.com/profile_images/570652026434904064/wDj15zD6_normal.jpeg</v>
      </c>
      <c r="W1902" s="76">
        <v>44958.734560185185</v>
      </c>
      <c r="X1902" s="80">
        <v>44958</v>
      </c>
      <c r="Y1902" s="78" t="s">
        <v>2699</v>
      </c>
      <c r="Z1902" s="77" t="str">
        <f>HYPERLINK("https://twitter.com/badiaspices/status/1620838833939173377")</f>
        <v>https://twitter.com/badiaspices/status/1620838833939173377</v>
      </c>
      <c r="AC1902" s="78" t="s">
        <v>3717</v>
      </c>
      <c r="AD1902" s="78" t="s">
        <v>4537</v>
      </c>
      <c r="AE1902" t="b">
        <v>0</v>
      </c>
      <c r="AF1902">
        <v>0</v>
      </c>
      <c r="AG1902" s="78" t="s">
        <v>4695</v>
      </c>
      <c r="AH1902" t="b">
        <v>0</v>
      </c>
      <c r="AI1902" t="s">
        <v>4829</v>
      </c>
      <c r="AK1902" s="78" t="s">
        <v>4640</v>
      </c>
      <c r="AL1902" t="b">
        <v>0</v>
      </c>
      <c r="AM1902">
        <v>0</v>
      </c>
      <c r="AN1902" s="78" t="s">
        <v>4640</v>
      </c>
      <c r="AO1902" s="78" t="s">
        <v>4849</v>
      </c>
      <c r="AP1902" t="b">
        <v>0</v>
      </c>
      <c r="AQ1902" s="78" t="s">
        <v>4537</v>
      </c>
      <c r="AR1902" t="s">
        <v>179</v>
      </c>
      <c r="AS1902">
        <v>0</v>
      </c>
      <c r="AT1902">
        <v>0</v>
      </c>
    </row>
    <row r="1903" spans="1:46" x14ac:dyDescent="0.45">
      <c r="A1903" s="62" t="s">
        <v>466</v>
      </c>
      <c r="B1903" s="62" t="s">
        <v>1273</v>
      </c>
      <c r="C1903" s="63"/>
      <c r="D1903" s="64"/>
      <c r="E1903" s="65"/>
      <c r="F1903" s="66"/>
      <c r="G1903" s="63"/>
      <c r="H1903" s="67"/>
      <c r="I1903" s="68"/>
      <c r="J1903" s="68"/>
      <c r="K1903" s="32"/>
      <c r="L1903" s="75"/>
      <c r="M1903" s="75"/>
      <c r="N1903" s="70"/>
      <c r="O1903" t="s">
        <v>1567</v>
      </c>
      <c r="P1903" s="76">
        <v>44958.734560185185</v>
      </c>
      <c r="Q1903" t="s">
        <v>1759</v>
      </c>
      <c r="V1903" s="77" t="str">
        <f>HYPERLINK("https://pbs.twimg.com/profile_images/570652026434904064/wDj15zD6_normal.jpeg")</f>
        <v>https://pbs.twimg.com/profile_images/570652026434904064/wDj15zD6_normal.jpeg</v>
      </c>
      <c r="W1903" s="76">
        <v>44958.734560185185</v>
      </c>
      <c r="X1903" s="80">
        <v>44958</v>
      </c>
      <c r="Y1903" s="78" t="s">
        <v>2699</v>
      </c>
      <c r="Z1903" s="77" t="str">
        <f>HYPERLINK("https://twitter.com/badiaspices/status/1620838833939173377")</f>
        <v>https://twitter.com/badiaspices/status/1620838833939173377</v>
      </c>
      <c r="AC1903" s="78" t="s">
        <v>3717</v>
      </c>
      <c r="AD1903" s="78" t="s">
        <v>4537</v>
      </c>
      <c r="AE1903" t="b">
        <v>0</v>
      </c>
      <c r="AF1903">
        <v>0</v>
      </c>
      <c r="AG1903" s="78" t="s">
        <v>4695</v>
      </c>
      <c r="AH1903" t="b">
        <v>0</v>
      </c>
      <c r="AI1903" t="s">
        <v>4829</v>
      </c>
      <c r="AK1903" s="78" t="s">
        <v>4640</v>
      </c>
      <c r="AL1903" t="b">
        <v>0</v>
      </c>
      <c r="AM1903">
        <v>0</v>
      </c>
      <c r="AN1903" s="78" t="s">
        <v>4640</v>
      </c>
      <c r="AO1903" s="78" t="s">
        <v>4849</v>
      </c>
      <c r="AP1903" t="b">
        <v>0</v>
      </c>
      <c r="AQ1903" s="78" t="s">
        <v>4537</v>
      </c>
      <c r="AR1903" t="s">
        <v>179</v>
      </c>
      <c r="AS1903">
        <v>0</v>
      </c>
      <c r="AT1903">
        <v>0</v>
      </c>
    </row>
    <row r="1904" spans="1:46" x14ac:dyDescent="0.45">
      <c r="A1904" s="62" t="s">
        <v>466</v>
      </c>
      <c r="B1904" s="62" t="s">
        <v>242</v>
      </c>
      <c r="C1904" s="63"/>
      <c r="D1904" s="64"/>
      <c r="E1904" s="65"/>
      <c r="F1904" s="66"/>
      <c r="G1904" s="63"/>
      <c r="H1904" s="67"/>
      <c r="I1904" s="68"/>
      <c r="J1904" s="68"/>
      <c r="K1904" s="32"/>
      <c r="L1904" s="75"/>
      <c r="M1904" s="75"/>
      <c r="N1904" s="70"/>
      <c r="O1904" t="s">
        <v>1568</v>
      </c>
      <c r="P1904" s="76">
        <v>44958.734560185185</v>
      </c>
      <c r="Q1904" t="s">
        <v>1759</v>
      </c>
      <c r="V1904" s="77" t="str">
        <f>HYPERLINK("https://pbs.twimg.com/profile_images/570652026434904064/wDj15zD6_normal.jpeg")</f>
        <v>https://pbs.twimg.com/profile_images/570652026434904064/wDj15zD6_normal.jpeg</v>
      </c>
      <c r="W1904" s="76">
        <v>44958.734560185185</v>
      </c>
      <c r="X1904" s="80">
        <v>44958</v>
      </c>
      <c r="Y1904" s="78" t="s">
        <v>2699</v>
      </c>
      <c r="Z1904" s="77" t="str">
        <f>HYPERLINK("https://twitter.com/badiaspices/status/1620838833939173377")</f>
        <v>https://twitter.com/badiaspices/status/1620838833939173377</v>
      </c>
      <c r="AC1904" s="78" t="s">
        <v>3717</v>
      </c>
      <c r="AD1904" s="78" t="s">
        <v>4537</v>
      </c>
      <c r="AE1904" t="b">
        <v>0</v>
      </c>
      <c r="AF1904">
        <v>0</v>
      </c>
      <c r="AG1904" s="78" t="s">
        <v>4695</v>
      </c>
      <c r="AH1904" t="b">
        <v>0</v>
      </c>
      <c r="AI1904" t="s">
        <v>4829</v>
      </c>
      <c r="AK1904" s="78" t="s">
        <v>4640</v>
      </c>
      <c r="AL1904" t="b">
        <v>0</v>
      </c>
      <c r="AM1904">
        <v>0</v>
      </c>
      <c r="AN1904" s="78" t="s">
        <v>4640</v>
      </c>
      <c r="AO1904" s="78" t="s">
        <v>4849</v>
      </c>
      <c r="AP1904" t="b">
        <v>0</v>
      </c>
      <c r="AQ1904" s="78" t="s">
        <v>4537</v>
      </c>
      <c r="AR1904" t="s">
        <v>179</v>
      </c>
      <c r="AS1904">
        <v>0</v>
      </c>
      <c r="AT1904">
        <v>0</v>
      </c>
    </row>
    <row r="1905" spans="1:46" x14ac:dyDescent="0.45">
      <c r="A1905" s="62" t="s">
        <v>467</v>
      </c>
      <c r="B1905" s="62" t="s">
        <v>1274</v>
      </c>
      <c r="C1905" s="63"/>
      <c r="D1905" s="64"/>
      <c r="E1905" s="65"/>
      <c r="F1905" s="66"/>
      <c r="G1905" s="63"/>
      <c r="H1905" s="67"/>
      <c r="I1905" s="68"/>
      <c r="J1905" s="68"/>
      <c r="K1905" s="32"/>
      <c r="L1905" s="75"/>
      <c r="M1905" s="75"/>
      <c r="N1905" s="70"/>
      <c r="O1905" t="s">
        <v>1568</v>
      </c>
      <c r="P1905" s="76">
        <v>44958.696875000001</v>
      </c>
      <c r="Q1905" t="s">
        <v>1760</v>
      </c>
      <c r="V1905" s="77" t="str">
        <f>HYPERLINK("https://pbs.twimg.com/profile_images/864984124989341696/HMP_gk-x_normal.jpg")</f>
        <v>https://pbs.twimg.com/profile_images/864984124989341696/HMP_gk-x_normal.jpg</v>
      </c>
      <c r="W1905" s="76">
        <v>44958.696875000001</v>
      </c>
      <c r="X1905" s="80">
        <v>44958</v>
      </c>
      <c r="Y1905" s="78" t="s">
        <v>2700</v>
      </c>
      <c r="Z1905" s="77" t="str">
        <f>HYPERLINK("https://twitter.com/jasonstarr/status/1620825178912751617")</f>
        <v>https://twitter.com/jasonstarr/status/1620825178912751617</v>
      </c>
      <c r="AC1905" s="78" t="s">
        <v>3718</v>
      </c>
      <c r="AD1905" s="78" t="s">
        <v>3724</v>
      </c>
      <c r="AE1905" t="b">
        <v>0</v>
      </c>
      <c r="AF1905">
        <v>0</v>
      </c>
      <c r="AG1905" s="78" t="s">
        <v>4673</v>
      </c>
      <c r="AH1905" t="b">
        <v>0</v>
      </c>
      <c r="AI1905" t="s">
        <v>4829</v>
      </c>
      <c r="AK1905" s="78" t="s">
        <v>4640</v>
      </c>
      <c r="AL1905" t="b">
        <v>0</v>
      </c>
      <c r="AM1905">
        <v>0</v>
      </c>
      <c r="AN1905" s="78" t="s">
        <v>4640</v>
      </c>
      <c r="AO1905" s="78" t="s">
        <v>4851</v>
      </c>
      <c r="AP1905" t="b">
        <v>0</v>
      </c>
      <c r="AQ1905" s="78" t="s">
        <v>3724</v>
      </c>
      <c r="AR1905" t="s">
        <v>179</v>
      </c>
      <c r="AS1905">
        <v>0</v>
      </c>
      <c r="AT1905">
        <v>0</v>
      </c>
    </row>
    <row r="1906" spans="1:46" x14ac:dyDescent="0.45">
      <c r="A1906" s="62" t="s">
        <v>468</v>
      </c>
      <c r="B1906" s="62" t="s">
        <v>1274</v>
      </c>
      <c r="C1906" s="63"/>
      <c r="D1906" s="64"/>
      <c r="E1906" s="65"/>
      <c r="F1906" s="66"/>
      <c r="G1906" s="63"/>
      <c r="H1906" s="67"/>
      <c r="I1906" s="68"/>
      <c r="J1906" s="68"/>
      <c r="K1906" s="32"/>
      <c r="L1906" s="75"/>
      <c r="M1906" s="75"/>
      <c r="N1906" s="70"/>
      <c r="O1906" t="s">
        <v>1568</v>
      </c>
      <c r="P1906" s="76">
        <v>44958.735243055555</v>
      </c>
      <c r="Q1906" t="s">
        <v>1761</v>
      </c>
      <c r="V1906" s="77" t="str">
        <f>HYPERLINK("https://pbs.twimg.com/profile_images/710290146529153024/2P7ZuiaI_normal.jpg")</f>
        <v>https://pbs.twimg.com/profile_images/710290146529153024/2P7ZuiaI_normal.jpg</v>
      </c>
      <c r="W1906" s="76">
        <v>44958.735243055555</v>
      </c>
      <c r="X1906" s="80">
        <v>44958</v>
      </c>
      <c r="Y1906" s="78" t="s">
        <v>2701</v>
      </c>
      <c r="Z1906" s="77" t="str">
        <f>HYPERLINK("https://twitter.com/msjennyburns/status/1620839080245301268")</f>
        <v>https://twitter.com/msjennyburns/status/1620839080245301268</v>
      </c>
      <c r="AC1906" s="78" t="s">
        <v>3719</v>
      </c>
      <c r="AD1906" s="78" t="s">
        <v>3718</v>
      </c>
      <c r="AE1906" t="b">
        <v>0</v>
      </c>
      <c r="AF1906">
        <v>0</v>
      </c>
      <c r="AG1906" s="78" t="s">
        <v>4696</v>
      </c>
      <c r="AH1906" t="b">
        <v>0</v>
      </c>
      <c r="AI1906" t="s">
        <v>4829</v>
      </c>
      <c r="AK1906" s="78" t="s">
        <v>4640</v>
      </c>
      <c r="AL1906" t="b">
        <v>0</v>
      </c>
      <c r="AM1906">
        <v>0</v>
      </c>
      <c r="AN1906" s="78" t="s">
        <v>4640</v>
      </c>
      <c r="AO1906" s="78" t="s">
        <v>4849</v>
      </c>
      <c r="AP1906" t="b">
        <v>0</v>
      </c>
      <c r="AQ1906" s="78" t="s">
        <v>3718</v>
      </c>
      <c r="AR1906" t="s">
        <v>179</v>
      </c>
      <c r="AS1906">
        <v>0</v>
      </c>
      <c r="AT1906">
        <v>0</v>
      </c>
    </row>
    <row r="1907" spans="1:46" x14ac:dyDescent="0.45">
      <c r="A1907" s="62" t="s">
        <v>379</v>
      </c>
      <c r="B1907" s="62" t="s">
        <v>1198</v>
      </c>
      <c r="C1907" s="63"/>
      <c r="D1907" s="64"/>
      <c r="E1907" s="65"/>
      <c r="F1907" s="66"/>
      <c r="G1907" s="63"/>
      <c r="H1907" s="67"/>
      <c r="I1907" s="68"/>
      <c r="J1907" s="68"/>
      <c r="K1907" s="32"/>
      <c r="L1907" s="75"/>
      <c r="M1907" s="75"/>
      <c r="N1907" s="70"/>
      <c r="O1907" t="s">
        <v>1568</v>
      </c>
      <c r="P1907" s="76">
        <v>44958.623726851853</v>
      </c>
      <c r="Q1907" t="s">
        <v>1764</v>
      </c>
      <c r="V1907" s="77" t="str">
        <f>HYPERLINK("https://pbs.twimg.com/profile_images/1525158976240902146/uJv1fZch_normal.jpg")</f>
        <v>https://pbs.twimg.com/profile_images/1525158976240902146/uJv1fZch_normal.jpg</v>
      </c>
      <c r="W1907" s="76">
        <v>44958.623726851853</v>
      </c>
      <c r="X1907" s="80">
        <v>44958</v>
      </c>
      <c r="Y1907" s="78" t="s">
        <v>2705</v>
      </c>
      <c r="Z1907" s="77" t="str">
        <f>HYPERLINK("https://twitter.com/iiiitsandrea/status/1620798669363740673")</f>
        <v>https://twitter.com/iiiitsandrea/status/1620798669363740673</v>
      </c>
      <c r="AC1907" s="78" t="s">
        <v>3723</v>
      </c>
      <c r="AD1907" s="78" t="s">
        <v>3720</v>
      </c>
      <c r="AE1907" t="b">
        <v>0</v>
      </c>
      <c r="AF1907">
        <v>0</v>
      </c>
      <c r="AG1907" s="78" t="s">
        <v>4697</v>
      </c>
      <c r="AH1907" t="b">
        <v>0</v>
      </c>
      <c r="AI1907" t="s">
        <v>4829</v>
      </c>
      <c r="AK1907" s="78" t="s">
        <v>4640</v>
      </c>
      <c r="AL1907" t="b">
        <v>0</v>
      </c>
      <c r="AM1907">
        <v>0</v>
      </c>
      <c r="AN1907" s="78" t="s">
        <v>4640</v>
      </c>
      <c r="AO1907" s="78" t="s">
        <v>4851</v>
      </c>
      <c r="AP1907" t="b">
        <v>0</v>
      </c>
      <c r="AQ1907" s="78" t="s">
        <v>3720</v>
      </c>
      <c r="AR1907" t="s">
        <v>179</v>
      </c>
      <c r="AS1907">
        <v>0</v>
      </c>
      <c r="AT1907">
        <v>0</v>
      </c>
    </row>
    <row r="1908" spans="1:46" x14ac:dyDescent="0.45">
      <c r="A1908" s="62" t="s">
        <v>379</v>
      </c>
      <c r="B1908" s="62" t="s">
        <v>1198</v>
      </c>
      <c r="C1908" s="63"/>
      <c r="D1908" s="64"/>
      <c r="E1908" s="65"/>
      <c r="F1908" s="66"/>
      <c r="G1908" s="63"/>
      <c r="H1908" s="67"/>
      <c r="I1908" s="68"/>
      <c r="J1908" s="68"/>
      <c r="K1908" s="32"/>
      <c r="L1908" s="75"/>
      <c r="M1908" s="75"/>
      <c r="N1908" s="70"/>
      <c r="O1908" t="s">
        <v>1568</v>
      </c>
      <c r="P1908" s="76">
        <v>44958.644444444442</v>
      </c>
      <c r="Q1908" t="s">
        <v>1765</v>
      </c>
      <c r="V1908" s="77" t="str">
        <f>HYPERLINK("https://pbs.twimg.com/profile_images/1525158976240902146/uJv1fZch_normal.jpg")</f>
        <v>https://pbs.twimg.com/profile_images/1525158976240902146/uJv1fZch_normal.jpg</v>
      </c>
      <c r="W1908" s="76">
        <v>44958.644444444442</v>
      </c>
      <c r="X1908" s="80">
        <v>44958</v>
      </c>
      <c r="Y1908" s="78" t="s">
        <v>2706</v>
      </c>
      <c r="Z1908" s="77" t="str">
        <f>HYPERLINK("https://twitter.com/iiiitsandrea/status/1620806178443005953")</f>
        <v>https://twitter.com/iiiitsandrea/status/1620806178443005953</v>
      </c>
      <c r="AC1908" s="78" t="s">
        <v>3724</v>
      </c>
      <c r="AD1908" s="78" t="s">
        <v>3725</v>
      </c>
      <c r="AE1908" t="b">
        <v>0</v>
      </c>
      <c r="AF1908">
        <v>0</v>
      </c>
      <c r="AG1908" s="78" t="s">
        <v>4696</v>
      </c>
      <c r="AH1908" t="b">
        <v>0</v>
      </c>
      <c r="AI1908" t="s">
        <v>4829</v>
      </c>
      <c r="AK1908" s="78" t="s">
        <v>4640</v>
      </c>
      <c r="AL1908" t="b">
        <v>0</v>
      </c>
      <c r="AM1908">
        <v>0</v>
      </c>
      <c r="AN1908" s="78" t="s">
        <v>4640</v>
      </c>
      <c r="AO1908" s="78" t="s">
        <v>4851</v>
      </c>
      <c r="AP1908" t="b">
        <v>0</v>
      </c>
      <c r="AQ1908" s="78" t="s">
        <v>3725</v>
      </c>
      <c r="AR1908" t="s">
        <v>179</v>
      </c>
      <c r="AS1908">
        <v>0</v>
      </c>
      <c r="AT1908">
        <v>0</v>
      </c>
    </row>
    <row r="1909" spans="1:46" x14ac:dyDescent="0.45">
      <c r="A1909" s="62" t="s">
        <v>467</v>
      </c>
      <c r="B1909" s="62" t="s">
        <v>1198</v>
      </c>
      <c r="C1909" s="63"/>
      <c r="D1909" s="64"/>
      <c r="E1909" s="65"/>
      <c r="F1909" s="66"/>
      <c r="G1909" s="63"/>
      <c r="H1909" s="67"/>
      <c r="I1909" s="68"/>
      <c r="J1909" s="68"/>
      <c r="K1909" s="32"/>
      <c r="L1909" s="75"/>
      <c r="M1909" s="75"/>
      <c r="N1909" s="70"/>
      <c r="O1909" t="s">
        <v>1568</v>
      </c>
      <c r="P1909" s="76">
        <v>44958.696875000001</v>
      </c>
      <c r="Q1909" t="s">
        <v>1760</v>
      </c>
      <c r="V1909" s="77" t="str">
        <f>HYPERLINK("https://pbs.twimg.com/profile_images/864984124989341696/HMP_gk-x_normal.jpg")</f>
        <v>https://pbs.twimg.com/profile_images/864984124989341696/HMP_gk-x_normal.jpg</v>
      </c>
      <c r="W1909" s="76">
        <v>44958.696875000001</v>
      </c>
      <c r="X1909" s="80">
        <v>44958</v>
      </c>
      <c r="Y1909" s="78" t="s">
        <v>2700</v>
      </c>
      <c r="Z1909" s="77" t="str">
        <f>HYPERLINK("https://twitter.com/jasonstarr/status/1620825178912751617")</f>
        <v>https://twitter.com/jasonstarr/status/1620825178912751617</v>
      </c>
      <c r="AC1909" s="78" t="s">
        <v>3718</v>
      </c>
      <c r="AD1909" s="78" t="s">
        <v>3724</v>
      </c>
      <c r="AE1909" t="b">
        <v>0</v>
      </c>
      <c r="AF1909">
        <v>0</v>
      </c>
      <c r="AG1909" s="78" t="s">
        <v>4673</v>
      </c>
      <c r="AH1909" t="b">
        <v>0</v>
      </c>
      <c r="AI1909" t="s">
        <v>4829</v>
      </c>
      <c r="AK1909" s="78" t="s">
        <v>4640</v>
      </c>
      <c r="AL1909" t="b">
        <v>0</v>
      </c>
      <c r="AM1909">
        <v>0</v>
      </c>
      <c r="AN1909" s="78" t="s">
        <v>4640</v>
      </c>
      <c r="AO1909" s="78" t="s">
        <v>4851</v>
      </c>
      <c r="AP1909" t="b">
        <v>0</v>
      </c>
      <c r="AQ1909" s="78" t="s">
        <v>3724</v>
      </c>
      <c r="AR1909" t="s">
        <v>179</v>
      </c>
      <c r="AS1909">
        <v>0</v>
      </c>
      <c r="AT1909">
        <v>0</v>
      </c>
    </row>
    <row r="1910" spans="1:46" x14ac:dyDescent="0.45">
      <c r="A1910" s="62" t="s">
        <v>468</v>
      </c>
      <c r="B1910" s="62" t="s">
        <v>1198</v>
      </c>
      <c r="C1910" s="63"/>
      <c r="D1910" s="64"/>
      <c r="E1910" s="65"/>
      <c r="F1910" s="66"/>
      <c r="G1910" s="63"/>
      <c r="H1910" s="67"/>
      <c r="I1910" s="68"/>
      <c r="J1910" s="68"/>
      <c r="K1910" s="32"/>
      <c r="L1910" s="75"/>
      <c r="M1910" s="75"/>
      <c r="N1910" s="70"/>
      <c r="O1910" t="s">
        <v>1568</v>
      </c>
      <c r="P1910" s="76">
        <v>44958.735243055555</v>
      </c>
      <c r="Q1910" t="s">
        <v>1761</v>
      </c>
      <c r="V1910" s="77" t="str">
        <f>HYPERLINK("https://pbs.twimg.com/profile_images/710290146529153024/2P7ZuiaI_normal.jpg")</f>
        <v>https://pbs.twimg.com/profile_images/710290146529153024/2P7ZuiaI_normal.jpg</v>
      </c>
      <c r="W1910" s="76">
        <v>44958.735243055555</v>
      </c>
      <c r="X1910" s="80">
        <v>44958</v>
      </c>
      <c r="Y1910" s="78" t="s">
        <v>2701</v>
      </c>
      <c r="Z1910" s="77" t="str">
        <f>HYPERLINK("https://twitter.com/msjennyburns/status/1620839080245301268")</f>
        <v>https://twitter.com/msjennyburns/status/1620839080245301268</v>
      </c>
      <c r="AC1910" s="78" t="s">
        <v>3719</v>
      </c>
      <c r="AD1910" s="78" t="s">
        <v>3718</v>
      </c>
      <c r="AE1910" t="b">
        <v>0</v>
      </c>
      <c r="AF1910">
        <v>0</v>
      </c>
      <c r="AG1910" s="78" t="s">
        <v>4696</v>
      </c>
      <c r="AH1910" t="b">
        <v>0</v>
      </c>
      <c r="AI1910" t="s">
        <v>4829</v>
      </c>
      <c r="AK1910" s="78" t="s">
        <v>4640</v>
      </c>
      <c r="AL1910" t="b">
        <v>0</v>
      </c>
      <c r="AM1910">
        <v>0</v>
      </c>
      <c r="AN1910" s="78" t="s">
        <v>4640</v>
      </c>
      <c r="AO1910" s="78" t="s">
        <v>4849</v>
      </c>
      <c r="AP1910" t="b">
        <v>0</v>
      </c>
      <c r="AQ1910" s="78" t="s">
        <v>3718</v>
      </c>
      <c r="AR1910" t="s">
        <v>179</v>
      </c>
      <c r="AS1910">
        <v>0</v>
      </c>
      <c r="AT1910">
        <v>0</v>
      </c>
    </row>
    <row r="1911" spans="1:46" x14ac:dyDescent="0.45">
      <c r="A1911" s="62" t="s">
        <v>379</v>
      </c>
      <c r="B1911" s="62" t="s">
        <v>469</v>
      </c>
      <c r="C1911" s="63"/>
      <c r="D1911" s="64"/>
      <c r="E1911" s="65"/>
      <c r="F1911" s="66"/>
      <c r="G1911" s="63"/>
      <c r="H1911" s="67"/>
      <c r="I1911" s="68"/>
      <c r="J1911" s="68"/>
      <c r="K1911" s="32"/>
      <c r="L1911" s="75"/>
      <c r="M1911" s="75"/>
      <c r="N1911" s="70"/>
      <c r="O1911" t="s">
        <v>1567</v>
      </c>
      <c r="P1911" s="76">
        <v>44958.623726851853</v>
      </c>
      <c r="Q1911" t="s">
        <v>1764</v>
      </c>
      <c r="V1911" s="77" t="str">
        <f>HYPERLINK("https://pbs.twimg.com/profile_images/1525158976240902146/uJv1fZch_normal.jpg")</f>
        <v>https://pbs.twimg.com/profile_images/1525158976240902146/uJv1fZch_normal.jpg</v>
      </c>
      <c r="W1911" s="76">
        <v>44958.623726851853</v>
      </c>
      <c r="X1911" s="80">
        <v>44958</v>
      </c>
      <c r="Y1911" s="78" t="s">
        <v>2705</v>
      </c>
      <c r="Z1911" s="77" t="str">
        <f>HYPERLINK("https://twitter.com/iiiitsandrea/status/1620798669363740673")</f>
        <v>https://twitter.com/iiiitsandrea/status/1620798669363740673</v>
      </c>
      <c r="AC1911" s="78" t="s">
        <v>3723</v>
      </c>
      <c r="AD1911" s="78" t="s">
        <v>3720</v>
      </c>
      <c r="AE1911" t="b">
        <v>0</v>
      </c>
      <c r="AF1911">
        <v>0</v>
      </c>
      <c r="AG1911" s="78" t="s">
        <v>4697</v>
      </c>
      <c r="AH1911" t="b">
        <v>0</v>
      </c>
      <c r="AI1911" t="s">
        <v>4829</v>
      </c>
      <c r="AK1911" s="78" t="s">
        <v>4640</v>
      </c>
      <c r="AL1911" t="b">
        <v>0</v>
      </c>
      <c r="AM1911">
        <v>0</v>
      </c>
      <c r="AN1911" s="78" t="s">
        <v>4640</v>
      </c>
      <c r="AO1911" s="78" t="s">
        <v>4851</v>
      </c>
      <c r="AP1911" t="b">
        <v>0</v>
      </c>
      <c r="AQ1911" s="78" t="s">
        <v>3720</v>
      </c>
      <c r="AR1911" t="s">
        <v>179</v>
      </c>
      <c r="AS1911">
        <v>0</v>
      </c>
      <c r="AT1911">
        <v>0</v>
      </c>
    </row>
    <row r="1912" spans="1:46" x14ac:dyDescent="0.45">
      <c r="A1912" s="62" t="s">
        <v>379</v>
      </c>
      <c r="B1912" s="62" t="s">
        <v>469</v>
      </c>
      <c r="C1912" s="63"/>
      <c r="D1912" s="64"/>
      <c r="E1912" s="65"/>
      <c r="F1912" s="66"/>
      <c r="G1912" s="63"/>
      <c r="H1912" s="67"/>
      <c r="I1912" s="68"/>
      <c r="J1912" s="68"/>
      <c r="K1912" s="32"/>
      <c r="L1912" s="75"/>
      <c r="M1912" s="75"/>
      <c r="N1912" s="70"/>
      <c r="O1912" t="s">
        <v>1568</v>
      </c>
      <c r="P1912" s="76">
        <v>44958.644444444442</v>
      </c>
      <c r="Q1912" t="s">
        <v>1765</v>
      </c>
      <c r="V1912" s="77" t="str">
        <f>HYPERLINK("https://pbs.twimg.com/profile_images/1525158976240902146/uJv1fZch_normal.jpg")</f>
        <v>https://pbs.twimg.com/profile_images/1525158976240902146/uJv1fZch_normal.jpg</v>
      </c>
      <c r="W1912" s="76">
        <v>44958.644444444442</v>
      </c>
      <c r="X1912" s="80">
        <v>44958</v>
      </c>
      <c r="Y1912" s="78" t="s">
        <v>2706</v>
      </c>
      <c r="Z1912" s="77" t="str">
        <f>HYPERLINK("https://twitter.com/iiiitsandrea/status/1620806178443005953")</f>
        <v>https://twitter.com/iiiitsandrea/status/1620806178443005953</v>
      </c>
      <c r="AC1912" s="78" t="s">
        <v>3724</v>
      </c>
      <c r="AD1912" s="78" t="s">
        <v>3725</v>
      </c>
      <c r="AE1912" t="b">
        <v>0</v>
      </c>
      <c r="AF1912">
        <v>0</v>
      </c>
      <c r="AG1912" s="78" t="s">
        <v>4696</v>
      </c>
      <c r="AH1912" t="b">
        <v>0</v>
      </c>
      <c r="AI1912" t="s">
        <v>4829</v>
      </c>
      <c r="AK1912" s="78" t="s">
        <v>4640</v>
      </c>
      <c r="AL1912" t="b">
        <v>0</v>
      </c>
      <c r="AM1912">
        <v>0</v>
      </c>
      <c r="AN1912" s="78" t="s">
        <v>4640</v>
      </c>
      <c r="AO1912" s="78" t="s">
        <v>4851</v>
      </c>
      <c r="AP1912" t="b">
        <v>0</v>
      </c>
      <c r="AQ1912" s="78" t="s">
        <v>3725</v>
      </c>
      <c r="AR1912" t="s">
        <v>179</v>
      </c>
      <c r="AS1912">
        <v>0</v>
      </c>
      <c r="AT1912">
        <v>0</v>
      </c>
    </row>
    <row r="1913" spans="1:46" x14ac:dyDescent="0.45">
      <c r="A1913" s="62" t="s">
        <v>467</v>
      </c>
      <c r="B1913" s="62" t="s">
        <v>469</v>
      </c>
      <c r="C1913" s="63"/>
      <c r="D1913" s="64"/>
      <c r="E1913" s="65"/>
      <c r="F1913" s="66"/>
      <c r="G1913" s="63"/>
      <c r="H1913" s="67"/>
      <c r="I1913" s="68"/>
      <c r="J1913" s="68"/>
      <c r="K1913" s="32"/>
      <c r="L1913" s="75"/>
      <c r="M1913" s="75"/>
      <c r="N1913" s="70"/>
      <c r="O1913" t="s">
        <v>1568</v>
      </c>
      <c r="P1913" s="76">
        <v>44958.696875000001</v>
      </c>
      <c r="Q1913" t="s">
        <v>1760</v>
      </c>
      <c r="V1913" s="77" t="str">
        <f>HYPERLINK("https://pbs.twimg.com/profile_images/864984124989341696/HMP_gk-x_normal.jpg")</f>
        <v>https://pbs.twimg.com/profile_images/864984124989341696/HMP_gk-x_normal.jpg</v>
      </c>
      <c r="W1913" s="76">
        <v>44958.696875000001</v>
      </c>
      <c r="X1913" s="80">
        <v>44958</v>
      </c>
      <c r="Y1913" s="78" t="s">
        <v>2700</v>
      </c>
      <c r="Z1913" s="77" t="str">
        <f>HYPERLINK("https://twitter.com/jasonstarr/status/1620825178912751617")</f>
        <v>https://twitter.com/jasonstarr/status/1620825178912751617</v>
      </c>
      <c r="AC1913" s="78" t="s">
        <v>3718</v>
      </c>
      <c r="AD1913" s="78" t="s">
        <v>3724</v>
      </c>
      <c r="AE1913" t="b">
        <v>0</v>
      </c>
      <c r="AF1913">
        <v>0</v>
      </c>
      <c r="AG1913" s="78" t="s">
        <v>4673</v>
      </c>
      <c r="AH1913" t="b">
        <v>0</v>
      </c>
      <c r="AI1913" t="s">
        <v>4829</v>
      </c>
      <c r="AK1913" s="78" t="s">
        <v>4640</v>
      </c>
      <c r="AL1913" t="b">
        <v>0</v>
      </c>
      <c r="AM1913">
        <v>0</v>
      </c>
      <c r="AN1913" s="78" t="s">
        <v>4640</v>
      </c>
      <c r="AO1913" s="78" t="s">
        <v>4851</v>
      </c>
      <c r="AP1913" t="b">
        <v>0</v>
      </c>
      <c r="AQ1913" s="78" t="s">
        <v>3724</v>
      </c>
      <c r="AR1913" t="s">
        <v>179</v>
      </c>
      <c r="AS1913">
        <v>0</v>
      </c>
      <c r="AT1913">
        <v>0</v>
      </c>
    </row>
    <row r="1914" spans="1:46" x14ac:dyDescent="0.45">
      <c r="A1914" s="62" t="s">
        <v>468</v>
      </c>
      <c r="B1914" s="62" t="s">
        <v>469</v>
      </c>
      <c r="C1914" s="63"/>
      <c r="D1914" s="64"/>
      <c r="E1914" s="65"/>
      <c r="F1914" s="66"/>
      <c r="G1914" s="63"/>
      <c r="H1914" s="67"/>
      <c r="I1914" s="68"/>
      <c r="J1914" s="68"/>
      <c r="K1914" s="32"/>
      <c r="L1914" s="75"/>
      <c r="M1914" s="75"/>
      <c r="N1914" s="70"/>
      <c r="O1914" t="s">
        <v>1568</v>
      </c>
      <c r="P1914" s="76">
        <v>44958.735243055555</v>
      </c>
      <c r="Q1914" t="s">
        <v>1761</v>
      </c>
      <c r="V1914" s="77" t="str">
        <f>HYPERLINK("https://pbs.twimg.com/profile_images/710290146529153024/2P7ZuiaI_normal.jpg")</f>
        <v>https://pbs.twimg.com/profile_images/710290146529153024/2P7ZuiaI_normal.jpg</v>
      </c>
      <c r="W1914" s="76">
        <v>44958.735243055555</v>
      </c>
      <c r="X1914" s="80">
        <v>44958</v>
      </c>
      <c r="Y1914" s="78" t="s">
        <v>2701</v>
      </c>
      <c r="Z1914" s="77" t="str">
        <f>HYPERLINK("https://twitter.com/msjennyburns/status/1620839080245301268")</f>
        <v>https://twitter.com/msjennyburns/status/1620839080245301268</v>
      </c>
      <c r="AC1914" s="78" t="s">
        <v>3719</v>
      </c>
      <c r="AD1914" s="78" t="s">
        <v>3718</v>
      </c>
      <c r="AE1914" t="b">
        <v>0</v>
      </c>
      <c r="AF1914">
        <v>0</v>
      </c>
      <c r="AG1914" s="78" t="s">
        <v>4696</v>
      </c>
      <c r="AH1914" t="b">
        <v>0</v>
      </c>
      <c r="AI1914" t="s">
        <v>4829</v>
      </c>
      <c r="AK1914" s="78" t="s">
        <v>4640</v>
      </c>
      <c r="AL1914" t="b">
        <v>0</v>
      </c>
      <c r="AM1914">
        <v>0</v>
      </c>
      <c r="AN1914" s="78" t="s">
        <v>4640</v>
      </c>
      <c r="AO1914" s="78" t="s">
        <v>4849</v>
      </c>
      <c r="AP1914" t="b">
        <v>0</v>
      </c>
      <c r="AQ1914" s="78" t="s">
        <v>3718</v>
      </c>
      <c r="AR1914" t="s">
        <v>179</v>
      </c>
      <c r="AS1914">
        <v>0</v>
      </c>
      <c r="AT1914">
        <v>0</v>
      </c>
    </row>
    <row r="1915" spans="1:46" x14ac:dyDescent="0.45">
      <c r="A1915" s="62" t="s">
        <v>379</v>
      </c>
      <c r="B1915" s="62" t="s">
        <v>1181</v>
      </c>
      <c r="C1915" s="63"/>
      <c r="D1915" s="64"/>
      <c r="E1915" s="65"/>
      <c r="F1915" s="66"/>
      <c r="G1915" s="63"/>
      <c r="H1915" s="67"/>
      <c r="I1915" s="68"/>
      <c r="J1915" s="68"/>
      <c r="K1915" s="32"/>
      <c r="L1915" s="75"/>
      <c r="M1915" s="75"/>
      <c r="N1915" s="70"/>
      <c r="O1915" t="s">
        <v>1568</v>
      </c>
      <c r="P1915" s="76">
        <v>44958.623726851853</v>
      </c>
      <c r="Q1915" t="s">
        <v>1764</v>
      </c>
      <c r="V1915" s="77" t="str">
        <f>HYPERLINK("https://pbs.twimg.com/profile_images/1525158976240902146/uJv1fZch_normal.jpg")</f>
        <v>https://pbs.twimg.com/profile_images/1525158976240902146/uJv1fZch_normal.jpg</v>
      </c>
      <c r="W1915" s="76">
        <v>44958.623726851853</v>
      </c>
      <c r="X1915" s="80">
        <v>44958</v>
      </c>
      <c r="Y1915" s="78" t="s">
        <v>2705</v>
      </c>
      <c r="Z1915" s="77" t="str">
        <f>HYPERLINK("https://twitter.com/iiiitsandrea/status/1620798669363740673")</f>
        <v>https://twitter.com/iiiitsandrea/status/1620798669363740673</v>
      </c>
      <c r="AC1915" s="78" t="s">
        <v>3723</v>
      </c>
      <c r="AD1915" s="78" t="s">
        <v>3720</v>
      </c>
      <c r="AE1915" t="b">
        <v>0</v>
      </c>
      <c r="AF1915">
        <v>0</v>
      </c>
      <c r="AG1915" s="78" t="s">
        <v>4697</v>
      </c>
      <c r="AH1915" t="b">
        <v>0</v>
      </c>
      <c r="AI1915" t="s">
        <v>4829</v>
      </c>
      <c r="AK1915" s="78" t="s">
        <v>4640</v>
      </c>
      <c r="AL1915" t="b">
        <v>0</v>
      </c>
      <c r="AM1915">
        <v>0</v>
      </c>
      <c r="AN1915" s="78" t="s">
        <v>4640</v>
      </c>
      <c r="AO1915" s="78" t="s">
        <v>4851</v>
      </c>
      <c r="AP1915" t="b">
        <v>0</v>
      </c>
      <c r="AQ1915" s="78" t="s">
        <v>3720</v>
      </c>
      <c r="AR1915" t="s">
        <v>179</v>
      </c>
      <c r="AS1915">
        <v>0</v>
      </c>
      <c r="AT1915">
        <v>0</v>
      </c>
    </row>
    <row r="1916" spans="1:46" x14ac:dyDescent="0.45">
      <c r="A1916" s="62" t="s">
        <v>379</v>
      </c>
      <c r="B1916" s="62" t="s">
        <v>1199</v>
      </c>
      <c r="C1916" s="63"/>
      <c r="D1916" s="64"/>
      <c r="E1916" s="65"/>
      <c r="F1916" s="66"/>
      <c r="G1916" s="63"/>
      <c r="H1916" s="67"/>
      <c r="I1916" s="68"/>
      <c r="J1916" s="68"/>
      <c r="K1916" s="32"/>
      <c r="L1916" s="75"/>
      <c r="M1916" s="75"/>
      <c r="N1916" s="70"/>
      <c r="O1916" t="s">
        <v>1568</v>
      </c>
      <c r="P1916" s="76">
        <v>44958.623726851853</v>
      </c>
      <c r="Q1916" t="s">
        <v>1764</v>
      </c>
      <c r="V1916" s="77" t="str">
        <f>HYPERLINK("https://pbs.twimg.com/profile_images/1525158976240902146/uJv1fZch_normal.jpg")</f>
        <v>https://pbs.twimg.com/profile_images/1525158976240902146/uJv1fZch_normal.jpg</v>
      </c>
      <c r="W1916" s="76">
        <v>44958.623726851853</v>
      </c>
      <c r="X1916" s="80">
        <v>44958</v>
      </c>
      <c r="Y1916" s="78" t="s">
        <v>2705</v>
      </c>
      <c r="Z1916" s="77" t="str">
        <f>HYPERLINK("https://twitter.com/iiiitsandrea/status/1620798669363740673")</f>
        <v>https://twitter.com/iiiitsandrea/status/1620798669363740673</v>
      </c>
      <c r="AC1916" s="78" t="s">
        <v>3723</v>
      </c>
      <c r="AD1916" s="78" t="s">
        <v>3720</v>
      </c>
      <c r="AE1916" t="b">
        <v>0</v>
      </c>
      <c r="AF1916">
        <v>0</v>
      </c>
      <c r="AG1916" s="78" t="s">
        <v>4697</v>
      </c>
      <c r="AH1916" t="b">
        <v>0</v>
      </c>
      <c r="AI1916" t="s">
        <v>4829</v>
      </c>
      <c r="AK1916" s="78" t="s">
        <v>4640</v>
      </c>
      <c r="AL1916" t="b">
        <v>0</v>
      </c>
      <c r="AM1916">
        <v>0</v>
      </c>
      <c r="AN1916" s="78" t="s">
        <v>4640</v>
      </c>
      <c r="AO1916" s="78" t="s">
        <v>4851</v>
      </c>
      <c r="AP1916" t="b">
        <v>0</v>
      </c>
      <c r="AQ1916" s="78" t="s">
        <v>3720</v>
      </c>
      <c r="AR1916" t="s">
        <v>179</v>
      </c>
      <c r="AS1916">
        <v>0</v>
      </c>
      <c r="AT1916">
        <v>0</v>
      </c>
    </row>
    <row r="1917" spans="1:46" x14ac:dyDescent="0.45">
      <c r="A1917" s="62" t="s">
        <v>379</v>
      </c>
      <c r="B1917" s="62" t="s">
        <v>1185</v>
      </c>
      <c r="C1917" s="63"/>
      <c r="D1917" s="64"/>
      <c r="E1917" s="65"/>
      <c r="F1917" s="66"/>
      <c r="G1917" s="63"/>
      <c r="H1917" s="67"/>
      <c r="I1917" s="68"/>
      <c r="J1917" s="68"/>
      <c r="K1917" s="32"/>
      <c r="L1917" s="75"/>
      <c r="M1917" s="75"/>
      <c r="N1917" s="70"/>
      <c r="O1917" t="s">
        <v>1568</v>
      </c>
      <c r="P1917" s="76">
        <v>44958.623726851853</v>
      </c>
      <c r="Q1917" t="s">
        <v>1764</v>
      </c>
      <c r="V1917" s="77" t="str">
        <f>HYPERLINK("https://pbs.twimg.com/profile_images/1525158976240902146/uJv1fZch_normal.jpg")</f>
        <v>https://pbs.twimg.com/profile_images/1525158976240902146/uJv1fZch_normal.jpg</v>
      </c>
      <c r="W1917" s="76">
        <v>44958.623726851853</v>
      </c>
      <c r="X1917" s="80">
        <v>44958</v>
      </c>
      <c r="Y1917" s="78" t="s">
        <v>2705</v>
      </c>
      <c r="Z1917" s="77" t="str">
        <f>HYPERLINK("https://twitter.com/iiiitsandrea/status/1620798669363740673")</f>
        <v>https://twitter.com/iiiitsandrea/status/1620798669363740673</v>
      </c>
      <c r="AC1917" s="78" t="s">
        <v>3723</v>
      </c>
      <c r="AD1917" s="78" t="s">
        <v>3720</v>
      </c>
      <c r="AE1917" t="b">
        <v>0</v>
      </c>
      <c r="AF1917">
        <v>0</v>
      </c>
      <c r="AG1917" s="78" t="s">
        <v>4697</v>
      </c>
      <c r="AH1917" t="b">
        <v>0</v>
      </c>
      <c r="AI1917" t="s">
        <v>4829</v>
      </c>
      <c r="AK1917" s="78" t="s">
        <v>4640</v>
      </c>
      <c r="AL1917" t="b">
        <v>0</v>
      </c>
      <c r="AM1917">
        <v>0</v>
      </c>
      <c r="AN1917" s="78" t="s">
        <v>4640</v>
      </c>
      <c r="AO1917" s="78" t="s">
        <v>4851</v>
      </c>
      <c r="AP1917" t="b">
        <v>0</v>
      </c>
      <c r="AQ1917" s="78" t="s">
        <v>3720</v>
      </c>
      <c r="AR1917" t="s">
        <v>179</v>
      </c>
      <c r="AS1917">
        <v>0</v>
      </c>
      <c r="AT1917">
        <v>0</v>
      </c>
    </row>
    <row r="1918" spans="1:46" x14ac:dyDescent="0.45">
      <c r="A1918" s="62" t="s">
        <v>379</v>
      </c>
      <c r="B1918" s="62" t="s">
        <v>242</v>
      </c>
      <c r="C1918" s="63"/>
      <c r="D1918" s="64"/>
      <c r="E1918" s="65"/>
      <c r="F1918" s="66"/>
      <c r="G1918" s="63"/>
      <c r="H1918" s="67"/>
      <c r="I1918" s="68"/>
      <c r="J1918" s="68"/>
      <c r="K1918" s="32"/>
      <c r="L1918" s="75"/>
      <c r="M1918" s="75"/>
      <c r="N1918" s="70"/>
      <c r="O1918" t="s">
        <v>1568</v>
      </c>
      <c r="P1918" s="76">
        <v>44958.623726851853</v>
      </c>
      <c r="Q1918" t="s">
        <v>1764</v>
      </c>
      <c r="V1918" s="77" t="str">
        <f>HYPERLINK("https://pbs.twimg.com/profile_images/1525158976240902146/uJv1fZch_normal.jpg")</f>
        <v>https://pbs.twimg.com/profile_images/1525158976240902146/uJv1fZch_normal.jpg</v>
      </c>
      <c r="W1918" s="76">
        <v>44958.623726851853</v>
      </c>
      <c r="X1918" s="80">
        <v>44958</v>
      </c>
      <c r="Y1918" s="78" t="s">
        <v>2705</v>
      </c>
      <c r="Z1918" s="77" t="str">
        <f>HYPERLINK("https://twitter.com/iiiitsandrea/status/1620798669363740673")</f>
        <v>https://twitter.com/iiiitsandrea/status/1620798669363740673</v>
      </c>
      <c r="AC1918" s="78" t="s">
        <v>3723</v>
      </c>
      <c r="AD1918" s="78" t="s">
        <v>3720</v>
      </c>
      <c r="AE1918" t="b">
        <v>0</v>
      </c>
      <c r="AF1918">
        <v>0</v>
      </c>
      <c r="AG1918" s="78" t="s">
        <v>4697</v>
      </c>
      <c r="AH1918" t="b">
        <v>0</v>
      </c>
      <c r="AI1918" t="s">
        <v>4829</v>
      </c>
      <c r="AK1918" s="78" t="s">
        <v>4640</v>
      </c>
      <c r="AL1918" t="b">
        <v>0</v>
      </c>
      <c r="AM1918">
        <v>0</v>
      </c>
      <c r="AN1918" s="78" t="s">
        <v>4640</v>
      </c>
      <c r="AO1918" s="78" t="s">
        <v>4851</v>
      </c>
      <c r="AP1918" t="b">
        <v>0</v>
      </c>
      <c r="AQ1918" s="78" t="s">
        <v>3720</v>
      </c>
      <c r="AR1918" t="s">
        <v>179</v>
      </c>
      <c r="AS1918">
        <v>0</v>
      </c>
      <c r="AT1918">
        <v>0</v>
      </c>
    </row>
    <row r="1919" spans="1:46" x14ac:dyDescent="0.45">
      <c r="A1919" s="62" t="s">
        <v>379</v>
      </c>
      <c r="B1919" s="62" t="s">
        <v>1181</v>
      </c>
      <c r="C1919" s="63"/>
      <c r="D1919" s="64"/>
      <c r="E1919" s="65"/>
      <c r="F1919" s="66"/>
      <c r="G1919" s="63"/>
      <c r="H1919" s="67"/>
      <c r="I1919" s="68"/>
      <c r="J1919" s="68"/>
      <c r="K1919" s="32"/>
      <c r="L1919" s="75"/>
      <c r="M1919" s="75"/>
      <c r="N1919" s="70"/>
      <c r="O1919" t="s">
        <v>1568</v>
      </c>
      <c r="P1919" s="76">
        <v>44958.644444444442</v>
      </c>
      <c r="Q1919" t="s">
        <v>1765</v>
      </c>
      <c r="V1919" s="77" t="str">
        <f>HYPERLINK("https://pbs.twimg.com/profile_images/1525158976240902146/uJv1fZch_normal.jpg")</f>
        <v>https://pbs.twimg.com/profile_images/1525158976240902146/uJv1fZch_normal.jpg</v>
      </c>
      <c r="W1919" s="76">
        <v>44958.644444444442</v>
      </c>
      <c r="X1919" s="80">
        <v>44958</v>
      </c>
      <c r="Y1919" s="78" t="s">
        <v>2706</v>
      </c>
      <c r="Z1919" s="77" t="str">
        <f>HYPERLINK("https://twitter.com/iiiitsandrea/status/1620806178443005953")</f>
        <v>https://twitter.com/iiiitsandrea/status/1620806178443005953</v>
      </c>
      <c r="AC1919" s="78" t="s">
        <v>3724</v>
      </c>
      <c r="AD1919" s="78" t="s">
        <v>3725</v>
      </c>
      <c r="AE1919" t="b">
        <v>0</v>
      </c>
      <c r="AF1919">
        <v>0</v>
      </c>
      <c r="AG1919" s="78" t="s">
        <v>4696</v>
      </c>
      <c r="AH1919" t="b">
        <v>0</v>
      </c>
      <c r="AI1919" t="s">
        <v>4829</v>
      </c>
      <c r="AK1919" s="78" t="s">
        <v>4640</v>
      </c>
      <c r="AL1919" t="b">
        <v>0</v>
      </c>
      <c r="AM1919">
        <v>0</v>
      </c>
      <c r="AN1919" s="78" t="s">
        <v>4640</v>
      </c>
      <c r="AO1919" s="78" t="s">
        <v>4851</v>
      </c>
      <c r="AP1919" t="b">
        <v>0</v>
      </c>
      <c r="AQ1919" s="78" t="s">
        <v>3725</v>
      </c>
      <c r="AR1919" t="s">
        <v>179</v>
      </c>
      <c r="AS1919">
        <v>0</v>
      </c>
      <c r="AT1919">
        <v>0</v>
      </c>
    </row>
    <row r="1920" spans="1:46" x14ac:dyDescent="0.45">
      <c r="A1920" s="62" t="s">
        <v>379</v>
      </c>
      <c r="B1920" s="62" t="s">
        <v>1199</v>
      </c>
      <c r="C1920" s="63"/>
      <c r="D1920" s="64"/>
      <c r="E1920" s="65"/>
      <c r="F1920" s="66"/>
      <c r="G1920" s="63"/>
      <c r="H1920" s="67"/>
      <c r="I1920" s="68"/>
      <c r="J1920" s="68"/>
      <c r="K1920" s="32"/>
      <c r="L1920" s="75"/>
      <c r="M1920" s="75"/>
      <c r="N1920" s="70"/>
      <c r="O1920" t="s">
        <v>1568</v>
      </c>
      <c r="P1920" s="76">
        <v>44958.644444444442</v>
      </c>
      <c r="Q1920" t="s">
        <v>1765</v>
      </c>
      <c r="V1920" s="77" t="str">
        <f>HYPERLINK("https://pbs.twimg.com/profile_images/1525158976240902146/uJv1fZch_normal.jpg")</f>
        <v>https://pbs.twimg.com/profile_images/1525158976240902146/uJv1fZch_normal.jpg</v>
      </c>
      <c r="W1920" s="76">
        <v>44958.644444444442</v>
      </c>
      <c r="X1920" s="80">
        <v>44958</v>
      </c>
      <c r="Y1920" s="78" t="s">
        <v>2706</v>
      </c>
      <c r="Z1920" s="77" t="str">
        <f>HYPERLINK("https://twitter.com/iiiitsandrea/status/1620806178443005953")</f>
        <v>https://twitter.com/iiiitsandrea/status/1620806178443005953</v>
      </c>
      <c r="AC1920" s="78" t="s">
        <v>3724</v>
      </c>
      <c r="AD1920" s="78" t="s">
        <v>3725</v>
      </c>
      <c r="AE1920" t="b">
        <v>0</v>
      </c>
      <c r="AF1920">
        <v>0</v>
      </c>
      <c r="AG1920" s="78" t="s">
        <v>4696</v>
      </c>
      <c r="AH1920" t="b">
        <v>0</v>
      </c>
      <c r="AI1920" t="s">
        <v>4829</v>
      </c>
      <c r="AK1920" s="78" t="s">
        <v>4640</v>
      </c>
      <c r="AL1920" t="b">
        <v>0</v>
      </c>
      <c r="AM1920">
        <v>0</v>
      </c>
      <c r="AN1920" s="78" t="s">
        <v>4640</v>
      </c>
      <c r="AO1920" s="78" t="s">
        <v>4851</v>
      </c>
      <c r="AP1920" t="b">
        <v>0</v>
      </c>
      <c r="AQ1920" s="78" t="s">
        <v>3725</v>
      </c>
      <c r="AR1920" t="s">
        <v>179</v>
      </c>
      <c r="AS1920">
        <v>0</v>
      </c>
      <c r="AT1920">
        <v>0</v>
      </c>
    </row>
    <row r="1921" spans="1:46" x14ac:dyDescent="0.45">
      <c r="A1921" s="62" t="s">
        <v>379</v>
      </c>
      <c r="B1921" s="62" t="s">
        <v>1185</v>
      </c>
      <c r="C1921" s="63"/>
      <c r="D1921" s="64"/>
      <c r="E1921" s="65"/>
      <c r="F1921" s="66"/>
      <c r="G1921" s="63"/>
      <c r="H1921" s="67"/>
      <c r="I1921" s="68"/>
      <c r="J1921" s="68"/>
      <c r="K1921" s="32"/>
      <c r="L1921" s="75"/>
      <c r="M1921" s="75"/>
      <c r="N1921" s="70"/>
      <c r="O1921" t="s">
        <v>1568</v>
      </c>
      <c r="P1921" s="76">
        <v>44958.644444444442</v>
      </c>
      <c r="Q1921" t="s">
        <v>1765</v>
      </c>
      <c r="V1921" s="77" t="str">
        <f>HYPERLINK("https://pbs.twimg.com/profile_images/1525158976240902146/uJv1fZch_normal.jpg")</f>
        <v>https://pbs.twimg.com/profile_images/1525158976240902146/uJv1fZch_normal.jpg</v>
      </c>
      <c r="W1921" s="76">
        <v>44958.644444444442</v>
      </c>
      <c r="X1921" s="80">
        <v>44958</v>
      </c>
      <c r="Y1921" s="78" t="s">
        <v>2706</v>
      </c>
      <c r="Z1921" s="77" t="str">
        <f>HYPERLINK("https://twitter.com/iiiitsandrea/status/1620806178443005953")</f>
        <v>https://twitter.com/iiiitsandrea/status/1620806178443005953</v>
      </c>
      <c r="AC1921" s="78" t="s">
        <v>3724</v>
      </c>
      <c r="AD1921" s="78" t="s">
        <v>3725</v>
      </c>
      <c r="AE1921" t="b">
        <v>0</v>
      </c>
      <c r="AF1921">
        <v>0</v>
      </c>
      <c r="AG1921" s="78" t="s">
        <v>4696</v>
      </c>
      <c r="AH1921" t="b">
        <v>0</v>
      </c>
      <c r="AI1921" t="s">
        <v>4829</v>
      </c>
      <c r="AK1921" s="78" t="s">
        <v>4640</v>
      </c>
      <c r="AL1921" t="b">
        <v>0</v>
      </c>
      <c r="AM1921">
        <v>0</v>
      </c>
      <c r="AN1921" s="78" t="s">
        <v>4640</v>
      </c>
      <c r="AO1921" s="78" t="s">
        <v>4851</v>
      </c>
      <c r="AP1921" t="b">
        <v>0</v>
      </c>
      <c r="AQ1921" s="78" t="s">
        <v>3725</v>
      </c>
      <c r="AR1921" t="s">
        <v>179</v>
      </c>
      <c r="AS1921">
        <v>0</v>
      </c>
      <c r="AT1921">
        <v>0</v>
      </c>
    </row>
    <row r="1922" spans="1:46" x14ac:dyDescent="0.45">
      <c r="A1922" s="62" t="s">
        <v>379</v>
      </c>
      <c r="B1922" s="62" t="s">
        <v>242</v>
      </c>
      <c r="C1922" s="63"/>
      <c r="D1922" s="64"/>
      <c r="E1922" s="65"/>
      <c r="F1922" s="66"/>
      <c r="G1922" s="63"/>
      <c r="H1922" s="67"/>
      <c r="I1922" s="68"/>
      <c r="J1922" s="68"/>
      <c r="K1922" s="32"/>
      <c r="L1922" s="75"/>
      <c r="M1922" s="75"/>
      <c r="N1922" s="70"/>
      <c r="O1922" t="s">
        <v>1568</v>
      </c>
      <c r="P1922" s="76">
        <v>44958.644444444442</v>
      </c>
      <c r="Q1922" t="s">
        <v>1765</v>
      </c>
      <c r="V1922" s="77" t="str">
        <f>HYPERLINK("https://pbs.twimg.com/profile_images/1525158976240902146/uJv1fZch_normal.jpg")</f>
        <v>https://pbs.twimg.com/profile_images/1525158976240902146/uJv1fZch_normal.jpg</v>
      </c>
      <c r="W1922" s="76">
        <v>44958.644444444442</v>
      </c>
      <c r="X1922" s="80">
        <v>44958</v>
      </c>
      <c r="Y1922" s="78" t="s">
        <v>2706</v>
      </c>
      <c r="Z1922" s="77" t="str">
        <f>HYPERLINK("https://twitter.com/iiiitsandrea/status/1620806178443005953")</f>
        <v>https://twitter.com/iiiitsandrea/status/1620806178443005953</v>
      </c>
      <c r="AC1922" s="78" t="s">
        <v>3724</v>
      </c>
      <c r="AD1922" s="78" t="s">
        <v>3725</v>
      </c>
      <c r="AE1922" t="b">
        <v>0</v>
      </c>
      <c r="AF1922">
        <v>0</v>
      </c>
      <c r="AG1922" s="78" t="s">
        <v>4696</v>
      </c>
      <c r="AH1922" t="b">
        <v>0</v>
      </c>
      <c r="AI1922" t="s">
        <v>4829</v>
      </c>
      <c r="AK1922" s="78" t="s">
        <v>4640</v>
      </c>
      <c r="AL1922" t="b">
        <v>0</v>
      </c>
      <c r="AM1922">
        <v>0</v>
      </c>
      <c r="AN1922" s="78" t="s">
        <v>4640</v>
      </c>
      <c r="AO1922" s="78" t="s">
        <v>4851</v>
      </c>
      <c r="AP1922" t="b">
        <v>0</v>
      </c>
      <c r="AQ1922" s="78" t="s">
        <v>3725</v>
      </c>
      <c r="AR1922" t="s">
        <v>179</v>
      </c>
      <c r="AS1922">
        <v>0</v>
      </c>
      <c r="AT1922">
        <v>0</v>
      </c>
    </row>
    <row r="1923" spans="1:46" x14ac:dyDescent="0.45">
      <c r="A1923" s="62" t="s">
        <v>379</v>
      </c>
      <c r="B1923" s="62" t="s">
        <v>467</v>
      </c>
      <c r="C1923" s="63"/>
      <c r="D1923" s="64"/>
      <c r="E1923" s="65"/>
      <c r="F1923" s="66"/>
      <c r="G1923" s="63"/>
      <c r="H1923" s="67"/>
      <c r="I1923" s="68"/>
      <c r="J1923" s="68"/>
      <c r="K1923" s="32"/>
      <c r="L1923" s="75"/>
      <c r="M1923" s="75"/>
      <c r="N1923" s="70"/>
      <c r="O1923" t="s">
        <v>1567</v>
      </c>
      <c r="P1923" s="76">
        <v>44958.644444444442</v>
      </c>
      <c r="Q1923" t="s">
        <v>1765</v>
      </c>
      <c r="V1923" s="77" t="str">
        <f>HYPERLINK("https://pbs.twimg.com/profile_images/1525158976240902146/uJv1fZch_normal.jpg")</f>
        <v>https://pbs.twimg.com/profile_images/1525158976240902146/uJv1fZch_normal.jpg</v>
      </c>
      <c r="W1923" s="76">
        <v>44958.644444444442</v>
      </c>
      <c r="X1923" s="80">
        <v>44958</v>
      </c>
      <c r="Y1923" s="78" t="s">
        <v>2706</v>
      </c>
      <c r="Z1923" s="77" t="str">
        <f>HYPERLINK("https://twitter.com/iiiitsandrea/status/1620806178443005953")</f>
        <v>https://twitter.com/iiiitsandrea/status/1620806178443005953</v>
      </c>
      <c r="AC1923" s="78" t="s">
        <v>3724</v>
      </c>
      <c r="AD1923" s="78" t="s">
        <v>3725</v>
      </c>
      <c r="AE1923" t="b">
        <v>0</v>
      </c>
      <c r="AF1923">
        <v>0</v>
      </c>
      <c r="AG1923" s="78" t="s">
        <v>4696</v>
      </c>
      <c r="AH1923" t="b">
        <v>0</v>
      </c>
      <c r="AI1923" t="s">
        <v>4829</v>
      </c>
      <c r="AK1923" s="78" t="s">
        <v>4640</v>
      </c>
      <c r="AL1923" t="b">
        <v>0</v>
      </c>
      <c r="AM1923">
        <v>0</v>
      </c>
      <c r="AN1923" s="78" t="s">
        <v>4640</v>
      </c>
      <c r="AO1923" s="78" t="s">
        <v>4851</v>
      </c>
      <c r="AP1923" t="b">
        <v>0</v>
      </c>
      <c r="AQ1923" s="78" t="s">
        <v>3725</v>
      </c>
      <c r="AR1923" t="s">
        <v>179</v>
      </c>
      <c r="AS1923">
        <v>0</v>
      </c>
      <c r="AT1923">
        <v>0</v>
      </c>
    </row>
    <row r="1924" spans="1:46" x14ac:dyDescent="0.45">
      <c r="A1924" s="62" t="s">
        <v>467</v>
      </c>
      <c r="B1924" s="62" t="s">
        <v>379</v>
      </c>
      <c r="C1924" s="63"/>
      <c r="D1924" s="64"/>
      <c r="E1924" s="65"/>
      <c r="F1924" s="66"/>
      <c r="G1924" s="63"/>
      <c r="H1924" s="67"/>
      <c r="I1924" s="68"/>
      <c r="J1924" s="68"/>
      <c r="K1924" s="32"/>
      <c r="L1924" s="75"/>
      <c r="M1924" s="75"/>
      <c r="N1924" s="70"/>
      <c r="O1924" t="s">
        <v>1567</v>
      </c>
      <c r="P1924" s="76">
        <v>44958.696875000001</v>
      </c>
      <c r="Q1924" t="s">
        <v>1760</v>
      </c>
      <c r="V1924" s="77" t="str">
        <f>HYPERLINK("https://pbs.twimg.com/profile_images/864984124989341696/HMP_gk-x_normal.jpg")</f>
        <v>https://pbs.twimg.com/profile_images/864984124989341696/HMP_gk-x_normal.jpg</v>
      </c>
      <c r="W1924" s="76">
        <v>44958.696875000001</v>
      </c>
      <c r="X1924" s="80">
        <v>44958</v>
      </c>
      <c r="Y1924" s="78" t="s">
        <v>2700</v>
      </c>
      <c r="Z1924" s="77" t="str">
        <f>HYPERLINK("https://twitter.com/jasonstarr/status/1620825178912751617")</f>
        <v>https://twitter.com/jasonstarr/status/1620825178912751617</v>
      </c>
      <c r="AC1924" s="78" t="s">
        <v>3718</v>
      </c>
      <c r="AD1924" s="78" t="s">
        <v>3724</v>
      </c>
      <c r="AE1924" t="b">
        <v>0</v>
      </c>
      <c r="AF1924">
        <v>0</v>
      </c>
      <c r="AG1924" s="78" t="s">
        <v>4673</v>
      </c>
      <c r="AH1924" t="b">
        <v>0</v>
      </c>
      <c r="AI1924" t="s">
        <v>4829</v>
      </c>
      <c r="AK1924" s="78" t="s">
        <v>4640</v>
      </c>
      <c r="AL1924" t="b">
        <v>0</v>
      </c>
      <c r="AM1924">
        <v>0</v>
      </c>
      <c r="AN1924" s="78" t="s">
        <v>4640</v>
      </c>
      <c r="AO1924" s="78" t="s">
        <v>4851</v>
      </c>
      <c r="AP1924" t="b">
        <v>0</v>
      </c>
      <c r="AQ1924" s="78" t="s">
        <v>3724</v>
      </c>
      <c r="AR1924" t="s">
        <v>179</v>
      </c>
      <c r="AS1924">
        <v>0</v>
      </c>
      <c r="AT1924">
        <v>0</v>
      </c>
    </row>
    <row r="1925" spans="1:46" x14ac:dyDescent="0.45">
      <c r="A1925" s="62" t="s">
        <v>468</v>
      </c>
      <c r="B1925" s="62" t="s">
        <v>379</v>
      </c>
      <c r="C1925" s="63"/>
      <c r="D1925" s="64"/>
      <c r="E1925" s="65"/>
      <c r="F1925" s="66"/>
      <c r="G1925" s="63"/>
      <c r="H1925" s="67"/>
      <c r="I1925" s="68"/>
      <c r="J1925" s="68"/>
      <c r="K1925" s="32"/>
      <c r="L1925" s="75"/>
      <c r="M1925" s="75"/>
      <c r="N1925" s="70"/>
      <c r="O1925" t="s">
        <v>1568</v>
      </c>
      <c r="P1925" s="76">
        <v>44958.735243055555</v>
      </c>
      <c r="Q1925" t="s">
        <v>1761</v>
      </c>
      <c r="V1925" s="77" t="str">
        <f>HYPERLINK("https://pbs.twimg.com/profile_images/710290146529153024/2P7ZuiaI_normal.jpg")</f>
        <v>https://pbs.twimg.com/profile_images/710290146529153024/2P7ZuiaI_normal.jpg</v>
      </c>
      <c r="W1925" s="76">
        <v>44958.735243055555</v>
      </c>
      <c r="X1925" s="80">
        <v>44958</v>
      </c>
      <c r="Y1925" s="78" t="s">
        <v>2701</v>
      </c>
      <c r="Z1925" s="77" t="str">
        <f>HYPERLINK("https://twitter.com/msjennyburns/status/1620839080245301268")</f>
        <v>https://twitter.com/msjennyburns/status/1620839080245301268</v>
      </c>
      <c r="AC1925" s="78" t="s">
        <v>3719</v>
      </c>
      <c r="AD1925" s="78" t="s">
        <v>3718</v>
      </c>
      <c r="AE1925" t="b">
        <v>0</v>
      </c>
      <c r="AF1925">
        <v>0</v>
      </c>
      <c r="AG1925" s="78" t="s">
        <v>4696</v>
      </c>
      <c r="AH1925" t="b">
        <v>0</v>
      </c>
      <c r="AI1925" t="s">
        <v>4829</v>
      </c>
      <c r="AK1925" s="78" t="s">
        <v>4640</v>
      </c>
      <c r="AL1925" t="b">
        <v>0</v>
      </c>
      <c r="AM1925">
        <v>0</v>
      </c>
      <c r="AN1925" s="78" t="s">
        <v>4640</v>
      </c>
      <c r="AO1925" s="78" t="s">
        <v>4849</v>
      </c>
      <c r="AP1925" t="b">
        <v>0</v>
      </c>
      <c r="AQ1925" s="78" t="s">
        <v>3718</v>
      </c>
      <c r="AR1925" t="s">
        <v>179</v>
      </c>
      <c r="AS1925">
        <v>0</v>
      </c>
      <c r="AT1925">
        <v>0</v>
      </c>
    </row>
    <row r="1926" spans="1:46" x14ac:dyDescent="0.45">
      <c r="A1926" s="62" t="s">
        <v>467</v>
      </c>
      <c r="B1926" s="62" t="s">
        <v>1181</v>
      </c>
      <c r="C1926" s="63"/>
      <c r="D1926" s="64"/>
      <c r="E1926" s="65"/>
      <c r="F1926" s="66"/>
      <c r="G1926" s="63"/>
      <c r="H1926" s="67"/>
      <c r="I1926" s="68"/>
      <c r="J1926" s="68"/>
      <c r="K1926" s="32"/>
      <c r="L1926" s="75"/>
      <c r="M1926" s="75"/>
      <c r="N1926" s="70"/>
      <c r="O1926" t="s">
        <v>1568</v>
      </c>
      <c r="P1926" s="76">
        <v>44958.696875000001</v>
      </c>
      <c r="Q1926" t="s">
        <v>1760</v>
      </c>
      <c r="V1926" s="77" t="str">
        <f>HYPERLINK("https://pbs.twimg.com/profile_images/864984124989341696/HMP_gk-x_normal.jpg")</f>
        <v>https://pbs.twimg.com/profile_images/864984124989341696/HMP_gk-x_normal.jpg</v>
      </c>
      <c r="W1926" s="76">
        <v>44958.696875000001</v>
      </c>
      <c r="X1926" s="80">
        <v>44958</v>
      </c>
      <c r="Y1926" s="78" t="s">
        <v>2700</v>
      </c>
      <c r="Z1926" s="77" t="str">
        <f>HYPERLINK("https://twitter.com/jasonstarr/status/1620825178912751617")</f>
        <v>https://twitter.com/jasonstarr/status/1620825178912751617</v>
      </c>
      <c r="AC1926" s="78" t="s">
        <v>3718</v>
      </c>
      <c r="AD1926" s="78" t="s">
        <v>3724</v>
      </c>
      <c r="AE1926" t="b">
        <v>0</v>
      </c>
      <c r="AF1926">
        <v>0</v>
      </c>
      <c r="AG1926" s="78" t="s">
        <v>4673</v>
      </c>
      <c r="AH1926" t="b">
        <v>0</v>
      </c>
      <c r="AI1926" t="s">
        <v>4829</v>
      </c>
      <c r="AK1926" s="78" t="s">
        <v>4640</v>
      </c>
      <c r="AL1926" t="b">
        <v>0</v>
      </c>
      <c r="AM1926">
        <v>0</v>
      </c>
      <c r="AN1926" s="78" t="s">
        <v>4640</v>
      </c>
      <c r="AO1926" s="78" t="s">
        <v>4851</v>
      </c>
      <c r="AP1926" t="b">
        <v>0</v>
      </c>
      <c r="AQ1926" s="78" t="s">
        <v>3724</v>
      </c>
      <c r="AR1926" t="s">
        <v>179</v>
      </c>
      <c r="AS1926">
        <v>0</v>
      </c>
      <c r="AT1926">
        <v>0</v>
      </c>
    </row>
    <row r="1927" spans="1:46" x14ac:dyDescent="0.45">
      <c r="A1927" s="62" t="s">
        <v>467</v>
      </c>
      <c r="B1927" s="62" t="s">
        <v>1199</v>
      </c>
      <c r="C1927" s="63"/>
      <c r="D1927" s="64"/>
      <c r="E1927" s="65"/>
      <c r="F1927" s="66"/>
      <c r="G1927" s="63"/>
      <c r="H1927" s="67"/>
      <c r="I1927" s="68"/>
      <c r="J1927" s="68"/>
      <c r="K1927" s="32"/>
      <c r="L1927" s="75"/>
      <c r="M1927" s="75"/>
      <c r="N1927" s="70"/>
      <c r="O1927" t="s">
        <v>1568</v>
      </c>
      <c r="P1927" s="76">
        <v>44958.696875000001</v>
      </c>
      <c r="Q1927" t="s">
        <v>1760</v>
      </c>
      <c r="V1927" s="77" t="str">
        <f>HYPERLINK("https://pbs.twimg.com/profile_images/864984124989341696/HMP_gk-x_normal.jpg")</f>
        <v>https://pbs.twimg.com/profile_images/864984124989341696/HMP_gk-x_normal.jpg</v>
      </c>
      <c r="W1927" s="76">
        <v>44958.696875000001</v>
      </c>
      <c r="X1927" s="80">
        <v>44958</v>
      </c>
      <c r="Y1927" s="78" t="s">
        <v>2700</v>
      </c>
      <c r="Z1927" s="77" t="str">
        <f>HYPERLINK("https://twitter.com/jasonstarr/status/1620825178912751617")</f>
        <v>https://twitter.com/jasonstarr/status/1620825178912751617</v>
      </c>
      <c r="AC1927" s="78" t="s">
        <v>3718</v>
      </c>
      <c r="AD1927" s="78" t="s">
        <v>3724</v>
      </c>
      <c r="AE1927" t="b">
        <v>0</v>
      </c>
      <c r="AF1927">
        <v>0</v>
      </c>
      <c r="AG1927" s="78" t="s">
        <v>4673</v>
      </c>
      <c r="AH1927" t="b">
        <v>0</v>
      </c>
      <c r="AI1927" t="s">
        <v>4829</v>
      </c>
      <c r="AK1927" s="78" t="s">
        <v>4640</v>
      </c>
      <c r="AL1927" t="b">
        <v>0</v>
      </c>
      <c r="AM1927">
        <v>0</v>
      </c>
      <c r="AN1927" s="78" t="s">
        <v>4640</v>
      </c>
      <c r="AO1927" s="78" t="s">
        <v>4851</v>
      </c>
      <c r="AP1927" t="b">
        <v>0</v>
      </c>
      <c r="AQ1927" s="78" t="s">
        <v>3724</v>
      </c>
      <c r="AR1927" t="s">
        <v>179</v>
      </c>
      <c r="AS1927">
        <v>0</v>
      </c>
      <c r="AT1927">
        <v>0</v>
      </c>
    </row>
    <row r="1928" spans="1:46" x14ac:dyDescent="0.45">
      <c r="A1928" s="62" t="s">
        <v>467</v>
      </c>
      <c r="B1928" s="62" t="s">
        <v>1185</v>
      </c>
      <c r="C1928" s="63"/>
      <c r="D1928" s="64"/>
      <c r="E1928" s="65"/>
      <c r="F1928" s="66"/>
      <c r="G1928" s="63"/>
      <c r="H1928" s="67"/>
      <c r="I1928" s="68"/>
      <c r="J1928" s="68"/>
      <c r="K1928" s="32"/>
      <c r="L1928" s="75"/>
      <c r="M1928" s="75"/>
      <c r="N1928" s="70"/>
      <c r="O1928" t="s">
        <v>1568</v>
      </c>
      <c r="P1928" s="76">
        <v>44958.696875000001</v>
      </c>
      <c r="Q1928" t="s">
        <v>1760</v>
      </c>
      <c r="V1928" s="77" t="str">
        <f>HYPERLINK("https://pbs.twimg.com/profile_images/864984124989341696/HMP_gk-x_normal.jpg")</f>
        <v>https://pbs.twimg.com/profile_images/864984124989341696/HMP_gk-x_normal.jpg</v>
      </c>
      <c r="W1928" s="76">
        <v>44958.696875000001</v>
      </c>
      <c r="X1928" s="80">
        <v>44958</v>
      </c>
      <c r="Y1928" s="78" t="s">
        <v>2700</v>
      </c>
      <c r="Z1928" s="77" t="str">
        <f>HYPERLINK("https://twitter.com/jasonstarr/status/1620825178912751617")</f>
        <v>https://twitter.com/jasonstarr/status/1620825178912751617</v>
      </c>
      <c r="AC1928" s="78" t="s">
        <v>3718</v>
      </c>
      <c r="AD1928" s="78" t="s">
        <v>3724</v>
      </c>
      <c r="AE1928" t="b">
        <v>0</v>
      </c>
      <c r="AF1928">
        <v>0</v>
      </c>
      <c r="AG1928" s="78" t="s">
        <v>4673</v>
      </c>
      <c r="AH1928" t="b">
        <v>0</v>
      </c>
      <c r="AI1928" t="s">
        <v>4829</v>
      </c>
      <c r="AK1928" s="78" t="s">
        <v>4640</v>
      </c>
      <c r="AL1928" t="b">
        <v>0</v>
      </c>
      <c r="AM1928">
        <v>0</v>
      </c>
      <c r="AN1928" s="78" t="s">
        <v>4640</v>
      </c>
      <c r="AO1928" s="78" t="s">
        <v>4851</v>
      </c>
      <c r="AP1928" t="b">
        <v>0</v>
      </c>
      <c r="AQ1928" s="78" t="s">
        <v>3724</v>
      </c>
      <c r="AR1928" t="s">
        <v>179</v>
      </c>
      <c r="AS1928">
        <v>0</v>
      </c>
      <c r="AT1928">
        <v>0</v>
      </c>
    </row>
    <row r="1929" spans="1:46" x14ac:dyDescent="0.45">
      <c r="A1929" s="62" t="s">
        <v>467</v>
      </c>
      <c r="B1929" s="62" t="s">
        <v>242</v>
      </c>
      <c r="C1929" s="63"/>
      <c r="D1929" s="64"/>
      <c r="E1929" s="65"/>
      <c r="F1929" s="66"/>
      <c r="G1929" s="63"/>
      <c r="H1929" s="67"/>
      <c r="I1929" s="68"/>
      <c r="J1929" s="68"/>
      <c r="K1929" s="32"/>
      <c r="L1929" s="75"/>
      <c r="M1929" s="75"/>
      <c r="N1929" s="70"/>
      <c r="O1929" t="s">
        <v>1568</v>
      </c>
      <c r="P1929" s="76">
        <v>44958.696875000001</v>
      </c>
      <c r="Q1929" t="s">
        <v>1760</v>
      </c>
      <c r="V1929" s="77" t="str">
        <f>HYPERLINK("https://pbs.twimg.com/profile_images/864984124989341696/HMP_gk-x_normal.jpg")</f>
        <v>https://pbs.twimg.com/profile_images/864984124989341696/HMP_gk-x_normal.jpg</v>
      </c>
      <c r="W1929" s="76">
        <v>44958.696875000001</v>
      </c>
      <c r="X1929" s="80">
        <v>44958</v>
      </c>
      <c r="Y1929" s="78" t="s">
        <v>2700</v>
      </c>
      <c r="Z1929" s="77" t="str">
        <f>HYPERLINK("https://twitter.com/jasonstarr/status/1620825178912751617")</f>
        <v>https://twitter.com/jasonstarr/status/1620825178912751617</v>
      </c>
      <c r="AC1929" s="78" t="s">
        <v>3718</v>
      </c>
      <c r="AD1929" s="78" t="s">
        <v>3724</v>
      </c>
      <c r="AE1929" t="b">
        <v>0</v>
      </c>
      <c r="AF1929">
        <v>0</v>
      </c>
      <c r="AG1929" s="78" t="s">
        <v>4673</v>
      </c>
      <c r="AH1929" t="b">
        <v>0</v>
      </c>
      <c r="AI1929" t="s">
        <v>4829</v>
      </c>
      <c r="AK1929" s="78" t="s">
        <v>4640</v>
      </c>
      <c r="AL1929" t="b">
        <v>0</v>
      </c>
      <c r="AM1929">
        <v>0</v>
      </c>
      <c r="AN1929" s="78" t="s">
        <v>4640</v>
      </c>
      <c r="AO1929" s="78" t="s">
        <v>4851</v>
      </c>
      <c r="AP1929" t="b">
        <v>0</v>
      </c>
      <c r="AQ1929" s="78" t="s">
        <v>3724</v>
      </c>
      <c r="AR1929" t="s">
        <v>179</v>
      </c>
      <c r="AS1929">
        <v>0</v>
      </c>
      <c r="AT1929">
        <v>0</v>
      </c>
    </row>
    <row r="1930" spans="1:46" x14ac:dyDescent="0.45">
      <c r="A1930" s="62" t="s">
        <v>468</v>
      </c>
      <c r="B1930" s="62" t="s">
        <v>467</v>
      </c>
      <c r="C1930" s="63"/>
      <c r="D1930" s="64"/>
      <c r="E1930" s="65"/>
      <c r="F1930" s="66"/>
      <c r="G1930" s="63"/>
      <c r="H1930" s="67"/>
      <c r="I1930" s="68"/>
      <c r="J1930" s="68"/>
      <c r="K1930" s="32"/>
      <c r="L1930" s="75"/>
      <c r="M1930" s="75"/>
      <c r="N1930" s="70"/>
      <c r="O1930" t="s">
        <v>1567</v>
      </c>
      <c r="P1930" s="76">
        <v>44958.735243055555</v>
      </c>
      <c r="Q1930" t="s">
        <v>1761</v>
      </c>
      <c r="V1930" s="77" t="str">
        <f>HYPERLINK("https://pbs.twimg.com/profile_images/710290146529153024/2P7ZuiaI_normal.jpg")</f>
        <v>https://pbs.twimg.com/profile_images/710290146529153024/2P7ZuiaI_normal.jpg</v>
      </c>
      <c r="W1930" s="76">
        <v>44958.735243055555</v>
      </c>
      <c r="X1930" s="80">
        <v>44958</v>
      </c>
      <c r="Y1930" s="78" t="s">
        <v>2701</v>
      </c>
      <c r="Z1930" s="77" t="str">
        <f>HYPERLINK("https://twitter.com/msjennyburns/status/1620839080245301268")</f>
        <v>https://twitter.com/msjennyburns/status/1620839080245301268</v>
      </c>
      <c r="AC1930" s="78" t="s">
        <v>3719</v>
      </c>
      <c r="AD1930" s="78" t="s">
        <v>3718</v>
      </c>
      <c r="AE1930" t="b">
        <v>0</v>
      </c>
      <c r="AF1930">
        <v>0</v>
      </c>
      <c r="AG1930" s="78" t="s">
        <v>4696</v>
      </c>
      <c r="AH1930" t="b">
        <v>0</v>
      </c>
      <c r="AI1930" t="s">
        <v>4829</v>
      </c>
      <c r="AK1930" s="78" t="s">
        <v>4640</v>
      </c>
      <c r="AL1930" t="b">
        <v>0</v>
      </c>
      <c r="AM1930">
        <v>0</v>
      </c>
      <c r="AN1930" s="78" t="s">
        <v>4640</v>
      </c>
      <c r="AO1930" s="78" t="s">
        <v>4849</v>
      </c>
      <c r="AP1930" t="b">
        <v>0</v>
      </c>
      <c r="AQ1930" s="78" t="s">
        <v>3718</v>
      </c>
      <c r="AR1930" t="s">
        <v>179</v>
      </c>
      <c r="AS1930">
        <v>0</v>
      </c>
      <c r="AT1930">
        <v>0</v>
      </c>
    </row>
    <row r="1931" spans="1:46" x14ac:dyDescent="0.45">
      <c r="A1931" s="62" t="s">
        <v>468</v>
      </c>
      <c r="B1931" s="62" t="s">
        <v>1181</v>
      </c>
      <c r="C1931" s="63"/>
      <c r="D1931" s="64"/>
      <c r="E1931" s="65"/>
      <c r="F1931" s="66"/>
      <c r="G1931" s="63"/>
      <c r="H1931" s="67"/>
      <c r="I1931" s="68"/>
      <c r="J1931" s="68"/>
      <c r="K1931" s="32"/>
      <c r="L1931" s="75"/>
      <c r="M1931" s="75"/>
      <c r="N1931" s="70"/>
      <c r="O1931" t="s">
        <v>1568</v>
      </c>
      <c r="P1931" s="76">
        <v>44958.735243055555</v>
      </c>
      <c r="Q1931" t="s">
        <v>1761</v>
      </c>
      <c r="V1931" s="77" t="str">
        <f>HYPERLINK("https://pbs.twimg.com/profile_images/710290146529153024/2P7ZuiaI_normal.jpg")</f>
        <v>https://pbs.twimg.com/profile_images/710290146529153024/2P7ZuiaI_normal.jpg</v>
      </c>
      <c r="W1931" s="76">
        <v>44958.735243055555</v>
      </c>
      <c r="X1931" s="80">
        <v>44958</v>
      </c>
      <c r="Y1931" s="78" t="s">
        <v>2701</v>
      </c>
      <c r="Z1931" s="77" t="str">
        <f>HYPERLINK("https://twitter.com/msjennyburns/status/1620839080245301268")</f>
        <v>https://twitter.com/msjennyburns/status/1620839080245301268</v>
      </c>
      <c r="AC1931" s="78" t="s">
        <v>3719</v>
      </c>
      <c r="AD1931" s="78" t="s">
        <v>3718</v>
      </c>
      <c r="AE1931" t="b">
        <v>0</v>
      </c>
      <c r="AF1931">
        <v>0</v>
      </c>
      <c r="AG1931" s="78" t="s">
        <v>4696</v>
      </c>
      <c r="AH1931" t="b">
        <v>0</v>
      </c>
      <c r="AI1931" t="s">
        <v>4829</v>
      </c>
      <c r="AK1931" s="78" t="s">
        <v>4640</v>
      </c>
      <c r="AL1931" t="b">
        <v>0</v>
      </c>
      <c r="AM1931">
        <v>0</v>
      </c>
      <c r="AN1931" s="78" t="s">
        <v>4640</v>
      </c>
      <c r="AO1931" s="78" t="s">
        <v>4849</v>
      </c>
      <c r="AP1931" t="b">
        <v>0</v>
      </c>
      <c r="AQ1931" s="78" t="s">
        <v>3718</v>
      </c>
      <c r="AR1931" t="s">
        <v>179</v>
      </c>
      <c r="AS1931">
        <v>0</v>
      </c>
      <c r="AT1931">
        <v>0</v>
      </c>
    </row>
    <row r="1932" spans="1:46" x14ac:dyDescent="0.45">
      <c r="A1932" s="62" t="s">
        <v>468</v>
      </c>
      <c r="B1932" s="62" t="s">
        <v>1199</v>
      </c>
      <c r="C1932" s="63"/>
      <c r="D1932" s="64"/>
      <c r="E1932" s="65"/>
      <c r="F1932" s="66"/>
      <c r="G1932" s="63"/>
      <c r="H1932" s="67"/>
      <c r="I1932" s="68"/>
      <c r="J1932" s="68"/>
      <c r="K1932" s="32"/>
      <c r="L1932" s="75"/>
      <c r="M1932" s="75"/>
      <c r="N1932" s="70"/>
      <c r="O1932" t="s">
        <v>1568</v>
      </c>
      <c r="P1932" s="76">
        <v>44958.735243055555</v>
      </c>
      <c r="Q1932" t="s">
        <v>1761</v>
      </c>
      <c r="V1932" s="77" t="str">
        <f>HYPERLINK("https://pbs.twimg.com/profile_images/710290146529153024/2P7ZuiaI_normal.jpg")</f>
        <v>https://pbs.twimg.com/profile_images/710290146529153024/2P7ZuiaI_normal.jpg</v>
      </c>
      <c r="W1932" s="76">
        <v>44958.735243055555</v>
      </c>
      <c r="X1932" s="80">
        <v>44958</v>
      </c>
      <c r="Y1932" s="78" t="s">
        <v>2701</v>
      </c>
      <c r="Z1932" s="77" t="str">
        <f>HYPERLINK("https://twitter.com/msjennyburns/status/1620839080245301268")</f>
        <v>https://twitter.com/msjennyburns/status/1620839080245301268</v>
      </c>
      <c r="AC1932" s="78" t="s">
        <v>3719</v>
      </c>
      <c r="AD1932" s="78" t="s">
        <v>3718</v>
      </c>
      <c r="AE1932" t="b">
        <v>0</v>
      </c>
      <c r="AF1932">
        <v>0</v>
      </c>
      <c r="AG1932" s="78" t="s">
        <v>4696</v>
      </c>
      <c r="AH1932" t="b">
        <v>0</v>
      </c>
      <c r="AI1932" t="s">
        <v>4829</v>
      </c>
      <c r="AK1932" s="78" t="s">
        <v>4640</v>
      </c>
      <c r="AL1932" t="b">
        <v>0</v>
      </c>
      <c r="AM1932">
        <v>0</v>
      </c>
      <c r="AN1932" s="78" t="s">
        <v>4640</v>
      </c>
      <c r="AO1932" s="78" t="s">
        <v>4849</v>
      </c>
      <c r="AP1932" t="b">
        <v>0</v>
      </c>
      <c r="AQ1932" s="78" t="s">
        <v>3718</v>
      </c>
      <c r="AR1932" t="s">
        <v>179</v>
      </c>
      <c r="AS1932">
        <v>0</v>
      </c>
      <c r="AT1932">
        <v>0</v>
      </c>
    </row>
    <row r="1933" spans="1:46" x14ac:dyDescent="0.45">
      <c r="A1933" s="62" t="s">
        <v>468</v>
      </c>
      <c r="B1933" s="62" t="s">
        <v>1185</v>
      </c>
      <c r="C1933" s="63"/>
      <c r="D1933" s="64"/>
      <c r="E1933" s="65"/>
      <c r="F1933" s="66"/>
      <c r="G1933" s="63"/>
      <c r="H1933" s="67"/>
      <c r="I1933" s="68"/>
      <c r="J1933" s="68"/>
      <c r="K1933" s="32"/>
      <c r="L1933" s="75"/>
      <c r="M1933" s="75"/>
      <c r="N1933" s="70"/>
      <c r="O1933" t="s">
        <v>1568</v>
      </c>
      <c r="P1933" s="76">
        <v>44958.735243055555</v>
      </c>
      <c r="Q1933" t="s">
        <v>1761</v>
      </c>
      <c r="V1933" s="77" t="str">
        <f>HYPERLINK("https://pbs.twimg.com/profile_images/710290146529153024/2P7ZuiaI_normal.jpg")</f>
        <v>https://pbs.twimg.com/profile_images/710290146529153024/2P7ZuiaI_normal.jpg</v>
      </c>
      <c r="W1933" s="76">
        <v>44958.735243055555</v>
      </c>
      <c r="X1933" s="80">
        <v>44958</v>
      </c>
      <c r="Y1933" s="78" t="s">
        <v>2701</v>
      </c>
      <c r="Z1933" s="77" t="str">
        <f>HYPERLINK("https://twitter.com/msjennyburns/status/1620839080245301268")</f>
        <v>https://twitter.com/msjennyburns/status/1620839080245301268</v>
      </c>
      <c r="AC1933" s="78" t="s">
        <v>3719</v>
      </c>
      <c r="AD1933" s="78" t="s">
        <v>3718</v>
      </c>
      <c r="AE1933" t="b">
        <v>0</v>
      </c>
      <c r="AF1933">
        <v>0</v>
      </c>
      <c r="AG1933" s="78" t="s">
        <v>4696</v>
      </c>
      <c r="AH1933" t="b">
        <v>0</v>
      </c>
      <c r="AI1933" t="s">
        <v>4829</v>
      </c>
      <c r="AK1933" s="78" t="s">
        <v>4640</v>
      </c>
      <c r="AL1933" t="b">
        <v>0</v>
      </c>
      <c r="AM1933">
        <v>0</v>
      </c>
      <c r="AN1933" s="78" t="s">
        <v>4640</v>
      </c>
      <c r="AO1933" s="78" t="s">
        <v>4849</v>
      </c>
      <c r="AP1933" t="b">
        <v>0</v>
      </c>
      <c r="AQ1933" s="78" t="s">
        <v>3718</v>
      </c>
      <c r="AR1933" t="s">
        <v>179</v>
      </c>
      <c r="AS1933">
        <v>0</v>
      </c>
      <c r="AT1933">
        <v>0</v>
      </c>
    </row>
    <row r="1934" spans="1:46" x14ac:dyDescent="0.45">
      <c r="A1934" s="62" t="s">
        <v>468</v>
      </c>
      <c r="B1934" s="62" t="s">
        <v>242</v>
      </c>
      <c r="C1934" s="63"/>
      <c r="D1934" s="64"/>
      <c r="E1934" s="65"/>
      <c r="F1934" s="66"/>
      <c r="G1934" s="63"/>
      <c r="H1934" s="67"/>
      <c r="I1934" s="68"/>
      <c r="J1934" s="68"/>
      <c r="K1934" s="32"/>
      <c r="L1934" s="75"/>
      <c r="M1934" s="75"/>
      <c r="N1934" s="70"/>
      <c r="O1934" t="s">
        <v>1568</v>
      </c>
      <c r="P1934" s="76">
        <v>44958.735243055555</v>
      </c>
      <c r="Q1934" t="s">
        <v>1761</v>
      </c>
      <c r="V1934" s="77" t="str">
        <f>HYPERLINK("https://pbs.twimg.com/profile_images/710290146529153024/2P7ZuiaI_normal.jpg")</f>
        <v>https://pbs.twimg.com/profile_images/710290146529153024/2P7ZuiaI_normal.jpg</v>
      </c>
      <c r="W1934" s="76">
        <v>44958.735243055555</v>
      </c>
      <c r="X1934" s="80">
        <v>44958</v>
      </c>
      <c r="Y1934" s="78" t="s">
        <v>2701</v>
      </c>
      <c r="Z1934" s="77" t="str">
        <f>HYPERLINK("https://twitter.com/msjennyburns/status/1620839080245301268")</f>
        <v>https://twitter.com/msjennyburns/status/1620839080245301268</v>
      </c>
      <c r="AC1934" s="78" t="s">
        <v>3719</v>
      </c>
      <c r="AD1934" s="78" t="s">
        <v>3718</v>
      </c>
      <c r="AE1934" t="b">
        <v>0</v>
      </c>
      <c r="AF1934">
        <v>0</v>
      </c>
      <c r="AG1934" s="78" t="s">
        <v>4696</v>
      </c>
      <c r="AH1934" t="b">
        <v>0</v>
      </c>
      <c r="AI1934" t="s">
        <v>4829</v>
      </c>
      <c r="AK1934" s="78" t="s">
        <v>4640</v>
      </c>
      <c r="AL1934" t="b">
        <v>0</v>
      </c>
      <c r="AM1934">
        <v>0</v>
      </c>
      <c r="AN1934" s="78" t="s">
        <v>4640</v>
      </c>
      <c r="AO1934" s="78" t="s">
        <v>4849</v>
      </c>
      <c r="AP1934" t="b">
        <v>0</v>
      </c>
      <c r="AQ1934" s="78" t="s">
        <v>3718</v>
      </c>
      <c r="AR1934" t="s">
        <v>179</v>
      </c>
      <c r="AS1934">
        <v>0</v>
      </c>
      <c r="AT1934">
        <v>0</v>
      </c>
    </row>
    <row r="1935" spans="1:46" x14ac:dyDescent="0.45">
      <c r="A1935" s="62" t="s">
        <v>470</v>
      </c>
      <c r="B1935" s="62" t="s">
        <v>242</v>
      </c>
      <c r="C1935" s="63"/>
      <c r="D1935" s="64"/>
      <c r="E1935" s="65"/>
      <c r="F1935" s="66"/>
      <c r="G1935" s="63"/>
      <c r="H1935" s="67"/>
      <c r="I1935" s="68"/>
      <c r="J1935" s="68"/>
      <c r="K1935" s="32"/>
      <c r="L1935" s="75"/>
      <c r="M1935" s="75"/>
      <c r="N1935" s="70"/>
      <c r="O1935" t="s">
        <v>1568</v>
      </c>
      <c r="P1935" s="76">
        <v>44958.735555555555</v>
      </c>
      <c r="Q1935" t="s">
        <v>1767</v>
      </c>
      <c r="V1935" s="77" t="str">
        <f>HYPERLINK("https://pbs.twimg.com/profile_images/1620129785631633410/BO8Ush_O_normal.jpg")</f>
        <v>https://pbs.twimg.com/profile_images/1620129785631633410/BO8Ush_O_normal.jpg</v>
      </c>
      <c r="W1935" s="76">
        <v>44958.735555555555</v>
      </c>
      <c r="X1935" s="80">
        <v>44958</v>
      </c>
      <c r="Y1935" s="78" t="s">
        <v>2708</v>
      </c>
      <c r="Z1935" s="77" t="str">
        <f>HYPERLINK("https://twitter.com/phantom_ranger_/status/1620839194540277761")</f>
        <v>https://twitter.com/phantom_ranger_/status/1620839194540277761</v>
      </c>
      <c r="AC1935" s="78" t="s">
        <v>3726</v>
      </c>
      <c r="AD1935" s="78" t="s">
        <v>4501</v>
      </c>
      <c r="AE1935" t="b">
        <v>0</v>
      </c>
      <c r="AF1935">
        <v>0</v>
      </c>
      <c r="AG1935" s="78" t="s">
        <v>4641</v>
      </c>
      <c r="AH1935" t="b">
        <v>0</v>
      </c>
      <c r="AI1935" t="s">
        <v>4829</v>
      </c>
      <c r="AK1935" s="78" t="s">
        <v>4640</v>
      </c>
      <c r="AL1935" t="b">
        <v>0</v>
      </c>
      <c r="AM1935">
        <v>0</v>
      </c>
      <c r="AN1935" s="78" t="s">
        <v>4640</v>
      </c>
      <c r="AO1935" s="78" t="s">
        <v>4849</v>
      </c>
      <c r="AP1935" t="b">
        <v>0</v>
      </c>
      <c r="AQ1935" s="78" t="s">
        <v>4501</v>
      </c>
      <c r="AR1935" t="s">
        <v>179</v>
      </c>
      <c r="AS1935">
        <v>0</v>
      </c>
      <c r="AT1935">
        <v>0</v>
      </c>
    </row>
    <row r="1936" spans="1:46" x14ac:dyDescent="0.45">
      <c r="A1936" s="62" t="s">
        <v>470</v>
      </c>
      <c r="B1936" s="62" t="s">
        <v>1106</v>
      </c>
      <c r="C1936" s="63"/>
      <c r="D1936" s="64"/>
      <c r="E1936" s="65"/>
      <c r="F1936" s="66"/>
      <c r="G1936" s="63"/>
      <c r="H1936" s="67"/>
      <c r="I1936" s="68"/>
      <c r="J1936" s="68"/>
      <c r="K1936" s="32"/>
      <c r="L1936" s="75"/>
      <c r="M1936" s="75"/>
      <c r="N1936" s="70"/>
      <c r="O1936" t="s">
        <v>1568</v>
      </c>
      <c r="P1936" s="76">
        <v>44958.735555555555</v>
      </c>
      <c r="Q1936" t="s">
        <v>1767</v>
      </c>
      <c r="V1936" s="77" t="str">
        <f>HYPERLINK("https://pbs.twimg.com/profile_images/1620129785631633410/BO8Ush_O_normal.jpg")</f>
        <v>https://pbs.twimg.com/profile_images/1620129785631633410/BO8Ush_O_normal.jpg</v>
      </c>
      <c r="W1936" s="76">
        <v>44958.735555555555</v>
      </c>
      <c r="X1936" s="80">
        <v>44958</v>
      </c>
      <c r="Y1936" s="78" t="s">
        <v>2708</v>
      </c>
      <c r="Z1936" s="77" t="str">
        <f>HYPERLINK("https://twitter.com/phantom_ranger_/status/1620839194540277761")</f>
        <v>https://twitter.com/phantom_ranger_/status/1620839194540277761</v>
      </c>
      <c r="AC1936" s="78" t="s">
        <v>3726</v>
      </c>
      <c r="AD1936" s="78" t="s">
        <v>4501</v>
      </c>
      <c r="AE1936" t="b">
        <v>0</v>
      </c>
      <c r="AF1936">
        <v>0</v>
      </c>
      <c r="AG1936" s="78" t="s">
        <v>4641</v>
      </c>
      <c r="AH1936" t="b">
        <v>0</v>
      </c>
      <c r="AI1936" t="s">
        <v>4829</v>
      </c>
      <c r="AK1936" s="78" t="s">
        <v>4640</v>
      </c>
      <c r="AL1936" t="b">
        <v>0</v>
      </c>
      <c r="AM1936">
        <v>0</v>
      </c>
      <c r="AN1936" s="78" t="s">
        <v>4640</v>
      </c>
      <c r="AO1936" s="78" t="s">
        <v>4849</v>
      </c>
      <c r="AP1936" t="b">
        <v>0</v>
      </c>
      <c r="AQ1936" s="78" t="s">
        <v>4501</v>
      </c>
      <c r="AR1936" t="s">
        <v>179</v>
      </c>
      <c r="AS1936">
        <v>0</v>
      </c>
      <c r="AT1936">
        <v>0</v>
      </c>
    </row>
    <row r="1937" spans="1:46" x14ac:dyDescent="0.45">
      <c r="A1937" s="62" t="s">
        <v>470</v>
      </c>
      <c r="B1937" s="62" t="s">
        <v>1107</v>
      </c>
      <c r="C1937" s="63"/>
      <c r="D1937" s="64"/>
      <c r="E1937" s="65"/>
      <c r="F1937" s="66"/>
      <c r="G1937" s="63"/>
      <c r="H1937" s="67"/>
      <c r="I1937" s="68"/>
      <c r="J1937" s="68"/>
      <c r="K1937" s="32"/>
      <c r="L1937" s="75"/>
      <c r="M1937" s="75"/>
      <c r="N1937" s="70"/>
      <c r="O1937" t="s">
        <v>1567</v>
      </c>
      <c r="P1937" s="76">
        <v>44958.735555555555</v>
      </c>
      <c r="Q1937" t="s">
        <v>1767</v>
      </c>
      <c r="V1937" s="77" t="str">
        <f>HYPERLINK("https://pbs.twimg.com/profile_images/1620129785631633410/BO8Ush_O_normal.jpg")</f>
        <v>https://pbs.twimg.com/profile_images/1620129785631633410/BO8Ush_O_normal.jpg</v>
      </c>
      <c r="W1937" s="76">
        <v>44958.735555555555</v>
      </c>
      <c r="X1937" s="80">
        <v>44958</v>
      </c>
      <c r="Y1937" s="78" t="s">
        <v>2708</v>
      </c>
      <c r="Z1937" s="77" t="str">
        <f>HYPERLINK("https://twitter.com/phantom_ranger_/status/1620839194540277761")</f>
        <v>https://twitter.com/phantom_ranger_/status/1620839194540277761</v>
      </c>
      <c r="AC1937" s="78" t="s">
        <v>3726</v>
      </c>
      <c r="AD1937" s="78" t="s">
        <v>4501</v>
      </c>
      <c r="AE1937" t="b">
        <v>0</v>
      </c>
      <c r="AF1937">
        <v>0</v>
      </c>
      <c r="AG1937" s="78" t="s">
        <v>4641</v>
      </c>
      <c r="AH1937" t="b">
        <v>0</v>
      </c>
      <c r="AI1937" t="s">
        <v>4829</v>
      </c>
      <c r="AK1937" s="78" t="s">
        <v>4640</v>
      </c>
      <c r="AL1937" t="b">
        <v>0</v>
      </c>
      <c r="AM1937">
        <v>0</v>
      </c>
      <c r="AN1937" s="78" t="s">
        <v>4640</v>
      </c>
      <c r="AO1937" s="78" t="s">
        <v>4849</v>
      </c>
      <c r="AP1937" t="b">
        <v>0</v>
      </c>
      <c r="AQ1937" s="78" t="s">
        <v>4501</v>
      </c>
      <c r="AR1937" t="s">
        <v>179</v>
      </c>
      <c r="AS1937">
        <v>0</v>
      </c>
      <c r="AT1937">
        <v>0</v>
      </c>
    </row>
    <row r="1938" spans="1:46" x14ac:dyDescent="0.45">
      <c r="A1938" s="62" t="s">
        <v>471</v>
      </c>
      <c r="B1938" s="62" t="s">
        <v>242</v>
      </c>
      <c r="C1938" s="63"/>
      <c r="D1938" s="64"/>
      <c r="E1938" s="65"/>
      <c r="F1938" s="66"/>
      <c r="G1938" s="63"/>
      <c r="H1938" s="67"/>
      <c r="I1938" s="68"/>
      <c r="J1938" s="68"/>
      <c r="K1938" s="32"/>
      <c r="L1938" s="75"/>
      <c r="M1938" s="75"/>
      <c r="N1938" s="70"/>
      <c r="O1938" t="s">
        <v>1568</v>
      </c>
      <c r="P1938" s="76">
        <v>44958.722696759258</v>
      </c>
      <c r="Q1938" t="s">
        <v>1768</v>
      </c>
      <c r="V1938" s="77" t="str">
        <f>HYPERLINK("https://pbs.twimg.com/profile_images/1583628015178862592/ZwjEaqnU_normal.jpg")</f>
        <v>https://pbs.twimg.com/profile_images/1583628015178862592/ZwjEaqnU_normal.jpg</v>
      </c>
      <c r="W1938" s="76">
        <v>44958.722696759258</v>
      </c>
      <c r="X1938" s="80">
        <v>44958</v>
      </c>
      <c r="Y1938" s="78" t="s">
        <v>2709</v>
      </c>
      <c r="Z1938" s="77" t="str">
        <f>HYPERLINK("https://twitter.com/joeaddict4/status/1620834534987292673")</f>
        <v>https://twitter.com/joeaddict4/status/1620834534987292673</v>
      </c>
      <c r="AC1938" s="78" t="s">
        <v>3727</v>
      </c>
      <c r="AD1938" s="78" t="s">
        <v>4538</v>
      </c>
      <c r="AE1938" t="b">
        <v>0</v>
      </c>
      <c r="AF1938">
        <v>0</v>
      </c>
      <c r="AG1938" s="78" t="s">
        <v>4698</v>
      </c>
      <c r="AH1938" t="b">
        <v>0</v>
      </c>
      <c r="AI1938" t="s">
        <v>4829</v>
      </c>
      <c r="AK1938" s="78" t="s">
        <v>4640</v>
      </c>
      <c r="AL1938" t="b">
        <v>0</v>
      </c>
      <c r="AM1938">
        <v>0</v>
      </c>
      <c r="AN1938" s="78" t="s">
        <v>4640</v>
      </c>
      <c r="AO1938" s="78" t="s">
        <v>4851</v>
      </c>
      <c r="AP1938" t="b">
        <v>0</v>
      </c>
      <c r="AQ1938" s="78" t="s">
        <v>4538</v>
      </c>
      <c r="AR1938" t="s">
        <v>179</v>
      </c>
      <c r="AS1938">
        <v>0</v>
      </c>
      <c r="AT1938">
        <v>0</v>
      </c>
    </row>
    <row r="1939" spans="1:46" x14ac:dyDescent="0.45">
      <c r="A1939" s="62" t="s">
        <v>471</v>
      </c>
      <c r="B1939" s="62" t="s">
        <v>1275</v>
      </c>
      <c r="C1939" s="63"/>
      <c r="D1939" s="64"/>
      <c r="E1939" s="65"/>
      <c r="F1939" s="66"/>
      <c r="G1939" s="63"/>
      <c r="H1939" s="67"/>
      <c r="I1939" s="68"/>
      <c r="J1939" s="68"/>
      <c r="K1939" s="32"/>
      <c r="L1939" s="75"/>
      <c r="M1939" s="75"/>
      <c r="N1939" s="70"/>
      <c r="O1939" t="s">
        <v>1568</v>
      </c>
      <c r="P1939" s="76">
        <v>44958.722696759258</v>
      </c>
      <c r="Q1939" t="s">
        <v>1768</v>
      </c>
      <c r="V1939" s="77" t="str">
        <f>HYPERLINK("https://pbs.twimg.com/profile_images/1583628015178862592/ZwjEaqnU_normal.jpg")</f>
        <v>https://pbs.twimg.com/profile_images/1583628015178862592/ZwjEaqnU_normal.jpg</v>
      </c>
      <c r="W1939" s="76">
        <v>44958.722696759258</v>
      </c>
      <c r="X1939" s="80">
        <v>44958</v>
      </c>
      <c r="Y1939" s="78" t="s">
        <v>2709</v>
      </c>
      <c r="Z1939" s="77" t="str">
        <f>HYPERLINK("https://twitter.com/joeaddict4/status/1620834534987292673")</f>
        <v>https://twitter.com/joeaddict4/status/1620834534987292673</v>
      </c>
      <c r="AC1939" s="78" t="s">
        <v>3727</v>
      </c>
      <c r="AD1939" s="78" t="s">
        <v>4538</v>
      </c>
      <c r="AE1939" t="b">
        <v>0</v>
      </c>
      <c r="AF1939">
        <v>0</v>
      </c>
      <c r="AG1939" s="78" t="s">
        <v>4698</v>
      </c>
      <c r="AH1939" t="b">
        <v>0</v>
      </c>
      <c r="AI1939" t="s">
        <v>4829</v>
      </c>
      <c r="AK1939" s="78" t="s">
        <v>4640</v>
      </c>
      <c r="AL1939" t="b">
        <v>0</v>
      </c>
      <c r="AM1939">
        <v>0</v>
      </c>
      <c r="AN1939" s="78" t="s">
        <v>4640</v>
      </c>
      <c r="AO1939" s="78" t="s">
        <v>4851</v>
      </c>
      <c r="AP1939" t="b">
        <v>0</v>
      </c>
      <c r="AQ1939" s="78" t="s">
        <v>4538</v>
      </c>
      <c r="AR1939" t="s">
        <v>179</v>
      </c>
      <c r="AS1939">
        <v>0</v>
      </c>
      <c r="AT1939">
        <v>0</v>
      </c>
    </row>
    <row r="1940" spans="1:46" x14ac:dyDescent="0.45">
      <c r="A1940" s="62" t="s">
        <v>471</v>
      </c>
      <c r="B1940" s="62" t="s">
        <v>472</v>
      </c>
      <c r="C1940" s="63"/>
      <c r="D1940" s="64"/>
      <c r="E1940" s="65"/>
      <c r="F1940" s="66"/>
      <c r="G1940" s="63"/>
      <c r="H1940" s="67"/>
      <c r="I1940" s="68"/>
      <c r="J1940" s="68"/>
      <c r="K1940" s="32"/>
      <c r="L1940" s="75"/>
      <c r="M1940" s="75"/>
      <c r="N1940" s="70"/>
      <c r="O1940" t="s">
        <v>1567</v>
      </c>
      <c r="P1940" s="76">
        <v>44958.722696759258</v>
      </c>
      <c r="Q1940" t="s">
        <v>1768</v>
      </c>
      <c r="V1940" s="77" t="str">
        <f>HYPERLINK("https://pbs.twimg.com/profile_images/1583628015178862592/ZwjEaqnU_normal.jpg")</f>
        <v>https://pbs.twimg.com/profile_images/1583628015178862592/ZwjEaqnU_normal.jpg</v>
      </c>
      <c r="W1940" s="76">
        <v>44958.722696759258</v>
      </c>
      <c r="X1940" s="80">
        <v>44958</v>
      </c>
      <c r="Y1940" s="78" t="s">
        <v>2709</v>
      </c>
      <c r="Z1940" s="77" t="str">
        <f>HYPERLINK("https://twitter.com/joeaddict4/status/1620834534987292673")</f>
        <v>https://twitter.com/joeaddict4/status/1620834534987292673</v>
      </c>
      <c r="AC1940" s="78" t="s">
        <v>3727</v>
      </c>
      <c r="AD1940" s="78" t="s">
        <v>4538</v>
      </c>
      <c r="AE1940" t="b">
        <v>0</v>
      </c>
      <c r="AF1940">
        <v>0</v>
      </c>
      <c r="AG1940" s="78" t="s">
        <v>4698</v>
      </c>
      <c r="AH1940" t="b">
        <v>0</v>
      </c>
      <c r="AI1940" t="s">
        <v>4829</v>
      </c>
      <c r="AK1940" s="78" t="s">
        <v>4640</v>
      </c>
      <c r="AL1940" t="b">
        <v>0</v>
      </c>
      <c r="AM1940">
        <v>0</v>
      </c>
      <c r="AN1940" s="78" t="s">
        <v>4640</v>
      </c>
      <c r="AO1940" s="78" t="s">
        <v>4851</v>
      </c>
      <c r="AP1940" t="b">
        <v>0</v>
      </c>
      <c r="AQ1940" s="78" t="s">
        <v>4538</v>
      </c>
      <c r="AR1940" t="s">
        <v>179</v>
      </c>
      <c r="AS1940">
        <v>0</v>
      </c>
      <c r="AT1940">
        <v>0</v>
      </c>
    </row>
    <row r="1941" spans="1:46" x14ac:dyDescent="0.45">
      <c r="A1941" s="62" t="s">
        <v>473</v>
      </c>
      <c r="B1941" s="62" t="s">
        <v>1230</v>
      </c>
      <c r="C1941" s="63"/>
      <c r="D1941" s="64"/>
      <c r="E1941" s="65"/>
      <c r="F1941" s="66"/>
      <c r="G1941" s="63"/>
      <c r="H1941" s="67"/>
      <c r="I1941" s="68"/>
      <c r="J1941" s="68"/>
      <c r="K1941" s="32"/>
      <c r="L1941" s="75"/>
      <c r="M1941" s="75"/>
      <c r="N1941" s="70"/>
      <c r="O1941" t="s">
        <v>1570</v>
      </c>
      <c r="P1941" s="76">
        <v>44958.736990740741</v>
      </c>
      <c r="Q1941" t="s">
        <v>1693</v>
      </c>
      <c r="V1941" s="77" t="str">
        <f>HYPERLINK("https://pbs.twimg.com/profile_images/1612837485209337859/B-BZl2wQ_normal.jpg")</f>
        <v>https://pbs.twimg.com/profile_images/1612837485209337859/B-BZl2wQ_normal.jpg</v>
      </c>
      <c r="W1941" s="76">
        <v>44958.736990740741</v>
      </c>
      <c r="X1941" s="80">
        <v>44958</v>
      </c>
      <c r="Y1941" s="78" t="s">
        <v>2711</v>
      </c>
      <c r="Z1941" s="77" t="str">
        <f>HYPERLINK("https://twitter.com/mileyarabicnet/status/1620839716848533504")</f>
        <v>https://twitter.com/mileyarabicnet/status/1620839716848533504</v>
      </c>
      <c r="AC1941" s="78" t="s">
        <v>3729</v>
      </c>
      <c r="AE1941" t="b">
        <v>0</v>
      </c>
      <c r="AF1941">
        <v>0</v>
      </c>
      <c r="AG1941" s="78" t="s">
        <v>4640</v>
      </c>
      <c r="AH1941" t="b">
        <v>0</v>
      </c>
      <c r="AI1941" t="s">
        <v>4829</v>
      </c>
      <c r="AK1941" s="78" t="s">
        <v>4640</v>
      </c>
      <c r="AL1941" t="b">
        <v>0</v>
      </c>
      <c r="AM1941">
        <v>162</v>
      </c>
      <c r="AN1941" s="78" t="s">
        <v>4473</v>
      </c>
      <c r="AO1941" s="78" t="s">
        <v>4849</v>
      </c>
      <c r="AP1941" t="b">
        <v>0</v>
      </c>
      <c r="AQ1941" s="78" t="s">
        <v>4473</v>
      </c>
      <c r="AR1941" t="s">
        <v>179</v>
      </c>
      <c r="AS1941">
        <v>0</v>
      </c>
      <c r="AT1941">
        <v>0</v>
      </c>
    </row>
    <row r="1942" spans="1:46" x14ac:dyDescent="0.45">
      <c r="A1942" s="62" t="s">
        <v>473</v>
      </c>
      <c r="B1942" s="62" t="s">
        <v>242</v>
      </c>
      <c r="C1942" s="63"/>
      <c r="D1942" s="64"/>
      <c r="E1942" s="65"/>
      <c r="F1942" s="66"/>
      <c r="G1942" s="63"/>
      <c r="H1942" s="67"/>
      <c r="I1942" s="68"/>
      <c r="J1942" s="68"/>
      <c r="K1942" s="32"/>
      <c r="L1942" s="75"/>
      <c r="M1942" s="75"/>
      <c r="N1942" s="70"/>
      <c r="O1942" t="s">
        <v>1569</v>
      </c>
      <c r="P1942" s="76">
        <v>44958.736990740741</v>
      </c>
      <c r="Q1942" t="s">
        <v>1693</v>
      </c>
      <c r="V1942" s="77" t="str">
        <f>HYPERLINK("https://pbs.twimg.com/profile_images/1612837485209337859/B-BZl2wQ_normal.jpg")</f>
        <v>https://pbs.twimg.com/profile_images/1612837485209337859/B-BZl2wQ_normal.jpg</v>
      </c>
      <c r="W1942" s="76">
        <v>44958.736990740741</v>
      </c>
      <c r="X1942" s="80">
        <v>44958</v>
      </c>
      <c r="Y1942" s="78" t="s">
        <v>2711</v>
      </c>
      <c r="Z1942" s="77" t="str">
        <f>HYPERLINK("https://twitter.com/mileyarabicnet/status/1620839716848533504")</f>
        <v>https://twitter.com/mileyarabicnet/status/1620839716848533504</v>
      </c>
      <c r="AC1942" s="78" t="s">
        <v>3729</v>
      </c>
      <c r="AE1942" t="b">
        <v>0</v>
      </c>
      <c r="AF1942">
        <v>0</v>
      </c>
      <c r="AG1942" s="78" t="s">
        <v>4640</v>
      </c>
      <c r="AH1942" t="b">
        <v>0</v>
      </c>
      <c r="AI1942" t="s">
        <v>4829</v>
      </c>
      <c r="AK1942" s="78" t="s">
        <v>4640</v>
      </c>
      <c r="AL1942" t="b">
        <v>0</v>
      </c>
      <c r="AM1942">
        <v>162</v>
      </c>
      <c r="AN1942" s="78" t="s">
        <v>4473</v>
      </c>
      <c r="AO1942" s="78" t="s">
        <v>4849</v>
      </c>
      <c r="AP1942" t="b">
        <v>0</v>
      </c>
      <c r="AQ1942" s="78" t="s">
        <v>4473</v>
      </c>
      <c r="AR1942" t="s">
        <v>179</v>
      </c>
      <c r="AS1942">
        <v>0</v>
      </c>
      <c r="AT1942">
        <v>0</v>
      </c>
    </row>
    <row r="1943" spans="1:46" x14ac:dyDescent="0.45">
      <c r="A1943" s="62" t="s">
        <v>474</v>
      </c>
      <c r="B1943" s="62" t="s">
        <v>1230</v>
      </c>
      <c r="C1943" s="63"/>
      <c r="D1943" s="64"/>
      <c r="E1943" s="65"/>
      <c r="F1943" s="66"/>
      <c r="G1943" s="63"/>
      <c r="H1943" s="67"/>
      <c r="I1943" s="68"/>
      <c r="J1943" s="68"/>
      <c r="K1943" s="32"/>
      <c r="L1943" s="75"/>
      <c r="M1943" s="75"/>
      <c r="N1943" s="70"/>
      <c r="O1943" t="s">
        <v>1570</v>
      </c>
      <c r="P1943" s="76">
        <v>44958.739027777781</v>
      </c>
      <c r="Q1943" t="s">
        <v>1693</v>
      </c>
      <c r="V1943" s="77" t="str">
        <f>HYPERLINK("https://pbs.twimg.com/profile_images/1620096817236004865/NrdZ1E1k_normal.jpg")</f>
        <v>https://pbs.twimg.com/profile_images/1620096817236004865/NrdZ1E1k_normal.jpg</v>
      </c>
      <c r="W1943" s="76">
        <v>44958.739027777781</v>
      </c>
      <c r="X1943" s="80">
        <v>44958</v>
      </c>
      <c r="Y1943" s="78" t="s">
        <v>2712</v>
      </c>
      <c r="Z1943" s="77" t="str">
        <f>HYPERLINK("https://twitter.com/karlaatmidnight/status/1620840452810473472")</f>
        <v>https://twitter.com/karlaatmidnight/status/1620840452810473472</v>
      </c>
      <c r="AC1943" s="78" t="s">
        <v>3730</v>
      </c>
      <c r="AE1943" t="b">
        <v>0</v>
      </c>
      <c r="AF1943">
        <v>0</v>
      </c>
      <c r="AG1943" s="78" t="s">
        <v>4640</v>
      </c>
      <c r="AH1943" t="b">
        <v>0</v>
      </c>
      <c r="AI1943" t="s">
        <v>4829</v>
      </c>
      <c r="AK1943" s="78" t="s">
        <v>4640</v>
      </c>
      <c r="AL1943" t="b">
        <v>0</v>
      </c>
      <c r="AM1943">
        <v>162</v>
      </c>
      <c r="AN1943" s="78" t="s">
        <v>4473</v>
      </c>
      <c r="AO1943" s="78" t="s">
        <v>4849</v>
      </c>
      <c r="AP1943" t="b">
        <v>0</v>
      </c>
      <c r="AQ1943" s="78" t="s">
        <v>4473</v>
      </c>
      <c r="AR1943" t="s">
        <v>179</v>
      </c>
      <c r="AS1943">
        <v>0</v>
      </c>
      <c r="AT1943">
        <v>0</v>
      </c>
    </row>
    <row r="1944" spans="1:46" x14ac:dyDescent="0.45">
      <c r="A1944" s="62" t="s">
        <v>474</v>
      </c>
      <c r="B1944" s="62" t="s">
        <v>242</v>
      </c>
      <c r="C1944" s="63"/>
      <c r="D1944" s="64"/>
      <c r="E1944" s="65"/>
      <c r="F1944" s="66"/>
      <c r="G1944" s="63"/>
      <c r="H1944" s="67"/>
      <c r="I1944" s="68"/>
      <c r="J1944" s="68"/>
      <c r="K1944" s="32"/>
      <c r="L1944" s="75"/>
      <c r="M1944" s="75"/>
      <c r="N1944" s="70"/>
      <c r="O1944" t="s">
        <v>1569</v>
      </c>
      <c r="P1944" s="76">
        <v>44958.739027777781</v>
      </c>
      <c r="Q1944" t="s">
        <v>1693</v>
      </c>
      <c r="V1944" s="77" t="str">
        <f>HYPERLINK("https://pbs.twimg.com/profile_images/1620096817236004865/NrdZ1E1k_normal.jpg")</f>
        <v>https://pbs.twimg.com/profile_images/1620096817236004865/NrdZ1E1k_normal.jpg</v>
      </c>
      <c r="W1944" s="76">
        <v>44958.739027777781</v>
      </c>
      <c r="X1944" s="80">
        <v>44958</v>
      </c>
      <c r="Y1944" s="78" t="s">
        <v>2712</v>
      </c>
      <c r="Z1944" s="77" t="str">
        <f>HYPERLINK("https://twitter.com/karlaatmidnight/status/1620840452810473472")</f>
        <v>https://twitter.com/karlaatmidnight/status/1620840452810473472</v>
      </c>
      <c r="AC1944" s="78" t="s">
        <v>3730</v>
      </c>
      <c r="AE1944" t="b">
        <v>0</v>
      </c>
      <c r="AF1944">
        <v>0</v>
      </c>
      <c r="AG1944" s="78" t="s">
        <v>4640</v>
      </c>
      <c r="AH1944" t="b">
        <v>0</v>
      </c>
      <c r="AI1944" t="s">
        <v>4829</v>
      </c>
      <c r="AK1944" s="78" t="s">
        <v>4640</v>
      </c>
      <c r="AL1944" t="b">
        <v>0</v>
      </c>
      <c r="AM1944">
        <v>162</v>
      </c>
      <c r="AN1944" s="78" t="s">
        <v>4473</v>
      </c>
      <c r="AO1944" s="78" t="s">
        <v>4849</v>
      </c>
      <c r="AP1944" t="b">
        <v>0</v>
      </c>
      <c r="AQ1944" s="78" t="s">
        <v>4473</v>
      </c>
      <c r="AR1944" t="s">
        <v>179</v>
      </c>
      <c r="AS1944">
        <v>0</v>
      </c>
      <c r="AT1944">
        <v>0</v>
      </c>
    </row>
    <row r="1945" spans="1:46" x14ac:dyDescent="0.45">
      <c r="A1945" s="62" t="s">
        <v>475</v>
      </c>
      <c r="B1945" s="62" t="s">
        <v>242</v>
      </c>
      <c r="C1945" s="63"/>
      <c r="D1945" s="64"/>
      <c r="E1945" s="65"/>
      <c r="F1945" s="66"/>
      <c r="G1945" s="63"/>
      <c r="H1945" s="67"/>
      <c r="I1945" s="68"/>
      <c r="J1945" s="68"/>
      <c r="K1945" s="32"/>
      <c r="L1945" s="75"/>
      <c r="M1945" s="75"/>
      <c r="N1945" s="70"/>
      <c r="O1945" t="s">
        <v>1567</v>
      </c>
      <c r="P1945" s="76">
        <v>44958.739062499997</v>
      </c>
      <c r="Q1945" t="s">
        <v>1770</v>
      </c>
      <c r="V1945" s="77" t="str">
        <f>HYPERLINK("https://pbs.twimg.com/profile_images/1564468558674927616/hN9PwrwP_normal.jpg")</f>
        <v>https://pbs.twimg.com/profile_images/1564468558674927616/hN9PwrwP_normal.jpg</v>
      </c>
      <c r="W1945" s="76">
        <v>44958.739062499997</v>
      </c>
      <c r="X1945" s="80">
        <v>44958</v>
      </c>
      <c r="Y1945" s="78" t="s">
        <v>2713</v>
      </c>
      <c r="Z1945" s="77" t="str">
        <f>HYPERLINK("https://twitter.com/leonardtasean/status/1620840466597150720")</f>
        <v>https://twitter.com/leonardtasean/status/1620840466597150720</v>
      </c>
      <c r="AC1945" s="78" t="s">
        <v>3731</v>
      </c>
      <c r="AE1945" t="b">
        <v>0</v>
      </c>
      <c r="AF1945">
        <v>0</v>
      </c>
      <c r="AG1945" s="78" t="s">
        <v>4639</v>
      </c>
      <c r="AH1945" t="b">
        <v>0</v>
      </c>
      <c r="AI1945" t="s">
        <v>4829</v>
      </c>
      <c r="AK1945" s="78" t="s">
        <v>4640</v>
      </c>
      <c r="AL1945" t="b">
        <v>0</v>
      </c>
      <c r="AM1945">
        <v>0</v>
      </c>
      <c r="AN1945" s="78" t="s">
        <v>4640</v>
      </c>
      <c r="AO1945" s="78" t="s">
        <v>4849</v>
      </c>
      <c r="AP1945" t="b">
        <v>0</v>
      </c>
      <c r="AQ1945" s="78" t="s">
        <v>3731</v>
      </c>
      <c r="AR1945" t="s">
        <v>179</v>
      </c>
      <c r="AS1945">
        <v>0</v>
      </c>
      <c r="AT1945">
        <v>0</v>
      </c>
    </row>
    <row r="1946" spans="1:46" x14ac:dyDescent="0.45">
      <c r="A1946" s="62" t="s">
        <v>476</v>
      </c>
      <c r="B1946" s="62" t="s">
        <v>1230</v>
      </c>
      <c r="C1946" s="63"/>
      <c r="D1946" s="64"/>
      <c r="E1946" s="65"/>
      <c r="F1946" s="66"/>
      <c r="G1946" s="63"/>
      <c r="H1946" s="67"/>
      <c r="I1946" s="68"/>
      <c r="J1946" s="68"/>
      <c r="K1946" s="32"/>
      <c r="L1946" s="75"/>
      <c r="M1946" s="75"/>
      <c r="N1946" s="70"/>
      <c r="O1946" t="s">
        <v>1570</v>
      </c>
      <c r="P1946" s="76">
        <v>44958.74050925926</v>
      </c>
      <c r="Q1946" t="s">
        <v>1693</v>
      </c>
      <c r="V1946" s="77" t="str">
        <f>HYPERLINK("https://pbs.twimg.com/profile_images/1550418204161351681/MFk8C0E5_normal.jpg")</f>
        <v>https://pbs.twimg.com/profile_images/1550418204161351681/MFk8C0E5_normal.jpg</v>
      </c>
      <c r="W1946" s="76">
        <v>44958.74050925926</v>
      </c>
      <c r="X1946" s="80">
        <v>44958</v>
      </c>
      <c r="Y1946" s="78" t="s">
        <v>2714</v>
      </c>
      <c r="Z1946" s="77" t="str">
        <f>HYPERLINK("https://twitter.com/tweetdowalter/status/1620840988586700806")</f>
        <v>https://twitter.com/tweetdowalter/status/1620840988586700806</v>
      </c>
      <c r="AC1946" s="78" t="s">
        <v>3732</v>
      </c>
      <c r="AE1946" t="b">
        <v>0</v>
      </c>
      <c r="AF1946">
        <v>0</v>
      </c>
      <c r="AG1946" s="78" t="s">
        <v>4640</v>
      </c>
      <c r="AH1946" t="b">
        <v>0</v>
      </c>
      <c r="AI1946" t="s">
        <v>4829</v>
      </c>
      <c r="AK1946" s="78" t="s">
        <v>4640</v>
      </c>
      <c r="AL1946" t="b">
        <v>0</v>
      </c>
      <c r="AM1946">
        <v>162</v>
      </c>
      <c r="AN1946" s="78" t="s">
        <v>4473</v>
      </c>
      <c r="AO1946" s="78" t="s">
        <v>4849</v>
      </c>
      <c r="AP1946" t="b">
        <v>0</v>
      </c>
      <c r="AQ1946" s="78" t="s">
        <v>4473</v>
      </c>
      <c r="AR1946" t="s">
        <v>179</v>
      </c>
      <c r="AS1946">
        <v>0</v>
      </c>
      <c r="AT1946">
        <v>0</v>
      </c>
    </row>
    <row r="1947" spans="1:46" x14ac:dyDescent="0.45">
      <c r="A1947" s="62" t="s">
        <v>476</v>
      </c>
      <c r="B1947" s="62" t="s">
        <v>242</v>
      </c>
      <c r="C1947" s="63"/>
      <c r="D1947" s="64"/>
      <c r="E1947" s="65"/>
      <c r="F1947" s="66"/>
      <c r="G1947" s="63"/>
      <c r="H1947" s="67"/>
      <c r="I1947" s="68"/>
      <c r="J1947" s="68"/>
      <c r="K1947" s="32"/>
      <c r="L1947" s="75"/>
      <c r="M1947" s="75"/>
      <c r="N1947" s="70"/>
      <c r="O1947" t="s">
        <v>1569</v>
      </c>
      <c r="P1947" s="76">
        <v>44958.74050925926</v>
      </c>
      <c r="Q1947" t="s">
        <v>1693</v>
      </c>
      <c r="V1947" s="77" t="str">
        <f>HYPERLINK("https://pbs.twimg.com/profile_images/1550418204161351681/MFk8C0E5_normal.jpg")</f>
        <v>https://pbs.twimg.com/profile_images/1550418204161351681/MFk8C0E5_normal.jpg</v>
      </c>
      <c r="W1947" s="76">
        <v>44958.74050925926</v>
      </c>
      <c r="X1947" s="80">
        <v>44958</v>
      </c>
      <c r="Y1947" s="78" t="s">
        <v>2714</v>
      </c>
      <c r="Z1947" s="77" t="str">
        <f>HYPERLINK("https://twitter.com/tweetdowalter/status/1620840988586700806")</f>
        <v>https://twitter.com/tweetdowalter/status/1620840988586700806</v>
      </c>
      <c r="AC1947" s="78" t="s">
        <v>3732</v>
      </c>
      <c r="AE1947" t="b">
        <v>0</v>
      </c>
      <c r="AF1947">
        <v>0</v>
      </c>
      <c r="AG1947" s="78" t="s">
        <v>4640</v>
      </c>
      <c r="AH1947" t="b">
        <v>0</v>
      </c>
      <c r="AI1947" t="s">
        <v>4829</v>
      </c>
      <c r="AK1947" s="78" t="s">
        <v>4640</v>
      </c>
      <c r="AL1947" t="b">
        <v>0</v>
      </c>
      <c r="AM1947">
        <v>162</v>
      </c>
      <c r="AN1947" s="78" t="s">
        <v>4473</v>
      </c>
      <c r="AO1947" s="78" t="s">
        <v>4849</v>
      </c>
      <c r="AP1947" t="b">
        <v>0</v>
      </c>
      <c r="AQ1947" s="78" t="s">
        <v>4473</v>
      </c>
      <c r="AR1947" t="s">
        <v>179</v>
      </c>
      <c r="AS1947">
        <v>0</v>
      </c>
      <c r="AT1947">
        <v>0</v>
      </c>
    </row>
    <row r="1948" spans="1:46" x14ac:dyDescent="0.45">
      <c r="A1948" s="62" t="s">
        <v>477</v>
      </c>
      <c r="B1948" s="62" t="s">
        <v>1230</v>
      </c>
      <c r="C1948" s="63"/>
      <c r="D1948" s="64"/>
      <c r="E1948" s="65"/>
      <c r="F1948" s="66"/>
      <c r="G1948" s="63"/>
      <c r="H1948" s="67"/>
      <c r="I1948" s="68"/>
      <c r="J1948" s="68"/>
      <c r="K1948" s="32"/>
      <c r="L1948" s="75"/>
      <c r="M1948" s="75"/>
      <c r="N1948" s="70"/>
      <c r="O1948" t="s">
        <v>1570</v>
      </c>
      <c r="P1948" s="76">
        <v>44958.742303240739</v>
      </c>
      <c r="Q1948" t="s">
        <v>1693</v>
      </c>
      <c r="V1948" s="77" t="str">
        <f>HYPERLINK("https://pbs.twimg.com/profile_images/1619026972553916416/n2UZjgCE_normal.jpg")</f>
        <v>https://pbs.twimg.com/profile_images/1619026972553916416/n2UZjgCE_normal.jpg</v>
      </c>
      <c r="W1948" s="76">
        <v>44958.742303240739</v>
      </c>
      <c r="X1948" s="80">
        <v>44958</v>
      </c>
      <c r="Y1948" s="78" t="s">
        <v>2715</v>
      </c>
      <c r="Z1948" s="77" t="str">
        <f>HYPERLINK("https://twitter.com/ukmileycyrusfan/status/1620841642348642305")</f>
        <v>https://twitter.com/ukmileycyrusfan/status/1620841642348642305</v>
      </c>
      <c r="AC1948" s="78" t="s">
        <v>3733</v>
      </c>
      <c r="AE1948" t="b">
        <v>0</v>
      </c>
      <c r="AF1948">
        <v>0</v>
      </c>
      <c r="AG1948" s="78" t="s">
        <v>4640</v>
      </c>
      <c r="AH1948" t="b">
        <v>0</v>
      </c>
      <c r="AI1948" t="s">
        <v>4829</v>
      </c>
      <c r="AK1948" s="78" t="s">
        <v>4640</v>
      </c>
      <c r="AL1948" t="b">
        <v>0</v>
      </c>
      <c r="AM1948">
        <v>162</v>
      </c>
      <c r="AN1948" s="78" t="s">
        <v>4473</v>
      </c>
      <c r="AO1948" s="78" t="s">
        <v>4851</v>
      </c>
      <c r="AP1948" t="b">
        <v>0</v>
      </c>
      <c r="AQ1948" s="78" t="s">
        <v>4473</v>
      </c>
      <c r="AR1948" t="s">
        <v>179</v>
      </c>
      <c r="AS1948">
        <v>0</v>
      </c>
      <c r="AT1948">
        <v>0</v>
      </c>
    </row>
    <row r="1949" spans="1:46" x14ac:dyDescent="0.45">
      <c r="A1949" s="62" t="s">
        <v>477</v>
      </c>
      <c r="B1949" s="62" t="s">
        <v>242</v>
      </c>
      <c r="C1949" s="63"/>
      <c r="D1949" s="64"/>
      <c r="E1949" s="65"/>
      <c r="F1949" s="66"/>
      <c r="G1949" s="63"/>
      <c r="H1949" s="67"/>
      <c r="I1949" s="68"/>
      <c r="J1949" s="68"/>
      <c r="K1949" s="32"/>
      <c r="L1949" s="75"/>
      <c r="M1949" s="75"/>
      <c r="N1949" s="70"/>
      <c r="O1949" t="s">
        <v>1569</v>
      </c>
      <c r="P1949" s="76">
        <v>44958.742303240739</v>
      </c>
      <c r="Q1949" t="s">
        <v>1693</v>
      </c>
      <c r="V1949" s="77" t="str">
        <f>HYPERLINK("https://pbs.twimg.com/profile_images/1619026972553916416/n2UZjgCE_normal.jpg")</f>
        <v>https://pbs.twimg.com/profile_images/1619026972553916416/n2UZjgCE_normal.jpg</v>
      </c>
      <c r="W1949" s="76">
        <v>44958.742303240739</v>
      </c>
      <c r="X1949" s="80">
        <v>44958</v>
      </c>
      <c r="Y1949" s="78" t="s">
        <v>2715</v>
      </c>
      <c r="Z1949" s="77" t="str">
        <f>HYPERLINK("https://twitter.com/ukmileycyrusfan/status/1620841642348642305")</f>
        <v>https://twitter.com/ukmileycyrusfan/status/1620841642348642305</v>
      </c>
      <c r="AC1949" s="78" t="s">
        <v>3733</v>
      </c>
      <c r="AE1949" t="b">
        <v>0</v>
      </c>
      <c r="AF1949">
        <v>0</v>
      </c>
      <c r="AG1949" s="78" t="s">
        <v>4640</v>
      </c>
      <c r="AH1949" t="b">
        <v>0</v>
      </c>
      <c r="AI1949" t="s">
        <v>4829</v>
      </c>
      <c r="AK1949" s="78" t="s">
        <v>4640</v>
      </c>
      <c r="AL1949" t="b">
        <v>0</v>
      </c>
      <c r="AM1949">
        <v>162</v>
      </c>
      <c r="AN1949" s="78" t="s">
        <v>4473</v>
      </c>
      <c r="AO1949" s="78" t="s">
        <v>4851</v>
      </c>
      <c r="AP1949" t="b">
        <v>0</v>
      </c>
      <c r="AQ1949" s="78" t="s">
        <v>4473</v>
      </c>
      <c r="AR1949" t="s">
        <v>179</v>
      </c>
      <c r="AS1949">
        <v>0</v>
      </c>
      <c r="AT1949">
        <v>0</v>
      </c>
    </row>
    <row r="1950" spans="1:46" x14ac:dyDescent="0.45">
      <c r="A1950" s="62" t="s">
        <v>478</v>
      </c>
      <c r="B1950" s="62" t="s">
        <v>1230</v>
      </c>
      <c r="C1950" s="63"/>
      <c r="D1950" s="64"/>
      <c r="E1950" s="65"/>
      <c r="F1950" s="66"/>
      <c r="G1950" s="63"/>
      <c r="H1950" s="67"/>
      <c r="I1950" s="68"/>
      <c r="J1950" s="68"/>
      <c r="K1950" s="32"/>
      <c r="L1950" s="75"/>
      <c r="M1950" s="75"/>
      <c r="N1950" s="70"/>
      <c r="O1950" t="s">
        <v>1570</v>
      </c>
      <c r="P1950" s="76">
        <v>44958.743113425924</v>
      </c>
      <c r="Q1950" t="s">
        <v>1693</v>
      </c>
      <c r="V1950" s="77" t="str">
        <f>HYPERLINK("https://pbs.twimg.com/profile_images/1619701982310141954/nfPNcjp1_normal.jpg")</f>
        <v>https://pbs.twimg.com/profile_images/1619701982310141954/nfPNcjp1_normal.jpg</v>
      </c>
      <c r="W1950" s="76">
        <v>44958.743113425924</v>
      </c>
      <c r="X1950" s="80">
        <v>44958</v>
      </c>
      <c r="Y1950" s="78" t="s">
        <v>2716</v>
      </c>
      <c r="Z1950" s="77" t="str">
        <f>HYPERLINK("https://twitter.com/igorferreiracl/status/1620841932116344832")</f>
        <v>https://twitter.com/igorferreiracl/status/1620841932116344832</v>
      </c>
      <c r="AC1950" s="78" t="s">
        <v>3734</v>
      </c>
      <c r="AE1950" t="b">
        <v>0</v>
      </c>
      <c r="AF1950">
        <v>0</v>
      </c>
      <c r="AG1950" s="78" t="s">
        <v>4640</v>
      </c>
      <c r="AH1950" t="b">
        <v>0</v>
      </c>
      <c r="AI1950" t="s">
        <v>4829</v>
      </c>
      <c r="AK1950" s="78" t="s">
        <v>4640</v>
      </c>
      <c r="AL1950" t="b">
        <v>0</v>
      </c>
      <c r="AM1950">
        <v>162</v>
      </c>
      <c r="AN1950" s="78" t="s">
        <v>4473</v>
      </c>
      <c r="AO1950" s="78" t="s">
        <v>4850</v>
      </c>
      <c r="AP1950" t="b">
        <v>0</v>
      </c>
      <c r="AQ1950" s="78" t="s">
        <v>4473</v>
      </c>
      <c r="AR1950" t="s">
        <v>179</v>
      </c>
      <c r="AS1950">
        <v>0</v>
      </c>
      <c r="AT1950">
        <v>0</v>
      </c>
    </row>
    <row r="1951" spans="1:46" x14ac:dyDescent="0.45">
      <c r="A1951" s="62" t="s">
        <v>478</v>
      </c>
      <c r="B1951" s="62" t="s">
        <v>242</v>
      </c>
      <c r="C1951" s="63"/>
      <c r="D1951" s="64"/>
      <c r="E1951" s="65"/>
      <c r="F1951" s="66"/>
      <c r="G1951" s="63"/>
      <c r="H1951" s="67"/>
      <c r="I1951" s="68"/>
      <c r="J1951" s="68"/>
      <c r="K1951" s="32"/>
      <c r="L1951" s="75"/>
      <c r="M1951" s="75"/>
      <c r="N1951" s="70"/>
      <c r="O1951" t="s">
        <v>1569</v>
      </c>
      <c r="P1951" s="76">
        <v>44958.743113425924</v>
      </c>
      <c r="Q1951" t="s">
        <v>1693</v>
      </c>
      <c r="V1951" s="77" t="str">
        <f>HYPERLINK("https://pbs.twimg.com/profile_images/1619701982310141954/nfPNcjp1_normal.jpg")</f>
        <v>https://pbs.twimg.com/profile_images/1619701982310141954/nfPNcjp1_normal.jpg</v>
      </c>
      <c r="W1951" s="76">
        <v>44958.743113425924</v>
      </c>
      <c r="X1951" s="80">
        <v>44958</v>
      </c>
      <c r="Y1951" s="78" t="s">
        <v>2716</v>
      </c>
      <c r="Z1951" s="77" t="str">
        <f>HYPERLINK("https://twitter.com/igorferreiracl/status/1620841932116344832")</f>
        <v>https://twitter.com/igorferreiracl/status/1620841932116344832</v>
      </c>
      <c r="AC1951" s="78" t="s">
        <v>3734</v>
      </c>
      <c r="AE1951" t="b">
        <v>0</v>
      </c>
      <c r="AF1951">
        <v>0</v>
      </c>
      <c r="AG1951" s="78" t="s">
        <v>4640</v>
      </c>
      <c r="AH1951" t="b">
        <v>0</v>
      </c>
      <c r="AI1951" t="s">
        <v>4829</v>
      </c>
      <c r="AK1951" s="78" t="s">
        <v>4640</v>
      </c>
      <c r="AL1951" t="b">
        <v>0</v>
      </c>
      <c r="AM1951">
        <v>162</v>
      </c>
      <c r="AN1951" s="78" t="s">
        <v>4473</v>
      </c>
      <c r="AO1951" s="78" t="s">
        <v>4850</v>
      </c>
      <c r="AP1951" t="b">
        <v>0</v>
      </c>
      <c r="AQ1951" s="78" t="s">
        <v>4473</v>
      </c>
      <c r="AR1951" t="s">
        <v>179</v>
      </c>
      <c r="AS1951">
        <v>0</v>
      </c>
      <c r="AT1951">
        <v>0</v>
      </c>
    </row>
    <row r="1952" spans="1:46" x14ac:dyDescent="0.45">
      <c r="A1952" s="62" t="s">
        <v>479</v>
      </c>
      <c r="B1952" s="62" t="s">
        <v>1230</v>
      </c>
      <c r="C1952" s="63"/>
      <c r="D1952" s="64"/>
      <c r="E1952" s="65"/>
      <c r="F1952" s="66"/>
      <c r="G1952" s="63"/>
      <c r="H1952" s="67"/>
      <c r="I1952" s="68"/>
      <c r="J1952" s="68"/>
      <c r="K1952" s="32"/>
      <c r="L1952" s="75"/>
      <c r="M1952" s="75"/>
      <c r="N1952" s="70"/>
      <c r="O1952" t="s">
        <v>1570</v>
      </c>
      <c r="P1952" s="76">
        <v>44958.743263888886</v>
      </c>
      <c r="Q1952" t="s">
        <v>1693</v>
      </c>
      <c r="V1952" s="77" t="str">
        <f>HYPERLINK("https://pbs.twimg.com/profile_images/1609768622255120384/ceIuZUJ1_normal.jpg")</f>
        <v>https://pbs.twimg.com/profile_images/1609768622255120384/ceIuZUJ1_normal.jpg</v>
      </c>
      <c r="W1952" s="76">
        <v>44958.743263888886</v>
      </c>
      <c r="X1952" s="80">
        <v>44958</v>
      </c>
      <c r="Y1952" s="78" t="s">
        <v>2717</v>
      </c>
      <c r="Z1952" s="77" t="str">
        <f>HYPERLINK("https://twitter.com/laadaadidadi/status/1620841990454935553")</f>
        <v>https://twitter.com/laadaadidadi/status/1620841990454935553</v>
      </c>
      <c r="AC1952" s="78" t="s">
        <v>3735</v>
      </c>
      <c r="AE1952" t="b">
        <v>0</v>
      </c>
      <c r="AF1952">
        <v>0</v>
      </c>
      <c r="AG1952" s="78" t="s">
        <v>4640</v>
      </c>
      <c r="AH1952" t="b">
        <v>0</v>
      </c>
      <c r="AI1952" t="s">
        <v>4829</v>
      </c>
      <c r="AK1952" s="78" t="s">
        <v>4640</v>
      </c>
      <c r="AL1952" t="b">
        <v>0</v>
      </c>
      <c r="AM1952">
        <v>162</v>
      </c>
      <c r="AN1952" s="78" t="s">
        <v>4473</v>
      </c>
      <c r="AO1952" s="78" t="s">
        <v>4849</v>
      </c>
      <c r="AP1952" t="b">
        <v>0</v>
      </c>
      <c r="AQ1952" s="78" t="s">
        <v>4473</v>
      </c>
      <c r="AR1952" t="s">
        <v>179</v>
      </c>
      <c r="AS1952">
        <v>0</v>
      </c>
      <c r="AT1952">
        <v>0</v>
      </c>
    </row>
    <row r="1953" spans="1:46" x14ac:dyDescent="0.45">
      <c r="A1953" s="62" t="s">
        <v>479</v>
      </c>
      <c r="B1953" s="62" t="s">
        <v>242</v>
      </c>
      <c r="C1953" s="63"/>
      <c r="D1953" s="64"/>
      <c r="E1953" s="65"/>
      <c r="F1953" s="66"/>
      <c r="G1953" s="63"/>
      <c r="H1953" s="67"/>
      <c r="I1953" s="68"/>
      <c r="J1953" s="68"/>
      <c r="K1953" s="32"/>
      <c r="L1953" s="75"/>
      <c r="M1953" s="75"/>
      <c r="N1953" s="70"/>
      <c r="O1953" t="s">
        <v>1569</v>
      </c>
      <c r="P1953" s="76">
        <v>44958.743263888886</v>
      </c>
      <c r="Q1953" t="s">
        <v>1693</v>
      </c>
      <c r="V1953" s="77" t="str">
        <f>HYPERLINK("https://pbs.twimg.com/profile_images/1609768622255120384/ceIuZUJ1_normal.jpg")</f>
        <v>https://pbs.twimg.com/profile_images/1609768622255120384/ceIuZUJ1_normal.jpg</v>
      </c>
      <c r="W1953" s="76">
        <v>44958.743263888886</v>
      </c>
      <c r="X1953" s="80">
        <v>44958</v>
      </c>
      <c r="Y1953" s="78" t="s">
        <v>2717</v>
      </c>
      <c r="Z1953" s="77" t="str">
        <f>HYPERLINK("https://twitter.com/laadaadidadi/status/1620841990454935553")</f>
        <v>https://twitter.com/laadaadidadi/status/1620841990454935553</v>
      </c>
      <c r="AC1953" s="78" t="s">
        <v>3735</v>
      </c>
      <c r="AE1953" t="b">
        <v>0</v>
      </c>
      <c r="AF1953">
        <v>0</v>
      </c>
      <c r="AG1953" s="78" t="s">
        <v>4640</v>
      </c>
      <c r="AH1953" t="b">
        <v>0</v>
      </c>
      <c r="AI1953" t="s">
        <v>4829</v>
      </c>
      <c r="AK1953" s="78" t="s">
        <v>4640</v>
      </c>
      <c r="AL1953" t="b">
        <v>0</v>
      </c>
      <c r="AM1953">
        <v>162</v>
      </c>
      <c r="AN1953" s="78" t="s">
        <v>4473</v>
      </c>
      <c r="AO1953" s="78" t="s">
        <v>4849</v>
      </c>
      <c r="AP1953" t="b">
        <v>0</v>
      </c>
      <c r="AQ1953" s="78" t="s">
        <v>4473</v>
      </c>
      <c r="AR1953" t="s">
        <v>179</v>
      </c>
      <c r="AS1953">
        <v>0</v>
      </c>
      <c r="AT1953">
        <v>0</v>
      </c>
    </row>
    <row r="1954" spans="1:46" x14ac:dyDescent="0.45">
      <c r="A1954" s="62" t="s">
        <v>480</v>
      </c>
      <c r="B1954" s="62" t="s">
        <v>242</v>
      </c>
      <c r="C1954" s="63"/>
      <c r="D1954" s="64"/>
      <c r="E1954" s="65"/>
      <c r="F1954" s="66"/>
      <c r="G1954" s="63"/>
      <c r="H1954" s="67"/>
      <c r="I1954" s="68"/>
      <c r="J1954" s="68"/>
      <c r="K1954" s="32"/>
      <c r="L1954" s="75"/>
      <c r="M1954" s="75"/>
      <c r="N1954" s="70"/>
      <c r="O1954" t="s">
        <v>1567</v>
      </c>
      <c r="P1954" s="76">
        <v>44958.743564814817</v>
      </c>
      <c r="Q1954" t="s">
        <v>1771</v>
      </c>
      <c r="U1954" s="77" t="str">
        <f>HYPERLINK("https://pbs.twimg.com/media/Fn5jSwfXkAA3UdX.jpg")</f>
        <v>https://pbs.twimg.com/media/Fn5jSwfXkAA3UdX.jpg</v>
      </c>
      <c r="V1954" s="77" t="str">
        <f>HYPERLINK("https://pbs.twimg.com/media/Fn5jSwfXkAA3UdX.jpg")</f>
        <v>https://pbs.twimg.com/media/Fn5jSwfXkAA3UdX.jpg</v>
      </c>
      <c r="W1954" s="76">
        <v>44958.743564814817</v>
      </c>
      <c r="X1954" s="80">
        <v>44958</v>
      </c>
      <c r="Y1954" s="78" t="s">
        <v>2718</v>
      </c>
      <c r="Z1954" s="77" t="str">
        <f>HYPERLINK("https://twitter.com/nickwaynegames/status/1620842095568384000")</f>
        <v>https://twitter.com/nickwaynegames/status/1620842095568384000</v>
      </c>
      <c r="AC1954" s="78" t="s">
        <v>3736</v>
      </c>
      <c r="AE1954" t="b">
        <v>0</v>
      </c>
      <c r="AF1954">
        <v>0</v>
      </c>
      <c r="AG1954" s="78" t="s">
        <v>4639</v>
      </c>
      <c r="AH1954" t="b">
        <v>0</v>
      </c>
      <c r="AI1954" t="s">
        <v>4829</v>
      </c>
      <c r="AK1954" s="78" t="s">
        <v>4640</v>
      </c>
      <c r="AL1954" t="b">
        <v>0</v>
      </c>
      <c r="AM1954">
        <v>0</v>
      </c>
      <c r="AN1954" s="78" t="s">
        <v>4640</v>
      </c>
      <c r="AO1954" s="78" t="s">
        <v>4849</v>
      </c>
      <c r="AP1954" t="b">
        <v>0</v>
      </c>
      <c r="AQ1954" s="78" t="s">
        <v>3736</v>
      </c>
      <c r="AR1954" t="s">
        <v>179</v>
      </c>
      <c r="AS1954">
        <v>0</v>
      </c>
      <c r="AT1954">
        <v>0</v>
      </c>
    </row>
    <row r="1955" spans="1:46" x14ac:dyDescent="0.45">
      <c r="A1955" s="62" t="s">
        <v>481</v>
      </c>
      <c r="B1955" s="62" t="s">
        <v>1230</v>
      </c>
      <c r="C1955" s="63"/>
      <c r="D1955" s="64"/>
      <c r="E1955" s="65"/>
      <c r="F1955" s="66"/>
      <c r="G1955" s="63"/>
      <c r="H1955" s="67"/>
      <c r="I1955" s="68"/>
      <c r="J1955" s="68"/>
      <c r="K1955" s="32"/>
      <c r="L1955" s="75"/>
      <c r="M1955" s="75"/>
      <c r="N1955" s="70"/>
      <c r="O1955" t="s">
        <v>1570</v>
      </c>
      <c r="P1955" s="76">
        <v>44958.743784722225</v>
      </c>
      <c r="Q1955" t="s">
        <v>1693</v>
      </c>
      <c r="V1955" s="77" t="str">
        <f>HYPERLINK("https://pbs.twimg.com/profile_images/1324852066603421697/8Uhkkgqo_normal.jpg")</f>
        <v>https://pbs.twimg.com/profile_images/1324852066603421697/8Uhkkgqo_normal.jpg</v>
      </c>
      <c r="W1955" s="76">
        <v>44958.743784722225</v>
      </c>
      <c r="X1955" s="80">
        <v>44958</v>
      </c>
      <c r="Y1955" s="78" t="s">
        <v>2719</v>
      </c>
      <c r="Z1955" s="77" t="str">
        <f>HYPERLINK("https://twitter.com/yoitsab/status/1620842178665934848")</f>
        <v>https://twitter.com/yoitsab/status/1620842178665934848</v>
      </c>
      <c r="AC1955" s="78" t="s">
        <v>3737</v>
      </c>
      <c r="AE1955" t="b">
        <v>0</v>
      </c>
      <c r="AF1955">
        <v>0</v>
      </c>
      <c r="AG1955" s="78" t="s">
        <v>4640</v>
      </c>
      <c r="AH1955" t="b">
        <v>0</v>
      </c>
      <c r="AI1955" t="s">
        <v>4829</v>
      </c>
      <c r="AK1955" s="78" t="s">
        <v>4640</v>
      </c>
      <c r="AL1955" t="b">
        <v>0</v>
      </c>
      <c r="AM1955">
        <v>162</v>
      </c>
      <c r="AN1955" s="78" t="s">
        <v>4473</v>
      </c>
      <c r="AO1955" s="78" t="s">
        <v>4849</v>
      </c>
      <c r="AP1955" t="b">
        <v>0</v>
      </c>
      <c r="AQ1955" s="78" t="s">
        <v>4473</v>
      </c>
      <c r="AR1955" t="s">
        <v>179</v>
      </c>
      <c r="AS1955">
        <v>0</v>
      </c>
      <c r="AT1955">
        <v>0</v>
      </c>
    </row>
    <row r="1956" spans="1:46" x14ac:dyDescent="0.45">
      <c r="A1956" s="62" t="s">
        <v>481</v>
      </c>
      <c r="B1956" s="62" t="s">
        <v>242</v>
      </c>
      <c r="C1956" s="63"/>
      <c r="D1956" s="64"/>
      <c r="E1956" s="65"/>
      <c r="F1956" s="66"/>
      <c r="G1956" s="63"/>
      <c r="H1956" s="67"/>
      <c r="I1956" s="68"/>
      <c r="J1956" s="68"/>
      <c r="K1956" s="32"/>
      <c r="L1956" s="75"/>
      <c r="M1956" s="75"/>
      <c r="N1956" s="70"/>
      <c r="O1956" t="s">
        <v>1569</v>
      </c>
      <c r="P1956" s="76">
        <v>44958.743784722225</v>
      </c>
      <c r="Q1956" t="s">
        <v>1693</v>
      </c>
      <c r="V1956" s="77" t="str">
        <f>HYPERLINK("https://pbs.twimg.com/profile_images/1324852066603421697/8Uhkkgqo_normal.jpg")</f>
        <v>https://pbs.twimg.com/profile_images/1324852066603421697/8Uhkkgqo_normal.jpg</v>
      </c>
      <c r="W1956" s="76">
        <v>44958.743784722225</v>
      </c>
      <c r="X1956" s="80">
        <v>44958</v>
      </c>
      <c r="Y1956" s="78" t="s">
        <v>2719</v>
      </c>
      <c r="Z1956" s="77" t="str">
        <f>HYPERLINK("https://twitter.com/yoitsab/status/1620842178665934848")</f>
        <v>https://twitter.com/yoitsab/status/1620842178665934848</v>
      </c>
      <c r="AC1956" s="78" t="s">
        <v>3737</v>
      </c>
      <c r="AE1956" t="b">
        <v>0</v>
      </c>
      <c r="AF1956">
        <v>0</v>
      </c>
      <c r="AG1956" s="78" t="s">
        <v>4640</v>
      </c>
      <c r="AH1956" t="b">
        <v>0</v>
      </c>
      <c r="AI1956" t="s">
        <v>4829</v>
      </c>
      <c r="AK1956" s="78" t="s">
        <v>4640</v>
      </c>
      <c r="AL1956" t="b">
        <v>0</v>
      </c>
      <c r="AM1956">
        <v>162</v>
      </c>
      <c r="AN1956" s="78" t="s">
        <v>4473</v>
      </c>
      <c r="AO1956" s="78" t="s">
        <v>4849</v>
      </c>
      <c r="AP1956" t="b">
        <v>0</v>
      </c>
      <c r="AQ1956" s="78" t="s">
        <v>4473</v>
      </c>
      <c r="AR1956" t="s">
        <v>179</v>
      </c>
      <c r="AS1956">
        <v>0</v>
      </c>
      <c r="AT1956">
        <v>0</v>
      </c>
    </row>
    <row r="1957" spans="1:46" x14ac:dyDescent="0.45">
      <c r="A1957" s="62" t="s">
        <v>482</v>
      </c>
      <c r="B1957" s="62" t="s">
        <v>1230</v>
      </c>
      <c r="C1957" s="63"/>
      <c r="D1957" s="64"/>
      <c r="E1957" s="65"/>
      <c r="F1957" s="66"/>
      <c r="G1957" s="63"/>
      <c r="H1957" s="67"/>
      <c r="I1957" s="68"/>
      <c r="J1957" s="68"/>
      <c r="K1957" s="32"/>
      <c r="L1957" s="75"/>
      <c r="M1957" s="75"/>
      <c r="N1957" s="70"/>
      <c r="O1957" t="s">
        <v>1570</v>
      </c>
      <c r="P1957" s="76">
        <v>44958.745625000003</v>
      </c>
      <c r="Q1957" t="s">
        <v>1693</v>
      </c>
      <c r="V1957" s="77" t="str">
        <f>HYPERLINK("https://pbs.twimg.com/profile_images/1619916030100312065/atVIacty_normal.jpg")</f>
        <v>https://pbs.twimg.com/profile_images/1619916030100312065/atVIacty_normal.jpg</v>
      </c>
      <c r="W1957" s="76">
        <v>44958.745625000003</v>
      </c>
      <c r="X1957" s="80">
        <v>44958</v>
      </c>
      <c r="Y1957" s="78" t="s">
        <v>2720</v>
      </c>
      <c r="Z1957" s="77" t="str">
        <f>HYPERLINK("https://twitter.com/youngerbluess/status/1620842846063591424")</f>
        <v>https://twitter.com/youngerbluess/status/1620842846063591424</v>
      </c>
      <c r="AC1957" s="78" t="s">
        <v>3738</v>
      </c>
      <c r="AE1957" t="b">
        <v>0</v>
      </c>
      <c r="AF1957">
        <v>0</v>
      </c>
      <c r="AG1957" s="78" t="s">
        <v>4640</v>
      </c>
      <c r="AH1957" t="b">
        <v>0</v>
      </c>
      <c r="AI1957" t="s">
        <v>4829</v>
      </c>
      <c r="AK1957" s="78" t="s">
        <v>4640</v>
      </c>
      <c r="AL1957" t="b">
        <v>0</v>
      </c>
      <c r="AM1957">
        <v>162</v>
      </c>
      <c r="AN1957" s="78" t="s">
        <v>4473</v>
      </c>
      <c r="AO1957" s="78" t="s">
        <v>4850</v>
      </c>
      <c r="AP1957" t="b">
        <v>0</v>
      </c>
      <c r="AQ1957" s="78" t="s">
        <v>4473</v>
      </c>
      <c r="AR1957" t="s">
        <v>179</v>
      </c>
      <c r="AS1957">
        <v>0</v>
      </c>
      <c r="AT1957">
        <v>0</v>
      </c>
    </row>
    <row r="1958" spans="1:46" x14ac:dyDescent="0.45">
      <c r="A1958" s="62" t="s">
        <v>482</v>
      </c>
      <c r="B1958" s="62" t="s">
        <v>242</v>
      </c>
      <c r="C1958" s="63"/>
      <c r="D1958" s="64"/>
      <c r="E1958" s="65"/>
      <c r="F1958" s="66"/>
      <c r="G1958" s="63"/>
      <c r="H1958" s="67"/>
      <c r="I1958" s="68"/>
      <c r="J1958" s="68"/>
      <c r="K1958" s="32"/>
      <c r="L1958" s="75"/>
      <c r="M1958" s="75"/>
      <c r="N1958" s="70"/>
      <c r="O1958" t="s">
        <v>1569</v>
      </c>
      <c r="P1958" s="76">
        <v>44958.745625000003</v>
      </c>
      <c r="Q1958" t="s">
        <v>1693</v>
      </c>
      <c r="V1958" s="77" t="str">
        <f>HYPERLINK("https://pbs.twimg.com/profile_images/1619916030100312065/atVIacty_normal.jpg")</f>
        <v>https://pbs.twimg.com/profile_images/1619916030100312065/atVIacty_normal.jpg</v>
      </c>
      <c r="W1958" s="76">
        <v>44958.745625000003</v>
      </c>
      <c r="X1958" s="80">
        <v>44958</v>
      </c>
      <c r="Y1958" s="78" t="s">
        <v>2720</v>
      </c>
      <c r="Z1958" s="77" t="str">
        <f>HYPERLINK("https://twitter.com/youngerbluess/status/1620842846063591424")</f>
        <v>https://twitter.com/youngerbluess/status/1620842846063591424</v>
      </c>
      <c r="AC1958" s="78" t="s">
        <v>3738</v>
      </c>
      <c r="AE1958" t="b">
        <v>0</v>
      </c>
      <c r="AF1958">
        <v>0</v>
      </c>
      <c r="AG1958" s="78" t="s">
        <v>4640</v>
      </c>
      <c r="AH1958" t="b">
        <v>0</v>
      </c>
      <c r="AI1958" t="s">
        <v>4829</v>
      </c>
      <c r="AK1958" s="78" t="s">
        <v>4640</v>
      </c>
      <c r="AL1958" t="b">
        <v>0</v>
      </c>
      <c r="AM1958">
        <v>162</v>
      </c>
      <c r="AN1958" s="78" t="s">
        <v>4473</v>
      </c>
      <c r="AO1958" s="78" t="s">
        <v>4850</v>
      </c>
      <c r="AP1958" t="b">
        <v>0</v>
      </c>
      <c r="AQ1958" s="78" t="s">
        <v>4473</v>
      </c>
      <c r="AR1958" t="s">
        <v>179</v>
      </c>
      <c r="AS1958">
        <v>0</v>
      </c>
      <c r="AT1958">
        <v>0</v>
      </c>
    </row>
    <row r="1959" spans="1:46" x14ac:dyDescent="0.45">
      <c r="A1959" s="62" t="s">
        <v>484</v>
      </c>
      <c r="B1959" s="62" t="s">
        <v>242</v>
      </c>
      <c r="C1959" s="63"/>
      <c r="D1959" s="64"/>
      <c r="E1959" s="65"/>
      <c r="F1959" s="66"/>
      <c r="G1959" s="63"/>
      <c r="H1959" s="67"/>
      <c r="I1959" s="68"/>
      <c r="J1959" s="68"/>
      <c r="K1959" s="32"/>
      <c r="L1959" s="75"/>
      <c r="M1959" s="75"/>
      <c r="N1959" s="70"/>
      <c r="O1959" t="s">
        <v>1567</v>
      </c>
      <c r="P1959" s="76">
        <v>44958.747256944444</v>
      </c>
      <c r="Q1959" t="s">
        <v>1773</v>
      </c>
      <c r="V1959" s="77" t="str">
        <f>HYPERLINK("https://pbs.twimg.com/profile_images/1262136081694195712/ng3iTQd6_normal.jpg")</f>
        <v>https://pbs.twimg.com/profile_images/1262136081694195712/ng3iTQd6_normal.jpg</v>
      </c>
      <c r="W1959" s="76">
        <v>44958.747256944444</v>
      </c>
      <c r="X1959" s="80">
        <v>44958</v>
      </c>
      <c r="Y1959" s="78" t="s">
        <v>2722</v>
      </c>
      <c r="Z1959" s="77" t="str">
        <f>HYPERLINK("https://twitter.com/budolliff/status/1620843435908542465")</f>
        <v>https://twitter.com/budolliff/status/1620843435908542465</v>
      </c>
      <c r="AC1959" s="78" t="s">
        <v>3740</v>
      </c>
      <c r="AE1959" t="b">
        <v>0</v>
      </c>
      <c r="AF1959">
        <v>0</v>
      </c>
      <c r="AG1959" s="78" t="s">
        <v>4639</v>
      </c>
      <c r="AH1959" t="b">
        <v>0</v>
      </c>
      <c r="AI1959" t="s">
        <v>4829</v>
      </c>
      <c r="AK1959" s="78" t="s">
        <v>4640</v>
      </c>
      <c r="AL1959" t="b">
        <v>0</v>
      </c>
      <c r="AM1959">
        <v>0</v>
      </c>
      <c r="AN1959" s="78" t="s">
        <v>4640</v>
      </c>
      <c r="AO1959" s="78" t="s">
        <v>4849</v>
      </c>
      <c r="AP1959" t="b">
        <v>0</v>
      </c>
      <c r="AQ1959" s="78" t="s">
        <v>3740</v>
      </c>
      <c r="AR1959" t="s">
        <v>179</v>
      </c>
      <c r="AS1959">
        <v>0</v>
      </c>
      <c r="AT1959">
        <v>0</v>
      </c>
    </row>
    <row r="1960" spans="1:46" x14ac:dyDescent="0.45">
      <c r="A1960" s="62" t="s">
        <v>485</v>
      </c>
      <c r="B1960" s="62" t="s">
        <v>1230</v>
      </c>
      <c r="C1960" s="63"/>
      <c r="D1960" s="64"/>
      <c r="E1960" s="65"/>
      <c r="F1960" s="66"/>
      <c r="G1960" s="63"/>
      <c r="H1960" s="67"/>
      <c r="I1960" s="68"/>
      <c r="J1960" s="68"/>
      <c r="K1960" s="32"/>
      <c r="L1960" s="75"/>
      <c r="M1960" s="75"/>
      <c r="N1960" s="70"/>
      <c r="O1960" t="s">
        <v>1570</v>
      </c>
      <c r="P1960" s="76">
        <v>44958.748495370368</v>
      </c>
      <c r="Q1960" t="s">
        <v>1693</v>
      </c>
      <c r="V1960" s="77" t="str">
        <f>HYPERLINK("https://pbs.twimg.com/profile_images/1611538713867067392/6VLxWTxG_normal.jpg")</f>
        <v>https://pbs.twimg.com/profile_images/1611538713867067392/6VLxWTxG_normal.jpg</v>
      </c>
      <c r="W1960" s="76">
        <v>44958.748495370368</v>
      </c>
      <c r="X1960" s="80">
        <v>44958</v>
      </c>
      <c r="Y1960" s="78" t="s">
        <v>2723</v>
      </c>
      <c r="Z1960" s="77" t="str">
        <f>HYPERLINK("https://twitter.com/olivia91483183/status/1620843886406139905")</f>
        <v>https://twitter.com/olivia91483183/status/1620843886406139905</v>
      </c>
      <c r="AC1960" s="78" t="s">
        <v>3741</v>
      </c>
      <c r="AE1960" t="b">
        <v>0</v>
      </c>
      <c r="AF1960">
        <v>0</v>
      </c>
      <c r="AG1960" s="78" t="s">
        <v>4640</v>
      </c>
      <c r="AH1960" t="b">
        <v>0</v>
      </c>
      <c r="AI1960" t="s">
        <v>4829</v>
      </c>
      <c r="AK1960" s="78" t="s">
        <v>4640</v>
      </c>
      <c r="AL1960" t="b">
        <v>0</v>
      </c>
      <c r="AM1960">
        <v>162</v>
      </c>
      <c r="AN1960" s="78" t="s">
        <v>4473</v>
      </c>
      <c r="AO1960" s="78" t="s">
        <v>4849</v>
      </c>
      <c r="AP1960" t="b">
        <v>0</v>
      </c>
      <c r="AQ1960" s="78" t="s">
        <v>4473</v>
      </c>
      <c r="AR1960" t="s">
        <v>179</v>
      </c>
      <c r="AS1960">
        <v>0</v>
      </c>
      <c r="AT1960">
        <v>0</v>
      </c>
    </row>
    <row r="1961" spans="1:46" x14ac:dyDescent="0.45">
      <c r="A1961" s="62" t="s">
        <v>485</v>
      </c>
      <c r="B1961" s="62" t="s">
        <v>242</v>
      </c>
      <c r="C1961" s="63"/>
      <c r="D1961" s="64"/>
      <c r="E1961" s="65"/>
      <c r="F1961" s="66"/>
      <c r="G1961" s="63"/>
      <c r="H1961" s="67"/>
      <c r="I1961" s="68"/>
      <c r="J1961" s="68"/>
      <c r="K1961" s="32"/>
      <c r="L1961" s="75"/>
      <c r="M1961" s="75"/>
      <c r="N1961" s="70"/>
      <c r="O1961" t="s">
        <v>1569</v>
      </c>
      <c r="P1961" s="76">
        <v>44958.748495370368</v>
      </c>
      <c r="Q1961" t="s">
        <v>1693</v>
      </c>
      <c r="V1961" s="77" t="str">
        <f>HYPERLINK("https://pbs.twimg.com/profile_images/1611538713867067392/6VLxWTxG_normal.jpg")</f>
        <v>https://pbs.twimg.com/profile_images/1611538713867067392/6VLxWTxG_normal.jpg</v>
      </c>
      <c r="W1961" s="76">
        <v>44958.748495370368</v>
      </c>
      <c r="X1961" s="80">
        <v>44958</v>
      </c>
      <c r="Y1961" s="78" t="s">
        <v>2723</v>
      </c>
      <c r="Z1961" s="77" t="str">
        <f>HYPERLINK("https://twitter.com/olivia91483183/status/1620843886406139905")</f>
        <v>https://twitter.com/olivia91483183/status/1620843886406139905</v>
      </c>
      <c r="AC1961" s="78" t="s">
        <v>3741</v>
      </c>
      <c r="AE1961" t="b">
        <v>0</v>
      </c>
      <c r="AF1961">
        <v>0</v>
      </c>
      <c r="AG1961" s="78" t="s">
        <v>4640</v>
      </c>
      <c r="AH1961" t="b">
        <v>0</v>
      </c>
      <c r="AI1961" t="s">
        <v>4829</v>
      </c>
      <c r="AK1961" s="78" t="s">
        <v>4640</v>
      </c>
      <c r="AL1961" t="b">
        <v>0</v>
      </c>
      <c r="AM1961">
        <v>162</v>
      </c>
      <c r="AN1961" s="78" t="s">
        <v>4473</v>
      </c>
      <c r="AO1961" s="78" t="s">
        <v>4849</v>
      </c>
      <c r="AP1961" t="b">
        <v>0</v>
      </c>
      <c r="AQ1961" s="78" t="s">
        <v>4473</v>
      </c>
      <c r="AR1961" t="s">
        <v>179</v>
      </c>
      <c r="AS1961">
        <v>0</v>
      </c>
      <c r="AT1961">
        <v>0</v>
      </c>
    </row>
    <row r="1962" spans="1:46" x14ac:dyDescent="0.45">
      <c r="A1962" s="62" t="s">
        <v>486</v>
      </c>
      <c r="B1962" s="62" t="s">
        <v>1230</v>
      </c>
      <c r="C1962" s="63"/>
      <c r="D1962" s="64"/>
      <c r="E1962" s="65"/>
      <c r="F1962" s="66"/>
      <c r="G1962" s="63"/>
      <c r="H1962" s="67"/>
      <c r="I1962" s="68"/>
      <c r="J1962" s="68"/>
      <c r="K1962" s="32"/>
      <c r="L1962" s="75"/>
      <c r="M1962" s="75"/>
      <c r="N1962" s="70"/>
      <c r="O1962" t="s">
        <v>1570</v>
      </c>
      <c r="P1962" s="76">
        <v>44958.748506944445</v>
      </c>
      <c r="Q1962" t="s">
        <v>1693</v>
      </c>
      <c r="V1962" s="77" t="str">
        <f>HYPERLINK("https://pbs.twimg.com/profile_images/1374446928000286729/3c4dIU7B_normal.jpg")</f>
        <v>https://pbs.twimg.com/profile_images/1374446928000286729/3c4dIU7B_normal.jpg</v>
      </c>
      <c r="W1962" s="76">
        <v>44958.748506944445</v>
      </c>
      <c r="X1962" s="80">
        <v>44958</v>
      </c>
      <c r="Y1962" s="78" t="s">
        <v>2724</v>
      </c>
      <c r="Z1962" s="77" t="str">
        <f>HYPERLINK("https://twitter.com/sheiscomingley/status/1620843887073042432")</f>
        <v>https://twitter.com/sheiscomingley/status/1620843887073042432</v>
      </c>
      <c r="AC1962" s="78" t="s">
        <v>3742</v>
      </c>
      <c r="AE1962" t="b">
        <v>0</v>
      </c>
      <c r="AF1962">
        <v>0</v>
      </c>
      <c r="AG1962" s="78" t="s">
        <v>4640</v>
      </c>
      <c r="AH1962" t="b">
        <v>0</v>
      </c>
      <c r="AI1962" t="s">
        <v>4829</v>
      </c>
      <c r="AK1962" s="78" t="s">
        <v>4640</v>
      </c>
      <c r="AL1962" t="b">
        <v>0</v>
      </c>
      <c r="AM1962">
        <v>162</v>
      </c>
      <c r="AN1962" s="78" t="s">
        <v>4473</v>
      </c>
      <c r="AO1962" s="78" t="s">
        <v>4849</v>
      </c>
      <c r="AP1962" t="b">
        <v>0</v>
      </c>
      <c r="AQ1962" s="78" t="s">
        <v>4473</v>
      </c>
      <c r="AR1962" t="s">
        <v>179</v>
      </c>
      <c r="AS1962">
        <v>0</v>
      </c>
      <c r="AT1962">
        <v>0</v>
      </c>
    </row>
    <row r="1963" spans="1:46" x14ac:dyDescent="0.45">
      <c r="A1963" s="62" t="s">
        <v>486</v>
      </c>
      <c r="B1963" s="62" t="s">
        <v>242</v>
      </c>
      <c r="C1963" s="63"/>
      <c r="D1963" s="64"/>
      <c r="E1963" s="65"/>
      <c r="F1963" s="66"/>
      <c r="G1963" s="63"/>
      <c r="H1963" s="67"/>
      <c r="I1963" s="68"/>
      <c r="J1963" s="68"/>
      <c r="K1963" s="32"/>
      <c r="L1963" s="75"/>
      <c r="M1963" s="75"/>
      <c r="N1963" s="70"/>
      <c r="O1963" t="s">
        <v>1569</v>
      </c>
      <c r="P1963" s="76">
        <v>44958.748506944445</v>
      </c>
      <c r="Q1963" t="s">
        <v>1693</v>
      </c>
      <c r="V1963" s="77" t="str">
        <f>HYPERLINK("https://pbs.twimg.com/profile_images/1374446928000286729/3c4dIU7B_normal.jpg")</f>
        <v>https://pbs.twimg.com/profile_images/1374446928000286729/3c4dIU7B_normal.jpg</v>
      </c>
      <c r="W1963" s="76">
        <v>44958.748506944445</v>
      </c>
      <c r="X1963" s="80">
        <v>44958</v>
      </c>
      <c r="Y1963" s="78" t="s">
        <v>2724</v>
      </c>
      <c r="Z1963" s="77" t="str">
        <f>HYPERLINK("https://twitter.com/sheiscomingley/status/1620843887073042432")</f>
        <v>https://twitter.com/sheiscomingley/status/1620843887073042432</v>
      </c>
      <c r="AC1963" s="78" t="s">
        <v>3742</v>
      </c>
      <c r="AE1963" t="b">
        <v>0</v>
      </c>
      <c r="AF1963">
        <v>0</v>
      </c>
      <c r="AG1963" s="78" t="s">
        <v>4640</v>
      </c>
      <c r="AH1963" t="b">
        <v>0</v>
      </c>
      <c r="AI1963" t="s">
        <v>4829</v>
      </c>
      <c r="AK1963" s="78" t="s">
        <v>4640</v>
      </c>
      <c r="AL1963" t="b">
        <v>0</v>
      </c>
      <c r="AM1963">
        <v>162</v>
      </c>
      <c r="AN1963" s="78" t="s">
        <v>4473</v>
      </c>
      <c r="AO1963" s="78" t="s">
        <v>4849</v>
      </c>
      <c r="AP1963" t="b">
        <v>0</v>
      </c>
      <c r="AQ1963" s="78" t="s">
        <v>4473</v>
      </c>
      <c r="AR1963" t="s">
        <v>179</v>
      </c>
      <c r="AS1963">
        <v>0</v>
      </c>
      <c r="AT1963">
        <v>0</v>
      </c>
    </row>
    <row r="1964" spans="1:46" x14ac:dyDescent="0.45">
      <c r="A1964" s="62" t="s">
        <v>487</v>
      </c>
      <c r="B1964" s="62" t="s">
        <v>1230</v>
      </c>
      <c r="C1964" s="63"/>
      <c r="D1964" s="64"/>
      <c r="E1964" s="65"/>
      <c r="F1964" s="66"/>
      <c r="G1964" s="63"/>
      <c r="H1964" s="67"/>
      <c r="I1964" s="68"/>
      <c r="J1964" s="68"/>
      <c r="K1964" s="32"/>
      <c r="L1964" s="75"/>
      <c r="M1964" s="75"/>
      <c r="N1964" s="70"/>
      <c r="O1964" t="s">
        <v>1570</v>
      </c>
      <c r="P1964" s="76">
        <v>44958.748657407406</v>
      </c>
      <c r="Q1964" t="s">
        <v>1693</v>
      </c>
      <c r="V1964" s="77" t="str">
        <f>HYPERLINK("https://pbs.twimg.com/profile_images/1467891904935247873/uwE5adF9_normal.jpg")</f>
        <v>https://pbs.twimg.com/profile_images/1467891904935247873/uwE5adF9_normal.jpg</v>
      </c>
      <c r="W1964" s="76">
        <v>44958.748657407406</v>
      </c>
      <c r="X1964" s="80">
        <v>44958</v>
      </c>
      <c r="Y1964" s="78" t="s">
        <v>2725</v>
      </c>
      <c r="Z1964" s="77" t="str">
        <f>HYPERLINK("https://twitter.com/mileystewwartt/status/1620843942471434241")</f>
        <v>https://twitter.com/mileystewwartt/status/1620843942471434241</v>
      </c>
      <c r="AC1964" s="78" t="s">
        <v>3743</v>
      </c>
      <c r="AE1964" t="b">
        <v>0</v>
      </c>
      <c r="AF1964">
        <v>0</v>
      </c>
      <c r="AG1964" s="78" t="s">
        <v>4640</v>
      </c>
      <c r="AH1964" t="b">
        <v>0</v>
      </c>
      <c r="AI1964" t="s">
        <v>4829</v>
      </c>
      <c r="AK1964" s="78" t="s">
        <v>4640</v>
      </c>
      <c r="AL1964" t="b">
        <v>0</v>
      </c>
      <c r="AM1964">
        <v>162</v>
      </c>
      <c r="AN1964" s="78" t="s">
        <v>4473</v>
      </c>
      <c r="AO1964" s="78" t="s">
        <v>4849</v>
      </c>
      <c r="AP1964" t="b">
        <v>0</v>
      </c>
      <c r="AQ1964" s="78" t="s">
        <v>4473</v>
      </c>
      <c r="AR1964" t="s">
        <v>179</v>
      </c>
      <c r="AS1964">
        <v>0</v>
      </c>
      <c r="AT1964">
        <v>0</v>
      </c>
    </row>
    <row r="1965" spans="1:46" x14ac:dyDescent="0.45">
      <c r="A1965" s="62" t="s">
        <v>487</v>
      </c>
      <c r="B1965" s="62" t="s">
        <v>242</v>
      </c>
      <c r="C1965" s="63"/>
      <c r="D1965" s="64"/>
      <c r="E1965" s="65"/>
      <c r="F1965" s="66"/>
      <c r="G1965" s="63"/>
      <c r="H1965" s="67"/>
      <c r="I1965" s="68"/>
      <c r="J1965" s="68"/>
      <c r="K1965" s="32"/>
      <c r="L1965" s="75"/>
      <c r="M1965" s="75"/>
      <c r="N1965" s="70"/>
      <c r="O1965" t="s">
        <v>1569</v>
      </c>
      <c r="P1965" s="76">
        <v>44958.748657407406</v>
      </c>
      <c r="Q1965" t="s">
        <v>1693</v>
      </c>
      <c r="V1965" s="77" t="str">
        <f>HYPERLINK("https://pbs.twimg.com/profile_images/1467891904935247873/uwE5adF9_normal.jpg")</f>
        <v>https://pbs.twimg.com/profile_images/1467891904935247873/uwE5adF9_normal.jpg</v>
      </c>
      <c r="W1965" s="76">
        <v>44958.748657407406</v>
      </c>
      <c r="X1965" s="80">
        <v>44958</v>
      </c>
      <c r="Y1965" s="78" t="s">
        <v>2725</v>
      </c>
      <c r="Z1965" s="77" t="str">
        <f>HYPERLINK("https://twitter.com/mileystewwartt/status/1620843942471434241")</f>
        <v>https://twitter.com/mileystewwartt/status/1620843942471434241</v>
      </c>
      <c r="AC1965" s="78" t="s">
        <v>3743</v>
      </c>
      <c r="AE1965" t="b">
        <v>0</v>
      </c>
      <c r="AF1965">
        <v>0</v>
      </c>
      <c r="AG1965" s="78" t="s">
        <v>4640</v>
      </c>
      <c r="AH1965" t="b">
        <v>0</v>
      </c>
      <c r="AI1965" t="s">
        <v>4829</v>
      </c>
      <c r="AK1965" s="78" t="s">
        <v>4640</v>
      </c>
      <c r="AL1965" t="b">
        <v>0</v>
      </c>
      <c r="AM1965">
        <v>162</v>
      </c>
      <c r="AN1965" s="78" t="s">
        <v>4473</v>
      </c>
      <c r="AO1965" s="78" t="s">
        <v>4849</v>
      </c>
      <c r="AP1965" t="b">
        <v>0</v>
      </c>
      <c r="AQ1965" s="78" t="s">
        <v>4473</v>
      </c>
      <c r="AR1965" t="s">
        <v>179</v>
      </c>
      <c r="AS1965">
        <v>0</v>
      </c>
      <c r="AT1965">
        <v>0</v>
      </c>
    </row>
    <row r="1966" spans="1:46" x14ac:dyDescent="0.45">
      <c r="A1966" s="62" t="s">
        <v>488</v>
      </c>
      <c r="B1966" s="62" t="s">
        <v>1230</v>
      </c>
      <c r="C1966" s="63"/>
      <c r="D1966" s="64"/>
      <c r="E1966" s="65"/>
      <c r="F1966" s="66"/>
      <c r="G1966" s="63"/>
      <c r="H1966" s="67"/>
      <c r="I1966" s="68"/>
      <c r="J1966" s="68"/>
      <c r="K1966" s="32"/>
      <c r="L1966" s="75"/>
      <c r="M1966" s="75"/>
      <c r="N1966" s="70"/>
      <c r="O1966" t="s">
        <v>1570</v>
      </c>
      <c r="P1966" s="76">
        <v>44958.716562499998</v>
      </c>
      <c r="Q1966" t="s">
        <v>1693</v>
      </c>
      <c r="V1966" s="77" t="str">
        <f>HYPERLINK("https://pbs.twimg.com/profile_images/1615685551969169409/XNc9C54i_normal.jpg")</f>
        <v>https://pbs.twimg.com/profile_images/1615685551969169409/XNc9C54i_normal.jpg</v>
      </c>
      <c r="W1966" s="76">
        <v>44958.716562499998</v>
      </c>
      <c r="X1966" s="80">
        <v>44958</v>
      </c>
      <c r="Y1966" s="78" t="s">
        <v>2726</v>
      </c>
      <c r="Z1966" s="77" t="str">
        <f>HYPERLINK("https://twitter.com/superjosh05/status/1620832311918088193")</f>
        <v>https://twitter.com/superjosh05/status/1620832311918088193</v>
      </c>
      <c r="AC1966" s="78" t="s">
        <v>3744</v>
      </c>
      <c r="AE1966" t="b">
        <v>0</v>
      </c>
      <c r="AF1966">
        <v>0</v>
      </c>
      <c r="AG1966" s="78" t="s">
        <v>4640</v>
      </c>
      <c r="AH1966" t="b">
        <v>0</v>
      </c>
      <c r="AI1966" t="s">
        <v>4829</v>
      </c>
      <c r="AK1966" s="78" t="s">
        <v>4640</v>
      </c>
      <c r="AL1966" t="b">
        <v>0</v>
      </c>
      <c r="AM1966">
        <v>162</v>
      </c>
      <c r="AN1966" s="78" t="s">
        <v>4473</v>
      </c>
      <c r="AO1966" s="78" t="s">
        <v>4850</v>
      </c>
      <c r="AP1966" t="b">
        <v>0</v>
      </c>
      <c r="AQ1966" s="78" t="s">
        <v>4473</v>
      </c>
      <c r="AR1966" t="s">
        <v>179</v>
      </c>
      <c r="AS1966">
        <v>0</v>
      </c>
      <c r="AT1966">
        <v>0</v>
      </c>
    </row>
    <row r="1967" spans="1:46" x14ac:dyDescent="0.45">
      <c r="A1967" s="62" t="s">
        <v>488</v>
      </c>
      <c r="B1967" s="62" t="s">
        <v>242</v>
      </c>
      <c r="C1967" s="63"/>
      <c r="D1967" s="64"/>
      <c r="E1967" s="65"/>
      <c r="F1967" s="66"/>
      <c r="G1967" s="63"/>
      <c r="H1967" s="67"/>
      <c r="I1967" s="68"/>
      <c r="J1967" s="68"/>
      <c r="K1967" s="32"/>
      <c r="L1967" s="75"/>
      <c r="M1967" s="75"/>
      <c r="N1967" s="70"/>
      <c r="O1967" t="s">
        <v>1569</v>
      </c>
      <c r="P1967" s="76">
        <v>44958.716562499998</v>
      </c>
      <c r="Q1967" t="s">
        <v>1693</v>
      </c>
      <c r="V1967" s="77" t="str">
        <f>HYPERLINK("https://pbs.twimg.com/profile_images/1615685551969169409/XNc9C54i_normal.jpg")</f>
        <v>https://pbs.twimg.com/profile_images/1615685551969169409/XNc9C54i_normal.jpg</v>
      </c>
      <c r="W1967" s="76">
        <v>44958.716562499998</v>
      </c>
      <c r="X1967" s="80">
        <v>44958</v>
      </c>
      <c r="Y1967" s="78" t="s">
        <v>2726</v>
      </c>
      <c r="Z1967" s="77" t="str">
        <f>HYPERLINK("https://twitter.com/superjosh05/status/1620832311918088193")</f>
        <v>https://twitter.com/superjosh05/status/1620832311918088193</v>
      </c>
      <c r="AC1967" s="78" t="s">
        <v>3744</v>
      </c>
      <c r="AE1967" t="b">
        <v>0</v>
      </c>
      <c r="AF1967">
        <v>0</v>
      </c>
      <c r="AG1967" s="78" t="s">
        <v>4640</v>
      </c>
      <c r="AH1967" t="b">
        <v>0</v>
      </c>
      <c r="AI1967" t="s">
        <v>4829</v>
      </c>
      <c r="AK1967" s="78" t="s">
        <v>4640</v>
      </c>
      <c r="AL1967" t="b">
        <v>0</v>
      </c>
      <c r="AM1967">
        <v>162</v>
      </c>
      <c r="AN1967" s="78" t="s">
        <v>4473</v>
      </c>
      <c r="AO1967" s="78" t="s">
        <v>4850</v>
      </c>
      <c r="AP1967" t="b">
        <v>0</v>
      </c>
      <c r="AQ1967" s="78" t="s">
        <v>4473</v>
      </c>
      <c r="AR1967" t="s">
        <v>179</v>
      </c>
      <c r="AS1967">
        <v>0</v>
      </c>
      <c r="AT1967">
        <v>0</v>
      </c>
    </row>
    <row r="1968" spans="1:46" x14ac:dyDescent="0.45">
      <c r="A1968" s="62" t="s">
        <v>488</v>
      </c>
      <c r="B1968" s="62" t="s">
        <v>1230</v>
      </c>
      <c r="C1968" s="63"/>
      <c r="D1968" s="64"/>
      <c r="E1968" s="65"/>
      <c r="F1968" s="66"/>
      <c r="G1968" s="63"/>
      <c r="H1968" s="67"/>
      <c r="I1968" s="68"/>
      <c r="J1968" s="68"/>
      <c r="K1968" s="32"/>
      <c r="L1968" s="75"/>
      <c r="M1968" s="75"/>
      <c r="N1968" s="70"/>
      <c r="O1968" t="s">
        <v>1568</v>
      </c>
      <c r="P1968" s="76">
        <v>44958.716793981483</v>
      </c>
      <c r="Q1968" t="s">
        <v>1774</v>
      </c>
      <c r="U1968" s="77" t="str">
        <f>HYPERLINK("https://pbs.twimg.com/tweet_video_thumb/Fn5aeCiaIAIeOID.jpg")</f>
        <v>https://pbs.twimg.com/tweet_video_thumb/Fn5aeCiaIAIeOID.jpg</v>
      </c>
      <c r="V1968" s="77" t="str">
        <f>HYPERLINK("https://pbs.twimg.com/tweet_video_thumb/Fn5aeCiaIAIeOID.jpg")</f>
        <v>https://pbs.twimg.com/tweet_video_thumb/Fn5aeCiaIAIeOID.jpg</v>
      </c>
      <c r="W1968" s="76">
        <v>44958.716793981483</v>
      </c>
      <c r="X1968" s="80">
        <v>44958</v>
      </c>
      <c r="Y1968" s="78" t="s">
        <v>2727</v>
      </c>
      <c r="Z1968" s="77" t="str">
        <f>HYPERLINK("https://twitter.com/superjosh05/status/1620832396659798016")</f>
        <v>https://twitter.com/superjosh05/status/1620832396659798016</v>
      </c>
      <c r="AC1968" s="78" t="s">
        <v>3745</v>
      </c>
      <c r="AD1968" s="78" t="s">
        <v>4473</v>
      </c>
      <c r="AE1968" t="b">
        <v>0</v>
      </c>
      <c r="AF1968">
        <v>0</v>
      </c>
      <c r="AG1968" s="78" t="s">
        <v>4639</v>
      </c>
      <c r="AH1968" t="b">
        <v>0</v>
      </c>
      <c r="AI1968" t="s">
        <v>4829</v>
      </c>
      <c r="AK1968" s="78" t="s">
        <v>4640</v>
      </c>
      <c r="AL1968" t="b">
        <v>0</v>
      </c>
      <c r="AM1968">
        <v>0</v>
      </c>
      <c r="AN1968" s="78" t="s">
        <v>4640</v>
      </c>
      <c r="AO1968" s="78" t="s">
        <v>4850</v>
      </c>
      <c r="AP1968" t="b">
        <v>0</v>
      </c>
      <c r="AQ1968" s="78" t="s">
        <v>4473</v>
      </c>
      <c r="AR1968" t="s">
        <v>179</v>
      </c>
      <c r="AS1968">
        <v>0</v>
      </c>
      <c r="AT1968">
        <v>0</v>
      </c>
    </row>
    <row r="1969" spans="1:46" x14ac:dyDescent="0.45">
      <c r="A1969" s="62" t="s">
        <v>488</v>
      </c>
      <c r="B1969" s="62" t="s">
        <v>242</v>
      </c>
      <c r="C1969" s="63"/>
      <c r="D1969" s="64"/>
      <c r="E1969" s="65"/>
      <c r="F1969" s="66"/>
      <c r="G1969" s="63"/>
      <c r="H1969" s="67"/>
      <c r="I1969" s="68"/>
      <c r="J1969" s="68"/>
      <c r="K1969" s="32"/>
      <c r="L1969" s="75"/>
      <c r="M1969" s="75"/>
      <c r="N1969" s="70"/>
      <c r="O1969" t="s">
        <v>1567</v>
      </c>
      <c r="P1969" s="76">
        <v>44958.716793981483</v>
      </c>
      <c r="Q1969" t="s">
        <v>1774</v>
      </c>
      <c r="U1969" s="77" t="str">
        <f>HYPERLINK("https://pbs.twimg.com/tweet_video_thumb/Fn5aeCiaIAIeOID.jpg")</f>
        <v>https://pbs.twimg.com/tweet_video_thumb/Fn5aeCiaIAIeOID.jpg</v>
      </c>
      <c r="V1969" s="77" t="str">
        <f>HYPERLINK("https://pbs.twimg.com/tweet_video_thumb/Fn5aeCiaIAIeOID.jpg")</f>
        <v>https://pbs.twimg.com/tweet_video_thumb/Fn5aeCiaIAIeOID.jpg</v>
      </c>
      <c r="W1969" s="76">
        <v>44958.716793981483</v>
      </c>
      <c r="X1969" s="80">
        <v>44958</v>
      </c>
      <c r="Y1969" s="78" t="s">
        <v>2727</v>
      </c>
      <c r="Z1969" s="77" t="str">
        <f>HYPERLINK("https://twitter.com/superjosh05/status/1620832396659798016")</f>
        <v>https://twitter.com/superjosh05/status/1620832396659798016</v>
      </c>
      <c r="AC1969" s="78" t="s">
        <v>3745</v>
      </c>
      <c r="AD1969" s="78" t="s">
        <v>4473</v>
      </c>
      <c r="AE1969" t="b">
        <v>0</v>
      </c>
      <c r="AF1969">
        <v>0</v>
      </c>
      <c r="AG1969" s="78" t="s">
        <v>4639</v>
      </c>
      <c r="AH1969" t="b">
        <v>0</v>
      </c>
      <c r="AI1969" t="s">
        <v>4829</v>
      </c>
      <c r="AK1969" s="78" t="s">
        <v>4640</v>
      </c>
      <c r="AL1969" t="b">
        <v>0</v>
      </c>
      <c r="AM1969">
        <v>0</v>
      </c>
      <c r="AN1969" s="78" t="s">
        <v>4640</v>
      </c>
      <c r="AO1969" s="78" t="s">
        <v>4850</v>
      </c>
      <c r="AP1969" t="b">
        <v>0</v>
      </c>
      <c r="AQ1969" s="78" t="s">
        <v>4473</v>
      </c>
      <c r="AR1969" t="s">
        <v>179</v>
      </c>
      <c r="AS1969">
        <v>0</v>
      </c>
      <c r="AT1969">
        <v>0</v>
      </c>
    </row>
    <row r="1970" spans="1:46" x14ac:dyDescent="0.45">
      <c r="A1970" s="62" t="s">
        <v>489</v>
      </c>
      <c r="B1970" s="62" t="s">
        <v>488</v>
      </c>
      <c r="C1970" s="63"/>
      <c r="D1970" s="64"/>
      <c r="E1970" s="65"/>
      <c r="F1970" s="66"/>
      <c r="G1970" s="63"/>
      <c r="H1970" s="67"/>
      <c r="I1970" s="68"/>
      <c r="J1970" s="68"/>
      <c r="K1970" s="32"/>
      <c r="L1970" s="75"/>
      <c r="M1970" s="75"/>
      <c r="N1970" s="70"/>
      <c r="O1970" t="s">
        <v>1567</v>
      </c>
      <c r="P1970" s="76">
        <v>44958.748854166668</v>
      </c>
      <c r="Q1970" t="s">
        <v>1775</v>
      </c>
      <c r="V1970" s="77" t="str">
        <f>HYPERLINK("https://pbs.twimg.com/profile_images/1292919583595208704/RWj0hOq8_normal.jpg")</f>
        <v>https://pbs.twimg.com/profile_images/1292919583595208704/RWj0hOq8_normal.jpg</v>
      </c>
      <c r="W1970" s="76">
        <v>44958.748854166668</v>
      </c>
      <c r="X1970" s="80">
        <v>44958</v>
      </c>
      <c r="Y1970" s="78" t="s">
        <v>2728</v>
      </c>
      <c r="Z1970" s="77" t="str">
        <f>HYPERLINK("https://twitter.com/xxradiatelove/status/1620844014189842434")</f>
        <v>https://twitter.com/xxradiatelove/status/1620844014189842434</v>
      </c>
      <c r="AC1970" s="78" t="s">
        <v>3746</v>
      </c>
      <c r="AD1970" s="78" t="s">
        <v>3745</v>
      </c>
      <c r="AE1970" t="b">
        <v>0</v>
      </c>
      <c r="AF1970">
        <v>0</v>
      </c>
      <c r="AG1970" s="78" t="s">
        <v>4701</v>
      </c>
      <c r="AH1970" t="b">
        <v>0</v>
      </c>
      <c r="AI1970" t="s">
        <v>4829</v>
      </c>
      <c r="AK1970" s="78" t="s">
        <v>4640</v>
      </c>
      <c r="AL1970" t="b">
        <v>0</v>
      </c>
      <c r="AM1970">
        <v>0</v>
      </c>
      <c r="AN1970" s="78" t="s">
        <v>4640</v>
      </c>
      <c r="AO1970" s="78" t="s">
        <v>4851</v>
      </c>
      <c r="AP1970" t="b">
        <v>0</v>
      </c>
      <c r="AQ1970" s="78" t="s">
        <v>3745</v>
      </c>
      <c r="AR1970" t="s">
        <v>179</v>
      </c>
      <c r="AS1970">
        <v>0</v>
      </c>
      <c r="AT1970">
        <v>0</v>
      </c>
    </row>
    <row r="1971" spans="1:46" x14ac:dyDescent="0.45">
      <c r="A1971" s="62" t="s">
        <v>491</v>
      </c>
      <c r="B1971" s="62" t="s">
        <v>242</v>
      </c>
      <c r="C1971" s="63"/>
      <c r="D1971" s="64"/>
      <c r="E1971" s="65"/>
      <c r="F1971" s="66"/>
      <c r="G1971" s="63"/>
      <c r="H1971" s="67"/>
      <c r="I1971" s="68"/>
      <c r="J1971" s="68"/>
      <c r="K1971" s="32"/>
      <c r="L1971" s="75"/>
      <c r="M1971" s="75"/>
      <c r="N1971" s="70"/>
      <c r="O1971" t="s">
        <v>1567</v>
      </c>
      <c r="P1971" s="76">
        <v>44958.749398148146</v>
      </c>
      <c r="Q1971" t="s">
        <v>1778</v>
      </c>
      <c r="V1971" s="77" t="str">
        <f>HYPERLINK("https://pbs.twimg.com/profile_images/1593690689895809025/jVPYEDFd_normal.jpg")</f>
        <v>https://pbs.twimg.com/profile_images/1593690689895809025/jVPYEDFd_normal.jpg</v>
      </c>
      <c r="W1971" s="76">
        <v>44958.749398148146</v>
      </c>
      <c r="X1971" s="80">
        <v>44958</v>
      </c>
      <c r="Y1971" s="78" t="s">
        <v>2731</v>
      </c>
      <c r="Z1971" s="77" t="str">
        <f>HYPERLINK("https://twitter.com/vampire_witchb/status/1620844212412637184")</f>
        <v>https://twitter.com/vampire_witchb/status/1620844212412637184</v>
      </c>
      <c r="AC1971" s="78" t="s">
        <v>3749</v>
      </c>
      <c r="AD1971" s="78" t="s">
        <v>3748</v>
      </c>
      <c r="AE1971" t="b">
        <v>0</v>
      </c>
      <c r="AF1971">
        <v>0</v>
      </c>
      <c r="AG1971" s="78" t="s">
        <v>4702</v>
      </c>
      <c r="AH1971" t="b">
        <v>0</v>
      </c>
      <c r="AI1971" t="s">
        <v>4829</v>
      </c>
      <c r="AK1971" s="78" t="s">
        <v>4640</v>
      </c>
      <c r="AL1971" t="b">
        <v>0</v>
      </c>
      <c r="AM1971">
        <v>0</v>
      </c>
      <c r="AN1971" s="78" t="s">
        <v>4640</v>
      </c>
      <c r="AO1971" s="78" t="s">
        <v>4849</v>
      </c>
      <c r="AP1971" t="b">
        <v>0</v>
      </c>
      <c r="AQ1971" s="78" t="s">
        <v>3748</v>
      </c>
      <c r="AR1971" t="s">
        <v>179</v>
      </c>
      <c r="AS1971">
        <v>0</v>
      </c>
      <c r="AT1971">
        <v>0</v>
      </c>
    </row>
    <row r="1972" spans="1:46" x14ac:dyDescent="0.45">
      <c r="A1972" s="62" t="s">
        <v>492</v>
      </c>
      <c r="B1972" s="62" t="s">
        <v>1230</v>
      </c>
      <c r="C1972" s="63"/>
      <c r="D1972" s="64"/>
      <c r="E1972" s="65"/>
      <c r="F1972" s="66"/>
      <c r="G1972" s="63"/>
      <c r="H1972" s="67"/>
      <c r="I1972" s="68"/>
      <c r="J1972" s="68"/>
      <c r="K1972" s="32"/>
      <c r="L1972" s="75"/>
      <c r="M1972" s="75"/>
      <c r="N1972" s="70"/>
      <c r="O1972" t="s">
        <v>1568</v>
      </c>
      <c r="P1972" s="76">
        <v>44958.750393518516</v>
      </c>
      <c r="Q1972" t="s">
        <v>1779</v>
      </c>
      <c r="V1972" s="77" t="str">
        <f>HYPERLINK("https://pbs.twimg.com/profile_images/1161810010751602688/fPqJH8kJ_normal.jpg")</f>
        <v>https://pbs.twimg.com/profile_images/1161810010751602688/fPqJH8kJ_normal.jpg</v>
      </c>
      <c r="W1972" s="76">
        <v>44958.750393518516</v>
      </c>
      <c r="X1972" s="80">
        <v>44958</v>
      </c>
      <c r="Y1972" s="78" t="s">
        <v>2732</v>
      </c>
      <c r="Z1972" s="77" t="str">
        <f>HYPERLINK("https://twitter.com/debsails/status/1620844572120334344")</f>
        <v>https://twitter.com/debsails/status/1620844572120334344</v>
      </c>
      <c r="AC1972" s="78" t="s">
        <v>3750</v>
      </c>
      <c r="AD1972" s="78" t="s">
        <v>4473</v>
      </c>
      <c r="AE1972" t="b">
        <v>0</v>
      </c>
      <c r="AF1972">
        <v>0</v>
      </c>
      <c r="AG1972" s="78" t="s">
        <v>4639</v>
      </c>
      <c r="AH1972" t="b">
        <v>0</v>
      </c>
      <c r="AI1972" t="s">
        <v>4829</v>
      </c>
      <c r="AK1972" s="78" t="s">
        <v>4640</v>
      </c>
      <c r="AL1972" t="b">
        <v>0</v>
      </c>
      <c r="AM1972">
        <v>0</v>
      </c>
      <c r="AN1972" s="78" t="s">
        <v>4640</v>
      </c>
      <c r="AO1972" s="78" t="s">
        <v>4849</v>
      </c>
      <c r="AP1972" t="b">
        <v>0</v>
      </c>
      <c r="AQ1972" s="78" t="s">
        <v>4473</v>
      </c>
      <c r="AR1972" t="s">
        <v>179</v>
      </c>
      <c r="AS1972">
        <v>0</v>
      </c>
      <c r="AT1972">
        <v>0</v>
      </c>
    </row>
    <row r="1973" spans="1:46" x14ac:dyDescent="0.45">
      <c r="A1973" s="62" t="s">
        <v>492</v>
      </c>
      <c r="B1973" s="62" t="s">
        <v>242</v>
      </c>
      <c r="C1973" s="63"/>
      <c r="D1973" s="64"/>
      <c r="E1973" s="65"/>
      <c r="F1973" s="66"/>
      <c r="G1973" s="63"/>
      <c r="H1973" s="67"/>
      <c r="I1973" s="68"/>
      <c r="J1973" s="68"/>
      <c r="K1973" s="32"/>
      <c r="L1973" s="75"/>
      <c r="M1973" s="75"/>
      <c r="N1973" s="70"/>
      <c r="O1973" t="s">
        <v>1567</v>
      </c>
      <c r="P1973" s="76">
        <v>44958.750393518516</v>
      </c>
      <c r="Q1973" t="s">
        <v>1779</v>
      </c>
      <c r="V1973" s="77" t="str">
        <f>HYPERLINK("https://pbs.twimg.com/profile_images/1161810010751602688/fPqJH8kJ_normal.jpg")</f>
        <v>https://pbs.twimg.com/profile_images/1161810010751602688/fPqJH8kJ_normal.jpg</v>
      </c>
      <c r="W1973" s="76">
        <v>44958.750393518516</v>
      </c>
      <c r="X1973" s="80">
        <v>44958</v>
      </c>
      <c r="Y1973" s="78" t="s">
        <v>2732</v>
      </c>
      <c r="Z1973" s="77" t="str">
        <f>HYPERLINK("https://twitter.com/debsails/status/1620844572120334344")</f>
        <v>https://twitter.com/debsails/status/1620844572120334344</v>
      </c>
      <c r="AC1973" s="78" t="s">
        <v>3750</v>
      </c>
      <c r="AD1973" s="78" t="s">
        <v>4473</v>
      </c>
      <c r="AE1973" t="b">
        <v>0</v>
      </c>
      <c r="AF1973">
        <v>0</v>
      </c>
      <c r="AG1973" s="78" t="s">
        <v>4639</v>
      </c>
      <c r="AH1973" t="b">
        <v>0</v>
      </c>
      <c r="AI1973" t="s">
        <v>4829</v>
      </c>
      <c r="AK1973" s="78" t="s">
        <v>4640</v>
      </c>
      <c r="AL1973" t="b">
        <v>0</v>
      </c>
      <c r="AM1973">
        <v>0</v>
      </c>
      <c r="AN1973" s="78" t="s">
        <v>4640</v>
      </c>
      <c r="AO1973" s="78" t="s">
        <v>4849</v>
      </c>
      <c r="AP1973" t="b">
        <v>0</v>
      </c>
      <c r="AQ1973" s="78" t="s">
        <v>4473</v>
      </c>
      <c r="AR1973" t="s">
        <v>179</v>
      </c>
      <c r="AS1973">
        <v>0</v>
      </c>
      <c r="AT1973">
        <v>0</v>
      </c>
    </row>
    <row r="1974" spans="1:46" x14ac:dyDescent="0.45">
      <c r="A1974" s="62" t="s">
        <v>495</v>
      </c>
      <c r="B1974" s="62" t="s">
        <v>1279</v>
      </c>
      <c r="C1974" s="63"/>
      <c r="D1974" s="64"/>
      <c r="E1974" s="65"/>
      <c r="F1974" s="66"/>
      <c r="G1974" s="63"/>
      <c r="H1974" s="67"/>
      <c r="I1974" s="68"/>
      <c r="J1974" s="68"/>
      <c r="K1974" s="32"/>
      <c r="L1974" s="75"/>
      <c r="M1974" s="75"/>
      <c r="N1974" s="70"/>
      <c r="O1974" t="s">
        <v>1567</v>
      </c>
      <c r="P1974" s="76">
        <v>44958.751145833332</v>
      </c>
      <c r="Q1974" t="s">
        <v>1782</v>
      </c>
      <c r="V1974" s="77" t="str">
        <f>HYPERLINK("https://pbs.twimg.com/profile_images/1575164196894941187/9uV1b0e9_normal.jpg")</f>
        <v>https://pbs.twimg.com/profile_images/1575164196894941187/9uV1b0e9_normal.jpg</v>
      </c>
      <c r="W1974" s="76">
        <v>44958.751145833332</v>
      </c>
      <c r="X1974" s="80">
        <v>44958</v>
      </c>
      <c r="Y1974" s="78" t="s">
        <v>2734</v>
      </c>
      <c r="Z1974" s="77" t="str">
        <f>HYPERLINK("https://twitter.com/love1wins/status/1620844846243278852")</f>
        <v>https://twitter.com/love1wins/status/1620844846243278852</v>
      </c>
      <c r="AC1974" s="78" t="s">
        <v>3753</v>
      </c>
      <c r="AD1974" s="78" t="s">
        <v>4540</v>
      </c>
      <c r="AE1974" t="b">
        <v>0</v>
      </c>
      <c r="AF1974">
        <v>0</v>
      </c>
      <c r="AG1974" s="78" t="s">
        <v>4704</v>
      </c>
      <c r="AH1974" t="b">
        <v>0</v>
      </c>
      <c r="AI1974" t="s">
        <v>4829</v>
      </c>
      <c r="AK1974" s="78" t="s">
        <v>4640</v>
      </c>
      <c r="AL1974" t="b">
        <v>0</v>
      </c>
      <c r="AM1974">
        <v>0</v>
      </c>
      <c r="AN1974" s="78" t="s">
        <v>4640</v>
      </c>
      <c r="AO1974" s="78" t="s">
        <v>4850</v>
      </c>
      <c r="AP1974" t="b">
        <v>0</v>
      </c>
      <c r="AQ1974" s="78" t="s">
        <v>4540</v>
      </c>
      <c r="AR1974" t="s">
        <v>179</v>
      </c>
      <c r="AS1974">
        <v>0</v>
      </c>
      <c r="AT1974">
        <v>0</v>
      </c>
    </row>
    <row r="1975" spans="1:46" x14ac:dyDescent="0.45">
      <c r="A1975" s="62" t="s">
        <v>495</v>
      </c>
      <c r="B1975" s="62" t="s">
        <v>242</v>
      </c>
      <c r="C1975" s="63"/>
      <c r="D1975" s="64"/>
      <c r="E1975" s="65"/>
      <c r="F1975" s="66"/>
      <c r="G1975" s="63"/>
      <c r="H1975" s="67"/>
      <c r="I1975" s="68"/>
      <c r="J1975" s="68"/>
      <c r="K1975" s="32"/>
      <c r="L1975" s="75"/>
      <c r="M1975" s="75"/>
      <c r="N1975" s="70"/>
      <c r="O1975" t="s">
        <v>1568</v>
      </c>
      <c r="P1975" s="76">
        <v>44958.751145833332</v>
      </c>
      <c r="Q1975" t="s">
        <v>1782</v>
      </c>
      <c r="V1975" s="77" t="str">
        <f>HYPERLINK("https://pbs.twimg.com/profile_images/1575164196894941187/9uV1b0e9_normal.jpg")</f>
        <v>https://pbs.twimg.com/profile_images/1575164196894941187/9uV1b0e9_normal.jpg</v>
      </c>
      <c r="W1975" s="76">
        <v>44958.751145833332</v>
      </c>
      <c r="X1975" s="80">
        <v>44958</v>
      </c>
      <c r="Y1975" s="78" t="s">
        <v>2734</v>
      </c>
      <c r="Z1975" s="77" t="str">
        <f>HYPERLINK("https://twitter.com/love1wins/status/1620844846243278852")</f>
        <v>https://twitter.com/love1wins/status/1620844846243278852</v>
      </c>
      <c r="AC1975" s="78" t="s">
        <v>3753</v>
      </c>
      <c r="AD1975" s="78" t="s">
        <v>4540</v>
      </c>
      <c r="AE1975" t="b">
        <v>0</v>
      </c>
      <c r="AF1975">
        <v>0</v>
      </c>
      <c r="AG1975" s="78" t="s">
        <v>4704</v>
      </c>
      <c r="AH1975" t="b">
        <v>0</v>
      </c>
      <c r="AI1975" t="s">
        <v>4829</v>
      </c>
      <c r="AK1975" s="78" t="s">
        <v>4640</v>
      </c>
      <c r="AL1975" t="b">
        <v>0</v>
      </c>
      <c r="AM1975">
        <v>0</v>
      </c>
      <c r="AN1975" s="78" t="s">
        <v>4640</v>
      </c>
      <c r="AO1975" s="78" t="s">
        <v>4850</v>
      </c>
      <c r="AP1975" t="b">
        <v>0</v>
      </c>
      <c r="AQ1975" s="78" t="s">
        <v>4540</v>
      </c>
      <c r="AR1975" t="s">
        <v>179</v>
      </c>
      <c r="AS1975">
        <v>0</v>
      </c>
      <c r="AT1975">
        <v>0</v>
      </c>
    </row>
    <row r="1976" spans="1:46" x14ac:dyDescent="0.45">
      <c r="A1976" s="62" t="s">
        <v>498</v>
      </c>
      <c r="B1976" s="62" t="s">
        <v>1230</v>
      </c>
      <c r="C1976" s="63"/>
      <c r="D1976" s="64"/>
      <c r="E1976" s="65"/>
      <c r="F1976" s="66"/>
      <c r="G1976" s="63"/>
      <c r="H1976" s="67"/>
      <c r="I1976" s="68"/>
      <c r="J1976" s="68"/>
      <c r="K1976" s="32"/>
      <c r="L1976" s="75"/>
      <c r="M1976" s="75"/>
      <c r="N1976" s="70"/>
      <c r="O1976" t="s">
        <v>1570</v>
      </c>
      <c r="P1976" s="76">
        <v>44958.752916666665</v>
      </c>
      <c r="Q1976" t="s">
        <v>1693</v>
      </c>
      <c r="V1976" s="77" t="str">
        <f>HYPERLINK("https://pbs.twimg.com/profile_images/1613674407876075520/e_zoGziI_normal.jpg")</f>
        <v>https://pbs.twimg.com/profile_images/1613674407876075520/e_zoGziI_normal.jpg</v>
      </c>
      <c r="W1976" s="76">
        <v>44958.752916666665</v>
      </c>
      <c r="X1976" s="80">
        <v>44958</v>
      </c>
      <c r="Y1976" s="78" t="s">
        <v>2738</v>
      </c>
      <c r="Z1976" s="77" t="str">
        <f>HYPERLINK("https://twitter.com/plasticheartsok/status/1620845486751219712")</f>
        <v>https://twitter.com/plasticheartsok/status/1620845486751219712</v>
      </c>
      <c r="AC1976" s="78" t="s">
        <v>3757</v>
      </c>
      <c r="AE1976" t="b">
        <v>0</v>
      </c>
      <c r="AF1976">
        <v>0</v>
      </c>
      <c r="AG1976" s="78" t="s">
        <v>4640</v>
      </c>
      <c r="AH1976" t="b">
        <v>0</v>
      </c>
      <c r="AI1976" t="s">
        <v>4829</v>
      </c>
      <c r="AK1976" s="78" t="s">
        <v>4640</v>
      </c>
      <c r="AL1976" t="b">
        <v>0</v>
      </c>
      <c r="AM1976">
        <v>162</v>
      </c>
      <c r="AN1976" s="78" t="s">
        <v>4473</v>
      </c>
      <c r="AO1976" s="78" t="s">
        <v>4850</v>
      </c>
      <c r="AP1976" t="b">
        <v>0</v>
      </c>
      <c r="AQ1976" s="78" t="s">
        <v>4473</v>
      </c>
      <c r="AR1976" t="s">
        <v>179</v>
      </c>
      <c r="AS1976">
        <v>0</v>
      </c>
      <c r="AT1976">
        <v>0</v>
      </c>
    </row>
    <row r="1977" spans="1:46" x14ac:dyDescent="0.45">
      <c r="A1977" s="62" t="s">
        <v>498</v>
      </c>
      <c r="B1977" s="62" t="s">
        <v>242</v>
      </c>
      <c r="C1977" s="63"/>
      <c r="D1977" s="64"/>
      <c r="E1977" s="65"/>
      <c r="F1977" s="66"/>
      <c r="G1977" s="63"/>
      <c r="H1977" s="67"/>
      <c r="I1977" s="68"/>
      <c r="J1977" s="68"/>
      <c r="K1977" s="32"/>
      <c r="L1977" s="75"/>
      <c r="M1977" s="75"/>
      <c r="N1977" s="70"/>
      <c r="O1977" t="s">
        <v>1569</v>
      </c>
      <c r="P1977" s="76">
        <v>44958.752916666665</v>
      </c>
      <c r="Q1977" t="s">
        <v>1693</v>
      </c>
      <c r="V1977" s="77" t="str">
        <f>HYPERLINK("https://pbs.twimg.com/profile_images/1613674407876075520/e_zoGziI_normal.jpg")</f>
        <v>https://pbs.twimg.com/profile_images/1613674407876075520/e_zoGziI_normal.jpg</v>
      </c>
      <c r="W1977" s="76">
        <v>44958.752916666665</v>
      </c>
      <c r="X1977" s="80">
        <v>44958</v>
      </c>
      <c r="Y1977" s="78" t="s">
        <v>2738</v>
      </c>
      <c r="Z1977" s="77" t="str">
        <f>HYPERLINK("https://twitter.com/plasticheartsok/status/1620845486751219712")</f>
        <v>https://twitter.com/plasticheartsok/status/1620845486751219712</v>
      </c>
      <c r="AC1977" s="78" t="s">
        <v>3757</v>
      </c>
      <c r="AE1977" t="b">
        <v>0</v>
      </c>
      <c r="AF1977">
        <v>0</v>
      </c>
      <c r="AG1977" s="78" t="s">
        <v>4640</v>
      </c>
      <c r="AH1977" t="b">
        <v>0</v>
      </c>
      <c r="AI1977" t="s">
        <v>4829</v>
      </c>
      <c r="AK1977" s="78" t="s">
        <v>4640</v>
      </c>
      <c r="AL1977" t="b">
        <v>0</v>
      </c>
      <c r="AM1977">
        <v>162</v>
      </c>
      <c r="AN1977" s="78" t="s">
        <v>4473</v>
      </c>
      <c r="AO1977" s="78" t="s">
        <v>4850</v>
      </c>
      <c r="AP1977" t="b">
        <v>0</v>
      </c>
      <c r="AQ1977" s="78" t="s">
        <v>4473</v>
      </c>
      <c r="AR1977" t="s">
        <v>179</v>
      </c>
      <c r="AS1977">
        <v>0</v>
      </c>
      <c r="AT1977">
        <v>0</v>
      </c>
    </row>
    <row r="1978" spans="1:46" x14ac:dyDescent="0.45">
      <c r="A1978" s="62" t="s">
        <v>499</v>
      </c>
      <c r="B1978" s="62" t="s">
        <v>1230</v>
      </c>
      <c r="C1978" s="63"/>
      <c r="D1978" s="64"/>
      <c r="E1978" s="65"/>
      <c r="F1978" s="66"/>
      <c r="G1978" s="63"/>
      <c r="H1978" s="67"/>
      <c r="I1978" s="68"/>
      <c r="J1978" s="68"/>
      <c r="K1978" s="32"/>
      <c r="L1978" s="75"/>
      <c r="M1978" s="75"/>
      <c r="N1978" s="70"/>
      <c r="O1978" t="s">
        <v>1570</v>
      </c>
      <c r="P1978" s="76">
        <v>44958.755185185182</v>
      </c>
      <c r="Q1978" t="s">
        <v>1693</v>
      </c>
      <c r="V1978" s="77" t="str">
        <f>HYPERLINK("https://pbs.twimg.com/profile_images/1616919717251260416/2tI4UP99_normal.jpg")</f>
        <v>https://pbs.twimg.com/profile_images/1616919717251260416/2tI4UP99_normal.jpg</v>
      </c>
      <c r="W1978" s="76">
        <v>44958.755185185182</v>
      </c>
      <c r="X1978" s="80">
        <v>44958</v>
      </c>
      <c r="Y1978" s="78" t="s">
        <v>2739</v>
      </c>
      <c r="Z1978" s="77" t="str">
        <f>HYPERLINK("https://twitter.com/belcacyruss/status/1620846309770166272")</f>
        <v>https://twitter.com/belcacyruss/status/1620846309770166272</v>
      </c>
      <c r="AC1978" s="78" t="s">
        <v>3758</v>
      </c>
      <c r="AE1978" t="b">
        <v>0</v>
      </c>
      <c r="AF1978">
        <v>0</v>
      </c>
      <c r="AG1978" s="78" t="s">
        <v>4640</v>
      </c>
      <c r="AH1978" t="b">
        <v>0</v>
      </c>
      <c r="AI1978" t="s">
        <v>4829</v>
      </c>
      <c r="AK1978" s="78" t="s">
        <v>4640</v>
      </c>
      <c r="AL1978" t="b">
        <v>0</v>
      </c>
      <c r="AM1978">
        <v>162</v>
      </c>
      <c r="AN1978" s="78" t="s">
        <v>4473</v>
      </c>
      <c r="AO1978" s="78" t="s">
        <v>4849</v>
      </c>
      <c r="AP1978" t="b">
        <v>0</v>
      </c>
      <c r="AQ1978" s="78" t="s">
        <v>4473</v>
      </c>
      <c r="AR1978" t="s">
        <v>179</v>
      </c>
      <c r="AS1978">
        <v>0</v>
      </c>
      <c r="AT1978">
        <v>0</v>
      </c>
    </row>
    <row r="1979" spans="1:46" x14ac:dyDescent="0.45">
      <c r="A1979" s="62" t="s">
        <v>499</v>
      </c>
      <c r="B1979" s="62" t="s">
        <v>242</v>
      </c>
      <c r="C1979" s="63"/>
      <c r="D1979" s="64"/>
      <c r="E1979" s="65"/>
      <c r="F1979" s="66"/>
      <c r="G1979" s="63"/>
      <c r="H1979" s="67"/>
      <c r="I1979" s="68"/>
      <c r="J1979" s="68"/>
      <c r="K1979" s="32"/>
      <c r="L1979" s="75"/>
      <c r="M1979" s="75"/>
      <c r="N1979" s="70"/>
      <c r="O1979" t="s">
        <v>1569</v>
      </c>
      <c r="P1979" s="76">
        <v>44958.755185185182</v>
      </c>
      <c r="Q1979" t="s">
        <v>1693</v>
      </c>
      <c r="V1979" s="77" t="str">
        <f>HYPERLINK("https://pbs.twimg.com/profile_images/1616919717251260416/2tI4UP99_normal.jpg")</f>
        <v>https://pbs.twimg.com/profile_images/1616919717251260416/2tI4UP99_normal.jpg</v>
      </c>
      <c r="W1979" s="76">
        <v>44958.755185185182</v>
      </c>
      <c r="X1979" s="80">
        <v>44958</v>
      </c>
      <c r="Y1979" s="78" t="s">
        <v>2739</v>
      </c>
      <c r="Z1979" s="77" t="str">
        <f>HYPERLINK("https://twitter.com/belcacyruss/status/1620846309770166272")</f>
        <v>https://twitter.com/belcacyruss/status/1620846309770166272</v>
      </c>
      <c r="AC1979" s="78" t="s">
        <v>3758</v>
      </c>
      <c r="AE1979" t="b">
        <v>0</v>
      </c>
      <c r="AF1979">
        <v>0</v>
      </c>
      <c r="AG1979" s="78" t="s">
        <v>4640</v>
      </c>
      <c r="AH1979" t="b">
        <v>0</v>
      </c>
      <c r="AI1979" t="s">
        <v>4829</v>
      </c>
      <c r="AK1979" s="78" t="s">
        <v>4640</v>
      </c>
      <c r="AL1979" t="b">
        <v>0</v>
      </c>
      <c r="AM1979">
        <v>162</v>
      </c>
      <c r="AN1979" s="78" t="s">
        <v>4473</v>
      </c>
      <c r="AO1979" s="78" t="s">
        <v>4849</v>
      </c>
      <c r="AP1979" t="b">
        <v>0</v>
      </c>
      <c r="AQ1979" s="78" t="s">
        <v>4473</v>
      </c>
      <c r="AR1979" t="s">
        <v>179</v>
      </c>
      <c r="AS1979">
        <v>0</v>
      </c>
      <c r="AT1979">
        <v>0</v>
      </c>
    </row>
    <row r="1980" spans="1:46" x14ac:dyDescent="0.45">
      <c r="A1980" s="62" t="s">
        <v>501</v>
      </c>
      <c r="B1980" s="62" t="s">
        <v>242</v>
      </c>
      <c r="C1980" s="63"/>
      <c r="D1980" s="64"/>
      <c r="E1980" s="65"/>
      <c r="F1980" s="66"/>
      <c r="G1980" s="63"/>
      <c r="H1980" s="67"/>
      <c r="I1980" s="68"/>
      <c r="J1980" s="68"/>
      <c r="K1980" s="32"/>
      <c r="L1980" s="75"/>
      <c r="M1980" s="75"/>
      <c r="N1980" s="70"/>
      <c r="O1980" t="s">
        <v>1568</v>
      </c>
      <c r="P1980" s="76">
        <v>44958.757199074076</v>
      </c>
      <c r="Q1980" t="s">
        <v>1785</v>
      </c>
      <c r="V1980" s="77" t="str">
        <f>HYPERLINK("https://pbs.twimg.com/profile_images/1495223909800628228/i4yhqR78_normal.jpg")</f>
        <v>https://pbs.twimg.com/profile_images/1495223909800628228/i4yhqR78_normal.jpg</v>
      </c>
      <c r="W1980" s="76">
        <v>44958.757199074076</v>
      </c>
      <c r="X1980" s="80">
        <v>44958</v>
      </c>
      <c r="Y1980" s="78" t="s">
        <v>2741</v>
      </c>
      <c r="Z1980" s="77" t="str">
        <f>HYPERLINK("https://twitter.com/cosplaymeg/status/1620847039268667394")</f>
        <v>https://twitter.com/cosplaymeg/status/1620847039268667394</v>
      </c>
      <c r="AC1980" s="78" t="s">
        <v>3760</v>
      </c>
      <c r="AD1980" s="78" t="s">
        <v>4542</v>
      </c>
      <c r="AE1980" t="b">
        <v>0</v>
      </c>
      <c r="AF1980">
        <v>0</v>
      </c>
      <c r="AG1980" s="78" t="s">
        <v>4706</v>
      </c>
      <c r="AH1980" t="b">
        <v>0</v>
      </c>
      <c r="AI1980" t="s">
        <v>4829</v>
      </c>
      <c r="AK1980" s="78" t="s">
        <v>4640</v>
      </c>
      <c r="AL1980" t="b">
        <v>0</v>
      </c>
      <c r="AM1980">
        <v>0</v>
      </c>
      <c r="AN1980" s="78" t="s">
        <v>4640</v>
      </c>
      <c r="AO1980" s="78" t="s">
        <v>4850</v>
      </c>
      <c r="AP1980" t="b">
        <v>0</v>
      </c>
      <c r="AQ1980" s="78" t="s">
        <v>4542</v>
      </c>
      <c r="AR1980" t="s">
        <v>179</v>
      </c>
      <c r="AS1980">
        <v>0</v>
      </c>
      <c r="AT1980">
        <v>0</v>
      </c>
    </row>
    <row r="1981" spans="1:46" x14ac:dyDescent="0.45">
      <c r="A1981" s="62" t="s">
        <v>502</v>
      </c>
      <c r="B1981" s="62" t="s">
        <v>1281</v>
      </c>
      <c r="C1981" s="63"/>
      <c r="D1981" s="64"/>
      <c r="E1981" s="65"/>
      <c r="F1981" s="66"/>
      <c r="G1981" s="63"/>
      <c r="H1981" s="67"/>
      <c r="I1981" s="68"/>
      <c r="J1981" s="68"/>
      <c r="K1981" s="32"/>
      <c r="L1981" s="75"/>
      <c r="M1981" s="75"/>
      <c r="N1981" s="70"/>
      <c r="O1981" t="s">
        <v>1568</v>
      </c>
      <c r="P1981" s="76">
        <v>44958.757407407407</v>
      </c>
      <c r="Q1981" t="s">
        <v>1786</v>
      </c>
      <c r="V1981" s="77" t="str">
        <f>HYPERLINK("https://pbs.twimg.com/profile_images/1592582034152902656/tUZdXBh3_normal.jpg")</f>
        <v>https://pbs.twimg.com/profile_images/1592582034152902656/tUZdXBh3_normal.jpg</v>
      </c>
      <c r="W1981" s="76">
        <v>44958.757407407407</v>
      </c>
      <c r="X1981" s="80">
        <v>44958</v>
      </c>
      <c r="Y1981" s="78" t="s">
        <v>2742</v>
      </c>
      <c r="Z1981" s="77" t="str">
        <f>HYPERLINK("https://twitter.com/rohit_ochani/status/1620847115558862848")</f>
        <v>https://twitter.com/rohit_ochani/status/1620847115558862848</v>
      </c>
      <c r="AC1981" s="78" t="s">
        <v>3761</v>
      </c>
      <c r="AD1981" s="78" t="s">
        <v>4543</v>
      </c>
      <c r="AE1981" t="b">
        <v>0</v>
      </c>
      <c r="AF1981">
        <v>0</v>
      </c>
      <c r="AG1981" s="78" t="s">
        <v>4707</v>
      </c>
      <c r="AH1981" t="b">
        <v>0</v>
      </c>
      <c r="AI1981" t="s">
        <v>4829</v>
      </c>
      <c r="AK1981" s="78" t="s">
        <v>4640</v>
      </c>
      <c r="AL1981" t="b">
        <v>0</v>
      </c>
      <c r="AM1981">
        <v>0</v>
      </c>
      <c r="AN1981" s="78" t="s">
        <v>4640</v>
      </c>
      <c r="AO1981" s="78" t="s">
        <v>4850</v>
      </c>
      <c r="AP1981" t="b">
        <v>0</v>
      </c>
      <c r="AQ1981" s="78" t="s">
        <v>4543</v>
      </c>
      <c r="AR1981" t="s">
        <v>179</v>
      </c>
      <c r="AS1981">
        <v>0</v>
      </c>
      <c r="AT1981">
        <v>0</v>
      </c>
    </row>
    <row r="1982" spans="1:46" x14ac:dyDescent="0.45">
      <c r="A1982" s="62" t="s">
        <v>502</v>
      </c>
      <c r="B1982" s="62" t="s">
        <v>1111</v>
      </c>
      <c r="C1982" s="63"/>
      <c r="D1982" s="64"/>
      <c r="E1982" s="65"/>
      <c r="F1982" s="66"/>
      <c r="G1982" s="63"/>
      <c r="H1982" s="67"/>
      <c r="I1982" s="68"/>
      <c r="J1982" s="68"/>
      <c r="K1982" s="32"/>
      <c r="L1982" s="75"/>
      <c r="M1982" s="75"/>
      <c r="N1982" s="70"/>
      <c r="O1982" t="s">
        <v>1568</v>
      </c>
      <c r="P1982" s="76">
        <v>44958.757407407407</v>
      </c>
      <c r="Q1982" t="s">
        <v>1786</v>
      </c>
      <c r="V1982" s="77" t="str">
        <f>HYPERLINK("https://pbs.twimg.com/profile_images/1592582034152902656/tUZdXBh3_normal.jpg")</f>
        <v>https://pbs.twimg.com/profile_images/1592582034152902656/tUZdXBh3_normal.jpg</v>
      </c>
      <c r="W1982" s="76">
        <v>44958.757407407407</v>
      </c>
      <c r="X1982" s="80">
        <v>44958</v>
      </c>
      <c r="Y1982" s="78" t="s">
        <v>2742</v>
      </c>
      <c r="Z1982" s="77" t="str">
        <f>HYPERLINK("https://twitter.com/rohit_ochani/status/1620847115558862848")</f>
        <v>https://twitter.com/rohit_ochani/status/1620847115558862848</v>
      </c>
      <c r="AC1982" s="78" t="s">
        <v>3761</v>
      </c>
      <c r="AD1982" s="78" t="s">
        <v>4543</v>
      </c>
      <c r="AE1982" t="b">
        <v>0</v>
      </c>
      <c r="AF1982">
        <v>0</v>
      </c>
      <c r="AG1982" s="78" t="s">
        <v>4707</v>
      </c>
      <c r="AH1982" t="b">
        <v>0</v>
      </c>
      <c r="AI1982" t="s">
        <v>4829</v>
      </c>
      <c r="AK1982" s="78" t="s">
        <v>4640</v>
      </c>
      <c r="AL1982" t="b">
        <v>0</v>
      </c>
      <c r="AM1982">
        <v>0</v>
      </c>
      <c r="AN1982" s="78" t="s">
        <v>4640</v>
      </c>
      <c r="AO1982" s="78" t="s">
        <v>4850</v>
      </c>
      <c r="AP1982" t="b">
        <v>0</v>
      </c>
      <c r="AQ1982" s="78" t="s">
        <v>4543</v>
      </c>
      <c r="AR1982" t="s">
        <v>179</v>
      </c>
      <c r="AS1982">
        <v>0</v>
      </c>
      <c r="AT1982">
        <v>0</v>
      </c>
    </row>
    <row r="1983" spans="1:46" x14ac:dyDescent="0.45">
      <c r="A1983" s="62" t="s">
        <v>502</v>
      </c>
      <c r="B1983" s="62" t="s">
        <v>1204</v>
      </c>
      <c r="C1983" s="63"/>
      <c r="D1983" s="64"/>
      <c r="E1983" s="65"/>
      <c r="F1983" s="66"/>
      <c r="G1983" s="63"/>
      <c r="H1983" s="67"/>
      <c r="I1983" s="68"/>
      <c r="J1983" s="68"/>
      <c r="K1983" s="32"/>
      <c r="L1983" s="75"/>
      <c r="M1983" s="75"/>
      <c r="N1983" s="70"/>
      <c r="O1983" t="s">
        <v>1568</v>
      </c>
      <c r="P1983" s="76">
        <v>44958.757407407407</v>
      </c>
      <c r="Q1983" t="s">
        <v>1786</v>
      </c>
      <c r="V1983" s="77" t="str">
        <f>HYPERLINK("https://pbs.twimg.com/profile_images/1592582034152902656/tUZdXBh3_normal.jpg")</f>
        <v>https://pbs.twimg.com/profile_images/1592582034152902656/tUZdXBh3_normal.jpg</v>
      </c>
      <c r="W1983" s="76">
        <v>44958.757407407407</v>
      </c>
      <c r="X1983" s="80">
        <v>44958</v>
      </c>
      <c r="Y1983" s="78" t="s">
        <v>2742</v>
      </c>
      <c r="Z1983" s="77" t="str">
        <f>HYPERLINK("https://twitter.com/rohit_ochani/status/1620847115558862848")</f>
        <v>https://twitter.com/rohit_ochani/status/1620847115558862848</v>
      </c>
      <c r="AC1983" s="78" t="s">
        <v>3761</v>
      </c>
      <c r="AD1983" s="78" t="s">
        <v>4543</v>
      </c>
      <c r="AE1983" t="b">
        <v>0</v>
      </c>
      <c r="AF1983">
        <v>0</v>
      </c>
      <c r="AG1983" s="78" t="s">
        <v>4707</v>
      </c>
      <c r="AH1983" t="b">
        <v>0</v>
      </c>
      <c r="AI1983" t="s">
        <v>4829</v>
      </c>
      <c r="AK1983" s="78" t="s">
        <v>4640</v>
      </c>
      <c r="AL1983" t="b">
        <v>0</v>
      </c>
      <c r="AM1983">
        <v>0</v>
      </c>
      <c r="AN1983" s="78" t="s">
        <v>4640</v>
      </c>
      <c r="AO1983" s="78" t="s">
        <v>4850</v>
      </c>
      <c r="AP1983" t="b">
        <v>0</v>
      </c>
      <c r="AQ1983" s="78" t="s">
        <v>4543</v>
      </c>
      <c r="AR1983" t="s">
        <v>179</v>
      </c>
      <c r="AS1983">
        <v>0</v>
      </c>
      <c r="AT1983">
        <v>0</v>
      </c>
    </row>
    <row r="1984" spans="1:46" x14ac:dyDescent="0.45">
      <c r="A1984" s="62" t="s">
        <v>502</v>
      </c>
      <c r="B1984" s="62" t="s">
        <v>242</v>
      </c>
      <c r="C1984" s="63"/>
      <c r="D1984" s="64"/>
      <c r="E1984" s="65"/>
      <c r="F1984" s="66"/>
      <c r="G1984" s="63"/>
      <c r="H1984" s="67"/>
      <c r="I1984" s="68"/>
      <c r="J1984" s="68"/>
      <c r="K1984" s="32"/>
      <c r="L1984" s="75"/>
      <c r="M1984" s="75"/>
      <c r="N1984" s="70"/>
      <c r="O1984" t="s">
        <v>1568</v>
      </c>
      <c r="P1984" s="76">
        <v>44958.757407407407</v>
      </c>
      <c r="Q1984" t="s">
        <v>1786</v>
      </c>
      <c r="V1984" s="77" t="str">
        <f>HYPERLINK("https://pbs.twimg.com/profile_images/1592582034152902656/tUZdXBh3_normal.jpg")</f>
        <v>https://pbs.twimg.com/profile_images/1592582034152902656/tUZdXBh3_normal.jpg</v>
      </c>
      <c r="W1984" s="76">
        <v>44958.757407407407</v>
      </c>
      <c r="X1984" s="80">
        <v>44958</v>
      </c>
      <c r="Y1984" s="78" t="s">
        <v>2742</v>
      </c>
      <c r="Z1984" s="77" t="str">
        <f>HYPERLINK("https://twitter.com/rohit_ochani/status/1620847115558862848")</f>
        <v>https://twitter.com/rohit_ochani/status/1620847115558862848</v>
      </c>
      <c r="AC1984" s="78" t="s">
        <v>3761</v>
      </c>
      <c r="AD1984" s="78" t="s">
        <v>4543</v>
      </c>
      <c r="AE1984" t="b">
        <v>0</v>
      </c>
      <c r="AF1984">
        <v>0</v>
      </c>
      <c r="AG1984" s="78" t="s">
        <v>4707</v>
      </c>
      <c r="AH1984" t="b">
        <v>0</v>
      </c>
      <c r="AI1984" t="s">
        <v>4829</v>
      </c>
      <c r="AK1984" s="78" t="s">
        <v>4640</v>
      </c>
      <c r="AL1984" t="b">
        <v>0</v>
      </c>
      <c r="AM1984">
        <v>0</v>
      </c>
      <c r="AN1984" s="78" t="s">
        <v>4640</v>
      </c>
      <c r="AO1984" s="78" t="s">
        <v>4850</v>
      </c>
      <c r="AP1984" t="b">
        <v>0</v>
      </c>
      <c r="AQ1984" s="78" t="s">
        <v>4543</v>
      </c>
      <c r="AR1984" t="s">
        <v>179</v>
      </c>
      <c r="AS1984">
        <v>0</v>
      </c>
      <c r="AT1984">
        <v>0</v>
      </c>
    </row>
    <row r="1985" spans="1:46" x14ac:dyDescent="0.45">
      <c r="A1985" s="62" t="s">
        <v>502</v>
      </c>
      <c r="B1985" s="62" t="s">
        <v>1202</v>
      </c>
      <c r="C1985" s="63"/>
      <c r="D1985" s="64"/>
      <c r="E1985" s="65"/>
      <c r="F1985" s="66"/>
      <c r="G1985" s="63"/>
      <c r="H1985" s="67"/>
      <c r="I1985" s="68"/>
      <c r="J1985" s="68"/>
      <c r="K1985" s="32"/>
      <c r="L1985" s="75"/>
      <c r="M1985" s="75"/>
      <c r="N1985" s="70"/>
      <c r="O1985" t="s">
        <v>1568</v>
      </c>
      <c r="P1985" s="76">
        <v>44958.757407407407</v>
      </c>
      <c r="Q1985" t="s">
        <v>1786</v>
      </c>
      <c r="V1985" s="77" t="str">
        <f>HYPERLINK("https://pbs.twimg.com/profile_images/1592582034152902656/tUZdXBh3_normal.jpg")</f>
        <v>https://pbs.twimg.com/profile_images/1592582034152902656/tUZdXBh3_normal.jpg</v>
      </c>
      <c r="W1985" s="76">
        <v>44958.757407407407</v>
      </c>
      <c r="X1985" s="80">
        <v>44958</v>
      </c>
      <c r="Y1985" s="78" t="s">
        <v>2742</v>
      </c>
      <c r="Z1985" s="77" t="str">
        <f>HYPERLINK("https://twitter.com/rohit_ochani/status/1620847115558862848")</f>
        <v>https://twitter.com/rohit_ochani/status/1620847115558862848</v>
      </c>
      <c r="AC1985" s="78" t="s">
        <v>3761</v>
      </c>
      <c r="AD1985" s="78" t="s">
        <v>4543</v>
      </c>
      <c r="AE1985" t="b">
        <v>0</v>
      </c>
      <c r="AF1985">
        <v>0</v>
      </c>
      <c r="AG1985" s="78" t="s">
        <v>4707</v>
      </c>
      <c r="AH1985" t="b">
        <v>0</v>
      </c>
      <c r="AI1985" t="s">
        <v>4829</v>
      </c>
      <c r="AK1985" s="78" t="s">
        <v>4640</v>
      </c>
      <c r="AL1985" t="b">
        <v>0</v>
      </c>
      <c r="AM1985">
        <v>0</v>
      </c>
      <c r="AN1985" s="78" t="s">
        <v>4640</v>
      </c>
      <c r="AO1985" s="78" t="s">
        <v>4850</v>
      </c>
      <c r="AP1985" t="b">
        <v>0</v>
      </c>
      <c r="AQ1985" s="78" t="s">
        <v>4543</v>
      </c>
      <c r="AR1985" t="s">
        <v>179</v>
      </c>
      <c r="AS1985">
        <v>0</v>
      </c>
      <c r="AT1985">
        <v>0</v>
      </c>
    </row>
    <row r="1986" spans="1:46" x14ac:dyDescent="0.45">
      <c r="A1986" s="62" t="s">
        <v>502</v>
      </c>
      <c r="B1986" s="62" t="s">
        <v>1109</v>
      </c>
      <c r="C1986" s="63"/>
      <c r="D1986" s="64"/>
      <c r="E1986" s="65"/>
      <c r="F1986" s="66"/>
      <c r="G1986" s="63"/>
      <c r="H1986" s="67"/>
      <c r="I1986" s="68"/>
      <c r="J1986" s="68"/>
      <c r="K1986" s="32"/>
      <c r="L1986" s="75"/>
      <c r="M1986" s="75"/>
      <c r="N1986" s="70"/>
      <c r="O1986" t="s">
        <v>1567</v>
      </c>
      <c r="P1986" s="76">
        <v>44958.757407407407</v>
      </c>
      <c r="Q1986" t="s">
        <v>1786</v>
      </c>
      <c r="V1986" s="77" t="str">
        <f>HYPERLINK("https://pbs.twimg.com/profile_images/1592582034152902656/tUZdXBh3_normal.jpg")</f>
        <v>https://pbs.twimg.com/profile_images/1592582034152902656/tUZdXBh3_normal.jpg</v>
      </c>
      <c r="W1986" s="76">
        <v>44958.757407407407</v>
      </c>
      <c r="X1986" s="80">
        <v>44958</v>
      </c>
      <c r="Y1986" s="78" t="s">
        <v>2742</v>
      </c>
      <c r="Z1986" s="77" t="str">
        <f>HYPERLINK("https://twitter.com/rohit_ochani/status/1620847115558862848")</f>
        <v>https://twitter.com/rohit_ochani/status/1620847115558862848</v>
      </c>
      <c r="AC1986" s="78" t="s">
        <v>3761</v>
      </c>
      <c r="AD1986" s="78" t="s">
        <v>4543</v>
      </c>
      <c r="AE1986" t="b">
        <v>0</v>
      </c>
      <c r="AF1986">
        <v>0</v>
      </c>
      <c r="AG1986" s="78" t="s">
        <v>4707</v>
      </c>
      <c r="AH1986" t="b">
        <v>0</v>
      </c>
      <c r="AI1986" t="s">
        <v>4829</v>
      </c>
      <c r="AK1986" s="78" t="s">
        <v>4640</v>
      </c>
      <c r="AL1986" t="b">
        <v>0</v>
      </c>
      <c r="AM1986">
        <v>0</v>
      </c>
      <c r="AN1986" s="78" t="s">
        <v>4640</v>
      </c>
      <c r="AO1986" s="78" t="s">
        <v>4850</v>
      </c>
      <c r="AP1986" t="b">
        <v>0</v>
      </c>
      <c r="AQ1986" s="78" t="s">
        <v>4543</v>
      </c>
      <c r="AR1986" t="s">
        <v>179</v>
      </c>
      <c r="AS1986">
        <v>0</v>
      </c>
      <c r="AT1986">
        <v>0</v>
      </c>
    </row>
    <row r="1987" spans="1:46" x14ac:dyDescent="0.45">
      <c r="A1987" s="62" t="s">
        <v>503</v>
      </c>
      <c r="B1987" s="62" t="s">
        <v>1230</v>
      </c>
      <c r="C1987" s="63"/>
      <c r="D1987" s="64"/>
      <c r="E1987" s="65"/>
      <c r="F1987" s="66"/>
      <c r="G1987" s="63"/>
      <c r="H1987" s="67"/>
      <c r="I1987" s="68"/>
      <c r="J1987" s="68"/>
      <c r="K1987" s="32"/>
      <c r="L1987" s="75"/>
      <c r="M1987" s="75"/>
      <c r="N1987" s="70"/>
      <c r="O1987" t="s">
        <v>1570</v>
      </c>
      <c r="P1987" s="76">
        <v>44958.758368055554</v>
      </c>
      <c r="Q1987" t="s">
        <v>1693</v>
      </c>
      <c r="V1987" s="77" t="str">
        <f>HYPERLINK("https://pbs.twimg.com/profile_images/1611011058151325697/YBX76Bcu_normal.jpg")</f>
        <v>https://pbs.twimg.com/profile_images/1611011058151325697/YBX76Bcu_normal.jpg</v>
      </c>
      <c r="W1987" s="76">
        <v>44958.758368055554</v>
      </c>
      <c r="X1987" s="80">
        <v>44958</v>
      </c>
      <c r="Y1987" s="78" t="s">
        <v>2743</v>
      </c>
      <c r="Z1987" s="77" t="str">
        <f>HYPERLINK("https://twitter.com/ska_karolina/status/1620847461832196096")</f>
        <v>https://twitter.com/ska_karolina/status/1620847461832196096</v>
      </c>
      <c r="AC1987" s="78" t="s">
        <v>3762</v>
      </c>
      <c r="AE1987" t="b">
        <v>0</v>
      </c>
      <c r="AF1987">
        <v>0</v>
      </c>
      <c r="AG1987" s="78" t="s">
        <v>4640</v>
      </c>
      <c r="AH1987" t="b">
        <v>0</v>
      </c>
      <c r="AI1987" t="s">
        <v>4829</v>
      </c>
      <c r="AK1987" s="78" t="s">
        <v>4640</v>
      </c>
      <c r="AL1987" t="b">
        <v>0</v>
      </c>
      <c r="AM1987">
        <v>162</v>
      </c>
      <c r="AN1987" s="78" t="s">
        <v>4473</v>
      </c>
      <c r="AO1987" s="78" t="s">
        <v>4851</v>
      </c>
      <c r="AP1987" t="b">
        <v>0</v>
      </c>
      <c r="AQ1987" s="78" t="s">
        <v>4473</v>
      </c>
      <c r="AR1987" t="s">
        <v>179</v>
      </c>
      <c r="AS1987">
        <v>0</v>
      </c>
      <c r="AT1987">
        <v>0</v>
      </c>
    </row>
    <row r="1988" spans="1:46" x14ac:dyDescent="0.45">
      <c r="A1988" s="62" t="s">
        <v>503</v>
      </c>
      <c r="B1988" s="62" t="s">
        <v>242</v>
      </c>
      <c r="C1988" s="63"/>
      <c r="D1988" s="64"/>
      <c r="E1988" s="65"/>
      <c r="F1988" s="66"/>
      <c r="G1988" s="63"/>
      <c r="H1988" s="67"/>
      <c r="I1988" s="68"/>
      <c r="J1988" s="68"/>
      <c r="K1988" s="32"/>
      <c r="L1988" s="75"/>
      <c r="M1988" s="75"/>
      <c r="N1988" s="70"/>
      <c r="O1988" t="s">
        <v>1569</v>
      </c>
      <c r="P1988" s="76">
        <v>44958.758368055554</v>
      </c>
      <c r="Q1988" t="s">
        <v>1693</v>
      </c>
      <c r="V1988" s="77" t="str">
        <f>HYPERLINK("https://pbs.twimg.com/profile_images/1611011058151325697/YBX76Bcu_normal.jpg")</f>
        <v>https://pbs.twimg.com/profile_images/1611011058151325697/YBX76Bcu_normal.jpg</v>
      </c>
      <c r="W1988" s="76">
        <v>44958.758368055554</v>
      </c>
      <c r="X1988" s="80">
        <v>44958</v>
      </c>
      <c r="Y1988" s="78" t="s">
        <v>2743</v>
      </c>
      <c r="Z1988" s="77" t="str">
        <f>HYPERLINK("https://twitter.com/ska_karolina/status/1620847461832196096")</f>
        <v>https://twitter.com/ska_karolina/status/1620847461832196096</v>
      </c>
      <c r="AC1988" s="78" t="s">
        <v>3762</v>
      </c>
      <c r="AE1988" t="b">
        <v>0</v>
      </c>
      <c r="AF1988">
        <v>0</v>
      </c>
      <c r="AG1988" s="78" t="s">
        <v>4640</v>
      </c>
      <c r="AH1988" t="b">
        <v>0</v>
      </c>
      <c r="AI1988" t="s">
        <v>4829</v>
      </c>
      <c r="AK1988" s="78" t="s">
        <v>4640</v>
      </c>
      <c r="AL1988" t="b">
        <v>0</v>
      </c>
      <c r="AM1988">
        <v>162</v>
      </c>
      <c r="AN1988" s="78" t="s">
        <v>4473</v>
      </c>
      <c r="AO1988" s="78" t="s">
        <v>4851</v>
      </c>
      <c r="AP1988" t="b">
        <v>0</v>
      </c>
      <c r="AQ1988" s="78" t="s">
        <v>4473</v>
      </c>
      <c r="AR1988" t="s">
        <v>179</v>
      </c>
      <c r="AS1988">
        <v>0</v>
      </c>
      <c r="AT1988">
        <v>0</v>
      </c>
    </row>
    <row r="1989" spans="1:46" x14ac:dyDescent="0.45">
      <c r="A1989" s="62" t="s">
        <v>504</v>
      </c>
      <c r="B1989" s="62" t="s">
        <v>242</v>
      </c>
      <c r="C1989" s="63"/>
      <c r="D1989" s="64"/>
      <c r="E1989" s="65"/>
      <c r="F1989" s="66"/>
      <c r="G1989" s="63"/>
      <c r="H1989" s="67"/>
      <c r="I1989" s="68"/>
      <c r="J1989" s="68"/>
      <c r="K1989" s="32"/>
      <c r="L1989" s="75"/>
      <c r="M1989" s="75"/>
      <c r="N1989" s="70"/>
      <c r="O1989" t="s">
        <v>1568</v>
      </c>
      <c r="P1989" s="76">
        <v>44958.760150462964</v>
      </c>
      <c r="Q1989" t="s">
        <v>1787</v>
      </c>
      <c r="V1989" s="77" t="str">
        <f>HYPERLINK("https://pbs.twimg.com/profile_images/1610559101196533764/it18Z5mJ_normal.jpg")</f>
        <v>https://pbs.twimg.com/profile_images/1610559101196533764/it18Z5mJ_normal.jpg</v>
      </c>
      <c r="W1989" s="76">
        <v>44958.760150462964</v>
      </c>
      <c r="X1989" s="80">
        <v>44958</v>
      </c>
      <c r="Y1989" s="78" t="s">
        <v>2744</v>
      </c>
      <c r="Z1989" s="77" t="str">
        <f>HYPERLINK("https://twitter.com/shadmiller13/status/1620848109143343106")</f>
        <v>https://twitter.com/shadmiller13/status/1620848109143343106</v>
      </c>
      <c r="AC1989" s="78" t="s">
        <v>3763</v>
      </c>
      <c r="AE1989" t="b">
        <v>0</v>
      </c>
      <c r="AF1989">
        <v>0</v>
      </c>
      <c r="AG1989" s="78" t="s">
        <v>4640</v>
      </c>
      <c r="AH1989" t="b">
        <v>0</v>
      </c>
      <c r="AI1989" t="s">
        <v>4829</v>
      </c>
      <c r="AK1989" s="78" t="s">
        <v>4640</v>
      </c>
      <c r="AL1989" t="b">
        <v>0</v>
      </c>
      <c r="AM1989">
        <v>0</v>
      </c>
      <c r="AN1989" s="78" t="s">
        <v>4640</v>
      </c>
      <c r="AO1989" s="78" t="s">
        <v>4849</v>
      </c>
      <c r="AP1989" t="b">
        <v>0</v>
      </c>
      <c r="AQ1989" s="78" t="s">
        <v>3763</v>
      </c>
      <c r="AR1989" t="s">
        <v>179</v>
      </c>
      <c r="AS1989">
        <v>0</v>
      </c>
      <c r="AT1989">
        <v>0</v>
      </c>
    </row>
    <row r="1990" spans="1:46" x14ac:dyDescent="0.45">
      <c r="A1990" s="62" t="s">
        <v>504</v>
      </c>
      <c r="B1990" s="62" t="s">
        <v>1282</v>
      </c>
      <c r="C1990" s="63"/>
      <c r="D1990" s="64"/>
      <c r="E1990" s="65"/>
      <c r="F1990" s="66"/>
      <c r="G1990" s="63"/>
      <c r="H1990" s="67"/>
      <c r="I1990" s="68"/>
      <c r="J1990" s="68"/>
      <c r="K1990" s="32"/>
      <c r="L1990" s="75"/>
      <c r="M1990" s="75"/>
      <c r="N1990" s="70"/>
      <c r="O1990" t="s">
        <v>1568</v>
      </c>
      <c r="P1990" s="76">
        <v>44958.760150462964</v>
      </c>
      <c r="Q1990" t="s">
        <v>1787</v>
      </c>
      <c r="V1990" s="77" t="str">
        <f>HYPERLINK("https://pbs.twimg.com/profile_images/1610559101196533764/it18Z5mJ_normal.jpg")</f>
        <v>https://pbs.twimg.com/profile_images/1610559101196533764/it18Z5mJ_normal.jpg</v>
      </c>
      <c r="W1990" s="76">
        <v>44958.760150462964</v>
      </c>
      <c r="X1990" s="80">
        <v>44958</v>
      </c>
      <c r="Y1990" s="78" t="s">
        <v>2744</v>
      </c>
      <c r="Z1990" s="77" t="str">
        <f>HYPERLINK("https://twitter.com/shadmiller13/status/1620848109143343106")</f>
        <v>https://twitter.com/shadmiller13/status/1620848109143343106</v>
      </c>
      <c r="AC1990" s="78" t="s">
        <v>3763</v>
      </c>
      <c r="AE1990" t="b">
        <v>0</v>
      </c>
      <c r="AF1990">
        <v>0</v>
      </c>
      <c r="AG1990" s="78" t="s">
        <v>4640</v>
      </c>
      <c r="AH1990" t="b">
        <v>0</v>
      </c>
      <c r="AI1990" t="s">
        <v>4829</v>
      </c>
      <c r="AK1990" s="78" t="s">
        <v>4640</v>
      </c>
      <c r="AL1990" t="b">
        <v>0</v>
      </c>
      <c r="AM1990">
        <v>0</v>
      </c>
      <c r="AN1990" s="78" t="s">
        <v>4640</v>
      </c>
      <c r="AO1990" s="78" t="s">
        <v>4849</v>
      </c>
      <c r="AP1990" t="b">
        <v>0</v>
      </c>
      <c r="AQ1990" s="78" t="s">
        <v>3763</v>
      </c>
      <c r="AR1990" t="s">
        <v>179</v>
      </c>
      <c r="AS1990">
        <v>0</v>
      </c>
      <c r="AT1990">
        <v>0</v>
      </c>
    </row>
    <row r="1991" spans="1:46" x14ac:dyDescent="0.45">
      <c r="A1991" s="62" t="s">
        <v>505</v>
      </c>
      <c r="B1991" s="62" t="s">
        <v>1230</v>
      </c>
      <c r="C1991" s="63"/>
      <c r="D1991" s="64"/>
      <c r="E1991" s="65"/>
      <c r="F1991" s="66"/>
      <c r="G1991" s="63"/>
      <c r="H1991" s="67"/>
      <c r="I1991" s="68"/>
      <c r="J1991" s="68"/>
      <c r="K1991" s="32"/>
      <c r="L1991" s="75"/>
      <c r="M1991" s="75"/>
      <c r="N1991" s="70"/>
      <c r="O1991" t="s">
        <v>1570</v>
      </c>
      <c r="P1991" s="76">
        <v>44958.761284722219</v>
      </c>
      <c r="Q1991" t="s">
        <v>1693</v>
      </c>
      <c r="V1991" s="77" t="str">
        <f>HYPERLINK("https://pbs.twimg.com/profile_images/1619120398750154752/5LChIiMo_normal.jpg")</f>
        <v>https://pbs.twimg.com/profile_images/1619120398750154752/5LChIiMo_normal.jpg</v>
      </c>
      <c r="W1991" s="76">
        <v>44958.761284722219</v>
      </c>
      <c r="X1991" s="80">
        <v>44958</v>
      </c>
      <c r="Y1991" s="78" t="s">
        <v>2745</v>
      </c>
      <c r="Z1991" s="77" t="str">
        <f>HYPERLINK("https://twitter.com/gomezinmalibu/status/1620848516963901442")</f>
        <v>https://twitter.com/gomezinmalibu/status/1620848516963901442</v>
      </c>
      <c r="AC1991" s="78" t="s">
        <v>3764</v>
      </c>
      <c r="AE1991" t="b">
        <v>0</v>
      </c>
      <c r="AF1991">
        <v>0</v>
      </c>
      <c r="AG1991" s="78" t="s">
        <v>4640</v>
      </c>
      <c r="AH1991" t="b">
        <v>0</v>
      </c>
      <c r="AI1991" t="s">
        <v>4829</v>
      </c>
      <c r="AK1991" s="78" t="s">
        <v>4640</v>
      </c>
      <c r="AL1991" t="b">
        <v>0</v>
      </c>
      <c r="AM1991">
        <v>162</v>
      </c>
      <c r="AN1991" s="78" t="s">
        <v>4473</v>
      </c>
      <c r="AO1991" s="78" t="s">
        <v>4851</v>
      </c>
      <c r="AP1991" t="b">
        <v>0</v>
      </c>
      <c r="AQ1991" s="78" t="s">
        <v>4473</v>
      </c>
      <c r="AR1991" t="s">
        <v>179</v>
      </c>
      <c r="AS1991">
        <v>0</v>
      </c>
      <c r="AT1991">
        <v>0</v>
      </c>
    </row>
    <row r="1992" spans="1:46" x14ac:dyDescent="0.45">
      <c r="A1992" s="62" t="s">
        <v>505</v>
      </c>
      <c r="B1992" s="62" t="s">
        <v>242</v>
      </c>
      <c r="C1992" s="63"/>
      <c r="D1992" s="64"/>
      <c r="E1992" s="65"/>
      <c r="F1992" s="66"/>
      <c r="G1992" s="63"/>
      <c r="H1992" s="67"/>
      <c r="I1992" s="68"/>
      <c r="J1992" s="68"/>
      <c r="K1992" s="32"/>
      <c r="L1992" s="75"/>
      <c r="M1992" s="75"/>
      <c r="N1992" s="70"/>
      <c r="O1992" t="s">
        <v>1569</v>
      </c>
      <c r="P1992" s="76">
        <v>44958.761284722219</v>
      </c>
      <c r="Q1992" t="s">
        <v>1693</v>
      </c>
      <c r="V1992" s="77" t="str">
        <f>HYPERLINK("https://pbs.twimg.com/profile_images/1619120398750154752/5LChIiMo_normal.jpg")</f>
        <v>https://pbs.twimg.com/profile_images/1619120398750154752/5LChIiMo_normal.jpg</v>
      </c>
      <c r="W1992" s="76">
        <v>44958.761284722219</v>
      </c>
      <c r="X1992" s="80">
        <v>44958</v>
      </c>
      <c r="Y1992" s="78" t="s">
        <v>2745</v>
      </c>
      <c r="Z1992" s="77" t="str">
        <f>HYPERLINK("https://twitter.com/gomezinmalibu/status/1620848516963901442")</f>
        <v>https://twitter.com/gomezinmalibu/status/1620848516963901442</v>
      </c>
      <c r="AC1992" s="78" t="s">
        <v>3764</v>
      </c>
      <c r="AE1992" t="b">
        <v>0</v>
      </c>
      <c r="AF1992">
        <v>0</v>
      </c>
      <c r="AG1992" s="78" t="s">
        <v>4640</v>
      </c>
      <c r="AH1992" t="b">
        <v>0</v>
      </c>
      <c r="AI1992" t="s">
        <v>4829</v>
      </c>
      <c r="AK1992" s="78" t="s">
        <v>4640</v>
      </c>
      <c r="AL1992" t="b">
        <v>0</v>
      </c>
      <c r="AM1992">
        <v>162</v>
      </c>
      <c r="AN1992" s="78" t="s">
        <v>4473</v>
      </c>
      <c r="AO1992" s="78" t="s">
        <v>4851</v>
      </c>
      <c r="AP1992" t="b">
        <v>0</v>
      </c>
      <c r="AQ1992" s="78" t="s">
        <v>4473</v>
      </c>
      <c r="AR1992" t="s">
        <v>179</v>
      </c>
      <c r="AS1992">
        <v>0</v>
      </c>
      <c r="AT1992">
        <v>0</v>
      </c>
    </row>
    <row r="1993" spans="1:46" x14ac:dyDescent="0.45">
      <c r="A1993" s="62" t="s">
        <v>506</v>
      </c>
      <c r="B1993" s="62" t="s">
        <v>1230</v>
      </c>
      <c r="C1993" s="63"/>
      <c r="D1993" s="64"/>
      <c r="E1993" s="65"/>
      <c r="F1993" s="66"/>
      <c r="G1993" s="63"/>
      <c r="H1993" s="67"/>
      <c r="I1993" s="68"/>
      <c r="J1993" s="68"/>
      <c r="K1993" s="32"/>
      <c r="L1993" s="75"/>
      <c r="M1993" s="75"/>
      <c r="N1993" s="70"/>
      <c r="O1993" t="s">
        <v>1570</v>
      </c>
      <c r="P1993" s="76">
        <v>44958.761400462965</v>
      </c>
      <c r="Q1993" t="s">
        <v>1693</v>
      </c>
      <c r="V1993" s="77" t="str">
        <f>HYPERLINK("https://pbs.twimg.com/profile_images/1353832566277742594/KBiRAX8x_normal.jpg")</f>
        <v>https://pbs.twimg.com/profile_images/1353832566277742594/KBiRAX8x_normal.jpg</v>
      </c>
      <c r="W1993" s="76">
        <v>44958.761400462965</v>
      </c>
      <c r="X1993" s="80">
        <v>44958</v>
      </c>
      <c r="Y1993" s="78" t="s">
        <v>2746</v>
      </c>
      <c r="Z1993" s="77" t="str">
        <f>HYPERLINK("https://twitter.com/francisjared_/status/1620848562946052096")</f>
        <v>https://twitter.com/francisjared_/status/1620848562946052096</v>
      </c>
      <c r="AC1993" s="78" t="s">
        <v>3765</v>
      </c>
      <c r="AE1993" t="b">
        <v>0</v>
      </c>
      <c r="AF1993">
        <v>0</v>
      </c>
      <c r="AG1993" s="78" t="s">
        <v>4640</v>
      </c>
      <c r="AH1993" t="b">
        <v>0</v>
      </c>
      <c r="AI1993" t="s">
        <v>4829</v>
      </c>
      <c r="AK1993" s="78" t="s">
        <v>4640</v>
      </c>
      <c r="AL1993" t="b">
        <v>0</v>
      </c>
      <c r="AM1993">
        <v>162</v>
      </c>
      <c r="AN1993" s="78" t="s">
        <v>4473</v>
      </c>
      <c r="AO1993" s="78" t="s">
        <v>4849</v>
      </c>
      <c r="AP1993" t="b">
        <v>0</v>
      </c>
      <c r="AQ1993" s="78" t="s">
        <v>4473</v>
      </c>
      <c r="AR1993" t="s">
        <v>179</v>
      </c>
      <c r="AS1993">
        <v>0</v>
      </c>
      <c r="AT1993">
        <v>0</v>
      </c>
    </row>
    <row r="1994" spans="1:46" x14ac:dyDescent="0.45">
      <c r="A1994" s="62" t="s">
        <v>506</v>
      </c>
      <c r="B1994" s="62" t="s">
        <v>242</v>
      </c>
      <c r="C1994" s="63"/>
      <c r="D1994" s="64"/>
      <c r="E1994" s="65"/>
      <c r="F1994" s="66"/>
      <c r="G1994" s="63"/>
      <c r="H1994" s="67"/>
      <c r="I1994" s="68"/>
      <c r="J1994" s="68"/>
      <c r="K1994" s="32"/>
      <c r="L1994" s="75"/>
      <c r="M1994" s="75"/>
      <c r="N1994" s="70"/>
      <c r="O1994" t="s">
        <v>1569</v>
      </c>
      <c r="P1994" s="76">
        <v>44958.761400462965</v>
      </c>
      <c r="Q1994" t="s">
        <v>1693</v>
      </c>
      <c r="V1994" s="77" t="str">
        <f>HYPERLINK("https://pbs.twimg.com/profile_images/1353832566277742594/KBiRAX8x_normal.jpg")</f>
        <v>https://pbs.twimg.com/profile_images/1353832566277742594/KBiRAX8x_normal.jpg</v>
      </c>
      <c r="W1994" s="76">
        <v>44958.761400462965</v>
      </c>
      <c r="X1994" s="80">
        <v>44958</v>
      </c>
      <c r="Y1994" s="78" t="s">
        <v>2746</v>
      </c>
      <c r="Z1994" s="77" t="str">
        <f>HYPERLINK("https://twitter.com/francisjared_/status/1620848562946052096")</f>
        <v>https://twitter.com/francisjared_/status/1620848562946052096</v>
      </c>
      <c r="AC1994" s="78" t="s">
        <v>3765</v>
      </c>
      <c r="AE1994" t="b">
        <v>0</v>
      </c>
      <c r="AF1994">
        <v>0</v>
      </c>
      <c r="AG1994" s="78" t="s">
        <v>4640</v>
      </c>
      <c r="AH1994" t="b">
        <v>0</v>
      </c>
      <c r="AI1994" t="s">
        <v>4829</v>
      </c>
      <c r="AK1994" s="78" t="s">
        <v>4640</v>
      </c>
      <c r="AL1994" t="b">
        <v>0</v>
      </c>
      <c r="AM1994">
        <v>162</v>
      </c>
      <c r="AN1994" s="78" t="s">
        <v>4473</v>
      </c>
      <c r="AO1994" s="78" t="s">
        <v>4849</v>
      </c>
      <c r="AP1994" t="b">
        <v>0</v>
      </c>
      <c r="AQ1994" s="78" t="s">
        <v>4473</v>
      </c>
      <c r="AR1994" t="s">
        <v>179</v>
      </c>
      <c r="AS1994">
        <v>0</v>
      </c>
      <c r="AT1994">
        <v>0</v>
      </c>
    </row>
    <row r="1995" spans="1:46" x14ac:dyDescent="0.45">
      <c r="A1995" s="62" t="s">
        <v>511</v>
      </c>
      <c r="B1995" s="62" t="s">
        <v>242</v>
      </c>
      <c r="C1995" s="63"/>
      <c r="D1995" s="64"/>
      <c r="E1995" s="65"/>
      <c r="F1995" s="66"/>
      <c r="G1995" s="63"/>
      <c r="H1995" s="67"/>
      <c r="I1995" s="68"/>
      <c r="J1995" s="68"/>
      <c r="K1995" s="32"/>
      <c r="L1995" s="75"/>
      <c r="M1995" s="75"/>
      <c r="N1995" s="70"/>
      <c r="O1995" t="s">
        <v>1567</v>
      </c>
      <c r="P1995" s="76">
        <v>44958.764652777776</v>
      </c>
      <c r="Q1995" t="s">
        <v>1791</v>
      </c>
      <c r="V1995" s="77" t="str">
        <f>HYPERLINK("https://pbs.twimg.com/profile_images/1609221983555788800/noWV7nam_normal.jpg")</f>
        <v>https://pbs.twimg.com/profile_images/1609221983555788800/noWV7nam_normal.jpg</v>
      </c>
      <c r="W1995" s="76">
        <v>44958.764652777776</v>
      </c>
      <c r="X1995" s="80">
        <v>44958</v>
      </c>
      <c r="Y1995" s="78" t="s">
        <v>2751</v>
      </c>
      <c r="Z1995" s="77" t="str">
        <f>HYPERLINK("https://twitter.com/summdoja/status/1620849740207489026")</f>
        <v>https://twitter.com/summdoja/status/1620849740207489026</v>
      </c>
      <c r="AC1995" s="78" t="s">
        <v>3770</v>
      </c>
      <c r="AE1995" t="b">
        <v>0</v>
      </c>
      <c r="AF1995">
        <v>0</v>
      </c>
      <c r="AG1995" s="78" t="s">
        <v>4639</v>
      </c>
      <c r="AH1995" t="b">
        <v>0</v>
      </c>
      <c r="AI1995" t="s">
        <v>4829</v>
      </c>
      <c r="AK1995" s="78" t="s">
        <v>4640</v>
      </c>
      <c r="AL1995" t="b">
        <v>0</v>
      </c>
      <c r="AM1995">
        <v>0</v>
      </c>
      <c r="AN1995" s="78" t="s">
        <v>4640</v>
      </c>
      <c r="AO1995" s="78" t="s">
        <v>4849</v>
      </c>
      <c r="AP1995" t="b">
        <v>0</v>
      </c>
      <c r="AQ1995" s="78" t="s">
        <v>3770</v>
      </c>
      <c r="AR1995" t="s">
        <v>179</v>
      </c>
      <c r="AS1995">
        <v>0</v>
      </c>
      <c r="AT1995">
        <v>0</v>
      </c>
    </row>
    <row r="1996" spans="1:46" x14ac:dyDescent="0.45">
      <c r="A1996" s="62" t="s">
        <v>513</v>
      </c>
      <c r="B1996" s="62" t="s">
        <v>1288</v>
      </c>
      <c r="C1996" s="63"/>
      <c r="D1996" s="64"/>
      <c r="E1996" s="65"/>
      <c r="F1996" s="66"/>
      <c r="G1996" s="63"/>
      <c r="H1996" s="67"/>
      <c r="I1996" s="68"/>
      <c r="J1996" s="68"/>
      <c r="K1996" s="32"/>
      <c r="L1996" s="75"/>
      <c r="M1996" s="75"/>
      <c r="N1996" s="70"/>
      <c r="O1996" t="s">
        <v>1568</v>
      </c>
      <c r="P1996" s="76">
        <v>44958.767094907409</v>
      </c>
      <c r="Q1996" t="s">
        <v>1793</v>
      </c>
      <c r="V1996" s="77" t="str">
        <f>HYPERLINK("https://pbs.twimg.com/profile_images/1222627750470656000/b7_pJKh7_normal.jpg")</f>
        <v>https://pbs.twimg.com/profile_images/1222627750470656000/b7_pJKh7_normal.jpg</v>
      </c>
      <c r="W1996" s="76">
        <v>44958.767094907409</v>
      </c>
      <c r="X1996" s="80">
        <v>44958</v>
      </c>
      <c r="Y1996" s="78" t="s">
        <v>2753</v>
      </c>
      <c r="Z1996" s="77" t="str">
        <f>HYPERLINK("https://twitter.com/mutinymanx/status/1620850625524432896")</f>
        <v>https://twitter.com/mutinymanx/status/1620850625524432896</v>
      </c>
      <c r="AC1996" s="78" t="s">
        <v>3772</v>
      </c>
      <c r="AE1996" t="b">
        <v>0</v>
      </c>
      <c r="AF1996">
        <v>0</v>
      </c>
      <c r="AG1996" s="78" t="s">
        <v>4708</v>
      </c>
      <c r="AH1996" t="b">
        <v>0</v>
      </c>
      <c r="AI1996" t="s">
        <v>4829</v>
      </c>
      <c r="AK1996" s="78" t="s">
        <v>4640</v>
      </c>
      <c r="AL1996" t="b">
        <v>0</v>
      </c>
      <c r="AM1996">
        <v>0</v>
      </c>
      <c r="AN1996" s="78" t="s">
        <v>4640</v>
      </c>
      <c r="AO1996" s="78" t="s">
        <v>4851</v>
      </c>
      <c r="AP1996" t="b">
        <v>0</v>
      </c>
      <c r="AQ1996" s="78" t="s">
        <v>3772</v>
      </c>
      <c r="AR1996" t="s">
        <v>179</v>
      </c>
      <c r="AS1996">
        <v>0</v>
      </c>
      <c r="AT1996">
        <v>0</v>
      </c>
    </row>
    <row r="1997" spans="1:46" x14ac:dyDescent="0.45">
      <c r="A1997" s="62" t="s">
        <v>513</v>
      </c>
      <c r="B1997" s="62" t="s">
        <v>1289</v>
      </c>
      <c r="C1997" s="63"/>
      <c r="D1997" s="64"/>
      <c r="E1997" s="65"/>
      <c r="F1997" s="66"/>
      <c r="G1997" s="63"/>
      <c r="H1997" s="67"/>
      <c r="I1997" s="68"/>
      <c r="J1997" s="68"/>
      <c r="K1997" s="32"/>
      <c r="L1997" s="75"/>
      <c r="M1997" s="75"/>
      <c r="N1997" s="70"/>
      <c r="O1997" t="s">
        <v>1567</v>
      </c>
      <c r="P1997" s="76">
        <v>44958.767094907409</v>
      </c>
      <c r="Q1997" t="s">
        <v>1793</v>
      </c>
      <c r="V1997" s="77" t="str">
        <f>HYPERLINK("https://pbs.twimg.com/profile_images/1222627750470656000/b7_pJKh7_normal.jpg")</f>
        <v>https://pbs.twimg.com/profile_images/1222627750470656000/b7_pJKh7_normal.jpg</v>
      </c>
      <c r="W1997" s="76">
        <v>44958.767094907409</v>
      </c>
      <c r="X1997" s="80">
        <v>44958</v>
      </c>
      <c r="Y1997" s="78" t="s">
        <v>2753</v>
      </c>
      <c r="Z1997" s="77" t="str">
        <f>HYPERLINK("https://twitter.com/mutinymanx/status/1620850625524432896")</f>
        <v>https://twitter.com/mutinymanx/status/1620850625524432896</v>
      </c>
      <c r="AC1997" s="78" t="s">
        <v>3772</v>
      </c>
      <c r="AE1997" t="b">
        <v>0</v>
      </c>
      <c r="AF1997">
        <v>0</v>
      </c>
      <c r="AG1997" s="78" t="s">
        <v>4708</v>
      </c>
      <c r="AH1997" t="b">
        <v>0</v>
      </c>
      <c r="AI1997" t="s">
        <v>4829</v>
      </c>
      <c r="AK1997" s="78" t="s">
        <v>4640</v>
      </c>
      <c r="AL1997" t="b">
        <v>0</v>
      </c>
      <c r="AM1997">
        <v>0</v>
      </c>
      <c r="AN1997" s="78" t="s">
        <v>4640</v>
      </c>
      <c r="AO1997" s="78" t="s">
        <v>4851</v>
      </c>
      <c r="AP1997" t="b">
        <v>0</v>
      </c>
      <c r="AQ1997" s="78" t="s">
        <v>3772</v>
      </c>
      <c r="AR1997" t="s">
        <v>179</v>
      </c>
      <c r="AS1997">
        <v>0</v>
      </c>
      <c r="AT1997">
        <v>0</v>
      </c>
    </row>
    <row r="1998" spans="1:46" x14ac:dyDescent="0.45">
      <c r="A1998" s="62" t="s">
        <v>513</v>
      </c>
      <c r="B1998" s="62" t="s">
        <v>242</v>
      </c>
      <c r="C1998" s="63"/>
      <c r="D1998" s="64"/>
      <c r="E1998" s="65"/>
      <c r="F1998" s="66"/>
      <c r="G1998" s="63"/>
      <c r="H1998" s="67"/>
      <c r="I1998" s="68"/>
      <c r="J1998" s="68"/>
      <c r="K1998" s="32"/>
      <c r="L1998" s="75"/>
      <c r="M1998" s="75"/>
      <c r="N1998" s="70"/>
      <c r="O1998" t="s">
        <v>1568</v>
      </c>
      <c r="P1998" s="76">
        <v>44958.767094907409</v>
      </c>
      <c r="Q1998" t="s">
        <v>1793</v>
      </c>
      <c r="V1998" s="77" t="str">
        <f>HYPERLINK("https://pbs.twimg.com/profile_images/1222627750470656000/b7_pJKh7_normal.jpg")</f>
        <v>https://pbs.twimg.com/profile_images/1222627750470656000/b7_pJKh7_normal.jpg</v>
      </c>
      <c r="W1998" s="76">
        <v>44958.767094907409</v>
      </c>
      <c r="X1998" s="80">
        <v>44958</v>
      </c>
      <c r="Y1998" s="78" t="s">
        <v>2753</v>
      </c>
      <c r="Z1998" s="77" t="str">
        <f>HYPERLINK("https://twitter.com/mutinymanx/status/1620850625524432896")</f>
        <v>https://twitter.com/mutinymanx/status/1620850625524432896</v>
      </c>
      <c r="AC1998" s="78" t="s">
        <v>3772</v>
      </c>
      <c r="AE1998" t="b">
        <v>0</v>
      </c>
      <c r="AF1998">
        <v>0</v>
      </c>
      <c r="AG1998" s="78" t="s">
        <v>4708</v>
      </c>
      <c r="AH1998" t="b">
        <v>0</v>
      </c>
      <c r="AI1998" t="s">
        <v>4829</v>
      </c>
      <c r="AK1998" s="78" t="s">
        <v>4640</v>
      </c>
      <c r="AL1998" t="b">
        <v>0</v>
      </c>
      <c r="AM1998">
        <v>0</v>
      </c>
      <c r="AN1998" s="78" t="s">
        <v>4640</v>
      </c>
      <c r="AO1998" s="78" t="s">
        <v>4851</v>
      </c>
      <c r="AP1998" t="b">
        <v>0</v>
      </c>
      <c r="AQ1998" s="78" t="s">
        <v>3772</v>
      </c>
      <c r="AR1998" t="s">
        <v>179</v>
      </c>
      <c r="AS1998">
        <v>0</v>
      </c>
      <c r="AT1998">
        <v>0</v>
      </c>
    </row>
    <row r="1999" spans="1:46" x14ac:dyDescent="0.45">
      <c r="A1999" s="62" t="s">
        <v>515</v>
      </c>
      <c r="B1999" s="62" t="s">
        <v>1292</v>
      </c>
      <c r="C1999" s="63"/>
      <c r="D1999" s="64"/>
      <c r="E1999" s="65"/>
      <c r="F1999" s="66"/>
      <c r="G1999" s="63"/>
      <c r="H1999" s="67"/>
      <c r="I1999" s="68"/>
      <c r="J1999" s="68"/>
      <c r="K1999" s="32"/>
      <c r="L1999" s="75"/>
      <c r="M1999" s="75"/>
      <c r="N1999" s="70"/>
      <c r="O1999" t="s">
        <v>1567</v>
      </c>
      <c r="P1999" s="76">
        <v>44958.771226851852</v>
      </c>
      <c r="Q1999" t="s">
        <v>1795</v>
      </c>
      <c r="V1999" s="77" t="str">
        <f>HYPERLINK("https://pbs.twimg.com/profile_images/917479569904545792/0f9JUUKc_normal.jpg")</f>
        <v>https://pbs.twimg.com/profile_images/917479569904545792/0f9JUUKc_normal.jpg</v>
      </c>
      <c r="W1999" s="76">
        <v>44958.771226851852</v>
      </c>
      <c r="X1999" s="80">
        <v>44958</v>
      </c>
      <c r="Y1999" s="78" t="s">
        <v>2756</v>
      </c>
      <c r="Z1999" s="77" t="str">
        <f>HYPERLINK("https://twitter.com/thesportsbubba/status/1620852123486547968")</f>
        <v>https://twitter.com/thesportsbubba/status/1620852123486547968</v>
      </c>
      <c r="AC1999" s="78" t="s">
        <v>3775</v>
      </c>
      <c r="AD1999" s="78" t="s">
        <v>4544</v>
      </c>
      <c r="AE1999" t="b">
        <v>0</v>
      </c>
      <c r="AF1999">
        <v>0</v>
      </c>
      <c r="AG1999" s="78" t="s">
        <v>4710</v>
      </c>
      <c r="AH1999" t="b">
        <v>0</v>
      </c>
      <c r="AI1999" t="s">
        <v>4829</v>
      </c>
      <c r="AK1999" s="78" t="s">
        <v>4640</v>
      </c>
      <c r="AL1999" t="b">
        <v>0</v>
      </c>
      <c r="AM1999">
        <v>0</v>
      </c>
      <c r="AN1999" s="78" t="s">
        <v>4640</v>
      </c>
      <c r="AO1999" s="78" t="s">
        <v>4849</v>
      </c>
      <c r="AP1999" t="b">
        <v>0</v>
      </c>
      <c r="AQ1999" s="78" t="s">
        <v>4544</v>
      </c>
      <c r="AR1999" t="s">
        <v>179</v>
      </c>
      <c r="AS1999">
        <v>0</v>
      </c>
      <c r="AT1999">
        <v>0</v>
      </c>
    </row>
    <row r="2000" spans="1:46" x14ac:dyDescent="0.45">
      <c r="A2000" s="62" t="s">
        <v>515</v>
      </c>
      <c r="B2000" s="62" t="s">
        <v>242</v>
      </c>
      <c r="C2000" s="63"/>
      <c r="D2000" s="64"/>
      <c r="E2000" s="65"/>
      <c r="F2000" s="66"/>
      <c r="G2000" s="63"/>
      <c r="H2000" s="67"/>
      <c r="I2000" s="68"/>
      <c r="J2000" s="68"/>
      <c r="K2000" s="32"/>
      <c r="L2000" s="75"/>
      <c r="M2000" s="75"/>
      <c r="N2000" s="70"/>
      <c r="O2000" t="s">
        <v>1568</v>
      </c>
      <c r="P2000" s="76">
        <v>44958.771226851852</v>
      </c>
      <c r="Q2000" t="s">
        <v>1795</v>
      </c>
      <c r="V2000" s="77" t="str">
        <f>HYPERLINK("https://pbs.twimg.com/profile_images/917479569904545792/0f9JUUKc_normal.jpg")</f>
        <v>https://pbs.twimg.com/profile_images/917479569904545792/0f9JUUKc_normal.jpg</v>
      </c>
      <c r="W2000" s="76">
        <v>44958.771226851852</v>
      </c>
      <c r="X2000" s="80">
        <v>44958</v>
      </c>
      <c r="Y2000" s="78" t="s">
        <v>2756</v>
      </c>
      <c r="Z2000" s="77" t="str">
        <f>HYPERLINK("https://twitter.com/thesportsbubba/status/1620852123486547968")</f>
        <v>https://twitter.com/thesportsbubba/status/1620852123486547968</v>
      </c>
      <c r="AC2000" s="78" t="s">
        <v>3775</v>
      </c>
      <c r="AD2000" s="78" t="s">
        <v>4544</v>
      </c>
      <c r="AE2000" t="b">
        <v>0</v>
      </c>
      <c r="AF2000">
        <v>0</v>
      </c>
      <c r="AG2000" s="78" t="s">
        <v>4710</v>
      </c>
      <c r="AH2000" t="b">
        <v>0</v>
      </c>
      <c r="AI2000" t="s">
        <v>4829</v>
      </c>
      <c r="AK2000" s="78" t="s">
        <v>4640</v>
      </c>
      <c r="AL2000" t="b">
        <v>0</v>
      </c>
      <c r="AM2000">
        <v>0</v>
      </c>
      <c r="AN2000" s="78" t="s">
        <v>4640</v>
      </c>
      <c r="AO2000" s="78" t="s">
        <v>4849</v>
      </c>
      <c r="AP2000" t="b">
        <v>0</v>
      </c>
      <c r="AQ2000" s="78" t="s">
        <v>4544</v>
      </c>
      <c r="AR2000" t="s">
        <v>179</v>
      </c>
      <c r="AS2000">
        <v>0</v>
      </c>
      <c r="AT2000">
        <v>0</v>
      </c>
    </row>
    <row r="2001" spans="1:46" x14ac:dyDescent="0.45">
      <c r="A2001" s="62" t="s">
        <v>516</v>
      </c>
      <c r="B2001" s="62" t="s">
        <v>1230</v>
      </c>
      <c r="C2001" s="63"/>
      <c r="D2001" s="64"/>
      <c r="E2001" s="65"/>
      <c r="F2001" s="66"/>
      <c r="G2001" s="63"/>
      <c r="H2001" s="67"/>
      <c r="I2001" s="68"/>
      <c r="J2001" s="68"/>
      <c r="K2001" s="32"/>
      <c r="L2001" s="75"/>
      <c r="M2001" s="75"/>
      <c r="N2001" s="70"/>
      <c r="O2001" t="s">
        <v>1570</v>
      </c>
      <c r="P2001" s="76">
        <v>44958.77207175926</v>
      </c>
      <c r="Q2001" t="s">
        <v>1693</v>
      </c>
      <c r="V2001" s="77" t="str">
        <f>HYPERLINK("https://pbs.twimg.com/profile_images/1613710401648164867/CCHgbAzM_normal.jpg")</f>
        <v>https://pbs.twimg.com/profile_images/1613710401648164867/CCHgbAzM_normal.jpg</v>
      </c>
      <c r="W2001" s="76">
        <v>44958.77207175926</v>
      </c>
      <c r="X2001" s="80">
        <v>44958</v>
      </c>
      <c r="Y2001" s="78" t="s">
        <v>2757</v>
      </c>
      <c r="Z2001" s="77" t="str">
        <f>HYPERLINK("https://twitter.com/mcgiftz/status/1620852427070255107")</f>
        <v>https://twitter.com/mcgiftz/status/1620852427070255107</v>
      </c>
      <c r="AC2001" s="78" t="s">
        <v>3776</v>
      </c>
      <c r="AE2001" t="b">
        <v>0</v>
      </c>
      <c r="AF2001">
        <v>0</v>
      </c>
      <c r="AG2001" s="78" t="s">
        <v>4640</v>
      </c>
      <c r="AH2001" t="b">
        <v>0</v>
      </c>
      <c r="AI2001" t="s">
        <v>4829</v>
      </c>
      <c r="AK2001" s="78" t="s">
        <v>4640</v>
      </c>
      <c r="AL2001" t="b">
        <v>0</v>
      </c>
      <c r="AM2001">
        <v>162</v>
      </c>
      <c r="AN2001" s="78" t="s">
        <v>4473</v>
      </c>
      <c r="AO2001" s="78" t="s">
        <v>4849</v>
      </c>
      <c r="AP2001" t="b">
        <v>0</v>
      </c>
      <c r="AQ2001" s="78" t="s">
        <v>4473</v>
      </c>
      <c r="AR2001" t="s">
        <v>179</v>
      </c>
      <c r="AS2001">
        <v>0</v>
      </c>
      <c r="AT2001">
        <v>0</v>
      </c>
    </row>
    <row r="2002" spans="1:46" x14ac:dyDescent="0.45">
      <c r="A2002" s="62" t="s">
        <v>516</v>
      </c>
      <c r="B2002" s="62" t="s">
        <v>242</v>
      </c>
      <c r="C2002" s="63"/>
      <c r="D2002" s="64"/>
      <c r="E2002" s="65"/>
      <c r="F2002" s="66"/>
      <c r="G2002" s="63"/>
      <c r="H2002" s="67"/>
      <c r="I2002" s="68"/>
      <c r="J2002" s="68"/>
      <c r="K2002" s="32"/>
      <c r="L2002" s="75"/>
      <c r="M2002" s="75"/>
      <c r="N2002" s="70"/>
      <c r="O2002" t="s">
        <v>1569</v>
      </c>
      <c r="P2002" s="76">
        <v>44958.77207175926</v>
      </c>
      <c r="Q2002" t="s">
        <v>1693</v>
      </c>
      <c r="V2002" s="77" t="str">
        <f>HYPERLINK("https://pbs.twimg.com/profile_images/1613710401648164867/CCHgbAzM_normal.jpg")</f>
        <v>https://pbs.twimg.com/profile_images/1613710401648164867/CCHgbAzM_normal.jpg</v>
      </c>
      <c r="W2002" s="76">
        <v>44958.77207175926</v>
      </c>
      <c r="X2002" s="80">
        <v>44958</v>
      </c>
      <c r="Y2002" s="78" t="s">
        <v>2757</v>
      </c>
      <c r="Z2002" s="77" t="str">
        <f>HYPERLINK("https://twitter.com/mcgiftz/status/1620852427070255107")</f>
        <v>https://twitter.com/mcgiftz/status/1620852427070255107</v>
      </c>
      <c r="AC2002" s="78" t="s">
        <v>3776</v>
      </c>
      <c r="AE2002" t="b">
        <v>0</v>
      </c>
      <c r="AF2002">
        <v>0</v>
      </c>
      <c r="AG2002" s="78" t="s">
        <v>4640</v>
      </c>
      <c r="AH2002" t="b">
        <v>0</v>
      </c>
      <c r="AI2002" t="s">
        <v>4829</v>
      </c>
      <c r="AK2002" s="78" t="s">
        <v>4640</v>
      </c>
      <c r="AL2002" t="b">
        <v>0</v>
      </c>
      <c r="AM2002">
        <v>162</v>
      </c>
      <c r="AN2002" s="78" t="s">
        <v>4473</v>
      </c>
      <c r="AO2002" s="78" t="s">
        <v>4849</v>
      </c>
      <c r="AP2002" t="b">
        <v>0</v>
      </c>
      <c r="AQ2002" s="78" t="s">
        <v>4473</v>
      </c>
      <c r="AR2002" t="s">
        <v>179</v>
      </c>
      <c r="AS2002">
        <v>0</v>
      </c>
      <c r="AT2002">
        <v>0</v>
      </c>
    </row>
    <row r="2003" spans="1:46" x14ac:dyDescent="0.45">
      <c r="A2003" s="62" t="s">
        <v>519</v>
      </c>
      <c r="B2003" s="62" t="s">
        <v>242</v>
      </c>
      <c r="C2003" s="63"/>
      <c r="D2003" s="64"/>
      <c r="E2003" s="65"/>
      <c r="F2003" s="66"/>
      <c r="G2003" s="63"/>
      <c r="H2003" s="67"/>
      <c r="I2003" s="68"/>
      <c r="J2003" s="68"/>
      <c r="K2003" s="32"/>
      <c r="L2003" s="75"/>
      <c r="M2003" s="75"/>
      <c r="N2003" s="70"/>
      <c r="O2003" t="s">
        <v>1567</v>
      </c>
      <c r="P2003" s="76">
        <v>44958.774837962963</v>
      </c>
      <c r="Q2003" t="s">
        <v>1797</v>
      </c>
      <c r="V2003" s="77" t="str">
        <f>HYPERLINK("https://pbs.twimg.com/profile_images/1361110512394731520/2uWR9JLX_normal.jpg")</f>
        <v>https://pbs.twimg.com/profile_images/1361110512394731520/2uWR9JLX_normal.jpg</v>
      </c>
      <c r="W2003" s="76">
        <v>44958.774837962963</v>
      </c>
      <c r="X2003" s="80">
        <v>44958</v>
      </c>
      <c r="Y2003" s="78" t="s">
        <v>2760</v>
      </c>
      <c r="Z2003" s="77" t="str">
        <f>HYPERLINK("https://twitter.com/callnit365/status/1620853429957709829")</f>
        <v>https://twitter.com/callnit365/status/1620853429957709829</v>
      </c>
      <c r="AC2003" s="78" t="s">
        <v>3779</v>
      </c>
      <c r="AE2003" t="b">
        <v>0</v>
      </c>
      <c r="AF2003">
        <v>0</v>
      </c>
      <c r="AG2003" s="78" t="s">
        <v>4639</v>
      </c>
      <c r="AH2003" t="b">
        <v>0</v>
      </c>
      <c r="AI2003" t="s">
        <v>4829</v>
      </c>
      <c r="AK2003" s="78" t="s">
        <v>4640</v>
      </c>
      <c r="AL2003" t="b">
        <v>0</v>
      </c>
      <c r="AM2003">
        <v>0</v>
      </c>
      <c r="AN2003" s="78" t="s">
        <v>4640</v>
      </c>
      <c r="AO2003" s="78" t="s">
        <v>4849</v>
      </c>
      <c r="AP2003" t="b">
        <v>0</v>
      </c>
      <c r="AQ2003" s="78" t="s">
        <v>3779</v>
      </c>
      <c r="AR2003" t="s">
        <v>179</v>
      </c>
      <c r="AS2003">
        <v>0</v>
      </c>
      <c r="AT2003">
        <v>0</v>
      </c>
    </row>
    <row r="2004" spans="1:46" x14ac:dyDescent="0.45">
      <c r="A2004" s="62" t="s">
        <v>522</v>
      </c>
      <c r="B2004" s="62" t="s">
        <v>1295</v>
      </c>
      <c r="C2004" s="63"/>
      <c r="D2004" s="64"/>
      <c r="E2004" s="65"/>
      <c r="F2004" s="66"/>
      <c r="G2004" s="63"/>
      <c r="H2004" s="67"/>
      <c r="I2004" s="68"/>
      <c r="J2004" s="68"/>
      <c r="K2004" s="32"/>
      <c r="L2004" s="75"/>
      <c r="M2004" s="75"/>
      <c r="N2004" s="70"/>
      <c r="O2004" t="s">
        <v>1568</v>
      </c>
      <c r="P2004" s="76">
        <v>44958.780138888891</v>
      </c>
      <c r="Q2004" t="s">
        <v>1799</v>
      </c>
      <c r="V2004" s="77" t="str">
        <f>HYPERLINK("https://pbs.twimg.com/profile_images/1591219951091621888/BQwKhB7A_normal.jpg")</f>
        <v>https://pbs.twimg.com/profile_images/1591219951091621888/BQwKhB7A_normal.jpg</v>
      </c>
      <c r="W2004" s="76">
        <v>44958.780138888891</v>
      </c>
      <c r="X2004" s="80">
        <v>44958</v>
      </c>
      <c r="Y2004" s="78" t="s">
        <v>2763</v>
      </c>
      <c r="Z2004" s="77" t="str">
        <f>HYPERLINK("https://twitter.com/adayareisanur/status/1620855351611654144")</f>
        <v>https://twitter.com/adayareisanur/status/1620855351611654144</v>
      </c>
      <c r="AC2004" s="78" t="s">
        <v>3782</v>
      </c>
      <c r="AD2004" s="78" t="s">
        <v>4545</v>
      </c>
      <c r="AE2004" t="b">
        <v>0</v>
      </c>
      <c r="AF2004">
        <v>0</v>
      </c>
      <c r="AG2004" s="78" t="s">
        <v>4711</v>
      </c>
      <c r="AH2004" t="b">
        <v>0</v>
      </c>
      <c r="AI2004" t="s">
        <v>4829</v>
      </c>
      <c r="AK2004" s="78" t="s">
        <v>4640</v>
      </c>
      <c r="AL2004" t="b">
        <v>0</v>
      </c>
      <c r="AM2004">
        <v>0</v>
      </c>
      <c r="AN2004" s="78" t="s">
        <v>4640</v>
      </c>
      <c r="AO2004" s="78" t="s">
        <v>4851</v>
      </c>
      <c r="AP2004" t="b">
        <v>0</v>
      </c>
      <c r="AQ2004" s="78" t="s">
        <v>4545</v>
      </c>
      <c r="AR2004" t="s">
        <v>179</v>
      </c>
      <c r="AS2004">
        <v>0</v>
      </c>
      <c r="AT2004">
        <v>0</v>
      </c>
    </row>
    <row r="2005" spans="1:46" x14ac:dyDescent="0.45">
      <c r="A2005" s="62" t="s">
        <v>522</v>
      </c>
      <c r="B2005" s="62" t="s">
        <v>242</v>
      </c>
      <c r="C2005" s="63"/>
      <c r="D2005" s="64"/>
      <c r="E2005" s="65"/>
      <c r="F2005" s="66"/>
      <c r="G2005" s="63"/>
      <c r="H2005" s="67"/>
      <c r="I2005" s="68"/>
      <c r="J2005" s="68"/>
      <c r="K2005" s="32"/>
      <c r="L2005" s="75"/>
      <c r="M2005" s="75"/>
      <c r="N2005" s="70"/>
      <c r="O2005" t="s">
        <v>1568</v>
      </c>
      <c r="P2005" s="76">
        <v>44958.780138888891</v>
      </c>
      <c r="Q2005" t="s">
        <v>1799</v>
      </c>
      <c r="V2005" s="77" t="str">
        <f>HYPERLINK("https://pbs.twimg.com/profile_images/1591219951091621888/BQwKhB7A_normal.jpg")</f>
        <v>https://pbs.twimg.com/profile_images/1591219951091621888/BQwKhB7A_normal.jpg</v>
      </c>
      <c r="W2005" s="76">
        <v>44958.780138888891</v>
      </c>
      <c r="X2005" s="80">
        <v>44958</v>
      </c>
      <c r="Y2005" s="78" t="s">
        <v>2763</v>
      </c>
      <c r="Z2005" s="77" t="str">
        <f>HYPERLINK("https://twitter.com/adayareisanur/status/1620855351611654144")</f>
        <v>https://twitter.com/adayareisanur/status/1620855351611654144</v>
      </c>
      <c r="AC2005" s="78" t="s">
        <v>3782</v>
      </c>
      <c r="AD2005" s="78" t="s">
        <v>4545</v>
      </c>
      <c r="AE2005" t="b">
        <v>0</v>
      </c>
      <c r="AF2005">
        <v>0</v>
      </c>
      <c r="AG2005" s="78" t="s">
        <v>4711</v>
      </c>
      <c r="AH2005" t="b">
        <v>0</v>
      </c>
      <c r="AI2005" t="s">
        <v>4829</v>
      </c>
      <c r="AK2005" s="78" t="s">
        <v>4640</v>
      </c>
      <c r="AL2005" t="b">
        <v>0</v>
      </c>
      <c r="AM2005">
        <v>0</v>
      </c>
      <c r="AN2005" s="78" t="s">
        <v>4640</v>
      </c>
      <c r="AO2005" s="78" t="s">
        <v>4851</v>
      </c>
      <c r="AP2005" t="b">
        <v>0</v>
      </c>
      <c r="AQ2005" s="78" t="s">
        <v>4545</v>
      </c>
      <c r="AR2005" t="s">
        <v>179</v>
      </c>
      <c r="AS2005">
        <v>0</v>
      </c>
      <c r="AT2005">
        <v>0</v>
      </c>
    </row>
    <row r="2006" spans="1:46" x14ac:dyDescent="0.45">
      <c r="A2006" s="62" t="s">
        <v>524</v>
      </c>
      <c r="B2006" s="62" t="s">
        <v>242</v>
      </c>
      <c r="C2006" s="63"/>
      <c r="D2006" s="64"/>
      <c r="E2006" s="65"/>
      <c r="F2006" s="66"/>
      <c r="G2006" s="63"/>
      <c r="H2006" s="67"/>
      <c r="I2006" s="68"/>
      <c r="J2006" s="68"/>
      <c r="K2006" s="32"/>
      <c r="L2006" s="75"/>
      <c r="M2006" s="75"/>
      <c r="N2006" s="70"/>
      <c r="O2006" t="s">
        <v>1569</v>
      </c>
      <c r="P2006" s="76">
        <v>44958.780601851853</v>
      </c>
      <c r="Q2006" t="s">
        <v>1800</v>
      </c>
      <c r="V2006" s="77" t="str">
        <f>HYPERLINK("https://pbs.twimg.com/profile_images/1400134954210578435/IP9jxkfm_normal.jpg")</f>
        <v>https://pbs.twimg.com/profile_images/1400134954210578435/IP9jxkfm_normal.jpg</v>
      </c>
      <c r="W2006" s="76">
        <v>44958.780601851853</v>
      </c>
      <c r="X2006" s="80">
        <v>44958</v>
      </c>
      <c r="Y2006" s="78" t="s">
        <v>2766</v>
      </c>
      <c r="Z2006" s="77" t="str">
        <f>HYPERLINK("https://twitter.com/dirtybyrdgames/status/1620855517655728129")</f>
        <v>https://twitter.com/dirtybyrdgames/status/1620855517655728129</v>
      </c>
      <c r="AC2006" s="78" t="s">
        <v>3785</v>
      </c>
      <c r="AE2006" t="b">
        <v>0</v>
      </c>
      <c r="AF2006">
        <v>0</v>
      </c>
      <c r="AG2006" s="78" t="s">
        <v>4640</v>
      </c>
      <c r="AH2006" t="b">
        <v>0</v>
      </c>
      <c r="AI2006" t="s">
        <v>4829</v>
      </c>
      <c r="AK2006" s="78" t="s">
        <v>4640</v>
      </c>
      <c r="AL2006" t="b">
        <v>0</v>
      </c>
      <c r="AM2006">
        <v>1</v>
      </c>
      <c r="AN2006" s="78" t="s">
        <v>3784</v>
      </c>
      <c r="AO2006" s="78" t="s">
        <v>4851</v>
      </c>
      <c r="AP2006" t="b">
        <v>0</v>
      </c>
      <c r="AQ2006" s="78" t="s">
        <v>3784</v>
      </c>
      <c r="AR2006" t="s">
        <v>179</v>
      </c>
      <c r="AS2006">
        <v>0</v>
      </c>
      <c r="AT2006">
        <v>0</v>
      </c>
    </row>
    <row r="2007" spans="1:46" x14ac:dyDescent="0.45">
      <c r="A2007" s="62" t="s">
        <v>525</v>
      </c>
      <c r="B2007" s="62" t="s">
        <v>1230</v>
      </c>
      <c r="C2007" s="63"/>
      <c r="D2007" s="64"/>
      <c r="E2007" s="65"/>
      <c r="F2007" s="66"/>
      <c r="G2007" s="63"/>
      <c r="H2007" s="67"/>
      <c r="I2007" s="68"/>
      <c r="J2007" s="68"/>
      <c r="K2007" s="32"/>
      <c r="L2007" s="75"/>
      <c r="M2007" s="75"/>
      <c r="N2007" s="70"/>
      <c r="O2007" t="s">
        <v>1570</v>
      </c>
      <c r="P2007" s="76">
        <v>44958.780740740738</v>
      </c>
      <c r="Q2007" t="s">
        <v>1693</v>
      </c>
      <c r="V2007" s="77" t="str">
        <f>HYPERLINK("https://pbs.twimg.com/profile_images/1594026179476045826/L89sMfYM_normal.jpg")</f>
        <v>https://pbs.twimg.com/profile_images/1594026179476045826/L89sMfYM_normal.jpg</v>
      </c>
      <c r="W2007" s="76">
        <v>44958.780740740738</v>
      </c>
      <c r="X2007" s="80">
        <v>44958</v>
      </c>
      <c r="Y2007" s="78" t="s">
        <v>2767</v>
      </c>
      <c r="Z2007" s="77" t="str">
        <f>HYPERLINK("https://twitter.com/night_crawlingx/status/1620855570113912832")</f>
        <v>https://twitter.com/night_crawlingx/status/1620855570113912832</v>
      </c>
      <c r="AC2007" s="78" t="s">
        <v>3786</v>
      </c>
      <c r="AE2007" t="b">
        <v>0</v>
      </c>
      <c r="AF2007">
        <v>0</v>
      </c>
      <c r="AG2007" s="78" t="s">
        <v>4640</v>
      </c>
      <c r="AH2007" t="b">
        <v>0</v>
      </c>
      <c r="AI2007" t="s">
        <v>4829</v>
      </c>
      <c r="AK2007" s="78" t="s">
        <v>4640</v>
      </c>
      <c r="AL2007" t="b">
        <v>0</v>
      </c>
      <c r="AM2007">
        <v>162</v>
      </c>
      <c r="AN2007" s="78" t="s">
        <v>4473</v>
      </c>
      <c r="AO2007" s="78" t="s">
        <v>4850</v>
      </c>
      <c r="AP2007" t="b">
        <v>0</v>
      </c>
      <c r="AQ2007" s="78" t="s">
        <v>4473</v>
      </c>
      <c r="AR2007" t="s">
        <v>179</v>
      </c>
      <c r="AS2007">
        <v>0</v>
      </c>
      <c r="AT2007">
        <v>0</v>
      </c>
    </row>
    <row r="2008" spans="1:46" x14ac:dyDescent="0.45">
      <c r="A2008" s="62" t="s">
        <v>525</v>
      </c>
      <c r="B2008" s="62" t="s">
        <v>242</v>
      </c>
      <c r="C2008" s="63"/>
      <c r="D2008" s="64"/>
      <c r="E2008" s="65"/>
      <c r="F2008" s="66"/>
      <c r="G2008" s="63"/>
      <c r="H2008" s="67"/>
      <c r="I2008" s="68"/>
      <c r="J2008" s="68"/>
      <c r="K2008" s="32"/>
      <c r="L2008" s="75"/>
      <c r="M2008" s="75"/>
      <c r="N2008" s="70"/>
      <c r="O2008" t="s">
        <v>1569</v>
      </c>
      <c r="P2008" s="76">
        <v>44958.780740740738</v>
      </c>
      <c r="Q2008" t="s">
        <v>1693</v>
      </c>
      <c r="V2008" s="77" t="str">
        <f>HYPERLINK("https://pbs.twimg.com/profile_images/1594026179476045826/L89sMfYM_normal.jpg")</f>
        <v>https://pbs.twimg.com/profile_images/1594026179476045826/L89sMfYM_normal.jpg</v>
      </c>
      <c r="W2008" s="76">
        <v>44958.780740740738</v>
      </c>
      <c r="X2008" s="80">
        <v>44958</v>
      </c>
      <c r="Y2008" s="78" t="s">
        <v>2767</v>
      </c>
      <c r="Z2008" s="77" t="str">
        <f>HYPERLINK("https://twitter.com/night_crawlingx/status/1620855570113912832")</f>
        <v>https://twitter.com/night_crawlingx/status/1620855570113912832</v>
      </c>
      <c r="AC2008" s="78" t="s">
        <v>3786</v>
      </c>
      <c r="AE2008" t="b">
        <v>0</v>
      </c>
      <c r="AF2008">
        <v>0</v>
      </c>
      <c r="AG2008" s="78" t="s">
        <v>4640</v>
      </c>
      <c r="AH2008" t="b">
        <v>0</v>
      </c>
      <c r="AI2008" t="s">
        <v>4829</v>
      </c>
      <c r="AK2008" s="78" t="s">
        <v>4640</v>
      </c>
      <c r="AL2008" t="b">
        <v>0</v>
      </c>
      <c r="AM2008">
        <v>162</v>
      </c>
      <c r="AN2008" s="78" t="s">
        <v>4473</v>
      </c>
      <c r="AO2008" s="78" t="s">
        <v>4850</v>
      </c>
      <c r="AP2008" t="b">
        <v>0</v>
      </c>
      <c r="AQ2008" s="78" t="s">
        <v>4473</v>
      </c>
      <c r="AR2008" t="s">
        <v>179</v>
      </c>
      <c r="AS2008">
        <v>0</v>
      </c>
      <c r="AT2008">
        <v>0</v>
      </c>
    </row>
    <row r="2009" spans="1:46" x14ac:dyDescent="0.45">
      <c r="A2009" s="62" t="s">
        <v>526</v>
      </c>
      <c r="B2009" s="62" t="s">
        <v>1230</v>
      </c>
      <c r="C2009" s="63"/>
      <c r="D2009" s="64"/>
      <c r="E2009" s="65"/>
      <c r="F2009" s="66"/>
      <c r="G2009" s="63"/>
      <c r="H2009" s="67"/>
      <c r="I2009" s="68"/>
      <c r="J2009" s="68"/>
      <c r="K2009" s="32"/>
      <c r="L2009" s="75"/>
      <c r="M2009" s="75"/>
      <c r="N2009" s="70"/>
      <c r="O2009" t="s">
        <v>1570</v>
      </c>
      <c r="P2009" s="76">
        <v>44958.780995370369</v>
      </c>
      <c r="Q2009" t="s">
        <v>1693</v>
      </c>
      <c r="V2009" s="77" t="str">
        <f>HYPERLINK("https://pbs.twimg.com/profile_images/1620944649396289536/bKr7Cg5U_normal.jpg")</f>
        <v>https://pbs.twimg.com/profile_images/1620944649396289536/bKr7Cg5U_normal.jpg</v>
      </c>
      <c r="W2009" s="76">
        <v>44958.780995370369</v>
      </c>
      <c r="X2009" s="80">
        <v>44958</v>
      </c>
      <c r="Y2009" s="78" t="s">
        <v>2768</v>
      </c>
      <c r="Z2009" s="77" t="str">
        <f>HYPERLINK("https://twitter.com/cyrusonstats/status/1620855661973372929")</f>
        <v>https://twitter.com/cyrusonstats/status/1620855661973372929</v>
      </c>
      <c r="AC2009" s="78" t="s">
        <v>3787</v>
      </c>
      <c r="AE2009" t="b">
        <v>0</v>
      </c>
      <c r="AF2009">
        <v>0</v>
      </c>
      <c r="AG2009" s="78" t="s">
        <v>4640</v>
      </c>
      <c r="AH2009" t="b">
        <v>0</v>
      </c>
      <c r="AI2009" t="s">
        <v>4829</v>
      </c>
      <c r="AK2009" s="78" t="s">
        <v>4640</v>
      </c>
      <c r="AL2009" t="b">
        <v>0</v>
      </c>
      <c r="AM2009">
        <v>162</v>
      </c>
      <c r="AN2009" s="78" t="s">
        <v>4473</v>
      </c>
      <c r="AO2009" s="78" t="s">
        <v>4849</v>
      </c>
      <c r="AP2009" t="b">
        <v>0</v>
      </c>
      <c r="AQ2009" s="78" t="s">
        <v>4473</v>
      </c>
      <c r="AR2009" t="s">
        <v>179</v>
      </c>
      <c r="AS2009">
        <v>0</v>
      </c>
      <c r="AT2009">
        <v>0</v>
      </c>
    </row>
    <row r="2010" spans="1:46" x14ac:dyDescent="0.45">
      <c r="A2010" s="62" t="s">
        <v>526</v>
      </c>
      <c r="B2010" s="62" t="s">
        <v>242</v>
      </c>
      <c r="C2010" s="63"/>
      <c r="D2010" s="64"/>
      <c r="E2010" s="65"/>
      <c r="F2010" s="66"/>
      <c r="G2010" s="63"/>
      <c r="H2010" s="67"/>
      <c r="I2010" s="68"/>
      <c r="J2010" s="68"/>
      <c r="K2010" s="32"/>
      <c r="L2010" s="75"/>
      <c r="M2010" s="75"/>
      <c r="N2010" s="70"/>
      <c r="O2010" t="s">
        <v>1569</v>
      </c>
      <c r="P2010" s="76">
        <v>44958.780995370369</v>
      </c>
      <c r="Q2010" t="s">
        <v>1693</v>
      </c>
      <c r="V2010" s="77" t="str">
        <f>HYPERLINK("https://pbs.twimg.com/profile_images/1620944649396289536/bKr7Cg5U_normal.jpg")</f>
        <v>https://pbs.twimg.com/profile_images/1620944649396289536/bKr7Cg5U_normal.jpg</v>
      </c>
      <c r="W2010" s="76">
        <v>44958.780995370369</v>
      </c>
      <c r="X2010" s="80">
        <v>44958</v>
      </c>
      <c r="Y2010" s="78" t="s">
        <v>2768</v>
      </c>
      <c r="Z2010" s="77" t="str">
        <f>HYPERLINK("https://twitter.com/cyrusonstats/status/1620855661973372929")</f>
        <v>https://twitter.com/cyrusonstats/status/1620855661973372929</v>
      </c>
      <c r="AC2010" s="78" t="s">
        <v>3787</v>
      </c>
      <c r="AE2010" t="b">
        <v>0</v>
      </c>
      <c r="AF2010">
        <v>0</v>
      </c>
      <c r="AG2010" s="78" t="s">
        <v>4640</v>
      </c>
      <c r="AH2010" t="b">
        <v>0</v>
      </c>
      <c r="AI2010" t="s">
        <v>4829</v>
      </c>
      <c r="AK2010" s="78" t="s">
        <v>4640</v>
      </c>
      <c r="AL2010" t="b">
        <v>0</v>
      </c>
      <c r="AM2010">
        <v>162</v>
      </c>
      <c r="AN2010" s="78" t="s">
        <v>4473</v>
      </c>
      <c r="AO2010" s="78" t="s">
        <v>4849</v>
      </c>
      <c r="AP2010" t="b">
        <v>0</v>
      </c>
      <c r="AQ2010" s="78" t="s">
        <v>4473</v>
      </c>
      <c r="AR2010" t="s">
        <v>179</v>
      </c>
      <c r="AS2010">
        <v>0</v>
      </c>
      <c r="AT2010">
        <v>0</v>
      </c>
    </row>
    <row r="2011" spans="1:46" x14ac:dyDescent="0.45">
      <c r="A2011" s="62" t="s">
        <v>527</v>
      </c>
      <c r="B2011" s="62" t="s">
        <v>1230</v>
      </c>
      <c r="C2011" s="63"/>
      <c r="D2011" s="64"/>
      <c r="E2011" s="65"/>
      <c r="F2011" s="66"/>
      <c r="G2011" s="63"/>
      <c r="H2011" s="67"/>
      <c r="I2011" s="68"/>
      <c r="J2011" s="68"/>
      <c r="K2011" s="32"/>
      <c r="L2011" s="75"/>
      <c r="M2011" s="75"/>
      <c r="N2011" s="70"/>
      <c r="O2011" t="s">
        <v>1570</v>
      </c>
      <c r="P2011" s="76">
        <v>44958.781168981484</v>
      </c>
      <c r="Q2011" t="s">
        <v>1693</v>
      </c>
      <c r="V2011" s="77" t="str">
        <f>HYPERLINK("https://pbs.twimg.com/profile_images/1589624162884079616/-dAVs09b_normal.jpg")</f>
        <v>https://pbs.twimg.com/profile_images/1589624162884079616/-dAVs09b_normal.jpg</v>
      </c>
      <c r="W2011" s="76">
        <v>44958.781168981484</v>
      </c>
      <c r="X2011" s="80">
        <v>44958</v>
      </c>
      <c r="Y2011" s="78" t="s">
        <v>2769</v>
      </c>
      <c r="Z2011" s="77" t="str">
        <f>HYPERLINK("https://twitter.com/dennisrs10/status/1620855723927404544")</f>
        <v>https://twitter.com/dennisrs10/status/1620855723927404544</v>
      </c>
      <c r="AC2011" s="78" t="s">
        <v>3788</v>
      </c>
      <c r="AE2011" t="b">
        <v>0</v>
      </c>
      <c r="AF2011">
        <v>0</v>
      </c>
      <c r="AG2011" s="78" t="s">
        <v>4640</v>
      </c>
      <c r="AH2011" t="b">
        <v>0</v>
      </c>
      <c r="AI2011" t="s">
        <v>4829</v>
      </c>
      <c r="AK2011" s="78" t="s">
        <v>4640</v>
      </c>
      <c r="AL2011" t="b">
        <v>0</v>
      </c>
      <c r="AM2011">
        <v>162</v>
      </c>
      <c r="AN2011" s="78" t="s">
        <v>4473</v>
      </c>
      <c r="AO2011" s="78" t="s">
        <v>4849</v>
      </c>
      <c r="AP2011" t="b">
        <v>0</v>
      </c>
      <c r="AQ2011" s="78" t="s">
        <v>4473</v>
      </c>
      <c r="AR2011" t="s">
        <v>179</v>
      </c>
      <c r="AS2011">
        <v>0</v>
      </c>
      <c r="AT2011">
        <v>0</v>
      </c>
    </row>
    <row r="2012" spans="1:46" x14ac:dyDescent="0.45">
      <c r="A2012" s="62" t="s">
        <v>527</v>
      </c>
      <c r="B2012" s="62" t="s">
        <v>242</v>
      </c>
      <c r="C2012" s="63"/>
      <c r="D2012" s="64"/>
      <c r="E2012" s="65"/>
      <c r="F2012" s="66"/>
      <c r="G2012" s="63"/>
      <c r="H2012" s="67"/>
      <c r="I2012" s="68"/>
      <c r="J2012" s="68"/>
      <c r="K2012" s="32"/>
      <c r="L2012" s="75"/>
      <c r="M2012" s="75"/>
      <c r="N2012" s="70"/>
      <c r="O2012" t="s">
        <v>1569</v>
      </c>
      <c r="P2012" s="76">
        <v>44958.781168981484</v>
      </c>
      <c r="Q2012" t="s">
        <v>1693</v>
      </c>
      <c r="V2012" s="77" t="str">
        <f>HYPERLINK("https://pbs.twimg.com/profile_images/1589624162884079616/-dAVs09b_normal.jpg")</f>
        <v>https://pbs.twimg.com/profile_images/1589624162884079616/-dAVs09b_normal.jpg</v>
      </c>
      <c r="W2012" s="76">
        <v>44958.781168981484</v>
      </c>
      <c r="X2012" s="80">
        <v>44958</v>
      </c>
      <c r="Y2012" s="78" t="s">
        <v>2769</v>
      </c>
      <c r="Z2012" s="77" t="str">
        <f>HYPERLINK("https://twitter.com/dennisrs10/status/1620855723927404544")</f>
        <v>https://twitter.com/dennisrs10/status/1620855723927404544</v>
      </c>
      <c r="AC2012" s="78" t="s">
        <v>3788</v>
      </c>
      <c r="AE2012" t="b">
        <v>0</v>
      </c>
      <c r="AF2012">
        <v>0</v>
      </c>
      <c r="AG2012" s="78" t="s">
        <v>4640</v>
      </c>
      <c r="AH2012" t="b">
        <v>0</v>
      </c>
      <c r="AI2012" t="s">
        <v>4829</v>
      </c>
      <c r="AK2012" s="78" t="s">
        <v>4640</v>
      </c>
      <c r="AL2012" t="b">
        <v>0</v>
      </c>
      <c r="AM2012">
        <v>162</v>
      </c>
      <c r="AN2012" s="78" t="s">
        <v>4473</v>
      </c>
      <c r="AO2012" s="78" t="s">
        <v>4849</v>
      </c>
      <c r="AP2012" t="b">
        <v>0</v>
      </c>
      <c r="AQ2012" s="78" t="s">
        <v>4473</v>
      </c>
      <c r="AR2012" t="s">
        <v>179</v>
      </c>
      <c r="AS2012">
        <v>0</v>
      </c>
      <c r="AT2012">
        <v>0</v>
      </c>
    </row>
    <row r="2013" spans="1:46" x14ac:dyDescent="0.45">
      <c r="A2013" s="62" t="s">
        <v>529</v>
      </c>
      <c r="B2013" s="62" t="s">
        <v>1296</v>
      </c>
      <c r="C2013" s="63"/>
      <c r="D2013" s="64"/>
      <c r="E2013" s="65"/>
      <c r="F2013" s="66"/>
      <c r="G2013" s="63"/>
      <c r="H2013" s="67"/>
      <c r="I2013" s="68"/>
      <c r="J2013" s="68"/>
      <c r="K2013" s="32"/>
      <c r="L2013" s="75"/>
      <c r="M2013" s="75"/>
      <c r="N2013" s="70"/>
      <c r="O2013" t="s">
        <v>1568</v>
      </c>
      <c r="P2013" s="76">
        <v>44958.781921296293</v>
      </c>
      <c r="Q2013" t="s">
        <v>1802</v>
      </c>
      <c r="V2013" s="77" t="str">
        <f>HYPERLINK("https://pbs.twimg.com/profile_images/1588927626990731268/18gkD8xm_normal.jpg")</f>
        <v>https://pbs.twimg.com/profile_images/1588927626990731268/18gkD8xm_normal.jpg</v>
      </c>
      <c r="W2013" s="76">
        <v>44958.781921296293</v>
      </c>
      <c r="X2013" s="80">
        <v>44958</v>
      </c>
      <c r="Y2013" s="78" t="s">
        <v>2771</v>
      </c>
      <c r="Z2013" s="77" t="str">
        <f>HYPERLINK("https://twitter.com/chibi_nova21/status/1620855998930886661")</f>
        <v>https://twitter.com/chibi_nova21/status/1620855998930886661</v>
      </c>
      <c r="AC2013" s="78" t="s">
        <v>3790</v>
      </c>
      <c r="AD2013" s="78" t="s">
        <v>3789</v>
      </c>
      <c r="AE2013" t="b">
        <v>0</v>
      </c>
      <c r="AF2013">
        <v>0</v>
      </c>
      <c r="AG2013" s="78" t="s">
        <v>4714</v>
      </c>
      <c r="AH2013" t="b">
        <v>0</v>
      </c>
      <c r="AI2013" t="s">
        <v>4829</v>
      </c>
      <c r="AK2013" s="78" t="s">
        <v>4640</v>
      </c>
      <c r="AL2013" t="b">
        <v>0</v>
      </c>
      <c r="AM2013">
        <v>0</v>
      </c>
      <c r="AN2013" s="78" t="s">
        <v>4640</v>
      </c>
      <c r="AO2013" s="78" t="s">
        <v>4849</v>
      </c>
      <c r="AP2013" t="b">
        <v>0</v>
      </c>
      <c r="AQ2013" s="78" t="s">
        <v>3789</v>
      </c>
      <c r="AR2013" t="s">
        <v>179</v>
      </c>
      <c r="AS2013">
        <v>0</v>
      </c>
      <c r="AT2013">
        <v>0</v>
      </c>
    </row>
    <row r="2014" spans="1:46" x14ac:dyDescent="0.45">
      <c r="A2014" s="62" t="s">
        <v>529</v>
      </c>
      <c r="B2014" s="62" t="s">
        <v>528</v>
      </c>
      <c r="C2014" s="63"/>
      <c r="D2014" s="64"/>
      <c r="E2014" s="65"/>
      <c r="F2014" s="66"/>
      <c r="G2014" s="63"/>
      <c r="H2014" s="67"/>
      <c r="I2014" s="68"/>
      <c r="J2014" s="68"/>
      <c r="K2014" s="32"/>
      <c r="L2014" s="75"/>
      <c r="M2014" s="75"/>
      <c r="N2014" s="70"/>
      <c r="O2014" t="s">
        <v>1567</v>
      </c>
      <c r="P2014" s="76">
        <v>44958.781921296293</v>
      </c>
      <c r="Q2014" t="s">
        <v>1802</v>
      </c>
      <c r="V2014" s="77" t="str">
        <f>HYPERLINK("https://pbs.twimg.com/profile_images/1588927626990731268/18gkD8xm_normal.jpg")</f>
        <v>https://pbs.twimg.com/profile_images/1588927626990731268/18gkD8xm_normal.jpg</v>
      </c>
      <c r="W2014" s="76">
        <v>44958.781921296293</v>
      </c>
      <c r="X2014" s="80">
        <v>44958</v>
      </c>
      <c r="Y2014" s="78" t="s">
        <v>2771</v>
      </c>
      <c r="Z2014" s="77" t="str">
        <f>HYPERLINK("https://twitter.com/chibi_nova21/status/1620855998930886661")</f>
        <v>https://twitter.com/chibi_nova21/status/1620855998930886661</v>
      </c>
      <c r="AC2014" s="78" t="s">
        <v>3790</v>
      </c>
      <c r="AD2014" s="78" t="s">
        <v>3789</v>
      </c>
      <c r="AE2014" t="b">
        <v>0</v>
      </c>
      <c r="AF2014">
        <v>0</v>
      </c>
      <c r="AG2014" s="78" t="s">
        <v>4714</v>
      </c>
      <c r="AH2014" t="b">
        <v>0</v>
      </c>
      <c r="AI2014" t="s">
        <v>4829</v>
      </c>
      <c r="AK2014" s="78" t="s">
        <v>4640</v>
      </c>
      <c r="AL2014" t="b">
        <v>0</v>
      </c>
      <c r="AM2014">
        <v>0</v>
      </c>
      <c r="AN2014" s="78" t="s">
        <v>4640</v>
      </c>
      <c r="AO2014" s="78" t="s">
        <v>4849</v>
      </c>
      <c r="AP2014" t="b">
        <v>0</v>
      </c>
      <c r="AQ2014" s="78" t="s">
        <v>3789</v>
      </c>
      <c r="AR2014" t="s">
        <v>179</v>
      </c>
      <c r="AS2014">
        <v>0</v>
      </c>
      <c r="AT2014">
        <v>0</v>
      </c>
    </row>
    <row r="2015" spans="1:46" x14ac:dyDescent="0.45">
      <c r="A2015" s="62" t="s">
        <v>529</v>
      </c>
      <c r="B2015" s="62" t="s">
        <v>242</v>
      </c>
      <c r="C2015" s="63"/>
      <c r="D2015" s="64"/>
      <c r="E2015" s="65"/>
      <c r="F2015" s="66"/>
      <c r="G2015" s="63"/>
      <c r="H2015" s="67"/>
      <c r="I2015" s="68"/>
      <c r="J2015" s="68"/>
      <c r="K2015" s="32"/>
      <c r="L2015" s="75"/>
      <c r="M2015" s="75"/>
      <c r="N2015" s="70"/>
      <c r="O2015" t="s">
        <v>1568</v>
      </c>
      <c r="P2015" s="76">
        <v>44958.781921296293</v>
      </c>
      <c r="Q2015" t="s">
        <v>1802</v>
      </c>
      <c r="V2015" s="77" t="str">
        <f>HYPERLINK("https://pbs.twimg.com/profile_images/1588927626990731268/18gkD8xm_normal.jpg")</f>
        <v>https://pbs.twimg.com/profile_images/1588927626990731268/18gkD8xm_normal.jpg</v>
      </c>
      <c r="W2015" s="76">
        <v>44958.781921296293</v>
      </c>
      <c r="X2015" s="80">
        <v>44958</v>
      </c>
      <c r="Y2015" s="78" t="s">
        <v>2771</v>
      </c>
      <c r="Z2015" s="77" t="str">
        <f>HYPERLINK("https://twitter.com/chibi_nova21/status/1620855998930886661")</f>
        <v>https://twitter.com/chibi_nova21/status/1620855998930886661</v>
      </c>
      <c r="AC2015" s="78" t="s">
        <v>3790</v>
      </c>
      <c r="AD2015" s="78" t="s">
        <v>3789</v>
      </c>
      <c r="AE2015" t="b">
        <v>0</v>
      </c>
      <c r="AF2015">
        <v>0</v>
      </c>
      <c r="AG2015" s="78" t="s">
        <v>4714</v>
      </c>
      <c r="AH2015" t="b">
        <v>0</v>
      </c>
      <c r="AI2015" t="s">
        <v>4829</v>
      </c>
      <c r="AK2015" s="78" t="s">
        <v>4640</v>
      </c>
      <c r="AL2015" t="b">
        <v>0</v>
      </c>
      <c r="AM2015">
        <v>0</v>
      </c>
      <c r="AN2015" s="78" t="s">
        <v>4640</v>
      </c>
      <c r="AO2015" s="78" t="s">
        <v>4849</v>
      </c>
      <c r="AP2015" t="b">
        <v>0</v>
      </c>
      <c r="AQ2015" s="78" t="s">
        <v>3789</v>
      </c>
      <c r="AR2015" t="s">
        <v>179</v>
      </c>
      <c r="AS2015">
        <v>0</v>
      </c>
      <c r="AT2015">
        <v>0</v>
      </c>
    </row>
    <row r="2016" spans="1:46" x14ac:dyDescent="0.45">
      <c r="A2016" s="62" t="s">
        <v>529</v>
      </c>
      <c r="B2016" s="62" t="s">
        <v>1297</v>
      </c>
      <c r="C2016" s="63"/>
      <c r="D2016" s="64"/>
      <c r="E2016" s="65"/>
      <c r="F2016" s="66"/>
      <c r="G2016" s="63"/>
      <c r="H2016" s="67"/>
      <c r="I2016" s="68"/>
      <c r="J2016" s="68"/>
      <c r="K2016" s="32"/>
      <c r="L2016" s="75"/>
      <c r="M2016" s="75"/>
      <c r="N2016" s="70"/>
      <c r="O2016" t="s">
        <v>1568</v>
      </c>
      <c r="P2016" s="76">
        <v>44958.781921296293</v>
      </c>
      <c r="Q2016" t="s">
        <v>1802</v>
      </c>
      <c r="V2016" s="77" t="str">
        <f>HYPERLINK("https://pbs.twimg.com/profile_images/1588927626990731268/18gkD8xm_normal.jpg")</f>
        <v>https://pbs.twimg.com/profile_images/1588927626990731268/18gkD8xm_normal.jpg</v>
      </c>
      <c r="W2016" s="76">
        <v>44958.781921296293</v>
      </c>
      <c r="X2016" s="80">
        <v>44958</v>
      </c>
      <c r="Y2016" s="78" t="s">
        <v>2771</v>
      </c>
      <c r="Z2016" s="77" t="str">
        <f>HYPERLINK("https://twitter.com/chibi_nova21/status/1620855998930886661")</f>
        <v>https://twitter.com/chibi_nova21/status/1620855998930886661</v>
      </c>
      <c r="AC2016" s="78" t="s">
        <v>3790</v>
      </c>
      <c r="AD2016" s="78" t="s">
        <v>3789</v>
      </c>
      <c r="AE2016" t="b">
        <v>0</v>
      </c>
      <c r="AF2016">
        <v>0</v>
      </c>
      <c r="AG2016" s="78" t="s">
        <v>4714</v>
      </c>
      <c r="AH2016" t="b">
        <v>0</v>
      </c>
      <c r="AI2016" t="s">
        <v>4829</v>
      </c>
      <c r="AK2016" s="78" t="s">
        <v>4640</v>
      </c>
      <c r="AL2016" t="b">
        <v>0</v>
      </c>
      <c r="AM2016">
        <v>0</v>
      </c>
      <c r="AN2016" s="78" t="s">
        <v>4640</v>
      </c>
      <c r="AO2016" s="78" t="s">
        <v>4849</v>
      </c>
      <c r="AP2016" t="b">
        <v>0</v>
      </c>
      <c r="AQ2016" s="78" t="s">
        <v>3789</v>
      </c>
      <c r="AR2016" t="s">
        <v>179</v>
      </c>
      <c r="AS2016">
        <v>0</v>
      </c>
      <c r="AT2016">
        <v>0</v>
      </c>
    </row>
    <row r="2017" spans="1:46" x14ac:dyDescent="0.45">
      <c r="A2017" s="62" t="s">
        <v>530</v>
      </c>
      <c r="B2017" s="62" t="s">
        <v>1230</v>
      </c>
      <c r="C2017" s="63"/>
      <c r="D2017" s="64"/>
      <c r="E2017" s="65"/>
      <c r="F2017" s="66"/>
      <c r="G2017" s="63"/>
      <c r="H2017" s="67"/>
      <c r="I2017" s="68"/>
      <c r="J2017" s="68"/>
      <c r="K2017" s="32"/>
      <c r="L2017" s="75"/>
      <c r="M2017" s="75"/>
      <c r="N2017" s="70"/>
      <c r="O2017" t="s">
        <v>1570</v>
      </c>
      <c r="P2017" s="76">
        <v>44958.782442129632</v>
      </c>
      <c r="Q2017" t="s">
        <v>1693</v>
      </c>
      <c r="V2017" s="77" t="str">
        <f>HYPERLINK("https://pbs.twimg.com/profile_images/1476827179661283329/-3rztaFE_normal.jpg")</f>
        <v>https://pbs.twimg.com/profile_images/1476827179661283329/-3rztaFE_normal.jpg</v>
      </c>
      <c r="W2017" s="76">
        <v>44958.782442129632</v>
      </c>
      <c r="X2017" s="80">
        <v>44958</v>
      </c>
      <c r="Y2017" s="78" t="s">
        <v>2772</v>
      </c>
      <c r="Z2017" s="77" t="str">
        <f>HYPERLINK("https://twitter.com/kitkato8/status/1620856185749639168")</f>
        <v>https://twitter.com/kitkato8/status/1620856185749639168</v>
      </c>
      <c r="AC2017" s="78" t="s">
        <v>3791</v>
      </c>
      <c r="AE2017" t="b">
        <v>0</v>
      </c>
      <c r="AF2017">
        <v>0</v>
      </c>
      <c r="AG2017" s="78" t="s">
        <v>4640</v>
      </c>
      <c r="AH2017" t="b">
        <v>0</v>
      </c>
      <c r="AI2017" t="s">
        <v>4829</v>
      </c>
      <c r="AK2017" s="78" t="s">
        <v>4640</v>
      </c>
      <c r="AL2017" t="b">
        <v>0</v>
      </c>
      <c r="AM2017">
        <v>162</v>
      </c>
      <c r="AN2017" s="78" t="s">
        <v>4473</v>
      </c>
      <c r="AO2017" s="78" t="s">
        <v>4850</v>
      </c>
      <c r="AP2017" t="b">
        <v>0</v>
      </c>
      <c r="AQ2017" s="78" t="s">
        <v>4473</v>
      </c>
      <c r="AR2017" t="s">
        <v>179</v>
      </c>
      <c r="AS2017">
        <v>0</v>
      </c>
      <c r="AT2017">
        <v>0</v>
      </c>
    </row>
    <row r="2018" spans="1:46" x14ac:dyDescent="0.45">
      <c r="A2018" s="62" t="s">
        <v>530</v>
      </c>
      <c r="B2018" s="62" t="s">
        <v>242</v>
      </c>
      <c r="C2018" s="63"/>
      <c r="D2018" s="64"/>
      <c r="E2018" s="65"/>
      <c r="F2018" s="66"/>
      <c r="G2018" s="63"/>
      <c r="H2018" s="67"/>
      <c r="I2018" s="68"/>
      <c r="J2018" s="68"/>
      <c r="K2018" s="32"/>
      <c r="L2018" s="75"/>
      <c r="M2018" s="75"/>
      <c r="N2018" s="70"/>
      <c r="O2018" t="s">
        <v>1569</v>
      </c>
      <c r="P2018" s="76">
        <v>44958.782442129632</v>
      </c>
      <c r="Q2018" t="s">
        <v>1693</v>
      </c>
      <c r="V2018" s="77" t="str">
        <f>HYPERLINK("https://pbs.twimg.com/profile_images/1476827179661283329/-3rztaFE_normal.jpg")</f>
        <v>https://pbs.twimg.com/profile_images/1476827179661283329/-3rztaFE_normal.jpg</v>
      </c>
      <c r="W2018" s="76">
        <v>44958.782442129632</v>
      </c>
      <c r="X2018" s="80">
        <v>44958</v>
      </c>
      <c r="Y2018" s="78" t="s">
        <v>2772</v>
      </c>
      <c r="Z2018" s="77" t="str">
        <f>HYPERLINK("https://twitter.com/kitkato8/status/1620856185749639168")</f>
        <v>https://twitter.com/kitkato8/status/1620856185749639168</v>
      </c>
      <c r="AC2018" s="78" t="s">
        <v>3791</v>
      </c>
      <c r="AE2018" t="b">
        <v>0</v>
      </c>
      <c r="AF2018">
        <v>0</v>
      </c>
      <c r="AG2018" s="78" t="s">
        <v>4640</v>
      </c>
      <c r="AH2018" t="b">
        <v>0</v>
      </c>
      <c r="AI2018" t="s">
        <v>4829</v>
      </c>
      <c r="AK2018" s="78" t="s">
        <v>4640</v>
      </c>
      <c r="AL2018" t="b">
        <v>0</v>
      </c>
      <c r="AM2018">
        <v>162</v>
      </c>
      <c r="AN2018" s="78" t="s">
        <v>4473</v>
      </c>
      <c r="AO2018" s="78" t="s">
        <v>4850</v>
      </c>
      <c r="AP2018" t="b">
        <v>0</v>
      </c>
      <c r="AQ2018" s="78" t="s">
        <v>4473</v>
      </c>
      <c r="AR2018" t="s">
        <v>179</v>
      </c>
      <c r="AS2018">
        <v>0</v>
      </c>
      <c r="AT2018">
        <v>0</v>
      </c>
    </row>
    <row r="2019" spans="1:46" x14ac:dyDescent="0.45">
      <c r="A2019" s="62" t="s">
        <v>533</v>
      </c>
      <c r="B2019" s="62" t="s">
        <v>1230</v>
      </c>
      <c r="C2019" s="63"/>
      <c r="D2019" s="64"/>
      <c r="E2019" s="65"/>
      <c r="F2019" s="66"/>
      <c r="G2019" s="63"/>
      <c r="H2019" s="67"/>
      <c r="I2019" s="68"/>
      <c r="J2019" s="68"/>
      <c r="K2019" s="32"/>
      <c r="L2019" s="75"/>
      <c r="M2019" s="75"/>
      <c r="N2019" s="70"/>
      <c r="O2019" t="s">
        <v>1570</v>
      </c>
      <c r="P2019" s="76">
        <v>44958.78707175926</v>
      </c>
      <c r="Q2019" t="s">
        <v>1693</v>
      </c>
      <c r="V2019" s="77" t="str">
        <f>HYPERLINK("https://pbs.twimg.com/profile_images/1620164208150159365/h8nmL_KZ_normal.jpg")</f>
        <v>https://pbs.twimg.com/profile_images/1620164208150159365/h8nmL_KZ_normal.jpg</v>
      </c>
      <c r="W2019" s="76">
        <v>44958.78707175926</v>
      </c>
      <c r="X2019" s="80">
        <v>44958</v>
      </c>
      <c r="Y2019" s="78" t="s">
        <v>2775</v>
      </c>
      <c r="Z2019" s="77" t="str">
        <f>HYPERLINK("https://twitter.com/mzhydedark/status/1620857862712082432")</f>
        <v>https://twitter.com/mzhydedark/status/1620857862712082432</v>
      </c>
      <c r="AC2019" s="78" t="s">
        <v>3794</v>
      </c>
      <c r="AE2019" t="b">
        <v>0</v>
      </c>
      <c r="AF2019">
        <v>0</v>
      </c>
      <c r="AG2019" s="78" t="s">
        <v>4640</v>
      </c>
      <c r="AH2019" t="b">
        <v>0</v>
      </c>
      <c r="AI2019" t="s">
        <v>4829</v>
      </c>
      <c r="AK2019" s="78" t="s">
        <v>4640</v>
      </c>
      <c r="AL2019" t="b">
        <v>0</v>
      </c>
      <c r="AM2019">
        <v>162</v>
      </c>
      <c r="AN2019" s="78" t="s">
        <v>4473</v>
      </c>
      <c r="AO2019" s="78" t="s">
        <v>4850</v>
      </c>
      <c r="AP2019" t="b">
        <v>0</v>
      </c>
      <c r="AQ2019" s="78" t="s">
        <v>4473</v>
      </c>
      <c r="AR2019" t="s">
        <v>179</v>
      </c>
      <c r="AS2019">
        <v>0</v>
      </c>
      <c r="AT2019">
        <v>0</v>
      </c>
    </row>
    <row r="2020" spans="1:46" x14ac:dyDescent="0.45">
      <c r="A2020" s="62" t="s">
        <v>533</v>
      </c>
      <c r="B2020" s="62" t="s">
        <v>242</v>
      </c>
      <c r="C2020" s="63"/>
      <c r="D2020" s="64"/>
      <c r="E2020" s="65"/>
      <c r="F2020" s="66"/>
      <c r="G2020" s="63"/>
      <c r="H2020" s="67"/>
      <c r="I2020" s="68"/>
      <c r="J2020" s="68"/>
      <c r="K2020" s="32"/>
      <c r="L2020" s="75"/>
      <c r="M2020" s="75"/>
      <c r="N2020" s="70"/>
      <c r="O2020" t="s">
        <v>1569</v>
      </c>
      <c r="P2020" s="76">
        <v>44958.78707175926</v>
      </c>
      <c r="Q2020" t="s">
        <v>1693</v>
      </c>
      <c r="V2020" s="77" t="str">
        <f>HYPERLINK("https://pbs.twimg.com/profile_images/1620164208150159365/h8nmL_KZ_normal.jpg")</f>
        <v>https://pbs.twimg.com/profile_images/1620164208150159365/h8nmL_KZ_normal.jpg</v>
      </c>
      <c r="W2020" s="76">
        <v>44958.78707175926</v>
      </c>
      <c r="X2020" s="80">
        <v>44958</v>
      </c>
      <c r="Y2020" s="78" t="s">
        <v>2775</v>
      </c>
      <c r="Z2020" s="77" t="str">
        <f>HYPERLINK("https://twitter.com/mzhydedark/status/1620857862712082432")</f>
        <v>https://twitter.com/mzhydedark/status/1620857862712082432</v>
      </c>
      <c r="AC2020" s="78" t="s">
        <v>3794</v>
      </c>
      <c r="AE2020" t="b">
        <v>0</v>
      </c>
      <c r="AF2020">
        <v>0</v>
      </c>
      <c r="AG2020" s="78" t="s">
        <v>4640</v>
      </c>
      <c r="AH2020" t="b">
        <v>0</v>
      </c>
      <c r="AI2020" t="s">
        <v>4829</v>
      </c>
      <c r="AK2020" s="78" t="s">
        <v>4640</v>
      </c>
      <c r="AL2020" t="b">
        <v>0</v>
      </c>
      <c r="AM2020">
        <v>162</v>
      </c>
      <c r="AN2020" s="78" t="s">
        <v>4473</v>
      </c>
      <c r="AO2020" s="78" t="s">
        <v>4850</v>
      </c>
      <c r="AP2020" t="b">
        <v>0</v>
      </c>
      <c r="AQ2020" s="78" t="s">
        <v>4473</v>
      </c>
      <c r="AR2020" t="s">
        <v>179</v>
      </c>
      <c r="AS2020">
        <v>0</v>
      </c>
      <c r="AT2020">
        <v>0</v>
      </c>
    </row>
    <row r="2021" spans="1:46" x14ac:dyDescent="0.45">
      <c r="A2021" s="62" t="s">
        <v>535</v>
      </c>
      <c r="B2021" s="62" t="s">
        <v>1203</v>
      </c>
      <c r="C2021" s="63"/>
      <c r="D2021" s="64"/>
      <c r="E2021" s="65"/>
      <c r="F2021" s="66"/>
      <c r="G2021" s="63"/>
      <c r="H2021" s="67"/>
      <c r="I2021" s="68"/>
      <c r="J2021" s="68"/>
      <c r="K2021" s="32"/>
      <c r="L2021" s="75"/>
      <c r="M2021" s="75"/>
      <c r="N2021" s="70"/>
      <c r="O2021" t="s">
        <v>1568</v>
      </c>
      <c r="P2021" s="76">
        <v>44958.788761574076</v>
      </c>
      <c r="Q2021" t="s">
        <v>1806</v>
      </c>
      <c r="U2021" s="77" t="str">
        <f>HYPERLINK("https://pbs.twimg.com/media/Fn5yLsgWAAgezb3.jpg")</f>
        <v>https://pbs.twimg.com/media/Fn5yLsgWAAgezb3.jpg</v>
      </c>
      <c r="V2021" s="77" t="str">
        <f>HYPERLINK("https://pbs.twimg.com/media/Fn5yLsgWAAgezb3.jpg")</f>
        <v>https://pbs.twimg.com/media/Fn5yLsgWAAgezb3.jpg</v>
      </c>
      <c r="W2021" s="76">
        <v>44958.788761574076</v>
      </c>
      <c r="X2021" s="80">
        <v>44958</v>
      </c>
      <c r="Y2021" s="78" t="s">
        <v>2777</v>
      </c>
      <c r="Z2021" s="77" t="str">
        <f>HYPERLINK("https://twitter.com/bornyhear/status/1620858476124868610")</f>
        <v>https://twitter.com/bornyhear/status/1620858476124868610</v>
      </c>
      <c r="AC2021" s="78" t="s">
        <v>3796</v>
      </c>
      <c r="AE2021" t="b">
        <v>0</v>
      </c>
      <c r="AF2021">
        <v>0</v>
      </c>
      <c r="AG2021" s="78" t="s">
        <v>4639</v>
      </c>
      <c r="AH2021" t="b">
        <v>0</v>
      </c>
      <c r="AI2021" t="s">
        <v>4829</v>
      </c>
      <c r="AK2021" s="78" t="s">
        <v>4640</v>
      </c>
      <c r="AL2021" t="b">
        <v>0</v>
      </c>
      <c r="AM2021">
        <v>0</v>
      </c>
      <c r="AN2021" s="78" t="s">
        <v>4640</v>
      </c>
      <c r="AO2021" s="78" t="s">
        <v>4850</v>
      </c>
      <c r="AP2021" t="b">
        <v>0</v>
      </c>
      <c r="AQ2021" s="78" t="s">
        <v>3796</v>
      </c>
      <c r="AR2021" t="s">
        <v>179</v>
      </c>
      <c r="AS2021">
        <v>0</v>
      </c>
      <c r="AT2021">
        <v>0</v>
      </c>
    </row>
    <row r="2022" spans="1:46" x14ac:dyDescent="0.45">
      <c r="A2022" s="62" t="s">
        <v>535</v>
      </c>
      <c r="B2022" s="62" t="s">
        <v>1111</v>
      </c>
      <c r="C2022" s="63"/>
      <c r="D2022" s="64"/>
      <c r="E2022" s="65"/>
      <c r="F2022" s="66"/>
      <c r="G2022" s="63"/>
      <c r="H2022" s="67"/>
      <c r="I2022" s="68"/>
      <c r="J2022" s="68"/>
      <c r="K2022" s="32"/>
      <c r="L2022" s="75"/>
      <c r="M2022" s="75"/>
      <c r="N2022" s="70"/>
      <c r="O2022" t="s">
        <v>1568</v>
      </c>
      <c r="P2022" s="76">
        <v>44958.788761574076</v>
      </c>
      <c r="Q2022" t="s">
        <v>1806</v>
      </c>
      <c r="U2022" s="77" t="str">
        <f>HYPERLINK("https://pbs.twimg.com/media/Fn5yLsgWAAgezb3.jpg")</f>
        <v>https://pbs.twimg.com/media/Fn5yLsgWAAgezb3.jpg</v>
      </c>
      <c r="V2022" s="77" t="str">
        <f>HYPERLINK("https://pbs.twimg.com/media/Fn5yLsgWAAgezb3.jpg")</f>
        <v>https://pbs.twimg.com/media/Fn5yLsgWAAgezb3.jpg</v>
      </c>
      <c r="W2022" s="76">
        <v>44958.788761574076</v>
      </c>
      <c r="X2022" s="80">
        <v>44958</v>
      </c>
      <c r="Y2022" s="78" t="s">
        <v>2777</v>
      </c>
      <c r="Z2022" s="77" t="str">
        <f>HYPERLINK("https://twitter.com/bornyhear/status/1620858476124868610")</f>
        <v>https://twitter.com/bornyhear/status/1620858476124868610</v>
      </c>
      <c r="AC2022" s="78" t="s">
        <v>3796</v>
      </c>
      <c r="AE2022" t="b">
        <v>0</v>
      </c>
      <c r="AF2022">
        <v>0</v>
      </c>
      <c r="AG2022" s="78" t="s">
        <v>4639</v>
      </c>
      <c r="AH2022" t="b">
        <v>0</v>
      </c>
      <c r="AI2022" t="s">
        <v>4829</v>
      </c>
      <c r="AK2022" s="78" t="s">
        <v>4640</v>
      </c>
      <c r="AL2022" t="b">
        <v>0</v>
      </c>
      <c r="AM2022">
        <v>0</v>
      </c>
      <c r="AN2022" s="78" t="s">
        <v>4640</v>
      </c>
      <c r="AO2022" s="78" t="s">
        <v>4850</v>
      </c>
      <c r="AP2022" t="b">
        <v>0</v>
      </c>
      <c r="AQ2022" s="78" t="s">
        <v>3796</v>
      </c>
      <c r="AR2022" t="s">
        <v>179</v>
      </c>
      <c r="AS2022">
        <v>0</v>
      </c>
      <c r="AT2022">
        <v>0</v>
      </c>
    </row>
    <row r="2023" spans="1:46" x14ac:dyDescent="0.45">
      <c r="A2023" s="62" t="s">
        <v>535</v>
      </c>
      <c r="B2023" s="62" t="s">
        <v>242</v>
      </c>
      <c r="C2023" s="63"/>
      <c r="D2023" s="64"/>
      <c r="E2023" s="65"/>
      <c r="F2023" s="66"/>
      <c r="G2023" s="63"/>
      <c r="H2023" s="67"/>
      <c r="I2023" s="68"/>
      <c r="J2023" s="68"/>
      <c r="K2023" s="32"/>
      <c r="L2023" s="75"/>
      <c r="M2023" s="75"/>
      <c r="N2023" s="70"/>
      <c r="O2023" t="s">
        <v>1567</v>
      </c>
      <c r="P2023" s="76">
        <v>44958.788761574076</v>
      </c>
      <c r="Q2023" t="s">
        <v>1806</v>
      </c>
      <c r="U2023" s="77" t="str">
        <f>HYPERLINK("https://pbs.twimg.com/media/Fn5yLsgWAAgezb3.jpg")</f>
        <v>https://pbs.twimg.com/media/Fn5yLsgWAAgezb3.jpg</v>
      </c>
      <c r="V2023" s="77" t="str">
        <f>HYPERLINK("https://pbs.twimg.com/media/Fn5yLsgWAAgezb3.jpg")</f>
        <v>https://pbs.twimg.com/media/Fn5yLsgWAAgezb3.jpg</v>
      </c>
      <c r="W2023" s="76">
        <v>44958.788761574076</v>
      </c>
      <c r="X2023" s="80">
        <v>44958</v>
      </c>
      <c r="Y2023" s="78" t="s">
        <v>2777</v>
      </c>
      <c r="Z2023" s="77" t="str">
        <f>HYPERLINK("https://twitter.com/bornyhear/status/1620858476124868610")</f>
        <v>https://twitter.com/bornyhear/status/1620858476124868610</v>
      </c>
      <c r="AC2023" s="78" t="s">
        <v>3796</v>
      </c>
      <c r="AE2023" t="b">
        <v>0</v>
      </c>
      <c r="AF2023">
        <v>0</v>
      </c>
      <c r="AG2023" s="78" t="s">
        <v>4639</v>
      </c>
      <c r="AH2023" t="b">
        <v>0</v>
      </c>
      <c r="AI2023" t="s">
        <v>4829</v>
      </c>
      <c r="AK2023" s="78" t="s">
        <v>4640</v>
      </c>
      <c r="AL2023" t="b">
        <v>0</v>
      </c>
      <c r="AM2023">
        <v>0</v>
      </c>
      <c r="AN2023" s="78" t="s">
        <v>4640</v>
      </c>
      <c r="AO2023" s="78" t="s">
        <v>4850</v>
      </c>
      <c r="AP2023" t="b">
        <v>0</v>
      </c>
      <c r="AQ2023" s="78" t="s">
        <v>3796</v>
      </c>
      <c r="AR2023" t="s">
        <v>179</v>
      </c>
      <c r="AS2023">
        <v>0</v>
      </c>
      <c r="AT2023">
        <v>0</v>
      </c>
    </row>
    <row r="2024" spans="1:46" x14ac:dyDescent="0.45">
      <c r="A2024" s="62" t="s">
        <v>540</v>
      </c>
      <c r="B2024" s="62" t="s">
        <v>1230</v>
      </c>
      <c r="C2024" s="63"/>
      <c r="D2024" s="64"/>
      <c r="E2024" s="65"/>
      <c r="F2024" s="66"/>
      <c r="G2024" s="63"/>
      <c r="H2024" s="67"/>
      <c r="I2024" s="68"/>
      <c r="J2024" s="68"/>
      <c r="K2024" s="32"/>
      <c r="L2024" s="75"/>
      <c r="M2024" s="75"/>
      <c r="N2024" s="70"/>
      <c r="O2024" t="s">
        <v>1570</v>
      </c>
      <c r="P2024" s="76">
        <v>44958.794293981482</v>
      </c>
      <c r="Q2024" t="s">
        <v>1693</v>
      </c>
      <c r="V2024" s="77" t="str">
        <f>HYPERLINK("https://pbs.twimg.com/profile_images/1603036258367930368/uwnL4v38_normal.jpg")</f>
        <v>https://pbs.twimg.com/profile_images/1603036258367930368/uwnL4v38_normal.jpg</v>
      </c>
      <c r="W2024" s="76">
        <v>44958.794293981482</v>
      </c>
      <c r="X2024" s="80">
        <v>44958</v>
      </c>
      <c r="Y2024" s="78" t="s">
        <v>2782</v>
      </c>
      <c r="Z2024" s="77" t="str">
        <f>HYPERLINK("https://twitter.com/steffi21011/status/1620860480637263872")</f>
        <v>https://twitter.com/steffi21011/status/1620860480637263872</v>
      </c>
      <c r="AC2024" s="78" t="s">
        <v>3801</v>
      </c>
      <c r="AE2024" t="b">
        <v>0</v>
      </c>
      <c r="AF2024">
        <v>0</v>
      </c>
      <c r="AG2024" s="78" t="s">
        <v>4640</v>
      </c>
      <c r="AH2024" t="b">
        <v>0</v>
      </c>
      <c r="AI2024" t="s">
        <v>4829</v>
      </c>
      <c r="AK2024" s="78" t="s">
        <v>4640</v>
      </c>
      <c r="AL2024" t="b">
        <v>0</v>
      </c>
      <c r="AM2024">
        <v>162</v>
      </c>
      <c r="AN2024" s="78" t="s">
        <v>4473</v>
      </c>
      <c r="AO2024" s="78" t="s">
        <v>4850</v>
      </c>
      <c r="AP2024" t="b">
        <v>0</v>
      </c>
      <c r="AQ2024" s="78" t="s">
        <v>4473</v>
      </c>
      <c r="AR2024" t="s">
        <v>179</v>
      </c>
      <c r="AS2024">
        <v>0</v>
      </c>
      <c r="AT2024">
        <v>0</v>
      </c>
    </row>
    <row r="2025" spans="1:46" x14ac:dyDescent="0.45">
      <c r="A2025" s="62" t="s">
        <v>540</v>
      </c>
      <c r="B2025" s="62" t="s">
        <v>242</v>
      </c>
      <c r="C2025" s="63"/>
      <c r="D2025" s="64"/>
      <c r="E2025" s="65"/>
      <c r="F2025" s="66"/>
      <c r="G2025" s="63"/>
      <c r="H2025" s="67"/>
      <c r="I2025" s="68"/>
      <c r="J2025" s="68"/>
      <c r="K2025" s="32"/>
      <c r="L2025" s="75"/>
      <c r="M2025" s="75"/>
      <c r="N2025" s="70"/>
      <c r="O2025" t="s">
        <v>1569</v>
      </c>
      <c r="P2025" s="76">
        <v>44958.794293981482</v>
      </c>
      <c r="Q2025" t="s">
        <v>1693</v>
      </c>
      <c r="V2025" s="77" t="str">
        <f>HYPERLINK("https://pbs.twimg.com/profile_images/1603036258367930368/uwnL4v38_normal.jpg")</f>
        <v>https://pbs.twimg.com/profile_images/1603036258367930368/uwnL4v38_normal.jpg</v>
      </c>
      <c r="W2025" s="76">
        <v>44958.794293981482</v>
      </c>
      <c r="X2025" s="80">
        <v>44958</v>
      </c>
      <c r="Y2025" s="78" t="s">
        <v>2782</v>
      </c>
      <c r="Z2025" s="77" t="str">
        <f>HYPERLINK("https://twitter.com/steffi21011/status/1620860480637263872")</f>
        <v>https://twitter.com/steffi21011/status/1620860480637263872</v>
      </c>
      <c r="AC2025" s="78" t="s">
        <v>3801</v>
      </c>
      <c r="AE2025" t="b">
        <v>0</v>
      </c>
      <c r="AF2025">
        <v>0</v>
      </c>
      <c r="AG2025" s="78" t="s">
        <v>4640</v>
      </c>
      <c r="AH2025" t="b">
        <v>0</v>
      </c>
      <c r="AI2025" t="s">
        <v>4829</v>
      </c>
      <c r="AK2025" s="78" t="s">
        <v>4640</v>
      </c>
      <c r="AL2025" t="b">
        <v>0</v>
      </c>
      <c r="AM2025">
        <v>162</v>
      </c>
      <c r="AN2025" s="78" t="s">
        <v>4473</v>
      </c>
      <c r="AO2025" s="78" t="s">
        <v>4850</v>
      </c>
      <c r="AP2025" t="b">
        <v>0</v>
      </c>
      <c r="AQ2025" s="78" t="s">
        <v>4473</v>
      </c>
      <c r="AR2025" t="s">
        <v>179</v>
      </c>
      <c r="AS2025">
        <v>0</v>
      </c>
      <c r="AT2025">
        <v>0</v>
      </c>
    </row>
    <row r="2026" spans="1:46" x14ac:dyDescent="0.45">
      <c r="A2026" s="62" t="s">
        <v>543</v>
      </c>
      <c r="B2026" s="62" t="s">
        <v>1230</v>
      </c>
      <c r="C2026" s="63"/>
      <c r="D2026" s="64"/>
      <c r="E2026" s="65"/>
      <c r="F2026" s="66"/>
      <c r="G2026" s="63"/>
      <c r="H2026" s="67"/>
      <c r="I2026" s="68"/>
      <c r="J2026" s="68"/>
      <c r="K2026" s="32"/>
      <c r="L2026" s="75"/>
      <c r="M2026" s="75"/>
      <c r="N2026" s="70"/>
      <c r="O2026" t="s">
        <v>1570</v>
      </c>
      <c r="P2026" s="76">
        <v>44958.794537037036</v>
      </c>
      <c r="Q2026" t="s">
        <v>1693</v>
      </c>
      <c r="V2026" s="77" t="str">
        <f>HYPERLINK("https://pbs.twimg.com/profile_images/1609770828320706560/o6ipWgD-_normal.jpg")</f>
        <v>https://pbs.twimg.com/profile_images/1609770828320706560/o6ipWgD-_normal.jpg</v>
      </c>
      <c r="W2026" s="76">
        <v>44958.794537037036</v>
      </c>
      <c r="X2026" s="80">
        <v>44958</v>
      </c>
      <c r="Y2026" s="78" t="s">
        <v>2785</v>
      </c>
      <c r="Z2026" s="77" t="str">
        <f>HYPERLINK("https://twitter.com/mcvertulli/status/1620860569388720128")</f>
        <v>https://twitter.com/mcvertulli/status/1620860569388720128</v>
      </c>
      <c r="AC2026" s="78" t="s">
        <v>3804</v>
      </c>
      <c r="AE2026" t="b">
        <v>0</v>
      </c>
      <c r="AF2026">
        <v>0</v>
      </c>
      <c r="AG2026" s="78" t="s">
        <v>4640</v>
      </c>
      <c r="AH2026" t="b">
        <v>0</v>
      </c>
      <c r="AI2026" t="s">
        <v>4829</v>
      </c>
      <c r="AK2026" s="78" t="s">
        <v>4640</v>
      </c>
      <c r="AL2026" t="b">
        <v>0</v>
      </c>
      <c r="AM2026">
        <v>162</v>
      </c>
      <c r="AN2026" s="78" t="s">
        <v>4473</v>
      </c>
      <c r="AO2026" s="78" t="s">
        <v>4850</v>
      </c>
      <c r="AP2026" t="b">
        <v>0</v>
      </c>
      <c r="AQ2026" s="78" t="s">
        <v>4473</v>
      </c>
      <c r="AR2026" t="s">
        <v>179</v>
      </c>
      <c r="AS2026">
        <v>0</v>
      </c>
      <c r="AT2026">
        <v>0</v>
      </c>
    </row>
    <row r="2027" spans="1:46" x14ac:dyDescent="0.45">
      <c r="A2027" s="62" t="s">
        <v>543</v>
      </c>
      <c r="B2027" s="62" t="s">
        <v>242</v>
      </c>
      <c r="C2027" s="63"/>
      <c r="D2027" s="64"/>
      <c r="E2027" s="65"/>
      <c r="F2027" s="66"/>
      <c r="G2027" s="63"/>
      <c r="H2027" s="67"/>
      <c r="I2027" s="68"/>
      <c r="J2027" s="68"/>
      <c r="K2027" s="32"/>
      <c r="L2027" s="75"/>
      <c r="M2027" s="75"/>
      <c r="N2027" s="70"/>
      <c r="O2027" t="s">
        <v>1569</v>
      </c>
      <c r="P2027" s="76">
        <v>44958.794537037036</v>
      </c>
      <c r="Q2027" t="s">
        <v>1693</v>
      </c>
      <c r="V2027" s="77" t="str">
        <f>HYPERLINK("https://pbs.twimg.com/profile_images/1609770828320706560/o6ipWgD-_normal.jpg")</f>
        <v>https://pbs.twimg.com/profile_images/1609770828320706560/o6ipWgD-_normal.jpg</v>
      </c>
      <c r="W2027" s="76">
        <v>44958.794537037036</v>
      </c>
      <c r="X2027" s="80">
        <v>44958</v>
      </c>
      <c r="Y2027" s="78" t="s">
        <v>2785</v>
      </c>
      <c r="Z2027" s="77" t="str">
        <f>HYPERLINK("https://twitter.com/mcvertulli/status/1620860569388720128")</f>
        <v>https://twitter.com/mcvertulli/status/1620860569388720128</v>
      </c>
      <c r="AC2027" s="78" t="s">
        <v>3804</v>
      </c>
      <c r="AE2027" t="b">
        <v>0</v>
      </c>
      <c r="AF2027">
        <v>0</v>
      </c>
      <c r="AG2027" s="78" t="s">
        <v>4640</v>
      </c>
      <c r="AH2027" t="b">
        <v>0</v>
      </c>
      <c r="AI2027" t="s">
        <v>4829</v>
      </c>
      <c r="AK2027" s="78" t="s">
        <v>4640</v>
      </c>
      <c r="AL2027" t="b">
        <v>0</v>
      </c>
      <c r="AM2027">
        <v>162</v>
      </c>
      <c r="AN2027" s="78" t="s">
        <v>4473</v>
      </c>
      <c r="AO2027" s="78" t="s">
        <v>4850</v>
      </c>
      <c r="AP2027" t="b">
        <v>0</v>
      </c>
      <c r="AQ2027" s="78" t="s">
        <v>4473</v>
      </c>
      <c r="AR2027" t="s">
        <v>179</v>
      </c>
      <c r="AS2027">
        <v>0</v>
      </c>
      <c r="AT2027">
        <v>0</v>
      </c>
    </row>
    <row r="2028" spans="1:46" x14ac:dyDescent="0.45">
      <c r="A2028" s="62" t="s">
        <v>544</v>
      </c>
      <c r="B2028" s="62" t="s">
        <v>242</v>
      </c>
      <c r="C2028" s="63"/>
      <c r="D2028" s="64"/>
      <c r="E2028" s="65"/>
      <c r="F2028" s="66"/>
      <c r="G2028" s="63"/>
      <c r="H2028" s="67"/>
      <c r="I2028" s="68"/>
      <c r="J2028" s="68"/>
      <c r="K2028" s="32"/>
      <c r="L2028" s="75"/>
      <c r="M2028" s="75"/>
      <c r="N2028" s="70"/>
      <c r="O2028" t="s">
        <v>1567</v>
      </c>
      <c r="P2028" s="76">
        <v>44958.794733796298</v>
      </c>
      <c r="Q2028" t="s">
        <v>1810</v>
      </c>
      <c r="V2028" s="77" t="str">
        <f>HYPERLINK("https://pbs.twimg.com/profile_images/1604688826164805632/Ga2TC30P_normal.jpg")</f>
        <v>https://pbs.twimg.com/profile_images/1604688826164805632/Ga2TC30P_normal.jpg</v>
      </c>
      <c r="W2028" s="76">
        <v>44958.794733796298</v>
      </c>
      <c r="X2028" s="80">
        <v>44958</v>
      </c>
      <c r="Y2028" s="78" t="s">
        <v>2786</v>
      </c>
      <c r="Z2028" s="77" t="str">
        <f>HYPERLINK("https://twitter.com/alexuhperez/status/1620860642180886529")</f>
        <v>https://twitter.com/alexuhperez/status/1620860642180886529</v>
      </c>
      <c r="AC2028" s="78" t="s">
        <v>3805</v>
      </c>
      <c r="AD2028" s="78" t="s">
        <v>4549</v>
      </c>
      <c r="AE2028" t="b">
        <v>0</v>
      </c>
      <c r="AF2028">
        <v>0</v>
      </c>
      <c r="AG2028" s="78" t="s">
        <v>4639</v>
      </c>
      <c r="AH2028" t="b">
        <v>0</v>
      </c>
      <c r="AI2028" t="s">
        <v>4829</v>
      </c>
      <c r="AK2028" s="78" t="s">
        <v>4640</v>
      </c>
      <c r="AL2028" t="b">
        <v>0</v>
      </c>
      <c r="AM2028">
        <v>0</v>
      </c>
      <c r="AN2028" s="78" t="s">
        <v>4640</v>
      </c>
      <c r="AO2028" s="78" t="s">
        <v>4849</v>
      </c>
      <c r="AP2028" t="b">
        <v>0</v>
      </c>
      <c r="AQ2028" s="78" t="s">
        <v>4549</v>
      </c>
      <c r="AR2028" t="s">
        <v>179</v>
      </c>
      <c r="AS2028">
        <v>0</v>
      </c>
      <c r="AT2028">
        <v>0</v>
      </c>
    </row>
    <row r="2029" spans="1:46" x14ac:dyDescent="0.45">
      <c r="A2029" s="62" t="s">
        <v>545</v>
      </c>
      <c r="B2029" s="62" t="s">
        <v>1200</v>
      </c>
      <c r="C2029" s="63"/>
      <c r="D2029" s="64"/>
      <c r="E2029" s="65"/>
      <c r="F2029" s="66"/>
      <c r="G2029" s="63"/>
      <c r="H2029" s="67"/>
      <c r="I2029" s="68"/>
      <c r="J2029" s="68"/>
      <c r="K2029" s="32"/>
      <c r="L2029" s="75"/>
      <c r="M2029" s="75"/>
      <c r="N2029" s="70"/>
      <c r="O2029" t="s">
        <v>1568</v>
      </c>
      <c r="P2029" s="76">
        <v>44958.795810185184</v>
      </c>
      <c r="Q2029" t="s">
        <v>1811</v>
      </c>
      <c r="V2029" s="77" t="str">
        <f>HYPERLINK("https://pbs.twimg.com/profile_images/955526920401141760/uQbbfO25_normal.jpg")</f>
        <v>https://pbs.twimg.com/profile_images/955526920401141760/uQbbfO25_normal.jpg</v>
      </c>
      <c r="W2029" s="76">
        <v>44958.795810185184</v>
      </c>
      <c r="X2029" s="80">
        <v>44958</v>
      </c>
      <c r="Y2029" s="78" t="s">
        <v>2787</v>
      </c>
      <c r="Z2029" s="77" t="str">
        <f>HYPERLINK("https://twitter.com/lmlj2012/status/1620861030133006336")</f>
        <v>https://twitter.com/lmlj2012/status/1620861030133006336</v>
      </c>
      <c r="AC2029" s="78" t="s">
        <v>3806</v>
      </c>
      <c r="AE2029" t="b">
        <v>0</v>
      </c>
      <c r="AF2029">
        <v>0</v>
      </c>
      <c r="AG2029" s="78" t="s">
        <v>4639</v>
      </c>
      <c r="AH2029" t="b">
        <v>0</v>
      </c>
      <c r="AI2029" t="s">
        <v>4829</v>
      </c>
      <c r="AK2029" s="78" t="s">
        <v>4640</v>
      </c>
      <c r="AL2029" t="b">
        <v>0</v>
      </c>
      <c r="AM2029">
        <v>0</v>
      </c>
      <c r="AN2029" s="78" t="s">
        <v>4640</v>
      </c>
      <c r="AO2029" s="78" t="s">
        <v>4851</v>
      </c>
      <c r="AP2029" t="b">
        <v>0</v>
      </c>
      <c r="AQ2029" s="78" t="s">
        <v>3806</v>
      </c>
      <c r="AR2029" t="s">
        <v>179</v>
      </c>
      <c r="AS2029">
        <v>0</v>
      </c>
      <c r="AT2029">
        <v>0</v>
      </c>
    </row>
    <row r="2030" spans="1:46" x14ac:dyDescent="0.45">
      <c r="A2030" s="62" t="s">
        <v>545</v>
      </c>
      <c r="B2030" s="62" t="s">
        <v>242</v>
      </c>
      <c r="C2030" s="63"/>
      <c r="D2030" s="64"/>
      <c r="E2030" s="65"/>
      <c r="F2030" s="66"/>
      <c r="G2030" s="63"/>
      <c r="H2030" s="67"/>
      <c r="I2030" s="68"/>
      <c r="J2030" s="68"/>
      <c r="K2030" s="32"/>
      <c r="L2030" s="75"/>
      <c r="M2030" s="75"/>
      <c r="N2030" s="70"/>
      <c r="O2030" t="s">
        <v>1567</v>
      </c>
      <c r="P2030" s="76">
        <v>44958.795810185184</v>
      </c>
      <c r="Q2030" t="s">
        <v>1811</v>
      </c>
      <c r="V2030" s="77" t="str">
        <f>HYPERLINK("https://pbs.twimg.com/profile_images/955526920401141760/uQbbfO25_normal.jpg")</f>
        <v>https://pbs.twimg.com/profile_images/955526920401141760/uQbbfO25_normal.jpg</v>
      </c>
      <c r="W2030" s="76">
        <v>44958.795810185184</v>
      </c>
      <c r="X2030" s="80">
        <v>44958</v>
      </c>
      <c r="Y2030" s="78" t="s">
        <v>2787</v>
      </c>
      <c r="Z2030" s="77" t="str">
        <f>HYPERLINK("https://twitter.com/lmlj2012/status/1620861030133006336")</f>
        <v>https://twitter.com/lmlj2012/status/1620861030133006336</v>
      </c>
      <c r="AC2030" s="78" t="s">
        <v>3806</v>
      </c>
      <c r="AE2030" t="b">
        <v>0</v>
      </c>
      <c r="AF2030">
        <v>0</v>
      </c>
      <c r="AG2030" s="78" t="s">
        <v>4639</v>
      </c>
      <c r="AH2030" t="b">
        <v>0</v>
      </c>
      <c r="AI2030" t="s">
        <v>4829</v>
      </c>
      <c r="AK2030" s="78" t="s">
        <v>4640</v>
      </c>
      <c r="AL2030" t="b">
        <v>0</v>
      </c>
      <c r="AM2030">
        <v>0</v>
      </c>
      <c r="AN2030" s="78" t="s">
        <v>4640</v>
      </c>
      <c r="AO2030" s="78" t="s">
        <v>4851</v>
      </c>
      <c r="AP2030" t="b">
        <v>0</v>
      </c>
      <c r="AQ2030" s="78" t="s">
        <v>3806</v>
      </c>
      <c r="AR2030" t="s">
        <v>179</v>
      </c>
      <c r="AS2030">
        <v>0</v>
      </c>
      <c r="AT2030">
        <v>0</v>
      </c>
    </row>
    <row r="2031" spans="1:46" x14ac:dyDescent="0.45">
      <c r="A2031" s="62" t="s">
        <v>546</v>
      </c>
      <c r="B2031" s="62" t="s">
        <v>1230</v>
      </c>
      <c r="C2031" s="63"/>
      <c r="D2031" s="64"/>
      <c r="E2031" s="65"/>
      <c r="F2031" s="66"/>
      <c r="G2031" s="63"/>
      <c r="H2031" s="67"/>
      <c r="I2031" s="68"/>
      <c r="J2031" s="68"/>
      <c r="K2031" s="32"/>
      <c r="L2031" s="75"/>
      <c r="M2031" s="75"/>
      <c r="N2031" s="70"/>
      <c r="O2031" t="s">
        <v>1570</v>
      </c>
      <c r="P2031" s="76">
        <v>44958.797592592593</v>
      </c>
      <c r="Q2031" t="s">
        <v>1693</v>
      </c>
      <c r="V2031" s="77" t="str">
        <f>HYPERLINK("https://pbs.twimg.com/profile_images/1601359830140293122/cdjE2HR4_normal.jpg")</f>
        <v>https://pbs.twimg.com/profile_images/1601359830140293122/cdjE2HR4_normal.jpg</v>
      </c>
      <c r="W2031" s="76">
        <v>44958.797592592593</v>
      </c>
      <c r="X2031" s="80">
        <v>44958</v>
      </c>
      <c r="Y2031" s="78" t="s">
        <v>2788</v>
      </c>
      <c r="Z2031" s="77" t="str">
        <f>HYPERLINK("https://twitter.com/taty_marc_blank/status/1620861675439296515")</f>
        <v>https://twitter.com/taty_marc_blank/status/1620861675439296515</v>
      </c>
      <c r="AC2031" s="78" t="s">
        <v>3807</v>
      </c>
      <c r="AE2031" t="b">
        <v>0</v>
      </c>
      <c r="AF2031">
        <v>0</v>
      </c>
      <c r="AG2031" s="78" t="s">
        <v>4640</v>
      </c>
      <c r="AH2031" t="b">
        <v>0</v>
      </c>
      <c r="AI2031" t="s">
        <v>4829</v>
      </c>
      <c r="AK2031" s="78" t="s">
        <v>4640</v>
      </c>
      <c r="AL2031" t="b">
        <v>0</v>
      </c>
      <c r="AM2031">
        <v>162</v>
      </c>
      <c r="AN2031" s="78" t="s">
        <v>4473</v>
      </c>
      <c r="AO2031" s="78" t="s">
        <v>4850</v>
      </c>
      <c r="AP2031" t="b">
        <v>0</v>
      </c>
      <c r="AQ2031" s="78" t="s">
        <v>4473</v>
      </c>
      <c r="AR2031" t="s">
        <v>179</v>
      </c>
      <c r="AS2031">
        <v>0</v>
      </c>
      <c r="AT2031">
        <v>0</v>
      </c>
    </row>
    <row r="2032" spans="1:46" x14ac:dyDescent="0.45">
      <c r="A2032" s="62" t="s">
        <v>546</v>
      </c>
      <c r="B2032" s="62" t="s">
        <v>242</v>
      </c>
      <c r="C2032" s="63"/>
      <c r="D2032" s="64"/>
      <c r="E2032" s="65"/>
      <c r="F2032" s="66"/>
      <c r="G2032" s="63"/>
      <c r="H2032" s="67"/>
      <c r="I2032" s="68"/>
      <c r="J2032" s="68"/>
      <c r="K2032" s="32"/>
      <c r="L2032" s="75"/>
      <c r="M2032" s="75"/>
      <c r="N2032" s="70"/>
      <c r="O2032" t="s">
        <v>1569</v>
      </c>
      <c r="P2032" s="76">
        <v>44958.797592592593</v>
      </c>
      <c r="Q2032" t="s">
        <v>1693</v>
      </c>
      <c r="V2032" s="77" t="str">
        <f>HYPERLINK("https://pbs.twimg.com/profile_images/1601359830140293122/cdjE2HR4_normal.jpg")</f>
        <v>https://pbs.twimg.com/profile_images/1601359830140293122/cdjE2HR4_normal.jpg</v>
      </c>
      <c r="W2032" s="76">
        <v>44958.797592592593</v>
      </c>
      <c r="X2032" s="80">
        <v>44958</v>
      </c>
      <c r="Y2032" s="78" t="s">
        <v>2788</v>
      </c>
      <c r="Z2032" s="77" t="str">
        <f>HYPERLINK("https://twitter.com/taty_marc_blank/status/1620861675439296515")</f>
        <v>https://twitter.com/taty_marc_blank/status/1620861675439296515</v>
      </c>
      <c r="AC2032" s="78" t="s">
        <v>3807</v>
      </c>
      <c r="AE2032" t="b">
        <v>0</v>
      </c>
      <c r="AF2032">
        <v>0</v>
      </c>
      <c r="AG2032" s="78" t="s">
        <v>4640</v>
      </c>
      <c r="AH2032" t="b">
        <v>0</v>
      </c>
      <c r="AI2032" t="s">
        <v>4829</v>
      </c>
      <c r="AK2032" s="78" t="s">
        <v>4640</v>
      </c>
      <c r="AL2032" t="b">
        <v>0</v>
      </c>
      <c r="AM2032">
        <v>162</v>
      </c>
      <c r="AN2032" s="78" t="s">
        <v>4473</v>
      </c>
      <c r="AO2032" s="78" t="s">
        <v>4850</v>
      </c>
      <c r="AP2032" t="b">
        <v>0</v>
      </c>
      <c r="AQ2032" s="78" t="s">
        <v>4473</v>
      </c>
      <c r="AR2032" t="s">
        <v>179</v>
      </c>
      <c r="AS2032">
        <v>0</v>
      </c>
      <c r="AT2032">
        <v>0</v>
      </c>
    </row>
    <row r="2033" spans="1:54" x14ac:dyDescent="0.45">
      <c r="A2033" s="62" t="s">
        <v>547</v>
      </c>
      <c r="B2033" s="62" t="s">
        <v>1299</v>
      </c>
      <c r="C2033" s="63"/>
      <c r="D2033" s="64"/>
      <c r="E2033" s="65"/>
      <c r="F2033" s="66"/>
      <c r="G2033" s="63"/>
      <c r="H2033" s="67"/>
      <c r="I2033" s="68"/>
      <c r="J2033" s="68"/>
      <c r="K2033" s="32"/>
      <c r="L2033" s="75"/>
      <c r="M2033" s="75"/>
      <c r="N2033" s="70"/>
      <c r="O2033" t="s">
        <v>1568</v>
      </c>
      <c r="P2033" s="76">
        <v>44958.797835648147</v>
      </c>
      <c r="Q2033" t="s">
        <v>1812</v>
      </c>
      <c r="V2033" s="77" t="str">
        <f>HYPERLINK("https://pbs.twimg.com/profile_images/1500938775039332353/2ORlm7Gx_normal.jpg")</f>
        <v>https://pbs.twimg.com/profile_images/1500938775039332353/2ORlm7Gx_normal.jpg</v>
      </c>
      <c r="W2033" s="76">
        <v>44958.797835648147</v>
      </c>
      <c r="X2033" s="80">
        <v>44958</v>
      </c>
      <c r="Y2033" s="78" t="s">
        <v>2789</v>
      </c>
      <c r="Z2033" s="77" t="str">
        <f>HYPERLINK("https://twitter.com/dypiangco/status/1620861765650350080")</f>
        <v>https://twitter.com/dypiangco/status/1620861765650350080</v>
      </c>
      <c r="AC2033" s="78" t="s">
        <v>3808</v>
      </c>
      <c r="AD2033" s="78" t="s">
        <v>4550</v>
      </c>
      <c r="AE2033" t="b">
        <v>0</v>
      </c>
      <c r="AF2033">
        <v>0</v>
      </c>
      <c r="AG2033" s="78" t="s">
        <v>4716</v>
      </c>
      <c r="AH2033" t="b">
        <v>0</v>
      </c>
      <c r="AI2033" t="s">
        <v>4829</v>
      </c>
      <c r="AK2033" s="78" t="s">
        <v>4640</v>
      </c>
      <c r="AL2033" t="b">
        <v>0</v>
      </c>
      <c r="AM2033">
        <v>0</v>
      </c>
      <c r="AN2033" s="78" t="s">
        <v>4640</v>
      </c>
      <c r="AO2033" s="78" t="s">
        <v>4851</v>
      </c>
      <c r="AP2033" t="b">
        <v>0</v>
      </c>
      <c r="AQ2033" s="78" t="s">
        <v>4550</v>
      </c>
      <c r="AR2033" t="s">
        <v>179</v>
      </c>
      <c r="AS2033">
        <v>0</v>
      </c>
      <c r="AT2033">
        <v>0</v>
      </c>
    </row>
    <row r="2034" spans="1:54" x14ac:dyDescent="0.45">
      <c r="A2034" s="62" t="s">
        <v>547</v>
      </c>
      <c r="B2034" s="62" t="s">
        <v>1300</v>
      </c>
      <c r="C2034" s="63"/>
      <c r="D2034" s="64"/>
      <c r="E2034" s="65"/>
      <c r="F2034" s="66"/>
      <c r="G2034" s="63"/>
      <c r="H2034" s="67"/>
      <c r="I2034" s="68"/>
      <c r="J2034" s="68"/>
      <c r="K2034" s="32"/>
      <c r="L2034" s="75"/>
      <c r="M2034" s="75"/>
      <c r="N2034" s="70"/>
      <c r="O2034" t="s">
        <v>1568</v>
      </c>
      <c r="P2034" s="76">
        <v>44958.797835648147</v>
      </c>
      <c r="Q2034" t="s">
        <v>1812</v>
      </c>
      <c r="V2034" s="77" t="str">
        <f>HYPERLINK("https://pbs.twimg.com/profile_images/1500938775039332353/2ORlm7Gx_normal.jpg")</f>
        <v>https://pbs.twimg.com/profile_images/1500938775039332353/2ORlm7Gx_normal.jpg</v>
      </c>
      <c r="W2034" s="76">
        <v>44958.797835648147</v>
      </c>
      <c r="X2034" s="80">
        <v>44958</v>
      </c>
      <c r="Y2034" s="78" t="s">
        <v>2789</v>
      </c>
      <c r="Z2034" s="77" t="str">
        <f>HYPERLINK("https://twitter.com/dypiangco/status/1620861765650350080")</f>
        <v>https://twitter.com/dypiangco/status/1620861765650350080</v>
      </c>
      <c r="AC2034" s="78" t="s">
        <v>3808</v>
      </c>
      <c r="AD2034" s="78" t="s">
        <v>4550</v>
      </c>
      <c r="AE2034" t="b">
        <v>0</v>
      </c>
      <c r="AF2034">
        <v>0</v>
      </c>
      <c r="AG2034" s="78" t="s">
        <v>4716</v>
      </c>
      <c r="AH2034" t="b">
        <v>0</v>
      </c>
      <c r="AI2034" t="s">
        <v>4829</v>
      </c>
      <c r="AK2034" s="78" t="s">
        <v>4640</v>
      </c>
      <c r="AL2034" t="b">
        <v>0</v>
      </c>
      <c r="AM2034">
        <v>0</v>
      </c>
      <c r="AN2034" s="78" t="s">
        <v>4640</v>
      </c>
      <c r="AO2034" s="78" t="s">
        <v>4851</v>
      </c>
      <c r="AP2034" t="b">
        <v>0</v>
      </c>
      <c r="AQ2034" s="78" t="s">
        <v>4550</v>
      </c>
      <c r="AR2034" t="s">
        <v>179</v>
      </c>
      <c r="AS2034">
        <v>0</v>
      </c>
      <c r="AT2034">
        <v>0</v>
      </c>
    </row>
    <row r="2035" spans="1:54" x14ac:dyDescent="0.45">
      <c r="A2035" s="62" t="s">
        <v>547</v>
      </c>
      <c r="B2035" s="62" t="s">
        <v>1301</v>
      </c>
      <c r="C2035" s="63"/>
      <c r="D2035" s="64"/>
      <c r="E2035" s="65"/>
      <c r="F2035" s="66"/>
      <c r="G2035" s="63"/>
      <c r="H2035" s="67"/>
      <c r="I2035" s="68"/>
      <c r="J2035" s="68"/>
      <c r="K2035" s="32"/>
      <c r="L2035" s="75"/>
      <c r="M2035" s="75"/>
      <c r="N2035" s="70"/>
      <c r="O2035" t="s">
        <v>1568</v>
      </c>
      <c r="P2035" s="76">
        <v>44958.797835648147</v>
      </c>
      <c r="Q2035" t="s">
        <v>1812</v>
      </c>
      <c r="V2035" s="77" t="str">
        <f>HYPERLINK("https://pbs.twimg.com/profile_images/1500938775039332353/2ORlm7Gx_normal.jpg")</f>
        <v>https://pbs.twimg.com/profile_images/1500938775039332353/2ORlm7Gx_normal.jpg</v>
      </c>
      <c r="W2035" s="76">
        <v>44958.797835648147</v>
      </c>
      <c r="X2035" s="80">
        <v>44958</v>
      </c>
      <c r="Y2035" s="78" t="s">
        <v>2789</v>
      </c>
      <c r="Z2035" s="77" t="str">
        <f>HYPERLINK("https://twitter.com/dypiangco/status/1620861765650350080")</f>
        <v>https://twitter.com/dypiangco/status/1620861765650350080</v>
      </c>
      <c r="AC2035" s="78" t="s">
        <v>3808</v>
      </c>
      <c r="AD2035" s="78" t="s">
        <v>4550</v>
      </c>
      <c r="AE2035" t="b">
        <v>0</v>
      </c>
      <c r="AF2035">
        <v>0</v>
      </c>
      <c r="AG2035" s="78" t="s">
        <v>4716</v>
      </c>
      <c r="AH2035" t="b">
        <v>0</v>
      </c>
      <c r="AI2035" t="s">
        <v>4829</v>
      </c>
      <c r="AK2035" s="78" t="s">
        <v>4640</v>
      </c>
      <c r="AL2035" t="b">
        <v>0</v>
      </c>
      <c r="AM2035">
        <v>0</v>
      </c>
      <c r="AN2035" s="78" t="s">
        <v>4640</v>
      </c>
      <c r="AO2035" s="78" t="s">
        <v>4851</v>
      </c>
      <c r="AP2035" t="b">
        <v>0</v>
      </c>
      <c r="AQ2035" s="78" t="s">
        <v>4550</v>
      </c>
      <c r="AR2035" t="s">
        <v>179</v>
      </c>
      <c r="AS2035">
        <v>0</v>
      </c>
      <c r="AT2035">
        <v>0</v>
      </c>
    </row>
    <row r="2036" spans="1:54" x14ac:dyDescent="0.45">
      <c r="A2036" s="62" t="s">
        <v>547</v>
      </c>
      <c r="B2036" s="62" t="s">
        <v>1302</v>
      </c>
      <c r="C2036" s="63"/>
      <c r="D2036" s="64"/>
      <c r="E2036" s="65"/>
      <c r="F2036" s="66"/>
      <c r="G2036" s="63"/>
      <c r="H2036" s="67"/>
      <c r="I2036" s="68"/>
      <c r="J2036" s="68"/>
      <c r="K2036" s="32"/>
      <c r="L2036" s="75"/>
      <c r="M2036" s="75"/>
      <c r="N2036" s="70"/>
      <c r="O2036" t="s">
        <v>1568</v>
      </c>
      <c r="P2036" s="76">
        <v>44958.797835648147</v>
      </c>
      <c r="Q2036" t="s">
        <v>1812</v>
      </c>
      <c r="V2036" s="77" t="str">
        <f>HYPERLINK("https://pbs.twimg.com/profile_images/1500938775039332353/2ORlm7Gx_normal.jpg")</f>
        <v>https://pbs.twimg.com/profile_images/1500938775039332353/2ORlm7Gx_normal.jpg</v>
      </c>
      <c r="W2036" s="76">
        <v>44958.797835648147</v>
      </c>
      <c r="X2036" s="80">
        <v>44958</v>
      </c>
      <c r="Y2036" s="78" t="s">
        <v>2789</v>
      </c>
      <c r="Z2036" s="77" t="str">
        <f>HYPERLINK("https://twitter.com/dypiangco/status/1620861765650350080")</f>
        <v>https://twitter.com/dypiangco/status/1620861765650350080</v>
      </c>
      <c r="AC2036" s="78" t="s">
        <v>3808</v>
      </c>
      <c r="AD2036" s="78" t="s">
        <v>4550</v>
      </c>
      <c r="AE2036" t="b">
        <v>0</v>
      </c>
      <c r="AF2036">
        <v>0</v>
      </c>
      <c r="AG2036" s="78" t="s">
        <v>4716</v>
      </c>
      <c r="AH2036" t="b">
        <v>0</v>
      </c>
      <c r="AI2036" t="s">
        <v>4829</v>
      </c>
      <c r="AK2036" s="78" t="s">
        <v>4640</v>
      </c>
      <c r="AL2036" t="b">
        <v>0</v>
      </c>
      <c r="AM2036">
        <v>0</v>
      </c>
      <c r="AN2036" s="78" t="s">
        <v>4640</v>
      </c>
      <c r="AO2036" s="78" t="s">
        <v>4851</v>
      </c>
      <c r="AP2036" t="b">
        <v>0</v>
      </c>
      <c r="AQ2036" s="78" t="s">
        <v>4550</v>
      </c>
      <c r="AR2036" t="s">
        <v>179</v>
      </c>
      <c r="AS2036">
        <v>0</v>
      </c>
      <c r="AT2036">
        <v>0</v>
      </c>
    </row>
    <row r="2037" spans="1:54" x14ac:dyDescent="0.45">
      <c r="A2037" s="62" t="s">
        <v>547</v>
      </c>
      <c r="B2037" s="62" t="s">
        <v>242</v>
      </c>
      <c r="C2037" s="63"/>
      <c r="D2037" s="64"/>
      <c r="E2037" s="65"/>
      <c r="F2037" s="66"/>
      <c r="G2037" s="63"/>
      <c r="H2037" s="67"/>
      <c r="I2037" s="68"/>
      <c r="J2037" s="68"/>
      <c r="K2037" s="32"/>
      <c r="L2037" s="75"/>
      <c r="M2037" s="75"/>
      <c r="N2037" s="70"/>
      <c r="O2037" t="s">
        <v>1568</v>
      </c>
      <c r="P2037" s="76">
        <v>44958.797835648147</v>
      </c>
      <c r="Q2037" t="s">
        <v>1812</v>
      </c>
      <c r="V2037" s="77" t="str">
        <f>HYPERLINK("https://pbs.twimg.com/profile_images/1500938775039332353/2ORlm7Gx_normal.jpg")</f>
        <v>https://pbs.twimg.com/profile_images/1500938775039332353/2ORlm7Gx_normal.jpg</v>
      </c>
      <c r="W2037" s="76">
        <v>44958.797835648147</v>
      </c>
      <c r="X2037" s="80">
        <v>44958</v>
      </c>
      <c r="Y2037" s="78" t="s">
        <v>2789</v>
      </c>
      <c r="Z2037" s="77" t="str">
        <f>HYPERLINK("https://twitter.com/dypiangco/status/1620861765650350080")</f>
        <v>https://twitter.com/dypiangco/status/1620861765650350080</v>
      </c>
      <c r="AC2037" s="78" t="s">
        <v>3808</v>
      </c>
      <c r="AD2037" s="78" t="s">
        <v>4550</v>
      </c>
      <c r="AE2037" t="b">
        <v>0</v>
      </c>
      <c r="AF2037">
        <v>0</v>
      </c>
      <c r="AG2037" s="78" t="s">
        <v>4716</v>
      </c>
      <c r="AH2037" t="b">
        <v>0</v>
      </c>
      <c r="AI2037" t="s">
        <v>4829</v>
      </c>
      <c r="AK2037" s="78" t="s">
        <v>4640</v>
      </c>
      <c r="AL2037" t="b">
        <v>0</v>
      </c>
      <c r="AM2037">
        <v>0</v>
      </c>
      <c r="AN2037" s="78" t="s">
        <v>4640</v>
      </c>
      <c r="AO2037" s="78" t="s">
        <v>4851</v>
      </c>
      <c r="AP2037" t="b">
        <v>0</v>
      </c>
      <c r="AQ2037" s="78" t="s">
        <v>4550</v>
      </c>
      <c r="AR2037" t="s">
        <v>179</v>
      </c>
      <c r="AS2037">
        <v>0</v>
      </c>
      <c r="AT2037">
        <v>0</v>
      </c>
    </row>
    <row r="2038" spans="1:54" x14ac:dyDescent="0.45">
      <c r="A2038" s="62" t="s">
        <v>548</v>
      </c>
      <c r="B2038" s="62" t="s">
        <v>1230</v>
      </c>
      <c r="C2038" s="63"/>
      <c r="D2038" s="64"/>
      <c r="E2038" s="65"/>
      <c r="F2038" s="66"/>
      <c r="G2038" s="63"/>
      <c r="H2038" s="67"/>
      <c r="I2038" s="68"/>
      <c r="J2038" s="68"/>
      <c r="K2038" s="32"/>
      <c r="L2038" s="75"/>
      <c r="M2038" s="75"/>
      <c r="N2038" s="70"/>
      <c r="O2038" t="s">
        <v>1570</v>
      </c>
      <c r="P2038" s="76">
        <v>44958.798113425924</v>
      </c>
      <c r="Q2038" t="s">
        <v>1693</v>
      </c>
      <c r="V2038" s="77" t="str">
        <f>HYPERLINK("https://pbs.twimg.com/profile_images/1607603208066572288/iqWd6WJK_normal.jpg")</f>
        <v>https://pbs.twimg.com/profile_images/1607603208066572288/iqWd6WJK_normal.jpg</v>
      </c>
      <c r="W2038" s="76">
        <v>44958.798113425924</v>
      </c>
      <c r="X2038" s="80">
        <v>44958</v>
      </c>
      <c r="Y2038" s="78" t="s">
        <v>2790</v>
      </c>
      <c r="Z2038" s="77" t="str">
        <f>HYPERLINK("https://twitter.com/heduardomatz/status/1620861865176989696")</f>
        <v>https://twitter.com/heduardomatz/status/1620861865176989696</v>
      </c>
      <c r="AC2038" s="78" t="s">
        <v>3809</v>
      </c>
      <c r="AE2038" t="b">
        <v>0</v>
      </c>
      <c r="AF2038">
        <v>0</v>
      </c>
      <c r="AG2038" s="78" t="s">
        <v>4640</v>
      </c>
      <c r="AH2038" t="b">
        <v>0</v>
      </c>
      <c r="AI2038" t="s">
        <v>4829</v>
      </c>
      <c r="AK2038" s="78" t="s">
        <v>4640</v>
      </c>
      <c r="AL2038" t="b">
        <v>0</v>
      </c>
      <c r="AM2038">
        <v>162</v>
      </c>
      <c r="AN2038" s="78" t="s">
        <v>4473</v>
      </c>
      <c r="AO2038" s="78" t="s">
        <v>4849</v>
      </c>
      <c r="AP2038" t="b">
        <v>0</v>
      </c>
      <c r="AQ2038" s="78" t="s">
        <v>4473</v>
      </c>
      <c r="AR2038" t="s">
        <v>179</v>
      </c>
      <c r="AS2038">
        <v>0</v>
      </c>
      <c r="AT2038">
        <v>0</v>
      </c>
    </row>
    <row r="2039" spans="1:54" x14ac:dyDescent="0.45">
      <c r="A2039" s="62" t="s">
        <v>548</v>
      </c>
      <c r="B2039" s="62" t="s">
        <v>242</v>
      </c>
      <c r="C2039" s="63"/>
      <c r="D2039" s="64"/>
      <c r="E2039" s="65"/>
      <c r="F2039" s="66"/>
      <c r="G2039" s="63"/>
      <c r="H2039" s="67"/>
      <c r="I2039" s="68"/>
      <c r="J2039" s="68"/>
      <c r="K2039" s="32"/>
      <c r="L2039" s="75"/>
      <c r="M2039" s="75"/>
      <c r="N2039" s="70"/>
      <c r="O2039" t="s">
        <v>1569</v>
      </c>
      <c r="P2039" s="76">
        <v>44958.798113425924</v>
      </c>
      <c r="Q2039" t="s">
        <v>1693</v>
      </c>
      <c r="V2039" s="77" t="str">
        <f>HYPERLINK("https://pbs.twimg.com/profile_images/1607603208066572288/iqWd6WJK_normal.jpg")</f>
        <v>https://pbs.twimg.com/profile_images/1607603208066572288/iqWd6WJK_normal.jpg</v>
      </c>
      <c r="W2039" s="76">
        <v>44958.798113425924</v>
      </c>
      <c r="X2039" s="80">
        <v>44958</v>
      </c>
      <c r="Y2039" s="78" t="s">
        <v>2790</v>
      </c>
      <c r="Z2039" s="77" t="str">
        <f>HYPERLINK("https://twitter.com/heduardomatz/status/1620861865176989696")</f>
        <v>https://twitter.com/heduardomatz/status/1620861865176989696</v>
      </c>
      <c r="AC2039" s="78" t="s">
        <v>3809</v>
      </c>
      <c r="AE2039" t="b">
        <v>0</v>
      </c>
      <c r="AF2039">
        <v>0</v>
      </c>
      <c r="AG2039" s="78" t="s">
        <v>4640</v>
      </c>
      <c r="AH2039" t="b">
        <v>0</v>
      </c>
      <c r="AI2039" t="s">
        <v>4829</v>
      </c>
      <c r="AK2039" s="78" t="s">
        <v>4640</v>
      </c>
      <c r="AL2039" t="b">
        <v>0</v>
      </c>
      <c r="AM2039">
        <v>162</v>
      </c>
      <c r="AN2039" s="78" t="s">
        <v>4473</v>
      </c>
      <c r="AO2039" s="78" t="s">
        <v>4849</v>
      </c>
      <c r="AP2039" t="b">
        <v>0</v>
      </c>
      <c r="AQ2039" s="78" t="s">
        <v>4473</v>
      </c>
      <c r="AR2039" t="s">
        <v>179</v>
      </c>
      <c r="AS2039">
        <v>0</v>
      </c>
      <c r="AT2039">
        <v>0</v>
      </c>
    </row>
    <row r="2040" spans="1:54" x14ac:dyDescent="0.45">
      <c r="A2040" s="62" t="s">
        <v>550</v>
      </c>
      <c r="B2040" s="62" t="s">
        <v>242</v>
      </c>
      <c r="C2040" s="63"/>
      <c r="D2040" s="64"/>
      <c r="E2040" s="65"/>
      <c r="F2040" s="66"/>
      <c r="G2040" s="63"/>
      <c r="H2040" s="67"/>
      <c r="I2040" s="68"/>
      <c r="J2040" s="68"/>
      <c r="K2040" s="32"/>
      <c r="L2040" s="75"/>
      <c r="M2040" s="75"/>
      <c r="N2040" s="70"/>
      <c r="O2040" t="s">
        <v>1568</v>
      </c>
      <c r="P2040" s="76">
        <v>44958.798738425925</v>
      </c>
      <c r="Q2040" t="s">
        <v>1814</v>
      </c>
      <c r="V2040" s="77" t="str">
        <f>HYPERLINK("https://pbs.twimg.com/profile_images/1318291458101792769/ecQR7S43_normal.jpg")</f>
        <v>https://pbs.twimg.com/profile_images/1318291458101792769/ecQR7S43_normal.jpg</v>
      </c>
      <c r="W2040" s="76">
        <v>44958.798738425925</v>
      </c>
      <c r="X2040" s="80">
        <v>44958</v>
      </c>
      <c r="Y2040" s="78" t="s">
        <v>2792</v>
      </c>
      <c r="Z2040" s="77" t="str">
        <f>HYPERLINK("https://twitter.com/micklite7/status/1620862093670088707")</f>
        <v>https://twitter.com/micklite7/status/1620862093670088707</v>
      </c>
      <c r="AC2040" s="78" t="s">
        <v>3811</v>
      </c>
      <c r="AE2040" t="b">
        <v>0</v>
      </c>
      <c r="AF2040">
        <v>0</v>
      </c>
      <c r="AG2040" s="78" t="s">
        <v>4640</v>
      </c>
      <c r="AH2040" t="b">
        <v>0</v>
      </c>
      <c r="AI2040" t="s">
        <v>4829</v>
      </c>
      <c r="AK2040" s="78" t="s">
        <v>4640</v>
      </c>
      <c r="AL2040" t="b">
        <v>0</v>
      </c>
      <c r="AM2040">
        <v>0</v>
      </c>
      <c r="AN2040" s="78" t="s">
        <v>4640</v>
      </c>
      <c r="AO2040" s="78" t="s">
        <v>4850</v>
      </c>
      <c r="AP2040" t="b">
        <v>0</v>
      </c>
      <c r="AQ2040" s="78" t="s">
        <v>3811</v>
      </c>
      <c r="AR2040" t="s">
        <v>179</v>
      </c>
      <c r="AS2040">
        <v>0</v>
      </c>
      <c r="AT2040">
        <v>0</v>
      </c>
      <c r="AU2040" t="s">
        <v>4883</v>
      </c>
      <c r="AV2040" t="s">
        <v>4899</v>
      </c>
      <c r="AW2040" t="s">
        <v>4901</v>
      </c>
      <c r="AX2040" t="s">
        <v>4912</v>
      </c>
      <c r="AY2040" t="s">
        <v>4937</v>
      </c>
      <c r="AZ2040" t="s">
        <v>4962</v>
      </c>
      <c r="BA2040" t="s">
        <v>4975</v>
      </c>
      <c r="BB2040" s="77" t="str">
        <f>HYPERLINK("https://api.twitter.com/1.1/geo/id/01d4e7421ef07326.json")</f>
        <v>https://api.twitter.com/1.1/geo/id/01d4e7421ef07326.json</v>
      </c>
    </row>
    <row r="2041" spans="1:54" x14ac:dyDescent="0.45">
      <c r="A2041" s="62" t="s">
        <v>552</v>
      </c>
      <c r="B2041" s="62" t="s">
        <v>1230</v>
      </c>
      <c r="C2041" s="63"/>
      <c r="D2041" s="64"/>
      <c r="E2041" s="65"/>
      <c r="F2041" s="66"/>
      <c r="G2041" s="63"/>
      <c r="H2041" s="67"/>
      <c r="I2041" s="68"/>
      <c r="J2041" s="68"/>
      <c r="K2041" s="32"/>
      <c r="L2041" s="75"/>
      <c r="M2041" s="75"/>
      <c r="N2041" s="70"/>
      <c r="O2041" t="s">
        <v>1570</v>
      </c>
      <c r="P2041" s="76">
        <v>44958.804490740738</v>
      </c>
      <c r="Q2041" t="s">
        <v>1693</v>
      </c>
      <c r="V2041" s="77" t="str">
        <f>HYPERLINK("https://pbs.twimg.com/profile_images/1369083430022086660/D5b8kCkM_normal.jpg")</f>
        <v>https://pbs.twimg.com/profile_images/1369083430022086660/D5b8kCkM_normal.jpg</v>
      </c>
      <c r="W2041" s="76">
        <v>44958.804490740738</v>
      </c>
      <c r="X2041" s="80">
        <v>44958</v>
      </c>
      <c r="Y2041" s="78" t="s">
        <v>2794</v>
      </c>
      <c r="Z2041" s="77" t="str">
        <f>HYPERLINK("https://twitter.com/purelyinspired/status/1620864175303192576")</f>
        <v>https://twitter.com/purelyinspired/status/1620864175303192576</v>
      </c>
      <c r="AC2041" s="78" t="s">
        <v>3813</v>
      </c>
      <c r="AE2041" t="b">
        <v>0</v>
      </c>
      <c r="AF2041">
        <v>0</v>
      </c>
      <c r="AG2041" s="78" t="s">
        <v>4640</v>
      </c>
      <c r="AH2041" t="b">
        <v>0</v>
      </c>
      <c r="AI2041" t="s">
        <v>4829</v>
      </c>
      <c r="AK2041" s="78" t="s">
        <v>4640</v>
      </c>
      <c r="AL2041" t="b">
        <v>0</v>
      </c>
      <c r="AM2041">
        <v>162</v>
      </c>
      <c r="AN2041" s="78" t="s">
        <v>4473</v>
      </c>
      <c r="AO2041" s="78" t="s">
        <v>4851</v>
      </c>
      <c r="AP2041" t="b">
        <v>0</v>
      </c>
      <c r="AQ2041" s="78" t="s">
        <v>4473</v>
      </c>
      <c r="AR2041" t="s">
        <v>179</v>
      </c>
      <c r="AS2041">
        <v>0</v>
      </c>
      <c r="AT2041">
        <v>0</v>
      </c>
    </row>
    <row r="2042" spans="1:54" x14ac:dyDescent="0.45">
      <c r="A2042" s="62" t="s">
        <v>552</v>
      </c>
      <c r="B2042" s="62" t="s">
        <v>242</v>
      </c>
      <c r="C2042" s="63"/>
      <c r="D2042" s="64"/>
      <c r="E2042" s="65"/>
      <c r="F2042" s="66"/>
      <c r="G2042" s="63"/>
      <c r="H2042" s="67"/>
      <c r="I2042" s="68"/>
      <c r="J2042" s="68"/>
      <c r="K2042" s="32"/>
      <c r="L2042" s="75"/>
      <c r="M2042" s="75"/>
      <c r="N2042" s="70"/>
      <c r="O2042" t="s">
        <v>1569</v>
      </c>
      <c r="P2042" s="76">
        <v>44958.804490740738</v>
      </c>
      <c r="Q2042" t="s">
        <v>1693</v>
      </c>
      <c r="V2042" s="77" t="str">
        <f>HYPERLINK("https://pbs.twimg.com/profile_images/1369083430022086660/D5b8kCkM_normal.jpg")</f>
        <v>https://pbs.twimg.com/profile_images/1369083430022086660/D5b8kCkM_normal.jpg</v>
      </c>
      <c r="W2042" s="76">
        <v>44958.804490740738</v>
      </c>
      <c r="X2042" s="80">
        <v>44958</v>
      </c>
      <c r="Y2042" s="78" t="s">
        <v>2794</v>
      </c>
      <c r="Z2042" s="77" t="str">
        <f>HYPERLINK("https://twitter.com/purelyinspired/status/1620864175303192576")</f>
        <v>https://twitter.com/purelyinspired/status/1620864175303192576</v>
      </c>
      <c r="AC2042" s="78" t="s">
        <v>3813</v>
      </c>
      <c r="AE2042" t="b">
        <v>0</v>
      </c>
      <c r="AF2042">
        <v>0</v>
      </c>
      <c r="AG2042" s="78" t="s">
        <v>4640</v>
      </c>
      <c r="AH2042" t="b">
        <v>0</v>
      </c>
      <c r="AI2042" t="s">
        <v>4829</v>
      </c>
      <c r="AK2042" s="78" t="s">
        <v>4640</v>
      </c>
      <c r="AL2042" t="b">
        <v>0</v>
      </c>
      <c r="AM2042">
        <v>162</v>
      </c>
      <c r="AN2042" s="78" t="s">
        <v>4473</v>
      </c>
      <c r="AO2042" s="78" t="s">
        <v>4851</v>
      </c>
      <c r="AP2042" t="b">
        <v>0</v>
      </c>
      <c r="AQ2042" s="78" t="s">
        <v>4473</v>
      </c>
      <c r="AR2042" t="s">
        <v>179</v>
      </c>
      <c r="AS2042">
        <v>0</v>
      </c>
      <c r="AT2042">
        <v>0</v>
      </c>
    </row>
    <row r="2043" spans="1:54" x14ac:dyDescent="0.45">
      <c r="A2043" s="62" t="s">
        <v>553</v>
      </c>
      <c r="B2043" s="62" t="s">
        <v>242</v>
      </c>
      <c r="C2043" s="63"/>
      <c r="D2043" s="64"/>
      <c r="E2043" s="65"/>
      <c r="F2043" s="66"/>
      <c r="G2043" s="63"/>
      <c r="H2043" s="67"/>
      <c r="I2043" s="68"/>
      <c r="J2043" s="68"/>
      <c r="K2043" s="32"/>
      <c r="L2043" s="75"/>
      <c r="M2043" s="75"/>
      <c r="N2043" s="70"/>
      <c r="O2043" t="s">
        <v>1567</v>
      </c>
      <c r="P2043" s="76">
        <v>44958.805462962962</v>
      </c>
      <c r="Q2043" t="s">
        <v>1816</v>
      </c>
      <c r="V2043" s="77" t="str">
        <f>HYPERLINK("https://pbs.twimg.com/profile_images/2845140437/4a1fd18b3659aeb3e4430529fa2e2c51_normal.jpeg")</f>
        <v>https://pbs.twimg.com/profile_images/2845140437/4a1fd18b3659aeb3e4430529fa2e2c51_normal.jpeg</v>
      </c>
      <c r="W2043" s="76">
        <v>44958.805462962962</v>
      </c>
      <c r="X2043" s="80">
        <v>44958</v>
      </c>
      <c r="Y2043" s="78" t="s">
        <v>2795</v>
      </c>
      <c r="Z2043" s="77" t="str">
        <f>HYPERLINK("https://twitter.com/deliciouslyso/status/1620864530514612231")</f>
        <v>https://twitter.com/deliciouslyso/status/1620864530514612231</v>
      </c>
      <c r="AC2043" s="78" t="s">
        <v>3814</v>
      </c>
      <c r="AE2043" t="b">
        <v>0</v>
      </c>
      <c r="AF2043">
        <v>0</v>
      </c>
      <c r="AG2043" s="78" t="s">
        <v>4639</v>
      </c>
      <c r="AH2043" t="b">
        <v>0</v>
      </c>
      <c r="AI2043" t="s">
        <v>4829</v>
      </c>
      <c r="AK2043" s="78" t="s">
        <v>4640</v>
      </c>
      <c r="AL2043" t="b">
        <v>0</v>
      </c>
      <c r="AM2043">
        <v>1</v>
      </c>
      <c r="AN2043" s="78" t="s">
        <v>4640</v>
      </c>
      <c r="AO2043" s="78" t="s">
        <v>4850</v>
      </c>
      <c r="AP2043" t="b">
        <v>0</v>
      </c>
      <c r="AQ2043" s="78" t="s">
        <v>3814</v>
      </c>
      <c r="AR2043" t="s">
        <v>179</v>
      </c>
      <c r="AS2043">
        <v>0</v>
      </c>
      <c r="AT2043">
        <v>0</v>
      </c>
    </row>
    <row r="2044" spans="1:54" x14ac:dyDescent="0.45">
      <c r="A2044" s="62" t="s">
        <v>553</v>
      </c>
      <c r="B2044" s="62" t="s">
        <v>553</v>
      </c>
      <c r="C2044" s="63"/>
      <c r="D2044" s="64"/>
      <c r="E2044" s="65"/>
      <c r="F2044" s="66"/>
      <c r="G2044" s="63"/>
      <c r="H2044" s="67"/>
      <c r="I2044" s="68"/>
      <c r="J2044" s="68"/>
      <c r="K2044" s="32"/>
      <c r="L2044" s="75"/>
      <c r="M2044" s="75"/>
      <c r="N2044" s="70"/>
      <c r="O2044" t="s">
        <v>1569</v>
      </c>
      <c r="P2044" s="76">
        <v>44958.806643518517</v>
      </c>
      <c r="Q2044" t="s">
        <v>1816</v>
      </c>
      <c r="V2044" s="77" t="str">
        <f>HYPERLINK("https://pbs.twimg.com/profile_images/2845140437/4a1fd18b3659aeb3e4430529fa2e2c51_normal.jpeg")</f>
        <v>https://pbs.twimg.com/profile_images/2845140437/4a1fd18b3659aeb3e4430529fa2e2c51_normal.jpeg</v>
      </c>
      <c r="W2044" s="76">
        <v>44958.806643518517</v>
      </c>
      <c r="X2044" s="80">
        <v>44958</v>
      </c>
      <c r="Y2044" s="78" t="s">
        <v>2796</v>
      </c>
      <c r="Z2044" s="77" t="str">
        <f>HYPERLINK("https://twitter.com/deliciouslyso/status/1620864957314383872")</f>
        <v>https://twitter.com/deliciouslyso/status/1620864957314383872</v>
      </c>
      <c r="AC2044" s="78" t="s">
        <v>3815</v>
      </c>
      <c r="AE2044" t="b">
        <v>0</v>
      </c>
      <c r="AF2044">
        <v>0</v>
      </c>
      <c r="AG2044" s="78" t="s">
        <v>4640</v>
      </c>
      <c r="AH2044" t="b">
        <v>0</v>
      </c>
      <c r="AI2044" t="s">
        <v>4829</v>
      </c>
      <c r="AK2044" s="78" t="s">
        <v>4640</v>
      </c>
      <c r="AL2044" t="b">
        <v>0</v>
      </c>
      <c r="AM2044">
        <v>1</v>
      </c>
      <c r="AN2044" s="78" t="s">
        <v>3814</v>
      </c>
      <c r="AO2044" s="78" t="s">
        <v>4850</v>
      </c>
      <c r="AP2044" t="b">
        <v>0</v>
      </c>
      <c r="AQ2044" s="78" t="s">
        <v>3814</v>
      </c>
      <c r="AR2044" t="s">
        <v>179</v>
      </c>
      <c r="AS2044">
        <v>0</v>
      </c>
      <c r="AT2044">
        <v>0</v>
      </c>
    </row>
    <row r="2045" spans="1:54" x14ac:dyDescent="0.45">
      <c r="A2045" s="62" t="s">
        <v>553</v>
      </c>
      <c r="B2045" s="62" t="s">
        <v>242</v>
      </c>
      <c r="C2045" s="63"/>
      <c r="D2045" s="64"/>
      <c r="E2045" s="65"/>
      <c r="F2045" s="66"/>
      <c r="G2045" s="63"/>
      <c r="H2045" s="67"/>
      <c r="I2045" s="68"/>
      <c r="J2045" s="68"/>
      <c r="K2045" s="32"/>
      <c r="L2045" s="75"/>
      <c r="M2045" s="75"/>
      <c r="N2045" s="70"/>
      <c r="O2045" t="s">
        <v>1567</v>
      </c>
      <c r="P2045" s="76">
        <v>44958.806643518517</v>
      </c>
      <c r="Q2045" t="s">
        <v>1816</v>
      </c>
      <c r="V2045" s="77" t="str">
        <f>HYPERLINK("https://pbs.twimg.com/profile_images/2845140437/4a1fd18b3659aeb3e4430529fa2e2c51_normal.jpeg")</f>
        <v>https://pbs.twimg.com/profile_images/2845140437/4a1fd18b3659aeb3e4430529fa2e2c51_normal.jpeg</v>
      </c>
      <c r="W2045" s="76">
        <v>44958.806643518517</v>
      </c>
      <c r="X2045" s="80">
        <v>44958</v>
      </c>
      <c r="Y2045" s="78" t="s">
        <v>2796</v>
      </c>
      <c r="Z2045" s="77" t="str">
        <f>HYPERLINK("https://twitter.com/deliciouslyso/status/1620864957314383872")</f>
        <v>https://twitter.com/deliciouslyso/status/1620864957314383872</v>
      </c>
      <c r="AC2045" s="78" t="s">
        <v>3815</v>
      </c>
      <c r="AE2045" t="b">
        <v>0</v>
      </c>
      <c r="AF2045">
        <v>0</v>
      </c>
      <c r="AG2045" s="78" t="s">
        <v>4640</v>
      </c>
      <c r="AH2045" t="b">
        <v>0</v>
      </c>
      <c r="AI2045" t="s">
        <v>4829</v>
      </c>
      <c r="AK2045" s="78" t="s">
        <v>4640</v>
      </c>
      <c r="AL2045" t="b">
        <v>0</v>
      </c>
      <c r="AM2045">
        <v>1</v>
      </c>
      <c r="AN2045" s="78" t="s">
        <v>3814</v>
      </c>
      <c r="AO2045" s="78" t="s">
        <v>4850</v>
      </c>
      <c r="AP2045" t="b">
        <v>0</v>
      </c>
      <c r="AQ2045" s="78" t="s">
        <v>3814</v>
      </c>
      <c r="AR2045" t="s">
        <v>179</v>
      </c>
      <c r="AS2045">
        <v>0</v>
      </c>
      <c r="AT2045">
        <v>0</v>
      </c>
    </row>
    <row r="2046" spans="1:54" x14ac:dyDescent="0.45">
      <c r="A2046" s="62" t="s">
        <v>554</v>
      </c>
      <c r="B2046" s="62" t="s">
        <v>1230</v>
      </c>
      <c r="C2046" s="63"/>
      <c r="D2046" s="64"/>
      <c r="E2046" s="65"/>
      <c r="F2046" s="66"/>
      <c r="G2046" s="63"/>
      <c r="H2046" s="67"/>
      <c r="I2046" s="68"/>
      <c r="J2046" s="68"/>
      <c r="K2046" s="32"/>
      <c r="L2046" s="75"/>
      <c r="M2046" s="75"/>
      <c r="N2046" s="70"/>
      <c r="O2046" t="s">
        <v>1570</v>
      </c>
      <c r="P2046" s="76">
        <v>44958.806712962964</v>
      </c>
      <c r="Q2046" t="s">
        <v>1693</v>
      </c>
      <c r="V2046" s="77" t="str">
        <f>HYPERLINK("https://pbs.twimg.com/profile_images/1360143445218766848/0BcEAyMq_normal.jpg")</f>
        <v>https://pbs.twimg.com/profile_images/1360143445218766848/0BcEAyMq_normal.jpg</v>
      </c>
      <c r="W2046" s="76">
        <v>44958.806712962964</v>
      </c>
      <c r="X2046" s="80">
        <v>44958</v>
      </c>
      <c r="Y2046" s="78" t="s">
        <v>2797</v>
      </c>
      <c r="Z2046" s="77" t="str">
        <f>HYPERLINK("https://twitter.com/nexttomileybu/status/1620864981448429569")</f>
        <v>https://twitter.com/nexttomileybu/status/1620864981448429569</v>
      </c>
      <c r="AC2046" s="78" t="s">
        <v>3816</v>
      </c>
      <c r="AE2046" t="b">
        <v>0</v>
      </c>
      <c r="AF2046">
        <v>0</v>
      </c>
      <c r="AG2046" s="78" t="s">
        <v>4640</v>
      </c>
      <c r="AH2046" t="b">
        <v>0</v>
      </c>
      <c r="AI2046" t="s">
        <v>4829</v>
      </c>
      <c r="AK2046" s="78" t="s">
        <v>4640</v>
      </c>
      <c r="AL2046" t="b">
        <v>0</v>
      </c>
      <c r="AM2046">
        <v>162</v>
      </c>
      <c r="AN2046" s="78" t="s">
        <v>4473</v>
      </c>
      <c r="AO2046" s="78" t="s">
        <v>4849</v>
      </c>
      <c r="AP2046" t="b">
        <v>0</v>
      </c>
      <c r="AQ2046" s="78" t="s">
        <v>4473</v>
      </c>
      <c r="AR2046" t="s">
        <v>179</v>
      </c>
      <c r="AS2046">
        <v>0</v>
      </c>
      <c r="AT2046">
        <v>0</v>
      </c>
    </row>
    <row r="2047" spans="1:54" x14ac:dyDescent="0.45">
      <c r="A2047" s="62" t="s">
        <v>554</v>
      </c>
      <c r="B2047" s="62" t="s">
        <v>242</v>
      </c>
      <c r="C2047" s="63"/>
      <c r="D2047" s="64"/>
      <c r="E2047" s="65"/>
      <c r="F2047" s="66"/>
      <c r="G2047" s="63"/>
      <c r="H2047" s="67"/>
      <c r="I2047" s="68"/>
      <c r="J2047" s="68"/>
      <c r="K2047" s="32"/>
      <c r="L2047" s="75"/>
      <c r="M2047" s="75"/>
      <c r="N2047" s="70"/>
      <c r="O2047" t="s">
        <v>1569</v>
      </c>
      <c r="P2047" s="76">
        <v>44958.806712962964</v>
      </c>
      <c r="Q2047" t="s">
        <v>1693</v>
      </c>
      <c r="V2047" s="77" t="str">
        <f>HYPERLINK("https://pbs.twimg.com/profile_images/1360143445218766848/0BcEAyMq_normal.jpg")</f>
        <v>https://pbs.twimg.com/profile_images/1360143445218766848/0BcEAyMq_normal.jpg</v>
      </c>
      <c r="W2047" s="76">
        <v>44958.806712962964</v>
      </c>
      <c r="X2047" s="80">
        <v>44958</v>
      </c>
      <c r="Y2047" s="78" t="s">
        <v>2797</v>
      </c>
      <c r="Z2047" s="77" t="str">
        <f>HYPERLINK("https://twitter.com/nexttomileybu/status/1620864981448429569")</f>
        <v>https://twitter.com/nexttomileybu/status/1620864981448429569</v>
      </c>
      <c r="AC2047" s="78" t="s">
        <v>3816</v>
      </c>
      <c r="AE2047" t="b">
        <v>0</v>
      </c>
      <c r="AF2047">
        <v>0</v>
      </c>
      <c r="AG2047" s="78" t="s">
        <v>4640</v>
      </c>
      <c r="AH2047" t="b">
        <v>0</v>
      </c>
      <c r="AI2047" t="s">
        <v>4829</v>
      </c>
      <c r="AK2047" s="78" t="s">
        <v>4640</v>
      </c>
      <c r="AL2047" t="b">
        <v>0</v>
      </c>
      <c r="AM2047">
        <v>162</v>
      </c>
      <c r="AN2047" s="78" t="s">
        <v>4473</v>
      </c>
      <c r="AO2047" s="78" t="s">
        <v>4849</v>
      </c>
      <c r="AP2047" t="b">
        <v>0</v>
      </c>
      <c r="AQ2047" s="78" t="s">
        <v>4473</v>
      </c>
      <c r="AR2047" t="s">
        <v>179</v>
      </c>
      <c r="AS2047">
        <v>0</v>
      </c>
      <c r="AT2047">
        <v>0</v>
      </c>
    </row>
    <row r="2048" spans="1:54" x14ac:dyDescent="0.45">
      <c r="A2048" s="62" t="s">
        <v>555</v>
      </c>
      <c r="B2048" s="62" t="s">
        <v>1230</v>
      </c>
      <c r="C2048" s="63"/>
      <c r="D2048" s="64"/>
      <c r="E2048" s="65"/>
      <c r="F2048" s="66"/>
      <c r="G2048" s="63"/>
      <c r="H2048" s="67"/>
      <c r="I2048" s="68"/>
      <c r="J2048" s="68"/>
      <c r="K2048" s="32"/>
      <c r="L2048" s="75"/>
      <c r="M2048" s="75"/>
      <c r="N2048" s="70"/>
      <c r="O2048" t="s">
        <v>1570</v>
      </c>
      <c r="P2048" s="76">
        <v>44958.807500000003</v>
      </c>
      <c r="Q2048" t="s">
        <v>1693</v>
      </c>
      <c r="V2048" s="77" t="str">
        <f>HYPERLINK("https://pbs.twimg.com/profile_images/1612361530770849793/VpZwMVTJ_normal.jpg")</f>
        <v>https://pbs.twimg.com/profile_images/1612361530770849793/VpZwMVTJ_normal.jpg</v>
      </c>
      <c r="W2048" s="76">
        <v>44958.807500000003</v>
      </c>
      <c r="X2048" s="80">
        <v>44958</v>
      </c>
      <c r="Y2048" s="78" t="s">
        <v>2798</v>
      </c>
      <c r="Z2048" s="77" t="str">
        <f>HYPERLINK("https://twitter.com/mileycyrussf/status/1620865267931947008")</f>
        <v>https://twitter.com/mileycyrussf/status/1620865267931947008</v>
      </c>
      <c r="AC2048" s="78" t="s">
        <v>3817</v>
      </c>
      <c r="AE2048" t="b">
        <v>0</v>
      </c>
      <c r="AF2048">
        <v>0</v>
      </c>
      <c r="AG2048" s="78" t="s">
        <v>4640</v>
      </c>
      <c r="AH2048" t="b">
        <v>0</v>
      </c>
      <c r="AI2048" t="s">
        <v>4829</v>
      </c>
      <c r="AK2048" s="78" t="s">
        <v>4640</v>
      </c>
      <c r="AL2048" t="b">
        <v>0</v>
      </c>
      <c r="AM2048">
        <v>162</v>
      </c>
      <c r="AN2048" s="78" t="s">
        <v>4473</v>
      </c>
      <c r="AO2048" s="78" t="s">
        <v>4849</v>
      </c>
      <c r="AP2048" t="b">
        <v>0</v>
      </c>
      <c r="AQ2048" s="78" t="s">
        <v>4473</v>
      </c>
      <c r="AR2048" t="s">
        <v>179</v>
      </c>
      <c r="AS2048">
        <v>0</v>
      </c>
      <c r="AT2048">
        <v>0</v>
      </c>
    </row>
    <row r="2049" spans="1:54" x14ac:dyDescent="0.45">
      <c r="A2049" s="62" t="s">
        <v>555</v>
      </c>
      <c r="B2049" s="62" t="s">
        <v>242</v>
      </c>
      <c r="C2049" s="63"/>
      <c r="D2049" s="64"/>
      <c r="E2049" s="65"/>
      <c r="F2049" s="66"/>
      <c r="G2049" s="63"/>
      <c r="H2049" s="67"/>
      <c r="I2049" s="68"/>
      <c r="J2049" s="68"/>
      <c r="K2049" s="32"/>
      <c r="L2049" s="75"/>
      <c r="M2049" s="75"/>
      <c r="N2049" s="70"/>
      <c r="O2049" t="s">
        <v>1569</v>
      </c>
      <c r="P2049" s="76">
        <v>44958.807500000003</v>
      </c>
      <c r="Q2049" t="s">
        <v>1693</v>
      </c>
      <c r="V2049" s="77" t="str">
        <f>HYPERLINK("https://pbs.twimg.com/profile_images/1612361530770849793/VpZwMVTJ_normal.jpg")</f>
        <v>https://pbs.twimg.com/profile_images/1612361530770849793/VpZwMVTJ_normal.jpg</v>
      </c>
      <c r="W2049" s="76">
        <v>44958.807500000003</v>
      </c>
      <c r="X2049" s="80">
        <v>44958</v>
      </c>
      <c r="Y2049" s="78" t="s">
        <v>2798</v>
      </c>
      <c r="Z2049" s="77" t="str">
        <f>HYPERLINK("https://twitter.com/mileycyrussf/status/1620865267931947008")</f>
        <v>https://twitter.com/mileycyrussf/status/1620865267931947008</v>
      </c>
      <c r="AC2049" s="78" t="s">
        <v>3817</v>
      </c>
      <c r="AE2049" t="b">
        <v>0</v>
      </c>
      <c r="AF2049">
        <v>0</v>
      </c>
      <c r="AG2049" s="78" t="s">
        <v>4640</v>
      </c>
      <c r="AH2049" t="b">
        <v>0</v>
      </c>
      <c r="AI2049" t="s">
        <v>4829</v>
      </c>
      <c r="AK2049" s="78" t="s">
        <v>4640</v>
      </c>
      <c r="AL2049" t="b">
        <v>0</v>
      </c>
      <c r="AM2049">
        <v>162</v>
      </c>
      <c r="AN2049" s="78" t="s">
        <v>4473</v>
      </c>
      <c r="AO2049" s="78" t="s">
        <v>4849</v>
      </c>
      <c r="AP2049" t="b">
        <v>0</v>
      </c>
      <c r="AQ2049" s="78" t="s">
        <v>4473</v>
      </c>
      <c r="AR2049" t="s">
        <v>179</v>
      </c>
      <c r="AS2049">
        <v>0</v>
      </c>
      <c r="AT2049">
        <v>0</v>
      </c>
    </row>
    <row r="2050" spans="1:54" x14ac:dyDescent="0.45">
      <c r="A2050" s="62" t="s">
        <v>602</v>
      </c>
      <c r="B2050" s="62" t="s">
        <v>1230</v>
      </c>
      <c r="C2050" s="63"/>
      <c r="D2050" s="64"/>
      <c r="E2050" s="65"/>
      <c r="F2050" s="66"/>
      <c r="G2050" s="63"/>
      <c r="H2050" s="67"/>
      <c r="I2050" s="68"/>
      <c r="J2050" s="68"/>
      <c r="K2050" s="32"/>
      <c r="L2050" s="75"/>
      <c r="M2050" s="75"/>
      <c r="N2050" s="70"/>
      <c r="O2050" t="s">
        <v>1570</v>
      </c>
      <c r="P2050" s="76">
        <v>44958.809675925928</v>
      </c>
      <c r="Q2050" t="s">
        <v>1693</v>
      </c>
      <c r="V2050" s="77" t="str">
        <f>HYPERLINK("https://pbs.twimg.com/profile_images/1621102870950039554/wQ_WHblR_normal.jpg")</f>
        <v>https://pbs.twimg.com/profile_images/1621102870950039554/wQ_WHblR_normal.jpg</v>
      </c>
      <c r="W2050" s="76">
        <v>44958.809675925928</v>
      </c>
      <c r="X2050" s="80">
        <v>44958</v>
      </c>
      <c r="Y2050" s="78" t="s">
        <v>2801</v>
      </c>
      <c r="Z2050" s="77" t="str">
        <f>HYPERLINK("https://twitter.com/arthurvm_/status/1620866055626452993")</f>
        <v>https://twitter.com/arthurvm_/status/1620866055626452993</v>
      </c>
      <c r="AC2050" s="78" t="s">
        <v>3864</v>
      </c>
      <c r="AE2050" t="b">
        <v>0</v>
      </c>
      <c r="AF2050">
        <v>0</v>
      </c>
      <c r="AG2050" s="78" t="s">
        <v>4640</v>
      </c>
      <c r="AH2050" t="b">
        <v>0</v>
      </c>
      <c r="AI2050" t="s">
        <v>4829</v>
      </c>
      <c r="AK2050" s="78" t="s">
        <v>4640</v>
      </c>
      <c r="AL2050" t="b">
        <v>0</v>
      </c>
      <c r="AM2050">
        <v>162</v>
      </c>
      <c r="AN2050" s="78" t="s">
        <v>4473</v>
      </c>
      <c r="AO2050" s="78" t="s">
        <v>4850</v>
      </c>
      <c r="AP2050" t="b">
        <v>0</v>
      </c>
      <c r="AQ2050" s="78" t="s">
        <v>4473</v>
      </c>
      <c r="AR2050" t="s">
        <v>179</v>
      </c>
      <c r="AS2050">
        <v>0</v>
      </c>
      <c r="AT2050">
        <v>0</v>
      </c>
    </row>
    <row r="2051" spans="1:54" x14ac:dyDescent="0.45">
      <c r="A2051" s="62" t="s">
        <v>602</v>
      </c>
      <c r="B2051" s="62" t="s">
        <v>242</v>
      </c>
      <c r="C2051" s="63"/>
      <c r="D2051" s="64"/>
      <c r="E2051" s="65"/>
      <c r="F2051" s="66"/>
      <c r="G2051" s="63"/>
      <c r="H2051" s="67"/>
      <c r="I2051" s="68"/>
      <c r="J2051" s="68"/>
      <c r="K2051" s="32"/>
      <c r="L2051" s="75"/>
      <c r="M2051" s="75"/>
      <c r="N2051" s="70"/>
      <c r="O2051" t="s">
        <v>1569</v>
      </c>
      <c r="P2051" s="76">
        <v>44958.809675925928</v>
      </c>
      <c r="Q2051" t="s">
        <v>1693</v>
      </c>
      <c r="V2051" s="77" t="str">
        <f>HYPERLINK("https://pbs.twimg.com/profile_images/1621102870950039554/wQ_WHblR_normal.jpg")</f>
        <v>https://pbs.twimg.com/profile_images/1621102870950039554/wQ_WHblR_normal.jpg</v>
      </c>
      <c r="W2051" s="76">
        <v>44958.809675925928</v>
      </c>
      <c r="X2051" s="80">
        <v>44958</v>
      </c>
      <c r="Y2051" s="78" t="s">
        <v>2801</v>
      </c>
      <c r="Z2051" s="77" t="str">
        <f>HYPERLINK("https://twitter.com/arthurvm_/status/1620866055626452993")</f>
        <v>https://twitter.com/arthurvm_/status/1620866055626452993</v>
      </c>
      <c r="AC2051" s="78" t="s">
        <v>3864</v>
      </c>
      <c r="AE2051" t="b">
        <v>0</v>
      </c>
      <c r="AF2051">
        <v>0</v>
      </c>
      <c r="AG2051" s="78" t="s">
        <v>4640</v>
      </c>
      <c r="AH2051" t="b">
        <v>0</v>
      </c>
      <c r="AI2051" t="s">
        <v>4829</v>
      </c>
      <c r="AK2051" s="78" t="s">
        <v>4640</v>
      </c>
      <c r="AL2051" t="b">
        <v>0</v>
      </c>
      <c r="AM2051">
        <v>162</v>
      </c>
      <c r="AN2051" s="78" t="s">
        <v>4473</v>
      </c>
      <c r="AO2051" s="78" t="s">
        <v>4850</v>
      </c>
      <c r="AP2051" t="b">
        <v>0</v>
      </c>
      <c r="AQ2051" s="78" t="s">
        <v>4473</v>
      </c>
      <c r="AR2051" t="s">
        <v>179</v>
      </c>
      <c r="AS2051">
        <v>0</v>
      </c>
      <c r="AT2051">
        <v>0</v>
      </c>
    </row>
    <row r="2052" spans="1:54" x14ac:dyDescent="0.45">
      <c r="A2052" s="62" t="s">
        <v>604</v>
      </c>
      <c r="B2052" s="62" t="s">
        <v>242</v>
      </c>
      <c r="C2052" s="63"/>
      <c r="D2052" s="64"/>
      <c r="E2052" s="65"/>
      <c r="F2052" s="66"/>
      <c r="G2052" s="63"/>
      <c r="H2052" s="67"/>
      <c r="I2052" s="68"/>
      <c r="J2052" s="68"/>
      <c r="K2052" s="32"/>
      <c r="L2052" s="75"/>
      <c r="M2052" s="75"/>
      <c r="N2052" s="70"/>
      <c r="O2052" t="s">
        <v>1568</v>
      </c>
      <c r="P2052" s="76">
        <v>44958.580474537041</v>
      </c>
      <c r="Q2052" t="s">
        <v>1819</v>
      </c>
      <c r="V2052" s="77" t="str">
        <f>HYPERLINK("https://pbs.twimg.com/profile_images/1611035848610283525/ebPAifl8_normal.jpg")</f>
        <v>https://pbs.twimg.com/profile_images/1611035848610283525/ebPAifl8_normal.jpg</v>
      </c>
      <c r="W2052" s="76">
        <v>44958.580474537041</v>
      </c>
      <c r="X2052" s="80">
        <v>44958</v>
      </c>
      <c r="Y2052" s="78" t="s">
        <v>2803</v>
      </c>
      <c r="Z2052" s="77" t="str">
        <f>HYPERLINK("https://twitter.com/lakeloonatic/status/1620782996851953664")</f>
        <v>https://twitter.com/lakeloonatic/status/1620782996851953664</v>
      </c>
      <c r="AC2052" s="78" t="s">
        <v>3866</v>
      </c>
      <c r="AD2052" s="78" t="s">
        <v>3867</v>
      </c>
      <c r="AE2052" t="b">
        <v>0</v>
      </c>
      <c r="AF2052">
        <v>0</v>
      </c>
      <c r="AG2052" s="78" t="s">
        <v>4717</v>
      </c>
      <c r="AH2052" t="b">
        <v>0</v>
      </c>
      <c r="AI2052" t="s">
        <v>4829</v>
      </c>
      <c r="AK2052" s="78" t="s">
        <v>4640</v>
      </c>
      <c r="AL2052" t="b">
        <v>0</v>
      </c>
      <c r="AM2052">
        <v>0</v>
      </c>
      <c r="AN2052" s="78" t="s">
        <v>4640</v>
      </c>
      <c r="AO2052" s="78" t="s">
        <v>4849</v>
      </c>
      <c r="AP2052" t="b">
        <v>0</v>
      </c>
      <c r="AQ2052" s="78" t="s">
        <v>3867</v>
      </c>
      <c r="AR2052" t="s">
        <v>179</v>
      </c>
      <c r="AS2052">
        <v>0</v>
      </c>
      <c r="AT2052">
        <v>0</v>
      </c>
      <c r="AU2052" t="s">
        <v>4884</v>
      </c>
      <c r="AV2052" t="s">
        <v>4899</v>
      </c>
      <c r="AW2052" t="s">
        <v>4901</v>
      </c>
      <c r="AX2052" t="s">
        <v>4913</v>
      </c>
      <c r="AY2052" t="s">
        <v>4938</v>
      </c>
      <c r="AZ2052" t="s">
        <v>4963</v>
      </c>
      <c r="BA2052" t="s">
        <v>4975</v>
      </c>
      <c r="BB2052" s="77" t="str">
        <f>HYPERLINK("https://api.twitter.com/1.1/geo/id/6ab4c17d61f00122.json")</f>
        <v>https://api.twitter.com/1.1/geo/id/6ab4c17d61f00122.json</v>
      </c>
    </row>
    <row r="2053" spans="1:54" x14ac:dyDescent="0.45">
      <c r="A2053" s="62" t="s">
        <v>604</v>
      </c>
      <c r="B2053" s="62" t="s">
        <v>603</v>
      </c>
      <c r="C2053" s="63"/>
      <c r="D2053" s="64"/>
      <c r="E2053" s="65"/>
      <c r="F2053" s="66"/>
      <c r="G2053" s="63"/>
      <c r="H2053" s="67"/>
      <c r="I2053" s="68"/>
      <c r="J2053" s="68"/>
      <c r="K2053" s="32"/>
      <c r="L2053" s="75"/>
      <c r="M2053" s="75"/>
      <c r="N2053" s="70"/>
      <c r="O2053" t="s">
        <v>1568</v>
      </c>
      <c r="P2053" s="76">
        <v>44958.580474537041</v>
      </c>
      <c r="Q2053" t="s">
        <v>1819</v>
      </c>
      <c r="V2053" s="77" t="str">
        <f>HYPERLINK("https://pbs.twimg.com/profile_images/1611035848610283525/ebPAifl8_normal.jpg")</f>
        <v>https://pbs.twimg.com/profile_images/1611035848610283525/ebPAifl8_normal.jpg</v>
      </c>
      <c r="W2053" s="76">
        <v>44958.580474537041</v>
      </c>
      <c r="X2053" s="80">
        <v>44958</v>
      </c>
      <c r="Y2053" s="78" t="s">
        <v>2803</v>
      </c>
      <c r="Z2053" s="77" t="str">
        <f>HYPERLINK("https://twitter.com/lakeloonatic/status/1620782996851953664")</f>
        <v>https://twitter.com/lakeloonatic/status/1620782996851953664</v>
      </c>
      <c r="AC2053" s="78" t="s">
        <v>3866</v>
      </c>
      <c r="AD2053" s="78" t="s">
        <v>3867</v>
      </c>
      <c r="AE2053" t="b">
        <v>0</v>
      </c>
      <c r="AF2053">
        <v>0</v>
      </c>
      <c r="AG2053" s="78" t="s">
        <v>4717</v>
      </c>
      <c r="AH2053" t="b">
        <v>0</v>
      </c>
      <c r="AI2053" t="s">
        <v>4829</v>
      </c>
      <c r="AK2053" s="78" t="s">
        <v>4640</v>
      </c>
      <c r="AL2053" t="b">
        <v>0</v>
      </c>
      <c r="AM2053">
        <v>0</v>
      </c>
      <c r="AN2053" s="78" t="s">
        <v>4640</v>
      </c>
      <c r="AO2053" s="78" t="s">
        <v>4849</v>
      </c>
      <c r="AP2053" t="b">
        <v>0</v>
      </c>
      <c r="AQ2053" s="78" t="s">
        <v>3867</v>
      </c>
      <c r="AR2053" t="s">
        <v>179</v>
      </c>
      <c r="AS2053">
        <v>0</v>
      </c>
      <c r="AT2053">
        <v>0</v>
      </c>
      <c r="AU2053" t="s">
        <v>4884</v>
      </c>
      <c r="AV2053" t="s">
        <v>4899</v>
      </c>
      <c r="AW2053" t="s">
        <v>4901</v>
      </c>
      <c r="AX2053" t="s">
        <v>4913</v>
      </c>
      <c r="AY2053" t="s">
        <v>4938</v>
      </c>
      <c r="AZ2053" t="s">
        <v>4963</v>
      </c>
      <c r="BA2053" t="s">
        <v>4975</v>
      </c>
      <c r="BB2053" s="77" t="str">
        <f>HYPERLINK("https://api.twitter.com/1.1/geo/id/6ab4c17d61f00122.json")</f>
        <v>https://api.twitter.com/1.1/geo/id/6ab4c17d61f00122.json</v>
      </c>
    </row>
    <row r="2054" spans="1:54" x14ac:dyDescent="0.45">
      <c r="A2054" s="62" t="s">
        <v>604</v>
      </c>
      <c r="B2054" s="62" t="s">
        <v>605</v>
      </c>
      <c r="C2054" s="63"/>
      <c r="D2054" s="64"/>
      <c r="E2054" s="65"/>
      <c r="F2054" s="66"/>
      <c r="G2054" s="63"/>
      <c r="H2054" s="67"/>
      <c r="I2054" s="68"/>
      <c r="J2054" s="68"/>
      <c r="K2054" s="32"/>
      <c r="L2054" s="75"/>
      <c r="M2054" s="75"/>
      <c r="N2054" s="70"/>
      <c r="O2054" t="s">
        <v>1567</v>
      </c>
      <c r="P2054" s="76">
        <v>44958.580474537041</v>
      </c>
      <c r="Q2054" t="s">
        <v>1819</v>
      </c>
      <c r="V2054" s="77" t="str">
        <f>HYPERLINK("https://pbs.twimg.com/profile_images/1611035848610283525/ebPAifl8_normal.jpg")</f>
        <v>https://pbs.twimg.com/profile_images/1611035848610283525/ebPAifl8_normal.jpg</v>
      </c>
      <c r="W2054" s="76">
        <v>44958.580474537041</v>
      </c>
      <c r="X2054" s="80">
        <v>44958</v>
      </c>
      <c r="Y2054" s="78" t="s">
        <v>2803</v>
      </c>
      <c r="Z2054" s="77" t="str">
        <f>HYPERLINK("https://twitter.com/lakeloonatic/status/1620782996851953664")</f>
        <v>https://twitter.com/lakeloonatic/status/1620782996851953664</v>
      </c>
      <c r="AC2054" s="78" t="s">
        <v>3866</v>
      </c>
      <c r="AD2054" s="78" t="s">
        <v>3867</v>
      </c>
      <c r="AE2054" t="b">
        <v>0</v>
      </c>
      <c r="AF2054">
        <v>0</v>
      </c>
      <c r="AG2054" s="78" t="s">
        <v>4717</v>
      </c>
      <c r="AH2054" t="b">
        <v>0</v>
      </c>
      <c r="AI2054" t="s">
        <v>4829</v>
      </c>
      <c r="AK2054" s="78" t="s">
        <v>4640</v>
      </c>
      <c r="AL2054" t="b">
        <v>0</v>
      </c>
      <c r="AM2054">
        <v>0</v>
      </c>
      <c r="AN2054" s="78" t="s">
        <v>4640</v>
      </c>
      <c r="AO2054" s="78" t="s">
        <v>4849</v>
      </c>
      <c r="AP2054" t="b">
        <v>0</v>
      </c>
      <c r="AQ2054" s="78" t="s">
        <v>3867</v>
      </c>
      <c r="AR2054" t="s">
        <v>179</v>
      </c>
      <c r="AS2054">
        <v>0</v>
      </c>
      <c r="AT2054">
        <v>0</v>
      </c>
      <c r="AU2054" t="s">
        <v>4884</v>
      </c>
      <c r="AV2054" t="s">
        <v>4899</v>
      </c>
      <c r="AW2054" t="s">
        <v>4901</v>
      </c>
      <c r="AX2054" t="s">
        <v>4913</v>
      </c>
      <c r="AY2054" t="s">
        <v>4938</v>
      </c>
      <c r="AZ2054" t="s">
        <v>4963</v>
      </c>
      <c r="BA2054" t="s">
        <v>4975</v>
      </c>
      <c r="BB2054" s="77" t="str">
        <f>HYPERLINK("https://api.twitter.com/1.1/geo/id/6ab4c17d61f00122.json")</f>
        <v>https://api.twitter.com/1.1/geo/id/6ab4c17d61f00122.json</v>
      </c>
    </row>
    <row r="2055" spans="1:54" x14ac:dyDescent="0.45">
      <c r="A2055" s="62" t="s">
        <v>605</v>
      </c>
      <c r="B2055" s="62" t="s">
        <v>604</v>
      </c>
      <c r="C2055" s="63"/>
      <c r="D2055" s="64"/>
      <c r="E2055" s="65"/>
      <c r="F2055" s="66"/>
      <c r="G2055" s="63"/>
      <c r="H2055" s="67"/>
      <c r="I2055" s="68"/>
      <c r="J2055" s="68"/>
      <c r="K2055" s="32"/>
      <c r="L2055" s="75"/>
      <c r="M2055" s="75"/>
      <c r="N2055" s="70"/>
      <c r="O2055" t="s">
        <v>1567</v>
      </c>
      <c r="P2055" s="76">
        <v>44958.807071759256</v>
      </c>
      <c r="Q2055" t="s">
        <v>1821</v>
      </c>
      <c r="V2055" s="77" t="str">
        <f>HYPERLINK("https://pbs.twimg.com/profile_images/1618634674275852297/zP5bgJ5g_normal.jpg")</f>
        <v>https://pbs.twimg.com/profile_images/1618634674275852297/zP5bgJ5g_normal.jpg</v>
      </c>
      <c r="W2055" s="76">
        <v>44958.807071759256</v>
      </c>
      <c r="X2055" s="80">
        <v>44958</v>
      </c>
      <c r="Y2055" s="78" t="s">
        <v>2805</v>
      </c>
      <c r="Z2055" s="77" t="str">
        <f>HYPERLINK("https://twitter.com/dramasimmy/status/1620865112155516928")</f>
        <v>https://twitter.com/dramasimmy/status/1620865112155516928</v>
      </c>
      <c r="AC2055" s="78" t="s">
        <v>3868</v>
      </c>
      <c r="AD2055" s="78" t="s">
        <v>3866</v>
      </c>
      <c r="AE2055" t="b">
        <v>0</v>
      </c>
      <c r="AF2055">
        <v>0</v>
      </c>
      <c r="AG2055" s="78" t="s">
        <v>4719</v>
      </c>
      <c r="AH2055" t="b">
        <v>0</v>
      </c>
      <c r="AI2055" t="s">
        <v>4829</v>
      </c>
      <c r="AK2055" s="78" t="s">
        <v>4640</v>
      </c>
      <c r="AL2055" t="b">
        <v>0</v>
      </c>
      <c r="AM2055">
        <v>0</v>
      </c>
      <c r="AN2055" s="78" t="s">
        <v>4640</v>
      </c>
      <c r="AO2055" s="78" t="s">
        <v>4851</v>
      </c>
      <c r="AP2055" t="b">
        <v>0</v>
      </c>
      <c r="AQ2055" s="78" t="s">
        <v>3866</v>
      </c>
      <c r="AR2055" t="s">
        <v>179</v>
      </c>
      <c r="AS2055">
        <v>0</v>
      </c>
      <c r="AT2055">
        <v>0</v>
      </c>
    </row>
    <row r="2056" spans="1:54" x14ac:dyDescent="0.45">
      <c r="A2056" s="62" t="s">
        <v>605</v>
      </c>
      <c r="B2056" s="62" t="s">
        <v>603</v>
      </c>
      <c r="C2056" s="63"/>
      <c r="D2056" s="64"/>
      <c r="E2056" s="65"/>
      <c r="F2056" s="66"/>
      <c r="G2056" s="63"/>
      <c r="H2056" s="67"/>
      <c r="I2056" s="68"/>
      <c r="J2056" s="68"/>
      <c r="K2056" s="32"/>
      <c r="L2056" s="75"/>
      <c r="M2056" s="75"/>
      <c r="N2056" s="70"/>
      <c r="O2056" t="s">
        <v>1568</v>
      </c>
      <c r="P2056" s="76">
        <v>44958.807071759256</v>
      </c>
      <c r="Q2056" t="s">
        <v>1821</v>
      </c>
      <c r="V2056" s="77" t="str">
        <f>HYPERLINK("https://pbs.twimg.com/profile_images/1618634674275852297/zP5bgJ5g_normal.jpg")</f>
        <v>https://pbs.twimg.com/profile_images/1618634674275852297/zP5bgJ5g_normal.jpg</v>
      </c>
      <c r="W2056" s="76">
        <v>44958.807071759256</v>
      </c>
      <c r="X2056" s="80">
        <v>44958</v>
      </c>
      <c r="Y2056" s="78" t="s">
        <v>2805</v>
      </c>
      <c r="Z2056" s="77" t="str">
        <f>HYPERLINK("https://twitter.com/dramasimmy/status/1620865112155516928")</f>
        <v>https://twitter.com/dramasimmy/status/1620865112155516928</v>
      </c>
      <c r="AC2056" s="78" t="s">
        <v>3868</v>
      </c>
      <c r="AD2056" s="78" t="s">
        <v>3866</v>
      </c>
      <c r="AE2056" t="b">
        <v>0</v>
      </c>
      <c r="AF2056">
        <v>0</v>
      </c>
      <c r="AG2056" s="78" t="s">
        <v>4719</v>
      </c>
      <c r="AH2056" t="b">
        <v>0</v>
      </c>
      <c r="AI2056" t="s">
        <v>4829</v>
      </c>
      <c r="AK2056" s="78" t="s">
        <v>4640</v>
      </c>
      <c r="AL2056" t="b">
        <v>0</v>
      </c>
      <c r="AM2056">
        <v>0</v>
      </c>
      <c r="AN2056" s="78" t="s">
        <v>4640</v>
      </c>
      <c r="AO2056" s="78" t="s">
        <v>4851</v>
      </c>
      <c r="AP2056" t="b">
        <v>0</v>
      </c>
      <c r="AQ2056" s="78" t="s">
        <v>3866</v>
      </c>
      <c r="AR2056" t="s">
        <v>179</v>
      </c>
      <c r="AS2056">
        <v>0</v>
      </c>
      <c r="AT2056">
        <v>0</v>
      </c>
    </row>
    <row r="2057" spans="1:54" x14ac:dyDescent="0.45">
      <c r="A2057" s="62" t="s">
        <v>605</v>
      </c>
      <c r="B2057" s="62" t="s">
        <v>242</v>
      </c>
      <c r="C2057" s="63"/>
      <c r="D2057" s="64"/>
      <c r="E2057" s="65"/>
      <c r="F2057" s="66"/>
      <c r="G2057" s="63"/>
      <c r="H2057" s="67"/>
      <c r="I2057" s="68"/>
      <c r="J2057" s="68"/>
      <c r="K2057" s="32"/>
      <c r="L2057" s="75"/>
      <c r="M2057" s="75"/>
      <c r="N2057" s="70"/>
      <c r="O2057" t="s">
        <v>1568</v>
      </c>
      <c r="P2057" s="76">
        <v>44958.807071759256</v>
      </c>
      <c r="Q2057" t="s">
        <v>1821</v>
      </c>
      <c r="V2057" s="77" t="str">
        <f>HYPERLINK("https://pbs.twimg.com/profile_images/1618634674275852297/zP5bgJ5g_normal.jpg")</f>
        <v>https://pbs.twimg.com/profile_images/1618634674275852297/zP5bgJ5g_normal.jpg</v>
      </c>
      <c r="W2057" s="76">
        <v>44958.807071759256</v>
      </c>
      <c r="X2057" s="80">
        <v>44958</v>
      </c>
      <c r="Y2057" s="78" t="s">
        <v>2805</v>
      </c>
      <c r="Z2057" s="77" t="str">
        <f>HYPERLINK("https://twitter.com/dramasimmy/status/1620865112155516928")</f>
        <v>https://twitter.com/dramasimmy/status/1620865112155516928</v>
      </c>
      <c r="AC2057" s="78" t="s">
        <v>3868</v>
      </c>
      <c r="AD2057" s="78" t="s">
        <v>3866</v>
      </c>
      <c r="AE2057" t="b">
        <v>0</v>
      </c>
      <c r="AF2057">
        <v>0</v>
      </c>
      <c r="AG2057" s="78" t="s">
        <v>4719</v>
      </c>
      <c r="AH2057" t="b">
        <v>0</v>
      </c>
      <c r="AI2057" t="s">
        <v>4829</v>
      </c>
      <c r="AK2057" s="78" t="s">
        <v>4640</v>
      </c>
      <c r="AL2057" t="b">
        <v>0</v>
      </c>
      <c r="AM2057">
        <v>0</v>
      </c>
      <c r="AN2057" s="78" t="s">
        <v>4640</v>
      </c>
      <c r="AO2057" s="78" t="s">
        <v>4851</v>
      </c>
      <c r="AP2057" t="b">
        <v>0</v>
      </c>
      <c r="AQ2057" s="78" t="s">
        <v>3866</v>
      </c>
      <c r="AR2057" t="s">
        <v>179</v>
      </c>
      <c r="AS2057">
        <v>0</v>
      </c>
      <c r="AT2057">
        <v>0</v>
      </c>
    </row>
    <row r="2058" spans="1:54" x14ac:dyDescent="0.45">
      <c r="A2058" s="62" t="s">
        <v>607</v>
      </c>
      <c r="B2058" s="62" t="s">
        <v>1230</v>
      </c>
      <c r="C2058" s="63"/>
      <c r="D2058" s="64"/>
      <c r="E2058" s="65"/>
      <c r="F2058" s="66"/>
      <c r="G2058" s="63"/>
      <c r="H2058" s="67"/>
      <c r="I2058" s="68"/>
      <c r="J2058" s="68"/>
      <c r="K2058" s="32"/>
      <c r="L2058" s="75"/>
      <c r="M2058" s="75"/>
      <c r="N2058" s="70"/>
      <c r="O2058" t="s">
        <v>1570</v>
      </c>
      <c r="P2058" s="76">
        <v>44958.811701388891</v>
      </c>
      <c r="Q2058" t="s">
        <v>1693</v>
      </c>
      <c r="V2058" s="77" t="str">
        <f>HYPERLINK("https://pbs.twimg.com/profile_images/1612300750096400389/Qo2ZpPuB_normal.jpg")</f>
        <v>https://pbs.twimg.com/profile_images/1612300750096400389/Qo2ZpPuB_normal.jpg</v>
      </c>
      <c r="W2058" s="76">
        <v>44958.811701388891</v>
      </c>
      <c r="X2058" s="80">
        <v>44958</v>
      </c>
      <c r="Y2058" s="78" t="s">
        <v>2808</v>
      </c>
      <c r="Z2058" s="77" t="str">
        <f>HYPERLINK("https://twitter.com/glamorouge/status/1620866789617070080")</f>
        <v>https://twitter.com/glamorouge/status/1620866789617070080</v>
      </c>
      <c r="AC2058" s="78" t="s">
        <v>3871</v>
      </c>
      <c r="AE2058" t="b">
        <v>0</v>
      </c>
      <c r="AF2058">
        <v>0</v>
      </c>
      <c r="AG2058" s="78" t="s">
        <v>4640</v>
      </c>
      <c r="AH2058" t="b">
        <v>0</v>
      </c>
      <c r="AI2058" t="s">
        <v>4829</v>
      </c>
      <c r="AK2058" s="78" t="s">
        <v>4640</v>
      </c>
      <c r="AL2058" t="b">
        <v>0</v>
      </c>
      <c r="AM2058">
        <v>162</v>
      </c>
      <c r="AN2058" s="78" t="s">
        <v>4473</v>
      </c>
      <c r="AO2058" s="78" t="s">
        <v>4849</v>
      </c>
      <c r="AP2058" t="b">
        <v>0</v>
      </c>
      <c r="AQ2058" s="78" t="s">
        <v>4473</v>
      </c>
      <c r="AR2058" t="s">
        <v>179</v>
      </c>
      <c r="AS2058">
        <v>0</v>
      </c>
      <c r="AT2058">
        <v>0</v>
      </c>
    </row>
    <row r="2059" spans="1:54" x14ac:dyDescent="0.45">
      <c r="A2059" s="62" t="s">
        <v>607</v>
      </c>
      <c r="B2059" s="62" t="s">
        <v>242</v>
      </c>
      <c r="C2059" s="63"/>
      <c r="D2059" s="64"/>
      <c r="E2059" s="65"/>
      <c r="F2059" s="66"/>
      <c r="G2059" s="63"/>
      <c r="H2059" s="67"/>
      <c r="I2059" s="68"/>
      <c r="J2059" s="68"/>
      <c r="K2059" s="32"/>
      <c r="L2059" s="75"/>
      <c r="M2059" s="75"/>
      <c r="N2059" s="70"/>
      <c r="O2059" t="s">
        <v>1569</v>
      </c>
      <c r="P2059" s="76">
        <v>44958.811701388891</v>
      </c>
      <c r="Q2059" t="s">
        <v>1693</v>
      </c>
      <c r="V2059" s="77" t="str">
        <f>HYPERLINK("https://pbs.twimg.com/profile_images/1612300750096400389/Qo2ZpPuB_normal.jpg")</f>
        <v>https://pbs.twimg.com/profile_images/1612300750096400389/Qo2ZpPuB_normal.jpg</v>
      </c>
      <c r="W2059" s="76">
        <v>44958.811701388891</v>
      </c>
      <c r="X2059" s="80">
        <v>44958</v>
      </c>
      <c r="Y2059" s="78" t="s">
        <v>2808</v>
      </c>
      <c r="Z2059" s="77" t="str">
        <f>HYPERLINK("https://twitter.com/glamorouge/status/1620866789617070080")</f>
        <v>https://twitter.com/glamorouge/status/1620866789617070080</v>
      </c>
      <c r="AC2059" s="78" t="s">
        <v>3871</v>
      </c>
      <c r="AE2059" t="b">
        <v>0</v>
      </c>
      <c r="AF2059">
        <v>0</v>
      </c>
      <c r="AG2059" s="78" t="s">
        <v>4640</v>
      </c>
      <c r="AH2059" t="b">
        <v>0</v>
      </c>
      <c r="AI2059" t="s">
        <v>4829</v>
      </c>
      <c r="AK2059" s="78" t="s">
        <v>4640</v>
      </c>
      <c r="AL2059" t="b">
        <v>0</v>
      </c>
      <c r="AM2059">
        <v>162</v>
      </c>
      <c r="AN2059" s="78" t="s">
        <v>4473</v>
      </c>
      <c r="AO2059" s="78" t="s">
        <v>4849</v>
      </c>
      <c r="AP2059" t="b">
        <v>0</v>
      </c>
      <c r="AQ2059" s="78" t="s">
        <v>4473</v>
      </c>
      <c r="AR2059" t="s">
        <v>179</v>
      </c>
      <c r="AS2059">
        <v>0</v>
      </c>
      <c r="AT2059">
        <v>0</v>
      </c>
    </row>
    <row r="2060" spans="1:54" x14ac:dyDescent="0.45">
      <c r="A2060" s="62" t="s">
        <v>611</v>
      </c>
      <c r="B2060" s="62" t="s">
        <v>242</v>
      </c>
      <c r="C2060" s="63"/>
      <c r="D2060" s="64"/>
      <c r="E2060" s="65"/>
      <c r="F2060" s="66"/>
      <c r="G2060" s="63"/>
      <c r="H2060" s="67"/>
      <c r="I2060" s="68"/>
      <c r="J2060" s="68"/>
      <c r="K2060" s="32"/>
      <c r="L2060" s="75"/>
      <c r="M2060" s="75"/>
      <c r="N2060" s="70"/>
      <c r="O2060" t="s">
        <v>1568</v>
      </c>
      <c r="P2060" s="76">
        <v>44958.816701388889</v>
      </c>
      <c r="Q2060" t="s">
        <v>1824</v>
      </c>
      <c r="V2060" s="77" t="str">
        <f>HYPERLINK("https://pbs.twimg.com/profile_images/1430624164394721289/SzS-Y_92_normal.jpg")</f>
        <v>https://pbs.twimg.com/profile_images/1430624164394721289/SzS-Y_92_normal.jpg</v>
      </c>
      <c r="W2060" s="76">
        <v>44958.816701388889</v>
      </c>
      <c r="X2060" s="80">
        <v>44958</v>
      </c>
      <c r="Y2060" s="78" t="s">
        <v>2812</v>
      </c>
      <c r="Z2060" s="77" t="str">
        <f>HYPERLINK("https://twitter.com/gaygardner420/status/1620868599643787266")</f>
        <v>https://twitter.com/gaygardner420/status/1620868599643787266</v>
      </c>
      <c r="AC2060" s="78" t="s">
        <v>3875</v>
      </c>
      <c r="AD2060" s="78" t="s">
        <v>4360</v>
      </c>
      <c r="AE2060" t="b">
        <v>0</v>
      </c>
      <c r="AF2060">
        <v>0</v>
      </c>
      <c r="AG2060" s="78" t="s">
        <v>4720</v>
      </c>
      <c r="AH2060" t="b">
        <v>0</v>
      </c>
      <c r="AI2060" t="s">
        <v>4829</v>
      </c>
      <c r="AK2060" s="78" t="s">
        <v>4640</v>
      </c>
      <c r="AL2060" t="b">
        <v>0</v>
      </c>
      <c r="AM2060">
        <v>0</v>
      </c>
      <c r="AN2060" s="78" t="s">
        <v>4640</v>
      </c>
      <c r="AO2060" s="78" t="s">
        <v>4850</v>
      </c>
      <c r="AP2060" t="b">
        <v>0</v>
      </c>
      <c r="AQ2060" s="78" t="s">
        <v>4360</v>
      </c>
      <c r="AR2060" t="s">
        <v>179</v>
      </c>
      <c r="AS2060">
        <v>0</v>
      </c>
      <c r="AT2060">
        <v>0</v>
      </c>
    </row>
    <row r="2061" spans="1:54" x14ac:dyDescent="0.45">
      <c r="A2061" s="62" t="s">
        <v>611</v>
      </c>
      <c r="B2061" s="62" t="s">
        <v>1006</v>
      </c>
      <c r="C2061" s="63"/>
      <c r="D2061" s="64"/>
      <c r="E2061" s="65"/>
      <c r="F2061" s="66"/>
      <c r="G2061" s="63"/>
      <c r="H2061" s="67"/>
      <c r="I2061" s="68"/>
      <c r="J2061" s="68"/>
      <c r="K2061" s="32"/>
      <c r="L2061" s="75"/>
      <c r="M2061" s="75"/>
      <c r="N2061" s="70"/>
      <c r="O2061" t="s">
        <v>1567</v>
      </c>
      <c r="P2061" s="76">
        <v>44958.816701388889</v>
      </c>
      <c r="Q2061" t="s">
        <v>1824</v>
      </c>
      <c r="V2061" s="77" t="str">
        <f>HYPERLINK("https://pbs.twimg.com/profile_images/1430624164394721289/SzS-Y_92_normal.jpg")</f>
        <v>https://pbs.twimg.com/profile_images/1430624164394721289/SzS-Y_92_normal.jpg</v>
      </c>
      <c r="W2061" s="76">
        <v>44958.816701388889</v>
      </c>
      <c r="X2061" s="80">
        <v>44958</v>
      </c>
      <c r="Y2061" s="78" t="s">
        <v>2812</v>
      </c>
      <c r="Z2061" s="77" t="str">
        <f>HYPERLINK("https://twitter.com/gaygardner420/status/1620868599643787266")</f>
        <v>https://twitter.com/gaygardner420/status/1620868599643787266</v>
      </c>
      <c r="AC2061" s="78" t="s">
        <v>3875</v>
      </c>
      <c r="AD2061" s="78" t="s">
        <v>4360</v>
      </c>
      <c r="AE2061" t="b">
        <v>0</v>
      </c>
      <c r="AF2061">
        <v>0</v>
      </c>
      <c r="AG2061" s="78" t="s">
        <v>4720</v>
      </c>
      <c r="AH2061" t="b">
        <v>0</v>
      </c>
      <c r="AI2061" t="s">
        <v>4829</v>
      </c>
      <c r="AK2061" s="78" t="s">
        <v>4640</v>
      </c>
      <c r="AL2061" t="b">
        <v>0</v>
      </c>
      <c r="AM2061">
        <v>0</v>
      </c>
      <c r="AN2061" s="78" t="s">
        <v>4640</v>
      </c>
      <c r="AO2061" s="78" t="s">
        <v>4850</v>
      </c>
      <c r="AP2061" t="b">
        <v>0</v>
      </c>
      <c r="AQ2061" s="78" t="s">
        <v>4360</v>
      </c>
      <c r="AR2061" t="s">
        <v>179</v>
      </c>
      <c r="AS2061">
        <v>0</v>
      </c>
      <c r="AT2061">
        <v>0</v>
      </c>
    </row>
    <row r="2062" spans="1:54" x14ac:dyDescent="0.45">
      <c r="A2062" s="62" t="s">
        <v>613</v>
      </c>
      <c r="B2062" s="62" t="s">
        <v>242</v>
      </c>
      <c r="C2062" s="63"/>
      <c r="D2062" s="64"/>
      <c r="E2062" s="65"/>
      <c r="F2062" s="66"/>
      <c r="G2062" s="63"/>
      <c r="H2062" s="67"/>
      <c r="I2062" s="68"/>
      <c r="J2062" s="68"/>
      <c r="K2062" s="32"/>
      <c r="L2062" s="75"/>
      <c r="M2062" s="75"/>
      <c r="N2062" s="70"/>
      <c r="O2062" t="s">
        <v>1567</v>
      </c>
      <c r="P2062" s="76">
        <v>44958.819247685184</v>
      </c>
      <c r="Q2062" t="s">
        <v>1825</v>
      </c>
      <c r="V2062" s="77" t="str">
        <f>HYPERLINK("https://pbs.twimg.com/profile_images/1620869691974582272/bC3KPj_d_normal.jpg")</f>
        <v>https://pbs.twimg.com/profile_images/1620869691974582272/bC3KPj_d_normal.jpg</v>
      </c>
      <c r="W2062" s="76">
        <v>44958.819247685184</v>
      </c>
      <c r="X2062" s="80">
        <v>44958</v>
      </c>
      <c r="Y2062" s="78" t="s">
        <v>2814</v>
      </c>
      <c r="Z2062" s="77" t="str">
        <f>HYPERLINK("https://twitter.com/jaydengross7/status/1620869523661529088")</f>
        <v>https://twitter.com/jaydengross7/status/1620869523661529088</v>
      </c>
      <c r="AC2062" s="78" t="s">
        <v>3877</v>
      </c>
      <c r="AE2062" t="b">
        <v>0</v>
      </c>
      <c r="AF2062">
        <v>0</v>
      </c>
      <c r="AG2062" s="78" t="s">
        <v>4639</v>
      </c>
      <c r="AH2062" t="b">
        <v>0</v>
      </c>
      <c r="AI2062" t="s">
        <v>4829</v>
      </c>
      <c r="AK2062" s="78" t="s">
        <v>4640</v>
      </c>
      <c r="AL2062" t="b">
        <v>0</v>
      </c>
      <c r="AM2062">
        <v>0</v>
      </c>
      <c r="AN2062" s="78" t="s">
        <v>4640</v>
      </c>
      <c r="AO2062" s="78" t="s">
        <v>4849</v>
      </c>
      <c r="AP2062" t="b">
        <v>0</v>
      </c>
      <c r="AQ2062" s="78" t="s">
        <v>3877</v>
      </c>
      <c r="AR2062" t="s">
        <v>179</v>
      </c>
      <c r="AS2062">
        <v>0</v>
      </c>
      <c r="AT2062">
        <v>0</v>
      </c>
    </row>
    <row r="2063" spans="1:54" x14ac:dyDescent="0.45">
      <c r="A2063" s="62" t="s">
        <v>615</v>
      </c>
      <c r="B2063" s="62" t="s">
        <v>1230</v>
      </c>
      <c r="C2063" s="63"/>
      <c r="D2063" s="64"/>
      <c r="E2063" s="65"/>
      <c r="F2063" s="66"/>
      <c r="G2063" s="63"/>
      <c r="H2063" s="67"/>
      <c r="I2063" s="68"/>
      <c r="J2063" s="68"/>
      <c r="K2063" s="32"/>
      <c r="L2063" s="75"/>
      <c r="M2063" s="75"/>
      <c r="N2063" s="70"/>
      <c r="O2063" t="s">
        <v>1570</v>
      </c>
      <c r="P2063" s="76">
        <v>44958.820127314815</v>
      </c>
      <c r="Q2063" t="s">
        <v>1693</v>
      </c>
      <c r="V2063" s="77" t="str">
        <f>HYPERLINK("https://pbs.twimg.com/profile_images/1620516224546537479/g8MHNEXn_normal.jpg")</f>
        <v>https://pbs.twimg.com/profile_images/1620516224546537479/g8MHNEXn_normal.jpg</v>
      </c>
      <c r="W2063" s="76">
        <v>44958.820127314815</v>
      </c>
      <c r="X2063" s="80">
        <v>44958</v>
      </c>
      <c r="Y2063" s="78" t="s">
        <v>2816</v>
      </c>
      <c r="Z2063" s="77" t="str">
        <f>HYPERLINK("https://twitter.com/irfancyrus/status/1620869843074547713")</f>
        <v>https://twitter.com/irfancyrus/status/1620869843074547713</v>
      </c>
      <c r="AC2063" s="78" t="s">
        <v>3879</v>
      </c>
      <c r="AE2063" t="b">
        <v>0</v>
      </c>
      <c r="AF2063">
        <v>0</v>
      </c>
      <c r="AG2063" s="78" t="s">
        <v>4640</v>
      </c>
      <c r="AH2063" t="b">
        <v>0</v>
      </c>
      <c r="AI2063" t="s">
        <v>4829</v>
      </c>
      <c r="AK2063" s="78" t="s">
        <v>4640</v>
      </c>
      <c r="AL2063" t="b">
        <v>0</v>
      </c>
      <c r="AM2063">
        <v>162</v>
      </c>
      <c r="AN2063" s="78" t="s">
        <v>4473</v>
      </c>
      <c r="AO2063" s="78" t="s">
        <v>4850</v>
      </c>
      <c r="AP2063" t="b">
        <v>0</v>
      </c>
      <c r="AQ2063" s="78" t="s">
        <v>4473</v>
      </c>
      <c r="AR2063" t="s">
        <v>179</v>
      </c>
      <c r="AS2063">
        <v>0</v>
      </c>
      <c r="AT2063">
        <v>0</v>
      </c>
    </row>
    <row r="2064" spans="1:54" x14ac:dyDescent="0.45">
      <c r="A2064" s="62" t="s">
        <v>615</v>
      </c>
      <c r="B2064" s="62" t="s">
        <v>242</v>
      </c>
      <c r="C2064" s="63"/>
      <c r="D2064" s="64"/>
      <c r="E2064" s="65"/>
      <c r="F2064" s="66"/>
      <c r="G2064" s="63"/>
      <c r="H2064" s="67"/>
      <c r="I2064" s="68"/>
      <c r="J2064" s="68"/>
      <c r="K2064" s="32"/>
      <c r="L2064" s="75"/>
      <c r="M2064" s="75"/>
      <c r="N2064" s="70"/>
      <c r="O2064" t="s">
        <v>1569</v>
      </c>
      <c r="P2064" s="76">
        <v>44958.820127314815</v>
      </c>
      <c r="Q2064" t="s">
        <v>1693</v>
      </c>
      <c r="V2064" s="77" t="str">
        <f>HYPERLINK("https://pbs.twimg.com/profile_images/1620516224546537479/g8MHNEXn_normal.jpg")</f>
        <v>https://pbs.twimg.com/profile_images/1620516224546537479/g8MHNEXn_normal.jpg</v>
      </c>
      <c r="W2064" s="76">
        <v>44958.820127314815</v>
      </c>
      <c r="X2064" s="80">
        <v>44958</v>
      </c>
      <c r="Y2064" s="78" t="s">
        <v>2816</v>
      </c>
      <c r="Z2064" s="77" t="str">
        <f>HYPERLINK("https://twitter.com/irfancyrus/status/1620869843074547713")</f>
        <v>https://twitter.com/irfancyrus/status/1620869843074547713</v>
      </c>
      <c r="AC2064" s="78" t="s">
        <v>3879</v>
      </c>
      <c r="AE2064" t="b">
        <v>0</v>
      </c>
      <c r="AF2064">
        <v>0</v>
      </c>
      <c r="AG2064" s="78" t="s">
        <v>4640</v>
      </c>
      <c r="AH2064" t="b">
        <v>0</v>
      </c>
      <c r="AI2064" t="s">
        <v>4829</v>
      </c>
      <c r="AK2064" s="78" t="s">
        <v>4640</v>
      </c>
      <c r="AL2064" t="b">
        <v>0</v>
      </c>
      <c r="AM2064">
        <v>162</v>
      </c>
      <c r="AN2064" s="78" t="s">
        <v>4473</v>
      </c>
      <c r="AO2064" s="78" t="s">
        <v>4850</v>
      </c>
      <c r="AP2064" t="b">
        <v>0</v>
      </c>
      <c r="AQ2064" s="78" t="s">
        <v>4473</v>
      </c>
      <c r="AR2064" t="s">
        <v>179</v>
      </c>
      <c r="AS2064">
        <v>0</v>
      </c>
      <c r="AT2064">
        <v>0</v>
      </c>
    </row>
    <row r="2065" spans="1:46" x14ac:dyDescent="0.45">
      <c r="A2065" s="62" t="s">
        <v>616</v>
      </c>
      <c r="B2065" s="62" t="s">
        <v>1230</v>
      </c>
      <c r="C2065" s="63"/>
      <c r="D2065" s="64"/>
      <c r="E2065" s="65"/>
      <c r="F2065" s="66"/>
      <c r="G2065" s="63"/>
      <c r="H2065" s="67"/>
      <c r="I2065" s="68"/>
      <c r="J2065" s="68"/>
      <c r="K2065" s="32"/>
      <c r="L2065" s="75"/>
      <c r="M2065" s="75"/>
      <c r="N2065" s="70"/>
      <c r="O2065" t="s">
        <v>1570</v>
      </c>
      <c r="P2065" s="76">
        <v>44958.820300925923</v>
      </c>
      <c r="Q2065" t="s">
        <v>1693</v>
      </c>
      <c r="V2065" s="77" t="str">
        <f>HYPERLINK("https://pbs.twimg.com/profile_images/378800000310848122/5f6b05a048162d6b264edef716ef3d2e_normal.jpeg")</f>
        <v>https://pbs.twimg.com/profile_images/378800000310848122/5f6b05a048162d6b264edef716ef3d2e_normal.jpeg</v>
      </c>
      <c r="W2065" s="76">
        <v>44958.820300925923</v>
      </c>
      <c r="X2065" s="80">
        <v>44958</v>
      </c>
      <c r="Y2065" s="78" t="s">
        <v>2817</v>
      </c>
      <c r="Z2065" s="77" t="str">
        <f>HYPERLINK("https://twitter.com/11nightsinjune/status/1620869905506787329")</f>
        <v>https://twitter.com/11nightsinjune/status/1620869905506787329</v>
      </c>
      <c r="AC2065" s="78" t="s">
        <v>3880</v>
      </c>
      <c r="AE2065" t="b">
        <v>0</v>
      </c>
      <c r="AF2065">
        <v>0</v>
      </c>
      <c r="AG2065" s="78" t="s">
        <v>4640</v>
      </c>
      <c r="AH2065" t="b">
        <v>0</v>
      </c>
      <c r="AI2065" t="s">
        <v>4829</v>
      </c>
      <c r="AK2065" s="78" t="s">
        <v>4640</v>
      </c>
      <c r="AL2065" t="b">
        <v>0</v>
      </c>
      <c r="AM2065">
        <v>162</v>
      </c>
      <c r="AN2065" s="78" t="s">
        <v>4473</v>
      </c>
      <c r="AO2065" s="78" t="s">
        <v>4849</v>
      </c>
      <c r="AP2065" t="b">
        <v>0</v>
      </c>
      <c r="AQ2065" s="78" t="s">
        <v>4473</v>
      </c>
      <c r="AR2065" t="s">
        <v>179</v>
      </c>
      <c r="AS2065">
        <v>0</v>
      </c>
      <c r="AT2065">
        <v>0</v>
      </c>
    </row>
    <row r="2066" spans="1:46" x14ac:dyDescent="0.45">
      <c r="A2066" s="62" t="s">
        <v>616</v>
      </c>
      <c r="B2066" s="62" t="s">
        <v>242</v>
      </c>
      <c r="C2066" s="63"/>
      <c r="D2066" s="64"/>
      <c r="E2066" s="65"/>
      <c r="F2066" s="66"/>
      <c r="G2066" s="63"/>
      <c r="H2066" s="67"/>
      <c r="I2066" s="68"/>
      <c r="J2066" s="68"/>
      <c r="K2066" s="32"/>
      <c r="L2066" s="75"/>
      <c r="M2066" s="75"/>
      <c r="N2066" s="70"/>
      <c r="O2066" t="s">
        <v>1569</v>
      </c>
      <c r="P2066" s="76">
        <v>44958.820300925923</v>
      </c>
      <c r="Q2066" t="s">
        <v>1693</v>
      </c>
      <c r="V2066" s="77" t="str">
        <f>HYPERLINK("https://pbs.twimg.com/profile_images/378800000310848122/5f6b05a048162d6b264edef716ef3d2e_normal.jpeg")</f>
        <v>https://pbs.twimg.com/profile_images/378800000310848122/5f6b05a048162d6b264edef716ef3d2e_normal.jpeg</v>
      </c>
      <c r="W2066" s="76">
        <v>44958.820300925923</v>
      </c>
      <c r="X2066" s="80">
        <v>44958</v>
      </c>
      <c r="Y2066" s="78" t="s">
        <v>2817</v>
      </c>
      <c r="Z2066" s="77" t="str">
        <f>HYPERLINK("https://twitter.com/11nightsinjune/status/1620869905506787329")</f>
        <v>https://twitter.com/11nightsinjune/status/1620869905506787329</v>
      </c>
      <c r="AC2066" s="78" t="s">
        <v>3880</v>
      </c>
      <c r="AE2066" t="b">
        <v>0</v>
      </c>
      <c r="AF2066">
        <v>0</v>
      </c>
      <c r="AG2066" s="78" t="s">
        <v>4640</v>
      </c>
      <c r="AH2066" t="b">
        <v>0</v>
      </c>
      <c r="AI2066" t="s">
        <v>4829</v>
      </c>
      <c r="AK2066" s="78" t="s">
        <v>4640</v>
      </c>
      <c r="AL2066" t="b">
        <v>0</v>
      </c>
      <c r="AM2066">
        <v>162</v>
      </c>
      <c r="AN2066" s="78" t="s">
        <v>4473</v>
      </c>
      <c r="AO2066" s="78" t="s">
        <v>4849</v>
      </c>
      <c r="AP2066" t="b">
        <v>0</v>
      </c>
      <c r="AQ2066" s="78" t="s">
        <v>4473</v>
      </c>
      <c r="AR2066" t="s">
        <v>179</v>
      </c>
      <c r="AS2066">
        <v>0</v>
      </c>
      <c r="AT2066">
        <v>0</v>
      </c>
    </row>
    <row r="2067" spans="1:46" x14ac:dyDescent="0.45">
      <c r="A2067" s="62" t="s">
        <v>617</v>
      </c>
      <c r="B2067" s="62" t="s">
        <v>242</v>
      </c>
      <c r="C2067" s="63"/>
      <c r="D2067" s="64"/>
      <c r="E2067" s="65"/>
      <c r="F2067" s="66"/>
      <c r="G2067" s="63"/>
      <c r="H2067" s="67"/>
      <c r="I2067" s="68"/>
      <c r="J2067" s="68"/>
      <c r="K2067" s="32"/>
      <c r="L2067" s="75"/>
      <c r="M2067" s="75"/>
      <c r="N2067" s="70"/>
      <c r="O2067" t="s">
        <v>1568</v>
      </c>
      <c r="P2067" s="76">
        <v>44958.821770833332</v>
      </c>
      <c r="Q2067" t="s">
        <v>1826</v>
      </c>
      <c r="V2067" s="77" t="str">
        <f>HYPERLINK("https://pbs.twimg.com/profile_images/1620865689073471492/-wABczGj_normal.png")</f>
        <v>https://pbs.twimg.com/profile_images/1620865689073471492/-wABczGj_normal.png</v>
      </c>
      <c r="W2067" s="76">
        <v>44958.821770833332</v>
      </c>
      <c r="X2067" s="80">
        <v>44958</v>
      </c>
      <c r="Y2067" s="78" t="s">
        <v>2818</v>
      </c>
      <c r="Z2067" s="77" t="str">
        <f>HYPERLINK("https://twitter.com/katrochaacosta1/status/1620870439697514496")</f>
        <v>https://twitter.com/katrochaacosta1/status/1620870439697514496</v>
      </c>
      <c r="AC2067" s="78" t="s">
        <v>3881</v>
      </c>
      <c r="AE2067" t="b">
        <v>0</v>
      </c>
      <c r="AF2067">
        <v>0</v>
      </c>
      <c r="AG2067" s="78" t="s">
        <v>4721</v>
      </c>
      <c r="AH2067" t="b">
        <v>0</v>
      </c>
      <c r="AI2067" t="s">
        <v>4829</v>
      </c>
      <c r="AK2067" s="78" t="s">
        <v>4640</v>
      </c>
      <c r="AL2067" t="b">
        <v>0</v>
      </c>
      <c r="AM2067">
        <v>0</v>
      </c>
      <c r="AN2067" s="78" t="s">
        <v>4640</v>
      </c>
      <c r="AO2067" s="78" t="s">
        <v>4850</v>
      </c>
      <c r="AP2067" t="b">
        <v>0</v>
      </c>
      <c r="AQ2067" s="78" t="s">
        <v>3881</v>
      </c>
      <c r="AR2067" t="s">
        <v>179</v>
      </c>
      <c r="AS2067">
        <v>0</v>
      </c>
      <c r="AT2067">
        <v>0</v>
      </c>
    </row>
    <row r="2068" spans="1:46" x14ac:dyDescent="0.45">
      <c r="A2068" s="62" t="s">
        <v>617</v>
      </c>
      <c r="B2068" s="62" t="s">
        <v>1111</v>
      </c>
      <c r="C2068" s="63"/>
      <c r="D2068" s="64"/>
      <c r="E2068" s="65"/>
      <c r="F2068" s="66"/>
      <c r="G2068" s="63"/>
      <c r="H2068" s="67"/>
      <c r="I2068" s="68"/>
      <c r="J2068" s="68"/>
      <c r="K2068" s="32"/>
      <c r="L2068" s="75"/>
      <c r="M2068" s="75"/>
      <c r="N2068" s="70"/>
      <c r="O2068" t="s">
        <v>1567</v>
      </c>
      <c r="P2068" s="76">
        <v>44958.821770833332</v>
      </c>
      <c r="Q2068" t="s">
        <v>1826</v>
      </c>
      <c r="V2068" s="77" t="str">
        <f>HYPERLINK("https://pbs.twimg.com/profile_images/1620865689073471492/-wABczGj_normal.png")</f>
        <v>https://pbs.twimg.com/profile_images/1620865689073471492/-wABczGj_normal.png</v>
      </c>
      <c r="W2068" s="76">
        <v>44958.821770833332</v>
      </c>
      <c r="X2068" s="80">
        <v>44958</v>
      </c>
      <c r="Y2068" s="78" t="s">
        <v>2818</v>
      </c>
      <c r="Z2068" s="77" t="str">
        <f>HYPERLINK("https://twitter.com/katrochaacosta1/status/1620870439697514496")</f>
        <v>https://twitter.com/katrochaacosta1/status/1620870439697514496</v>
      </c>
      <c r="AC2068" s="78" t="s">
        <v>3881</v>
      </c>
      <c r="AE2068" t="b">
        <v>0</v>
      </c>
      <c r="AF2068">
        <v>0</v>
      </c>
      <c r="AG2068" s="78" t="s">
        <v>4721</v>
      </c>
      <c r="AH2068" t="b">
        <v>0</v>
      </c>
      <c r="AI2068" t="s">
        <v>4829</v>
      </c>
      <c r="AK2068" s="78" t="s">
        <v>4640</v>
      </c>
      <c r="AL2068" t="b">
        <v>0</v>
      </c>
      <c r="AM2068">
        <v>0</v>
      </c>
      <c r="AN2068" s="78" t="s">
        <v>4640</v>
      </c>
      <c r="AO2068" s="78" t="s">
        <v>4850</v>
      </c>
      <c r="AP2068" t="b">
        <v>0</v>
      </c>
      <c r="AQ2068" s="78" t="s">
        <v>3881</v>
      </c>
      <c r="AR2068" t="s">
        <v>179</v>
      </c>
      <c r="AS2068">
        <v>0</v>
      </c>
      <c r="AT2068">
        <v>0</v>
      </c>
    </row>
    <row r="2069" spans="1:46" x14ac:dyDescent="0.45">
      <c r="A2069" s="62" t="s">
        <v>619</v>
      </c>
      <c r="B2069" s="62" t="s">
        <v>1230</v>
      </c>
      <c r="C2069" s="63"/>
      <c r="D2069" s="64"/>
      <c r="E2069" s="65"/>
      <c r="F2069" s="66"/>
      <c r="G2069" s="63"/>
      <c r="H2069" s="67"/>
      <c r="I2069" s="68"/>
      <c r="J2069" s="68"/>
      <c r="K2069" s="32"/>
      <c r="L2069" s="75"/>
      <c r="M2069" s="75"/>
      <c r="N2069" s="70"/>
      <c r="O2069" t="s">
        <v>1570</v>
      </c>
      <c r="P2069" s="76">
        <v>44958.823599537034</v>
      </c>
      <c r="Q2069" t="s">
        <v>1693</v>
      </c>
      <c r="V2069" s="77" t="str">
        <f>HYPERLINK("https://pbs.twimg.com/profile_images/1550888389146300425/fFIDs-Yp_normal.jpg")</f>
        <v>https://pbs.twimg.com/profile_images/1550888389146300425/fFIDs-Yp_normal.jpg</v>
      </c>
      <c r="W2069" s="76">
        <v>44958.823599537034</v>
      </c>
      <c r="X2069" s="80">
        <v>44958</v>
      </c>
      <c r="Y2069" s="78" t="s">
        <v>2820</v>
      </c>
      <c r="Z2069" s="77" t="str">
        <f>HYPERLINK("https://twitter.com/gabsrayy/status/1620871100765966336")</f>
        <v>https://twitter.com/gabsrayy/status/1620871100765966336</v>
      </c>
      <c r="AC2069" s="78" t="s">
        <v>3883</v>
      </c>
      <c r="AE2069" t="b">
        <v>0</v>
      </c>
      <c r="AF2069">
        <v>0</v>
      </c>
      <c r="AG2069" s="78" t="s">
        <v>4640</v>
      </c>
      <c r="AH2069" t="b">
        <v>0</v>
      </c>
      <c r="AI2069" t="s">
        <v>4829</v>
      </c>
      <c r="AK2069" s="78" t="s">
        <v>4640</v>
      </c>
      <c r="AL2069" t="b">
        <v>0</v>
      </c>
      <c r="AM2069">
        <v>162</v>
      </c>
      <c r="AN2069" s="78" t="s">
        <v>4473</v>
      </c>
      <c r="AO2069" s="78" t="s">
        <v>4849</v>
      </c>
      <c r="AP2069" t="b">
        <v>0</v>
      </c>
      <c r="AQ2069" s="78" t="s">
        <v>4473</v>
      </c>
      <c r="AR2069" t="s">
        <v>179</v>
      </c>
      <c r="AS2069">
        <v>0</v>
      </c>
      <c r="AT2069">
        <v>0</v>
      </c>
    </row>
    <row r="2070" spans="1:46" x14ac:dyDescent="0.45">
      <c r="A2070" s="62" t="s">
        <v>619</v>
      </c>
      <c r="B2070" s="62" t="s">
        <v>242</v>
      </c>
      <c r="C2070" s="63"/>
      <c r="D2070" s="64"/>
      <c r="E2070" s="65"/>
      <c r="F2070" s="66"/>
      <c r="G2070" s="63"/>
      <c r="H2070" s="67"/>
      <c r="I2070" s="68"/>
      <c r="J2070" s="68"/>
      <c r="K2070" s="32"/>
      <c r="L2070" s="75"/>
      <c r="M2070" s="75"/>
      <c r="N2070" s="70"/>
      <c r="O2070" t="s">
        <v>1569</v>
      </c>
      <c r="P2070" s="76">
        <v>44958.823599537034</v>
      </c>
      <c r="Q2070" t="s">
        <v>1693</v>
      </c>
      <c r="V2070" s="77" t="str">
        <f>HYPERLINK("https://pbs.twimg.com/profile_images/1550888389146300425/fFIDs-Yp_normal.jpg")</f>
        <v>https://pbs.twimg.com/profile_images/1550888389146300425/fFIDs-Yp_normal.jpg</v>
      </c>
      <c r="W2070" s="76">
        <v>44958.823599537034</v>
      </c>
      <c r="X2070" s="80">
        <v>44958</v>
      </c>
      <c r="Y2070" s="78" t="s">
        <v>2820</v>
      </c>
      <c r="Z2070" s="77" t="str">
        <f>HYPERLINK("https://twitter.com/gabsrayy/status/1620871100765966336")</f>
        <v>https://twitter.com/gabsrayy/status/1620871100765966336</v>
      </c>
      <c r="AC2070" s="78" t="s">
        <v>3883</v>
      </c>
      <c r="AE2070" t="b">
        <v>0</v>
      </c>
      <c r="AF2070">
        <v>0</v>
      </c>
      <c r="AG2070" s="78" t="s">
        <v>4640</v>
      </c>
      <c r="AH2070" t="b">
        <v>0</v>
      </c>
      <c r="AI2070" t="s">
        <v>4829</v>
      </c>
      <c r="AK2070" s="78" t="s">
        <v>4640</v>
      </c>
      <c r="AL2070" t="b">
        <v>0</v>
      </c>
      <c r="AM2070">
        <v>162</v>
      </c>
      <c r="AN2070" s="78" t="s">
        <v>4473</v>
      </c>
      <c r="AO2070" s="78" t="s">
        <v>4849</v>
      </c>
      <c r="AP2070" t="b">
        <v>0</v>
      </c>
      <c r="AQ2070" s="78" t="s">
        <v>4473</v>
      </c>
      <c r="AR2070" t="s">
        <v>179</v>
      </c>
      <c r="AS2070">
        <v>0</v>
      </c>
      <c r="AT2070">
        <v>0</v>
      </c>
    </row>
    <row r="2071" spans="1:46" x14ac:dyDescent="0.45">
      <c r="A2071" s="62" t="s">
        <v>622</v>
      </c>
      <c r="B2071" s="62" t="s">
        <v>1230</v>
      </c>
      <c r="C2071" s="63"/>
      <c r="D2071" s="64"/>
      <c r="E2071" s="65"/>
      <c r="F2071" s="66"/>
      <c r="G2071" s="63"/>
      <c r="H2071" s="67"/>
      <c r="I2071" s="68"/>
      <c r="J2071" s="68"/>
      <c r="K2071" s="32"/>
      <c r="L2071" s="75"/>
      <c r="M2071" s="75"/>
      <c r="N2071" s="70"/>
      <c r="O2071" t="s">
        <v>1570</v>
      </c>
      <c r="P2071" s="76">
        <v>44958.830069444448</v>
      </c>
      <c r="Q2071" t="s">
        <v>1693</v>
      </c>
      <c r="V2071" s="77" t="str">
        <f>HYPERLINK("https://pbs.twimg.com/profile_images/1569484156639350786/1cX2guB1_normal.jpg")</f>
        <v>https://pbs.twimg.com/profile_images/1569484156639350786/1cX2guB1_normal.jpg</v>
      </c>
      <c r="W2071" s="76">
        <v>44958.830069444448</v>
      </c>
      <c r="X2071" s="80">
        <v>44958</v>
      </c>
      <c r="Y2071" s="78" t="s">
        <v>2823</v>
      </c>
      <c r="Z2071" s="77" t="str">
        <f>HYPERLINK("https://twitter.com/123blarg456/status/1620873444534661120")</f>
        <v>https://twitter.com/123blarg456/status/1620873444534661120</v>
      </c>
      <c r="AC2071" s="78" t="s">
        <v>3886</v>
      </c>
      <c r="AE2071" t="b">
        <v>0</v>
      </c>
      <c r="AF2071">
        <v>0</v>
      </c>
      <c r="AG2071" s="78" t="s">
        <v>4640</v>
      </c>
      <c r="AH2071" t="b">
        <v>0</v>
      </c>
      <c r="AI2071" t="s">
        <v>4829</v>
      </c>
      <c r="AK2071" s="78" t="s">
        <v>4640</v>
      </c>
      <c r="AL2071" t="b">
        <v>0</v>
      </c>
      <c r="AM2071">
        <v>162</v>
      </c>
      <c r="AN2071" s="78" t="s">
        <v>4473</v>
      </c>
      <c r="AO2071" s="78" t="s">
        <v>4851</v>
      </c>
      <c r="AP2071" t="b">
        <v>0</v>
      </c>
      <c r="AQ2071" s="78" t="s">
        <v>4473</v>
      </c>
      <c r="AR2071" t="s">
        <v>179</v>
      </c>
      <c r="AS2071">
        <v>0</v>
      </c>
      <c r="AT2071">
        <v>0</v>
      </c>
    </row>
    <row r="2072" spans="1:46" x14ac:dyDescent="0.45">
      <c r="A2072" s="62" t="s">
        <v>622</v>
      </c>
      <c r="B2072" s="62" t="s">
        <v>242</v>
      </c>
      <c r="C2072" s="63"/>
      <c r="D2072" s="64"/>
      <c r="E2072" s="65"/>
      <c r="F2072" s="66"/>
      <c r="G2072" s="63"/>
      <c r="H2072" s="67"/>
      <c r="I2072" s="68"/>
      <c r="J2072" s="68"/>
      <c r="K2072" s="32"/>
      <c r="L2072" s="75"/>
      <c r="M2072" s="75"/>
      <c r="N2072" s="70"/>
      <c r="O2072" t="s">
        <v>1569</v>
      </c>
      <c r="P2072" s="76">
        <v>44958.830069444448</v>
      </c>
      <c r="Q2072" t="s">
        <v>1693</v>
      </c>
      <c r="V2072" s="77" t="str">
        <f>HYPERLINK("https://pbs.twimg.com/profile_images/1569484156639350786/1cX2guB1_normal.jpg")</f>
        <v>https://pbs.twimg.com/profile_images/1569484156639350786/1cX2guB1_normal.jpg</v>
      </c>
      <c r="W2072" s="76">
        <v>44958.830069444448</v>
      </c>
      <c r="X2072" s="80">
        <v>44958</v>
      </c>
      <c r="Y2072" s="78" t="s">
        <v>2823</v>
      </c>
      <c r="Z2072" s="77" t="str">
        <f>HYPERLINK("https://twitter.com/123blarg456/status/1620873444534661120")</f>
        <v>https://twitter.com/123blarg456/status/1620873444534661120</v>
      </c>
      <c r="AC2072" s="78" t="s">
        <v>3886</v>
      </c>
      <c r="AE2072" t="b">
        <v>0</v>
      </c>
      <c r="AF2072">
        <v>0</v>
      </c>
      <c r="AG2072" s="78" t="s">
        <v>4640</v>
      </c>
      <c r="AH2072" t="b">
        <v>0</v>
      </c>
      <c r="AI2072" t="s">
        <v>4829</v>
      </c>
      <c r="AK2072" s="78" t="s">
        <v>4640</v>
      </c>
      <c r="AL2072" t="b">
        <v>0</v>
      </c>
      <c r="AM2072">
        <v>162</v>
      </c>
      <c r="AN2072" s="78" t="s">
        <v>4473</v>
      </c>
      <c r="AO2072" s="78" t="s">
        <v>4851</v>
      </c>
      <c r="AP2072" t="b">
        <v>0</v>
      </c>
      <c r="AQ2072" s="78" t="s">
        <v>4473</v>
      </c>
      <c r="AR2072" t="s">
        <v>179</v>
      </c>
      <c r="AS2072">
        <v>0</v>
      </c>
      <c r="AT2072">
        <v>0</v>
      </c>
    </row>
    <row r="2073" spans="1:46" x14ac:dyDescent="0.45">
      <c r="A2073" s="62" t="s">
        <v>626</v>
      </c>
      <c r="B2073" s="62" t="s">
        <v>1230</v>
      </c>
      <c r="C2073" s="63"/>
      <c r="D2073" s="64"/>
      <c r="E2073" s="65"/>
      <c r="F2073" s="66"/>
      <c r="G2073" s="63"/>
      <c r="H2073" s="67"/>
      <c r="I2073" s="68"/>
      <c r="J2073" s="68"/>
      <c r="K2073" s="32"/>
      <c r="L2073" s="75"/>
      <c r="M2073" s="75"/>
      <c r="N2073" s="70"/>
      <c r="O2073" t="s">
        <v>1570</v>
      </c>
      <c r="P2073" s="76">
        <v>44958.835879629631</v>
      </c>
      <c r="Q2073" t="s">
        <v>1693</v>
      </c>
      <c r="V2073" s="77" t="str">
        <f>HYPERLINK("https://pbs.twimg.com/profile_images/1551944725086711808/2o1fixDV_normal.jpg")</f>
        <v>https://pbs.twimg.com/profile_images/1551944725086711808/2o1fixDV_normal.jpg</v>
      </c>
      <c r="W2073" s="76">
        <v>44958.835879629631</v>
      </c>
      <c r="X2073" s="80">
        <v>44958</v>
      </c>
      <c r="Y2073" s="78" t="s">
        <v>2827</v>
      </c>
      <c r="Z2073" s="77" t="str">
        <f>HYPERLINK("https://twitter.com/juyeonisseur/status/1620875549840384001")</f>
        <v>https://twitter.com/juyeonisseur/status/1620875549840384001</v>
      </c>
      <c r="AC2073" s="78" t="s">
        <v>3890</v>
      </c>
      <c r="AE2073" t="b">
        <v>0</v>
      </c>
      <c r="AF2073">
        <v>0</v>
      </c>
      <c r="AG2073" s="78" t="s">
        <v>4640</v>
      </c>
      <c r="AH2073" t="b">
        <v>0</v>
      </c>
      <c r="AI2073" t="s">
        <v>4829</v>
      </c>
      <c r="AK2073" s="78" t="s">
        <v>4640</v>
      </c>
      <c r="AL2073" t="b">
        <v>0</v>
      </c>
      <c r="AM2073">
        <v>162</v>
      </c>
      <c r="AN2073" s="78" t="s">
        <v>4473</v>
      </c>
      <c r="AO2073" s="78" t="s">
        <v>4849</v>
      </c>
      <c r="AP2073" t="b">
        <v>0</v>
      </c>
      <c r="AQ2073" s="78" t="s">
        <v>4473</v>
      </c>
      <c r="AR2073" t="s">
        <v>179</v>
      </c>
      <c r="AS2073">
        <v>0</v>
      </c>
      <c r="AT2073">
        <v>0</v>
      </c>
    </row>
    <row r="2074" spans="1:46" x14ac:dyDescent="0.45">
      <c r="A2074" s="62" t="s">
        <v>626</v>
      </c>
      <c r="B2074" s="62" t="s">
        <v>242</v>
      </c>
      <c r="C2074" s="63"/>
      <c r="D2074" s="64"/>
      <c r="E2074" s="65"/>
      <c r="F2074" s="66"/>
      <c r="G2074" s="63"/>
      <c r="H2074" s="67"/>
      <c r="I2074" s="68"/>
      <c r="J2074" s="68"/>
      <c r="K2074" s="32"/>
      <c r="L2074" s="75"/>
      <c r="M2074" s="75"/>
      <c r="N2074" s="70"/>
      <c r="O2074" t="s">
        <v>1569</v>
      </c>
      <c r="P2074" s="76">
        <v>44958.835879629631</v>
      </c>
      <c r="Q2074" t="s">
        <v>1693</v>
      </c>
      <c r="V2074" s="77" t="str">
        <f>HYPERLINK("https://pbs.twimg.com/profile_images/1551944725086711808/2o1fixDV_normal.jpg")</f>
        <v>https://pbs.twimg.com/profile_images/1551944725086711808/2o1fixDV_normal.jpg</v>
      </c>
      <c r="W2074" s="76">
        <v>44958.835879629631</v>
      </c>
      <c r="X2074" s="80">
        <v>44958</v>
      </c>
      <c r="Y2074" s="78" t="s">
        <v>2827</v>
      </c>
      <c r="Z2074" s="77" t="str">
        <f>HYPERLINK("https://twitter.com/juyeonisseur/status/1620875549840384001")</f>
        <v>https://twitter.com/juyeonisseur/status/1620875549840384001</v>
      </c>
      <c r="AC2074" s="78" t="s">
        <v>3890</v>
      </c>
      <c r="AE2074" t="b">
        <v>0</v>
      </c>
      <c r="AF2074">
        <v>0</v>
      </c>
      <c r="AG2074" s="78" t="s">
        <v>4640</v>
      </c>
      <c r="AH2074" t="b">
        <v>0</v>
      </c>
      <c r="AI2074" t="s">
        <v>4829</v>
      </c>
      <c r="AK2074" s="78" t="s">
        <v>4640</v>
      </c>
      <c r="AL2074" t="b">
        <v>0</v>
      </c>
      <c r="AM2074">
        <v>162</v>
      </c>
      <c r="AN2074" s="78" t="s">
        <v>4473</v>
      </c>
      <c r="AO2074" s="78" t="s">
        <v>4849</v>
      </c>
      <c r="AP2074" t="b">
        <v>0</v>
      </c>
      <c r="AQ2074" s="78" t="s">
        <v>4473</v>
      </c>
      <c r="AR2074" t="s">
        <v>179</v>
      </c>
      <c r="AS2074">
        <v>0</v>
      </c>
      <c r="AT2074">
        <v>0</v>
      </c>
    </row>
    <row r="2075" spans="1:46" x14ac:dyDescent="0.45">
      <c r="A2075" s="62" t="s">
        <v>628</v>
      </c>
      <c r="B2075" s="62" t="s">
        <v>1312</v>
      </c>
      <c r="C2075" s="63"/>
      <c r="D2075" s="64"/>
      <c r="E2075" s="65"/>
      <c r="F2075" s="66"/>
      <c r="G2075" s="63"/>
      <c r="H2075" s="67"/>
      <c r="I2075" s="68"/>
      <c r="J2075" s="68"/>
      <c r="K2075" s="32"/>
      <c r="L2075" s="75"/>
      <c r="M2075" s="75"/>
      <c r="N2075" s="70"/>
      <c r="O2075" t="s">
        <v>1567</v>
      </c>
      <c r="P2075" s="76">
        <v>44958.837291666663</v>
      </c>
      <c r="Q2075" t="s">
        <v>1831</v>
      </c>
      <c r="V2075" s="77" t="str">
        <f>HYPERLINK("https://pbs.twimg.com/profile_images/1613467038860582912/nDuKu7c1_normal.jpg")</f>
        <v>https://pbs.twimg.com/profile_images/1613467038860582912/nDuKu7c1_normal.jpg</v>
      </c>
      <c r="W2075" s="76">
        <v>44958.837291666663</v>
      </c>
      <c r="X2075" s="80">
        <v>44958</v>
      </c>
      <c r="Y2075" s="78" t="s">
        <v>2829</v>
      </c>
      <c r="Z2075" s="77" t="str">
        <f>HYPERLINK("https://twitter.com/ariesdevll/status/1620876063562960896")</f>
        <v>https://twitter.com/ariesdevll/status/1620876063562960896</v>
      </c>
      <c r="AC2075" s="78" t="s">
        <v>3892</v>
      </c>
      <c r="AD2075" s="78" t="s">
        <v>4554</v>
      </c>
      <c r="AE2075" t="b">
        <v>0</v>
      </c>
      <c r="AF2075">
        <v>0</v>
      </c>
      <c r="AG2075" s="78" t="s">
        <v>4723</v>
      </c>
      <c r="AH2075" t="b">
        <v>0</v>
      </c>
      <c r="AI2075" t="s">
        <v>4829</v>
      </c>
      <c r="AK2075" s="78" t="s">
        <v>4640</v>
      </c>
      <c r="AL2075" t="b">
        <v>0</v>
      </c>
      <c r="AM2075">
        <v>0</v>
      </c>
      <c r="AN2075" s="78" t="s">
        <v>4640</v>
      </c>
      <c r="AO2075" s="78" t="s">
        <v>4849</v>
      </c>
      <c r="AP2075" t="b">
        <v>0</v>
      </c>
      <c r="AQ2075" s="78" t="s">
        <v>4554</v>
      </c>
      <c r="AR2075" t="s">
        <v>179</v>
      </c>
      <c r="AS2075">
        <v>0</v>
      </c>
      <c r="AT2075">
        <v>0</v>
      </c>
    </row>
    <row r="2076" spans="1:46" x14ac:dyDescent="0.45">
      <c r="A2076" s="62" t="s">
        <v>628</v>
      </c>
      <c r="B2076" s="62" t="s">
        <v>242</v>
      </c>
      <c r="C2076" s="63"/>
      <c r="D2076" s="64"/>
      <c r="E2076" s="65"/>
      <c r="F2076" s="66"/>
      <c r="G2076" s="63"/>
      <c r="H2076" s="67"/>
      <c r="I2076" s="68"/>
      <c r="J2076" s="68"/>
      <c r="K2076" s="32"/>
      <c r="L2076" s="75"/>
      <c r="M2076" s="75"/>
      <c r="N2076" s="70"/>
      <c r="O2076" t="s">
        <v>1568</v>
      </c>
      <c r="P2076" s="76">
        <v>44958.837291666663</v>
      </c>
      <c r="Q2076" t="s">
        <v>1831</v>
      </c>
      <c r="V2076" s="77" t="str">
        <f>HYPERLINK("https://pbs.twimg.com/profile_images/1613467038860582912/nDuKu7c1_normal.jpg")</f>
        <v>https://pbs.twimg.com/profile_images/1613467038860582912/nDuKu7c1_normal.jpg</v>
      </c>
      <c r="W2076" s="76">
        <v>44958.837291666663</v>
      </c>
      <c r="X2076" s="80">
        <v>44958</v>
      </c>
      <c r="Y2076" s="78" t="s">
        <v>2829</v>
      </c>
      <c r="Z2076" s="77" t="str">
        <f>HYPERLINK("https://twitter.com/ariesdevll/status/1620876063562960896")</f>
        <v>https://twitter.com/ariesdevll/status/1620876063562960896</v>
      </c>
      <c r="AC2076" s="78" t="s">
        <v>3892</v>
      </c>
      <c r="AD2076" s="78" t="s">
        <v>4554</v>
      </c>
      <c r="AE2076" t="b">
        <v>0</v>
      </c>
      <c r="AF2076">
        <v>0</v>
      </c>
      <c r="AG2076" s="78" t="s">
        <v>4723</v>
      </c>
      <c r="AH2076" t="b">
        <v>0</v>
      </c>
      <c r="AI2076" t="s">
        <v>4829</v>
      </c>
      <c r="AK2076" s="78" t="s">
        <v>4640</v>
      </c>
      <c r="AL2076" t="b">
        <v>0</v>
      </c>
      <c r="AM2076">
        <v>0</v>
      </c>
      <c r="AN2076" s="78" t="s">
        <v>4640</v>
      </c>
      <c r="AO2076" s="78" t="s">
        <v>4849</v>
      </c>
      <c r="AP2076" t="b">
        <v>0</v>
      </c>
      <c r="AQ2076" s="78" t="s">
        <v>4554</v>
      </c>
      <c r="AR2076" t="s">
        <v>179</v>
      </c>
      <c r="AS2076">
        <v>0</v>
      </c>
      <c r="AT2076">
        <v>0</v>
      </c>
    </row>
    <row r="2077" spans="1:46" x14ac:dyDescent="0.45">
      <c r="A2077" s="62" t="s">
        <v>629</v>
      </c>
      <c r="B2077" s="62" t="s">
        <v>242</v>
      </c>
      <c r="C2077" s="63"/>
      <c r="D2077" s="64"/>
      <c r="E2077" s="65"/>
      <c r="F2077" s="66"/>
      <c r="G2077" s="63"/>
      <c r="H2077" s="67"/>
      <c r="I2077" s="68"/>
      <c r="J2077" s="68"/>
      <c r="K2077" s="32"/>
      <c r="L2077" s="75"/>
      <c r="M2077" s="75"/>
      <c r="N2077" s="70"/>
      <c r="O2077" t="s">
        <v>1570</v>
      </c>
      <c r="P2077" s="76">
        <v>44958.837500000001</v>
      </c>
      <c r="Q2077" t="s">
        <v>1832</v>
      </c>
      <c r="V2077" s="77" t="str">
        <f>HYPERLINK("https://pbs.twimg.com/profile_images/1551359504809336832/1PVl7i5f_normal.jpg")</f>
        <v>https://pbs.twimg.com/profile_images/1551359504809336832/1PVl7i5f_normal.jpg</v>
      </c>
      <c r="W2077" s="76">
        <v>44958.837500000001</v>
      </c>
      <c r="X2077" s="80">
        <v>44958</v>
      </c>
      <c r="Y2077" s="78" t="s">
        <v>2830</v>
      </c>
      <c r="Z2077" s="77" t="str">
        <f>HYPERLINK("https://twitter.com/jennydelbloc/status/1620876138326429697")</f>
        <v>https://twitter.com/jennydelbloc/status/1620876138326429697</v>
      </c>
      <c r="AC2077" s="78" t="s">
        <v>3893</v>
      </c>
      <c r="AE2077" t="b">
        <v>0</v>
      </c>
      <c r="AF2077">
        <v>0</v>
      </c>
      <c r="AG2077" s="78" t="s">
        <v>4640</v>
      </c>
      <c r="AH2077" t="b">
        <v>0</v>
      </c>
      <c r="AI2077" t="s">
        <v>4829</v>
      </c>
      <c r="AK2077" s="78" t="s">
        <v>4640</v>
      </c>
      <c r="AL2077" t="b">
        <v>0</v>
      </c>
      <c r="AM2077">
        <v>4</v>
      </c>
      <c r="AN2077" s="78" t="s">
        <v>4063</v>
      </c>
      <c r="AO2077" s="78" t="s">
        <v>4849</v>
      </c>
      <c r="AP2077" t="b">
        <v>0</v>
      </c>
      <c r="AQ2077" s="78" t="s">
        <v>4063</v>
      </c>
      <c r="AR2077" t="s">
        <v>179</v>
      </c>
      <c r="AS2077">
        <v>0</v>
      </c>
      <c r="AT2077">
        <v>0</v>
      </c>
    </row>
    <row r="2078" spans="1:46" x14ac:dyDescent="0.45">
      <c r="A2078" s="62" t="s">
        <v>629</v>
      </c>
      <c r="B2078" s="62" t="s">
        <v>1313</v>
      </c>
      <c r="C2078" s="63"/>
      <c r="D2078" s="64"/>
      <c r="E2078" s="65"/>
      <c r="F2078" s="66"/>
      <c r="G2078" s="63"/>
      <c r="H2078" s="67"/>
      <c r="I2078" s="68"/>
      <c r="J2078" s="68"/>
      <c r="K2078" s="32"/>
      <c r="L2078" s="75"/>
      <c r="M2078" s="75"/>
      <c r="N2078" s="70"/>
      <c r="O2078" t="s">
        <v>1570</v>
      </c>
      <c r="P2078" s="76">
        <v>44958.837500000001</v>
      </c>
      <c r="Q2078" t="s">
        <v>1832</v>
      </c>
      <c r="V2078" s="77" t="str">
        <f>HYPERLINK("https://pbs.twimg.com/profile_images/1551359504809336832/1PVl7i5f_normal.jpg")</f>
        <v>https://pbs.twimg.com/profile_images/1551359504809336832/1PVl7i5f_normal.jpg</v>
      </c>
      <c r="W2078" s="76">
        <v>44958.837500000001</v>
      </c>
      <c r="X2078" s="80">
        <v>44958</v>
      </c>
      <c r="Y2078" s="78" t="s">
        <v>2830</v>
      </c>
      <c r="Z2078" s="77" t="str">
        <f>HYPERLINK("https://twitter.com/jennydelbloc/status/1620876138326429697")</f>
        <v>https://twitter.com/jennydelbloc/status/1620876138326429697</v>
      </c>
      <c r="AC2078" s="78" t="s">
        <v>3893</v>
      </c>
      <c r="AE2078" t="b">
        <v>0</v>
      </c>
      <c r="AF2078">
        <v>0</v>
      </c>
      <c r="AG2078" s="78" t="s">
        <v>4640</v>
      </c>
      <c r="AH2078" t="b">
        <v>0</v>
      </c>
      <c r="AI2078" t="s">
        <v>4829</v>
      </c>
      <c r="AK2078" s="78" t="s">
        <v>4640</v>
      </c>
      <c r="AL2078" t="b">
        <v>0</v>
      </c>
      <c r="AM2078">
        <v>4</v>
      </c>
      <c r="AN2078" s="78" t="s">
        <v>4063</v>
      </c>
      <c r="AO2078" s="78" t="s">
        <v>4849</v>
      </c>
      <c r="AP2078" t="b">
        <v>0</v>
      </c>
      <c r="AQ2078" s="78" t="s">
        <v>4063</v>
      </c>
      <c r="AR2078" t="s">
        <v>179</v>
      </c>
      <c r="AS2078">
        <v>0</v>
      </c>
      <c r="AT2078">
        <v>0</v>
      </c>
    </row>
    <row r="2079" spans="1:46" x14ac:dyDescent="0.45">
      <c r="A2079" s="62" t="s">
        <v>629</v>
      </c>
      <c r="B2079" s="62" t="s">
        <v>776</v>
      </c>
      <c r="C2079" s="63"/>
      <c r="D2079" s="64"/>
      <c r="E2079" s="65"/>
      <c r="F2079" s="66"/>
      <c r="G2079" s="63"/>
      <c r="H2079" s="67"/>
      <c r="I2079" s="68"/>
      <c r="J2079" s="68"/>
      <c r="K2079" s="32"/>
      <c r="L2079" s="75"/>
      <c r="M2079" s="75"/>
      <c r="N2079" s="70"/>
      <c r="O2079" t="s">
        <v>1569</v>
      </c>
      <c r="P2079" s="76">
        <v>44958.837500000001</v>
      </c>
      <c r="Q2079" t="s">
        <v>1832</v>
      </c>
      <c r="V2079" s="77" t="str">
        <f>HYPERLINK("https://pbs.twimg.com/profile_images/1551359504809336832/1PVl7i5f_normal.jpg")</f>
        <v>https://pbs.twimg.com/profile_images/1551359504809336832/1PVl7i5f_normal.jpg</v>
      </c>
      <c r="W2079" s="76">
        <v>44958.837500000001</v>
      </c>
      <c r="X2079" s="80">
        <v>44958</v>
      </c>
      <c r="Y2079" s="78" t="s">
        <v>2830</v>
      </c>
      <c r="Z2079" s="77" t="str">
        <f>HYPERLINK("https://twitter.com/jennydelbloc/status/1620876138326429697")</f>
        <v>https://twitter.com/jennydelbloc/status/1620876138326429697</v>
      </c>
      <c r="AC2079" s="78" t="s">
        <v>3893</v>
      </c>
      <c r="AE2079" t="b">
        <v>0</v>
      </c>
      <c r="AF2079">
        <v>0</v>
      </c>
      <c r="AG2079" s="78" t="s">
        <v>4640</v>
      </c>
      <c r="AH2079" t="b">
        <v>0</v>
      </c>
      <c r="AI2079" t="s">
        <v>4829</v>
      </c>
      <c r="AK2079" s="78" t="s">
        <v>4640</v>
      </c>
      <c r="AL2079" t="b">
        <v>0</v>
      </c>
      <c r="AM2079">
        <v>4</v>
      </c>
      <c r="AN2079" s="78" t="s">
        <v>4063</v>
      </c>
      <c r="AO2079" s="78" t="s">
        <v>4849</v>
      </c>
      <c r="AP2079" t="b">
        <v>0</v>
      </c>
      <c r="AQ2079" s="78" t="s">
        <v>4063</v>
      </c>
      <c r="AR2079" t="s">
        <v>179</v>
      </c>
      <c r="AS2079">
        <v>0</v>
      </c>
      <c r="AT2079">
        <v>0</v>
      </c>
    </row>
    <row r="2080" spans="1:46" x14ac:dyDescent="0.45">
      <c r="A2080" s="62" t="s">
        <v>631</v>
      </c>
      <c r="B2080" s="62" t="s">
        <v>630</v>
      </c>
      <c r="C2080" s="63"/>
      <c r="D2080" s="64"/>
      <c r="E2080" s="65"/>
      <c r="F2080" s="66"/>
      <c r="G2080" s="63"/>
      <c r="H2080" s="67"/>
      <c r="I2080" s="68"/>
      <c r="J2080" s="68"/>
      <c r="K2080" s="32"/>
      <c r="L2080" s="75"/>
      <c r="M2080" s="75"/>
      <c r="N2080" s="70"/>
      <c r="O2080" t="s">
        <v>1568</v>
      </c>
      <c r="P2080" s="76">
        <v>44958.838171296295</v>
      </c>
      <c r="Q2080" t="s">
        <v>1833</v>
      </c>
      <c r="V2080" s="77" t="str">
        <f>HYPERLINK("https://pbs.twimg.com/profile_images/882346015264620544/qUMeMMxp_normal.jpg")</f>
        <v>https://pbs.twimg.com/profile_images/882346015264620544/qUMeMMxp_normal.jpg</v>
      </c>
      <c r="W2080" s="76">
        <v>44958.838171296295</v>
      </c>
      <c r="X2080" s="80">
        <v>44958</v>
      </c>
      <c r="Y2080" s="78" t="s">
        <v>2831</v>
      </c>
      <c r="Z2080" s="77" t="str">
        <f>HYPERLINK("https://twitter.com/romyyourock/status/1620876381742862337")</f>
        <v>https://twitter.com/romyyourock/status/1620876381742862337</v>
      </c>
      <c r="AC2080" s="78" t="s">
        <v>3895</v>
      </c>
      <c r="AD2080" s="78" t="s">
        <v>4360</v>
      </c>
      <c r="AE2080" t="b">
        <v>0</v>
      </c>
      <c r="AF2080">
        <v>0</v>
      </c>
      <c r="AG2080" s="78" t="s">
        <v>4720</v>
      </c>
      <c r="AH2080" t="b">
        <v>0</v>
      </c>
      <c r="AI2080" t="s">
        <v>4829</v>
      </c>
      <c r="AK2080" s="78" t="s">
        <v>4640</v>
      </c>
      <c r="AL2080" t="b">
        <v>0</v>
      </c>
      <c r="AM2080">
        <v>0</v>
      </c>
      <c r="AN2080" s="78" t="s">
        <v>4640</v>
      </c>
      <c r="AO2080" s="78" t="s">
        <v>4849</v>
      </c>
      <c r="AP2080" t="b">
        <v>0</v>
      </c>
      <c r="AQ2080" s="78" t="s">
        <v>4360</v>
      </c>
      <c r="AR2080" t="s">
        <v>179</v>
      </c>
      <c r="AS2080">
        <v>0</v>
      </c>
      <c r="AT2080">
        <v>0</v>
      </c>
    </row>
    <row r="2081" spans="1:46" x14ac:dyDescent="0.45">
      <c r="A2081" s="62" t="s">
        <v>631</v>
      </c>
      <c r="B2081" s="62" t="s">
        <v>242</v>
      </c>
      <c r="C2081" s="63"/>
      <c r="D2081" s="64"/>
      <c r="E2081" s="65"/>
      <c r="F2081" s="66"/>
      <c r="G2081" s="63"/>
      <c r="H2081" s="67"/>
      <c r="I2081" s="68"/>
      <c r="J2081" s="68"/>
      <c r="K2081" s="32"/>
      <c r="L2081" s="75"/>
      <c r="M2081" s="75"/>
      <c r="N2081" s="70"/>
      <c r="O2081" t="s">
        <v>1568</v>
      </c>
      <c r="P2081" s="76">
        <v>44958.838171296295</v>
      </c>
      <c r="Q2081" t="s">
        <v>1833</v>
      </c>
      <c r="V2081" s="77" t="str">
        <f>HYPERLINK("https://pbs.twimg.com/profile_images/882346015264620544/qUMeMMxp_normal.jpg")</f>
        <v>https://pbs.twimg.com/profile_images/882346015264620544/qUMeMMxp_normal.jpg</v>
      </c>
      <c r="W2081" s="76">
        <v>44958.838171296295</v>
      </c>
      <c r="X2081" s="80">
        <v>44958</v>
      </c>
      <c r="Y2081" s="78" t="s">
        <v>2831</v>
      </c>
      <c r="Z2081" s="77" t="str">
        <f>HYPERLINK("https://twitter.com/romyyourock/status/1620876381742862337")</f>
        <v>https://twitter.com/romyyourock/status/1620876381742862337</v>
      </c>
      <c r="AC2081" s="78" t="s">
        <v>3895</v>
      </c>
      <c r="AD2081" s="78" t="s">
        <v>4360</v>
      </c>
      <c r="AE2081" t="b">
        <v>0</v>
      </c>
      <c r="AF2081">
        <v>0</v>
      </c>
      <c r="AG2081" s="78" t="s">
        <v>4720</v>
      </c>
      <c r="AH2081" t="b">
        <v>0</v>
      </c>
      <c r="AI2081" t="s">
        <v>4829</v>
      </c>
      <c r="AK2081" s="78" t="s">
        <v>4640</v>
      </c>
      <c r="AL2081" t="b">
        <v>0</v>
      </c>
      <c r="AM2081">
        <v>0</v>
      </c>
      <c r="AN2081" s="78" t="s">
        <v>4640</v>
      </c>
      <c r="AO2081" s="78" t="s">
        <v>4849</v>
      </c>
      <c r="AP2081" t="b">
        <v>0</v>
      </c>
      <c r="AQ2081" s="78" t="s">
        <v>4360</v>
      </c>
      <c r="AR2081" t="s">
        <v>179</v>
      </c>
      <c r="AS2081">
        <v>0</v>
      </c>
      <c r="AT2081">
        <v>0</v>
      </c>
    </row>
    <row r="2082" spans="1:46" x14ac:dyDescent="0.45">
      <c r="A2082" s="62" t="s">
        <v>631</v>
      </c>
      <c r="B2082" s="62" t="s">
        <v>1006</v>
      </c>
      <c r="C2082" s="63"/>
      <c r="D2082" s="64"/>
      <c r="E2082" s="65"/>
      <c r="F2082" s="66"/>
      <c r="G2082" s="63"/>
      <c r="H2082" s="67"/>
      <c r="I2082" s="68"/>
      <c r="J2082" s="68"/>
      <c r="K2082" s="32"/>
      <c r="L2082" s="75"/>
      <c r="M2082" s="75"/>
      <c r="N2082" s="70"/>
      <c r="O2082" t="s">
        <v>1567</v>
      </c>
      <c r="P2082" s="76">
        <v>44958.838171296295</v>
      </c>
      <c r="Q2082" t="s">
        <v>1833</v>
      </c>
      <c r="V2082" s="77" t="str">
        <f>HYPERLINK("https://pbs.twimg.com/profile_images/882346015264620544/qUMeMMxp_normal.jpg")</f>
        <v>https://pbs.twimg.com/profile_images/882346015264620544/qUMeMMxp_normal.jpg</v>
      </c>
      <c r="W2082" s="76">
        <v>44958.838171296295</v>
      </c>
      <c r="X2082" s="80">
        <v>44958</v>
      </c>
      <c r="Y2082" s="78" t="s">
        <v>2831</v>
      </c>
      <c r="Z2082" s="77" t="str">
        <f>HYPERLINK("https://twitter.com/romyyourock/status/1620876381742862337")</f>
        <v>https://twitter.com/romyyourock/status/1620876381742862337</v>
      </c>
      <c r="AC2082" s="78" t="s">
        <v>3895</v>
      </c>
      <c r="AD2082" s="78" t="s">
        <v>4360</v>
      </c>
      <c r="AE2082" t="b">
        <v>0</v>
      </c>
      <c r="AF2082">
        <v>0</v>
      </c>
      <c r="AG2082" s="78" t="s">
        <v>4720</v>
      </c>
      <c r="AH2082" t="b">
        <v>0</v>
      </c>
      <c r="AI2082" t="s">
        <v>4829</v>
      </c>
      <c r="AK2082" s="78" t="s">
        <v>4640</v>
      </c>
      <c r="AL2082" t="b">
        <v>0</v>
      </c>
      <c r="AM2082">
        <v>0</v>
      </c>
      <c r="AN2082" s="78" t="s">
        <v>4640</v>
      </c>
      <c r="AO2082" s="78" t="s">
        <v>4849</v>
      </c>
      <c r="AP2082" t="b">
        <v>0</v>
      </c>
      <c r="AQ2082" s="78" t="s">
        <v>4360</v>
      </c>
      <c r="AR2082" t="s">
        <v>179</v>
      </c>
      <c r="AS2082">
        <v>0</v>
      </c>
      <c r="AT2082">
        <v>0</v>
      </c>
    </row>
    <row r="2083" spans="1:46" x14ac:dyDescent="0.45">
      <c r="A2083" s="62" t="s">
        <v>634</v>
      </c>
      <c r="B2083" s="62" t="s">
        <v>242</v>
      </c>
      <c r="C2083" s="63"/>
      <c r="D2083" s="64"/>
      <c r="E2083" s="65"/>
      <c r="F2083" s="66"/>
      <c r="G2083" s="63"/>
      <c r="H2083" s="67"/>
      <c r="I2083" s="68"/>
      <c r="J2083" s="68"/>
      <c r="K2083" s="32"/>
      <c r="L2083" s="75"/>
      <c r="M2083" s="75"/>
      <c r="N2083" s="70"/>
      <c r="O2083" t="s">
        <v>1567</v>
      </c>
      <c r="P2083" s="76">
        <v>44958.837511574071</v>
      </c>
      <c r="Q2083" t="s">
        <v>1836</v>
      </c>
      <c r="V2083" s="77" t="str">
        <f>HYPERLINK("https://pbs.twimg.com/profile_images/1601381841960947712/BVmWyvEn_normal.jpg")</f>
        <v>https://pbs.twimg.com/profile_images/1601381841960947712/BVmWyvEn_normal.jpg</v>
      </c>
      <c r="W2083" s="76">
        <v>44958.837511574071</v>
      </c>
      <c r="X2083" s="80">
        <v>44958</v>
      </c>
      <c r="Y2083" s="78" t="s">
        <v>2834</v>
      </c>
      <c r="Z2083" s="77" t="str">
        <f>HYPERLINK("https://twitter.com/itsalejotinoco/status/1620876141937717249")</f>
        <v>https://twitter.com/itsalejotinoco/status/1620876141937717249</v>
      </c>
      <c r="AC2083" s="78" t="s">
        <v>3898</v>
      </c>
      <c r="AE2083" t="b">
        <v>0</v>
      </c>
      <c r="AF2083">
        <v>0</v>
      </c>
      <c r="AG2083" s="78" t="s">
        <v>4639</v>
      </c>
      <c r="AH2083" t="b">
        <v>0</v>
      </c>
      <c r="AI2083" t="s">
        <v>4829</v>
      </c>
      <c r="AK2083" s="78" t="s">
        <v>4640</v>
      </c>
      <c r="AL2083" t="b">
        <v>0</v>
      </c>
      <c r="AM2083">
        <v>0</v>
      </c>
      <c r="AN2083" s="78" t="s">
        <v>4640</v>
      </c>
      <c r="AO2083" s="78" t="s">
        <v>4849</v>
      </c>
      <c r="AP2083" t="b">
        <v>0</v>
      </c>
      <c r="AQ2083" s="78" t="s">
        <v>3898</v>
      </c>
      <c r="AR2083" t="s">
        <v>179</v>
      </c>
      <c r="AS2083">
        <v>0</v>
      </c>
      <c r="AT2083">
        <v>0</v>
      </c>
    </row>
    <row r="2084" spans="1:46" x14ac:dyDescent="0.45">
      <c r="A2084" s="62" t="s">
        <v>634</v>
      </c>
      <c r="B2084" s="62" t="s">
        <v>242</v>
      </c>
      <c r="C2084" s="63"/>
      <c r="D2084" s="64"/>
      <c r="E2084" s="65"/>
      <c r="F2084" s="66"/>
      <c r="G2084" s="63"/>
      <c r="H2084" s="67"/>
      <c r="I2084" s="68"/>
      <c r="J2084" s="68"/>
      <c r="K2084" s="32"/>
      <c r="L2084" s="75"/>
      <c r="M2084" s="75"/>
      <c r="N2084" s="70"/>
      <c r="O2084" t="s">
        <v>1567</v>
      </c>
      <c r="P2084" s="76">
        <v>44958.839201388888</v>
      </c>
      <c r="Q2084" t="s">
        <v>1837</v>
      </c>
      <c r="V2084" s="77" t="str">
        <f>HYPERLINK("https://pbs.twimg.com/profile_images/1601381841960947712/BVmWyvEn_normal.jpg")</f>
        <v>https://pbs.twimg.com/profile_images/1601381841960947712/BVmWyvEn_normal.jpg</v>
      </c>
      <c r="W2084" s="76">
        <v>44958.839201388888</v>
      </c>
      <c r="X2084" s="80">
        <v>44958</v>
      </c>
      <c r="Y2084" s="78" t="s">
        <v>2835</v>
      </c>
      <c r="Z2084" s="77" t="str">
        <f>HYPERLINK("https://twitter.com/itsalejotinoco/status/1620876756378062848")</f>
        <v>https://twitter.com/itsalejotinoco/status/1620876756378062848</v>
      </c>
      <c r="AC2084" s="78" t="s">
        <v>3899</v>
      </c>
      <c r="AE2084" t="b">
        <v>0</v>
      </c>
      <c r="AF2084">
        <v>0</v>
      </c>
      <c r="AG2084" s="78" t="s">
        <v>4639</v>
      </c>
      <c r="AH2084" t="b">
        <v>0</v>
      </c>
      <c r="AI2084" t="s">
        <v>4829</v>
      </c>
      <c r="AK2084" s="78" t="s">
        <v>4640</v>
      </c>
      <c r="AL2084" t="b">
        <v>0</v>
      </c>
      <c r="AM2084">
        <v>0</v>
      </c>
      <c r="AN2084" s="78" t="s">
        <v>4640</v>
      </c>
      <c r="AO2084" s="78" t="s">
        <v>4849</v>
      </c>
      <c r="AP2084" t="b">
        <v>0</v>
      </c>
      <c r="AQ2084" s="78" t="s">
        <v>3899</v>
      </c>
      <c r="AR2084" t="s">
        <v>179</v>
      </c>
      <c r="AS2084">
        <v>0</v>
      </c>
      <c r="AT2084">
        <v>0</v>
      </c>
    </row>
    <row r="2085" spans="1:46" x14ac:dyDescent="0.45">
      <c r="A2085" s="62" t="s">
        <v>638</v>
      </c>
      <c r="B2085" s="62" t="s">
        <v>1230</v>
      </c>
      <c r="C2085" s="63"/>
      <c r="D2085" s="64"/>
      <c r="E2085" s="65"/>
      <c r="F2085" s="66"/>
      <c r="G2085" s="63"/>
      <c r="H2085" s="67"/>
      <c r="I2085" s="68"/>
      <c r="J2085" s="68"/>
      <c r="K2085" s="32"/>
      <c r="L2085" s="75"/>
      <c r="M2085" s="75"/>
      <c r="N2085" s="70"/>
      <c r="O2085" t="s">
        <v>1570</v>
      </c>
      <c r="P2085" s="76">
        <v>44958.842569444445</v>
      </c>
      <c r="Q2085" t="s">
        <v>1693</v>
      </c>
      <c r="V2085" s="77" t="str">
        <f>HYPERLINK("https://pbs.twimg.com/profile_images/1452417809770745857/rSXrC-rs_normal.jpg")</f>
        <v>https://pbs.twimg.com/profile_images/1452417809770745857/rSXrC-rs_normal.jpg</v>
      </c>
      <c r="W2085" s="76">
        <v>44958.842569444445</v>
      </c>
      <c r="X2085" s="80">
        <v>44958</v>
      </c>
      <c r="Y2085" s="78" t="s">
        <v>2839</v>
      </c>
      <c r="Z2085" s="77" t="str">
        <f>HYPERLINK("https://twitter.com/its_natalie/status/1620877977226731528")</f>
        <v>https://twitter.com/its_natalie/status/1620877977226731528</v>
      </c>
      <c r="AC2085" s="78" t="s">
        <v>3903</v>
      </c>
      <c r="AE2085" t="b">
        <v>0</v>
      </c>
      <c r="AF2085">
        <v>0</v>
      </c>
      <c r="AG2085" s="78" t="s">
        <v>4640</v>
      </c>
      <c r="AH2085" t="b">
        <v>0</v>
      </c>
      <c r="AI2085" t="s">
        <v>4829</v>
      </c>
      <c r="AK2085" s="78" t="s">
        <v>4640</v>
      </c>
      <c r="AL2085" t="b">
        <v>0</v>
      </c>
      <c r="AM2085">
        <v>162</v>
      </c>
      <c r="AN2085" s="78" t="s">
        <v>4473</v>
      </c>
      <c r="AO2085" s="78" t="s">
        <v>4849</v>
      </c>
      <c r="AP2085" t="b">
        <v>0</v>
      </c>
      <c r="AQ2085" s="78" t="s">
        <v>4473</v>
      </c>
      <c r="AR2085" t="s">
        <v>179</v>
      </c>
      <c r="AS2085">
        <v>0</v>
      </c>
      <c r="AT2085">
        <v>0</v>
      </c>
    </row>
    <row r="2086" spans="1:46" x14ac:dyDescent="0.45">
      <c r="A2086" s="62" t="s">
        <v>638</v>
      </c>
      <c r="B2086" s="62" t="s">
        <v>242</v>
      </c>
      <c r="C2086" s="63"/>
      <c r="D2086" s="64"/>
      <c r="E2086" s="65"/>
      <c r="F2086" s="66"/>
      <c r="G2086" s="63"/>
      <c r="H2086" s="67"/>
      <c r="I2086" s="68"/>
      <c r="J2086" s="68"/>
      <c r="K2086" s="32"/>
      <c r="L2086" s="75"/>
      <c r="M2086" s="75"/>
      <c r="N2086" s="70"/>
      <c r="O2086" t="s">
        <v>1569</v>
      </c>
      <c r="P2086" s="76">
        <v>44958.842569444445</v>
      </c>
      <c r="Q2086" t="s">
        <v>1693</v>
      </c>
      <c r="V2086" s="77" t="str">
        <f>HYPERLINK("https://pbs.twimg.com/profile_images/1452417809770745857/rSXrC-rs_normal.jpg")</f>
        <v>https://pbs.twimg.com/profile_images/1452417809770745857/rSXrC-rs_normal.jpg</v>
      </c>
      <c r="W2086" s="76">
        <v>44958.842569444445</v>
      </c>
      <c r="X2086" s="80">
        <v>44958</v>
      </c>
      <c r="Y2086" s="78" t="s">
        <v>2839</v>
      </c>
      <c r="Z2086" s="77" t="str">
        <f>HYPERLINK("https://twitter.com/its_natalie/status/1620877977226731528")</f>
        <v>https://twitter.com/its_natalie/status/1620877977226731528</v>
      </c>
      <c r="AC2086" s="78" t="s">
        <v>3903</v>
      </c>
      <c r="AE2086" t="b">
        <v>0</v>
      </c>
      <c r="AF2086">
        <v>0</v>
      </c>
      <c r="AG2086" s="78" t="s">
        <v>4640</v>
      </c>
      <c r="AH2086" t="b">
        <v>0</v>
      </c>
      <c r="AI2086" t="s">
        <v>4829</v>
      </c>
      <c r="AK2086" s="78" t="s">
        <v>4640</v>
      </c>
      <c r="AL2086" t="b">
        <v>0</v>
      </c>
      <c r="AM2086">
        <v>162</v>
      </c>
      <c r="AN2086" s="78" t="s">
        <v>4473</v>
      </c>
      <c r="AO2086" s="78" t="s">
        <v>4849</v>
      </c>
      <c r="AP2086" t="b">
        <v>0</v>
      </c>
      <c r="AQ2086" s="78" t="s">
        <v>4473</v>
      </c>
      <c r="AR2086" t="s">
        <v>179</v>
      </c>
      <c r="AS2086">
        <v>0</v>
      </c>
      <c r="AT2086">
        <v>0</v>
      </c>
    </row>
    <row r="2087" spans="1:46" x14ac:dyDescent="0.45">
      <c r="A2087" s="62" t="s">
        <v>642</v>
      </c>
      <c r="B2087" s="62" t="s">
        <v>242</v>
      </c>
      <c r="C2087" s="63"/>
      <c r="D2087" s="64"/>
      <c r="E2087" s="65"/>
      <c r="F2087" s="66"/>
      <c r="G2087" s="63"/>
      <c r="H2087" s="67"/>
      <c r="I2087" s="68"/>
      <c r="J2087" s="68"/>
      <c r="K2087" s="32"/>
      <c r="L2087" s="75"/>
      <c r="M2087" s="75"/>
      <c r="N2087" s="70"/>
      <c r="O2087" t="s">
        <v>1567</v>
      </c>
      <c r="P2087" s="76">
        <v>44958.8437037037</v>
      </c>
      <c r="Q2087" t="s">
        <v>1842</v>
      </c>
      <c r="V2087" s="77" t="str">
        <f>HYPERLINK("https://abs.twimg.com/sticky/default_profile_images/default_profile_normal.png")</f>
        <v>https://abs.twimg.com/sticky/default_profile_images/default_profile_normal.png</v>
      </c>
      <c r="W2087" s="76">
        <v>44958.8437037037</v>
      </c>
      <c r="X2087" s="80">
        <v>44958</v>
      </c>
      <c r="Y2087" s="78" t="s">
        <v>2842</v>
      </c>
      <c r="Z2087" s="77" t="str">
        <f>HYPERLINK("https://twitter.com/jbrames10/status/1620878385395240960")</f>
        <v>https://twitter.com/jbrames10/status/1620878385395240960</v>
      </c>
      <c r="AC2087" s="78" t="s">
        <v>3907</v>
      </c>
      <c r="AD2087" s="78" t="s">
        <v>4498</v>
      </c>
      <c r="AE2087" t="b">
        <v>0</v>
      </c>
      <c r="AF2087">
        <v>0</v>
      </c>
      <c r="AG2087" s="78" t="s">
        <v>4639</v>
      </c>
      <c r="AH2087" t="b">
        <v>0</v>
      </c>
      <c r="AI2087" t="s">
        <v>4829</v>
      </c>
      <c r="AK2087" s="78" t="s">
        <v>4640</v>
      </c>
      <c r="AL2087" t="b">
        <v>0</v>
      </c>
      <c r="AM2087">
        <v>0</v>
      </c>
      <c r="AN2087" s="78" t="s">
        <v>4640</v>
      </c>
      <c r="AO2087" s="78" t="s">
        <v>4849</v>
      </c>
      <c r="AP2087" t="b">
        <v>0</v>
      </c>
      <c r="AQ2087" s="78" t="s">
        <v>4498</v>
      </c>
      <c r="AR2087" t="s">
        <v>179</v>
      </c>
      <c r="AS2087">
        <v>0</v>
      </c>
      <c r="AT2087">
        <v>0</v>
      </c>
    </row>
    <row r="2088" spans="1:46" x14ac:dyDescent="0.45">
      <c r="A2088" s="62" t="s">
        <v>643</v>
      </c>
      <c r="B2088" s="62" t="s">
        <v>242</v>
      </c>
      <c r="C2088" s="63"/>
      <c r="D2088" s="64"/>
      <c r="E2088" s="65"/>
      <c r="F2088" s="66"/>
      <c r="G2088" s="63"/>
      <c r="H2088" s="67"/>
      <c r="I2088" s="68"/>
      <c r="J2088" s="68"/>
      <c r="K2088" s="32"/>
      <c r="L2088" s="75"/>
      <c r="M2088" s="75"/>
      <c r="N2088" s="70"/>
      <c r="O2088" t="s">
        <v>1570</v>
      </c>
      <c r="P2088" s="76">
        <v>44958.84814814815</v>
      </c>
      <c r="Q2088" t="s">
        <v>1832</v>
      </c>
      <c r="V2088" s="77" t="str">
        <f>HYPERLINK("https://pbs.twimg.com/profile_images/1573960563633188865/GxVtv_Lk_normal.jpg")</f>
        <v>https://pbs.twimg.com/profile_images/1573960563633188865/GxVtv_Lk_normal.jpg</v>
      </c>
      <c r="W2088" s="76">
        <v>44958.84814814815</v>
      </c>
      <c r="X2088" s="80">
        <v>44958</v>
      </c>
      <c r="Y2088" s="78" t="s">
        <v>2843</v>
      </c>
      <c r="Z2088" s="77" t="str">
        <f>HYPERLINK("https://twitter.com/veebadddieee/status/1620879996389847042")</f>
        <v>https://twitter.com/veebadddieee/status/1620879996389847042</v>
      </c>
      <c r="AC2088" s="78" t="s">
        <v>3908</v>
      </c>
      <c r="AE2088" t="b">
        <v>0</v>
      </c>
      <c r="AF2088">
        <v>0</v>
      </c>
      <c r="AG2088" s="78" t="s">
        <v>4640</v>
      </c>
      <c r="AH2088" t="b">
        <v>0</v>
      </c>
      <c r="AI2088" t="s">
        <v>4829</v>
      </c>
      <c r="AK2088" s="78" t="s">
        <v>4640</v>
      </c>
      <c r="AL2088" t="b">
        <v>0</v>
      </c>
      <c r="AM2088">
        <v>4</v>
      </c>
      <c r="AN2088" s="78" t="s">
        <v>4063</v>
      </c>
      <c r="AO2088" s="78" t="s">
        <v>4849</v>
      </c>
      <c r="AP2088" t="b">
        <v>0</v>
      </c>
      <c r="AQ2088" s="78" t="s">
        <v>4063</v>
      </c>
      <c r="AR2088" t="s">
        <v>179</v>
      </c>
      <c r="AS2088">
        <v>0</v>
      </c>
      <c r="AT2088">
        <v>0</v>
      </c>
    </row>
    <row r="2089" spans="1:46" x14ac:dyDescent="0.45">
      <c r="A2089" s="62" t="s">
        <v>643</v>
      </c>
      <c r="B2089" s="62" t="s">
        <v>1313</v>
      </c>
      <c r="C2089" s="63"/>
      <c r="D2089" s="64"/>
      <c r="E2089" s="65"/>
      <c r="F2089" s="66"/>
      <c r="G2089" s="63"/>
      <c r="H2089" s="67"/>
      <c r="I2089" s="68"/>
      <c r="J2089" s="68"/>
      <c r="K2089" s="32"/>
      <c r="L2089" s="75"/>
      <c r="M2089" s="75"/>
      <c r="N2089" s="70"/>
      <c r="O2089" t="s">
        <v>1570</v>
      </c>
      <c r="P2089" s="76">
        <v>44958.84814814815</v>
      </c>
      <c r="Q2089" t="s">
        <v>1832</v>
      </c>
      <c r="V2089" s="77" t="str">
        <f>HYPERLINK("https://pbs.twimg.com/profile_images/1573960563633188865/GxVtv_Lk_normal.jpg")</f>
        <v>https://pbs.twimg.com/profile_images/1573960563633188865/GxVtv_Lk_normal.jpg</v>
      </c>
      <c r="W2089" s="76">
        <v>44958.84814814815</v>
      </c>
      <c r="X2089" s="80">
        <v>44958</v>
      </c>
      <c r="Y2089" s="78" t="s">
        <v>2843</v>
      </c>
      <c r="Z2089" s="77" t="str">
        <f>HYPERLINK("https://twitter.com/veebadddieee/status/1620879996389847042")</f>
        <v>https://twitter.com/veebadddieee/status/1620879996389847042</v>
      </c>
      <c r="AC2089" s="78" t="s">
        <v>3908</v>
      </c>
      <c r="AE2089" t="b">
        <v>0</v>
      </c>
      <c r="AF2089">
        <v>0</v>
      </c>
      <c r="AG2089" s="78" t="s">
        <v>4640</v>
      </c>
      <c r="AH2089" t="b">
        <v>0</v>
      </c>
      <c r="AI2089" t="s">
        <v>4829</v>
      </c>
      <c r="AK2089" s="78" t="s">
        <v>4640</v>
      </c>
      <c r="AL2089" t="b">
        <v>0</v>
      </c>
      <c r="AM2089">
        <v>4</v>
      </c>
      <c r="AN2089" s="78" t="s">
        <v>4063</v>
      </c>
      <c r="AO2089" s="78" t="s">
        <v>4849</v>
      </c>
      <c r="AP2089" t="b">
        <v>0</v>
      </c>
      <c r="AQ2089" s="78" t="s">
        <v>4063</v>
      </c>
      <c r="AR2089" t="s">
        <v>179</v>
      </c>
      <c r="AS2089">
        <v>0</v>
      </c>
      <c r="AT2089">
        <v>0</v>
      </c>
    </row>
    <row r="2090" spans="1:46" x14ac:dyDescent="0.45">
      <c r="A2090" s="62" t="s">
        <v>643</v>
      </c>
      <c r="B2090" s="62" t="s">
        <v>776</v>
      </c>
      <c r="C2090" s="63"/>
      <c r="D2090" s="64"/>
      <c r="E2090" s="65"/>
      <c r="F2090" s="66"/>
      <c r="G2090" s="63"/>
      <c r="H2090" s="67"/>
      <c r="I2090" s="68"/>
      <c r="J2090" s="68"/>
      <c r="K2090" s="32"/>
      <c r="L2090" s="75"/>
      <c r="M2090" s="75"/>
      <c r="N2090" s="70"/>
      <c r="O2090" t="s">
        <v>1569</v>
      </c>
      <c r="P2090" s="76">
        <v>44958.84814814815</v>
      </c>
      <c r="Q2090" t="s">
        <v>1832</v>
      </c>
      <c r="V2090" s="77" t="str">
        <f>HYPERLINK("https://pbs.twimg.com/profile_images/1573960563633188865/GxVtv_Lk_normal.jpg")</f>
        <v>https://pbs.twimg.com/profile_images/1573960563633188865/GxVtv_Lk_normal.jpg</v>
      </c>
      <c r="W2090" s="76">
        <v>44958.84814814815</v>
      </c>
      <c r="X2090" s="80">
        <v>44958</v>
      </c>
      <c r="Y2090" s="78" t="s">
        <v>2843</v>
      </c>
      <c r="Z2090" s="77" t="str">
        <f>HYPERLINK("https://twitter.com/veebadddieee/status/1620879996389847042")</f>
        <v>https://twitter.com/veebadddieee/status/1620879996389847042</v>
      </c>
      <c r="AC2090" s="78" t="s">
        <v>3908</v>
      </c>
      <c r="AE2090" t="b">
        <v>0</v>
      </c>
      <c r="AF2090">
        <v>0</v>
      </c>
      <c r="AG2090" s="78" t="s">
        <v>4640</v>
      </c>
      <c r="AH2090" t="b">
        <v>0</v>
      </c>
      <c r="AI2090" t="s">
        <v>4829</v>
      </c>
      <c r="AK2090" s="78" t="s">
        <v>4640</v>
      </c>
      <c r="AL2090" t="b">
        <v>0</v>
      </c>
      <c r="AM2090">
        <v>4</v>
      </c>
      <c r="AN2090" s="78" t="s">
        <v>4063</v>
      </c>
      <c r="AO2090" s="78" t="s">
        <v>4849</v>
      </c>
      <c r="AP2090" t="b">
        <v>0</v>
      </c>
      <c r="AQ2090" s="78" t="s">
        <v>4063</v>
      </c>
      <c r="AR2090" t="s">
        <v>179</v>
      </c>
      <c r="AS2090">
        <v>0</v>
      </c>
      <c r="AT2090">
        <v>0</v>
      </c>
    </row>
    <row r="2091" spans="1:46" x14ac:dyDescent="0.45">
      <c r="A2091" s="62" t="s">
        <v>644</v>
      </c>
      <c r="B2091" s="62" t="s">
        <v>1230</v>
      </c>
      <c r="C2091" s="63"/>
      <c r="D2091" s="64"/>
      <c r="E2091" s="65"/>
      <c r="F2091" s="66"/>
      <c r="G2091" s="63"/>
      <c r="H2091" s="67"/>
      <c r="I2091" s="68"/>
      <c r="J2091" s="68"/>
      <c r="K2091" s="32"/>
      <c r="L2091" s="75"/>
      <c r="M2091" s="75"/>
      <c r="N2091" s="70"/>
      <c r="O2091" t="s">
        <v>1570</v>
      </c>
      <c r="P2091" s="76">
        <v>44958.848900462966</v>
      </c>
      <c r="Q2091" t="s">
        <v>1693</v>
      </c>
      <c r="V2091" s="77" t="str">
        <f>HYPERLINK("https://pbs.twimg.com/profile_images/1165321528273190914/kwL7xVuB_normal.jpg")</f>
        <v>https://pbs.twimg.com/profile_images/1165321528273190914/kwL7xVuB_normal.jpg</v>
      </c>
      <c r="W2091" s="76">
        <v>44958.848900462966</v>
      </c>
      <c r="X2091" s="80">
        <v>44958</v>
      </c>
      <c r="Y2091" s="78" t="s">
        <v>2844</v>
      </c>
      <c r="Z2091" s="77" t="str">
        <f>HYPERLINK("https://twitter.com/santi_barross/status/1620880268147163136")</f>
        <v>https://twitter.com/santi_barross/status/1620880268147163136</v>
      </c>
      <c r="AC2091" s="78" t="s">
        <v>3909</v>
      </c>
      <c r="AE2091" t="b">
        <v>0</v>
      </c>
      <c r="AF2091">
        <v>0</v>
      </c>
      <c r="AG2091" s="78" t="s">
        <v>4640</v>
      </c>
      <c r="AH2091" t="b">
        <v>0</v>
      </c>
      <c r="AI2091" t="s">
        <v>4829</v>
      </c>
      <c r="AK2091" s="78" t="s">
        <v>4640</v>
      </c>
      <c r="AL2091" t="b">
        <v>0</v>
      </c>
      <c r="AM2091">
        <v>162</v>
      </c>
      <c r="AN2091" s="78" t="s">
        <v>4473</v>
      </c>
      <c r="AO2091" s="78" t="s">
        <v>4849</v>
      </c>
      <c r="AP2091" t="b">
        <v>0</v>
      </c>
      <c r="AQ2091" s="78" t="s">
        <v>4473</v>
      </c>
      <c r="AR2091" t="s">
        <v>179</v>
      </c>
      <c r="AS2091">
        <v>0</v>
      </c>
      <c r="AT2091">
        <v>0</v>
      </c>
    </row>
    <row r="2092" spans="1:46" x14ac:dyDescent="0.45">
      <c r="A2092" s="62" t="s">
        <v>644</v>
      </c>
      <c r="B2092" s="62" t="s">
        <v>242</v>
      </c>
      <c r="C2092" s="63"/>
      <c r="D2092" s="64"/>
      <c r="E2092" s="65"/>
      <c r="F2092" s="66"/>
      <c r="G2092" s="63"/>
      <c r="H2092" s="67"/>
      <c r="I2092" s="68"/>
      <c r="J2092" s="68"/>
      <c r="K2092" s="32"/>
      <c r="L2092" s="75"/>
      <c r="M2092" s="75"/>
      <c r="N2092" s="70"/>
      <c r="O2092" t="s">
        <v>1569</v>
      </c>
      <c r="P2092" s="76">
        <v>44958.848900462966</v>
      </c>
      <c r="Q2092" t="s">
        <v>1693</v>
      </c>
      <c r="V2092" s="77" t="str">
        <f>HYPERLINK("https://pbs.twimg.com/profile_images/1165321528273190914/kwL7xVuB_normal.jpg")</f>
        <v>https://pbs.twimg.com/profile_images/1165321528273190914/kwL7xVuB_normal.jpg</v>
      </c>
      <c r="W2092" s="76">
        <v>44958.848900462966</v>
      </c>
      <c r="X2092" s="80">
        <v>44958</v>
      </c>
      <c r="Y2092" s="78" t="s">
        <v>2844</v>
      </c>
      <c r="Z2092" s="77" t="str">
        <f>HYPERLINK("https://twitter.com/santi_barross/status/1620880268147163136")</f>
        <v>https://twitter.com/santi_barross/status/1620880268147163136</v>
      </c>
      <c r="AC2092" s="78" t="s">
        <v>3909</v>
      </c>
      <c r="AE2092" t="b">
        <v>0</v>
      </c>
      <c r="AF2092">
        <v>0</v>
      </c>
      <c r="AG2092" s="78" t="s">
        <v>4640</v>
      </c>
      <c r="AH2092" t="b">
        <v>0</v>
      </c>
      <c r="AI2092" t="s">
        <v>4829</v>
      </c>
      <c r="AK2092" s="78" t="s">
        <v>4640</v>
      </c>
      <c r="AL2092" t="b">
        <v>0</v>
      </c>
      <c r="AM2092">
        <v>162</v>
      </c>
      <c r="AN2092" s="78" t="s">
        <v>4473</v>
      </c>
      <c r="AO2092" s="78" t="s">
        <v>4849</v>
      </c>
      <c r="AP2092" t="b">
        <v>0</v>
      </c>
      <c r="AQ2092" s="78" t="s">
        <v>4473</v>
      </c>
      <c r="AR2092" t="s">
        <v>179</v>
      </c>
      <c r="AS2092">
        <v>0</v>
      </c>
      <c r="AT2092">
        <v>0</v>
      </c>
    </row>
    <row r="2093" spans="1:46" x14ac:dyDescent="0.45">
      <c r="A2093" s="62" t="s">
        <v>645</v>
      </c>
      <c r="B2093" s="62" t="s">
        <v>1230</v>
      </c>
      <c r="C2093" s="63"/>
      <c r="D2093" s="64"/>
      <c r="E2093" s="65"/>
      <c r="F2093" s="66"/>
      <c r="G2093" s="63"/>
      <c r="H2093" s="67"/>
      <c r="I2093" s="68"/>
      <c r="J2093" s="68"/>
      <c r="K2093" s="32"/>
      <c r="L2093" s="75"/>
      <c r="M2093" s="75"/>
      <c r="N2093" s="70"/>
      <c r="O2093" t="s">
        <v>1570</v>
      </c>
      <c r="P2093" s="76">
        <v>44958.850011574075</v>
      </c>
      <c r="Q2093" t="s">
        <v>1693</v>
      </c>
      <c r="V2093" s="77" t="str">
        <f>HYPERLINK("https://pbs.twimg.com/profile_images/1609794482114797571/4J-aiWbr_normal.jpg")</f>
        <v>https://pbs.twimg.com/profile_images/1609794482114797571/4J-aiWbr_normal.jpg</v>
      </c>
      <c r="W2093" s="76">
        <v>44958.850011574075</v>
      </c>
      <c r="X2093" s="80">
        <v>44958</v>
      </c>
      <c r="Y2093" s="78" t="s">
        <v>2845</v>
      </c>
      <c r="Z2093" s="77" t="str">
        <f>HYPERLINK("https://twitter.com/mcyruscuba/status/1620880670984912896")</f>
        <v>https://twitter.com/mcyruscuba/status/1620880670984912896</v>
      </c>
      <c r="AC2093" s="78" t="s">
        <v>3910</v>
      </c>
      <c r="AE2093" t="b">
        <v>0</v>
      </c>
      <c r="AF2093">
        <v>0</v>
      </c>
      <c r="AG2093" s="78" t="s">
        <v>4640</v>
      </c>
      <c r="AH2093" t="b">
        <v>0</v>
      </c>
      <c r="AI2093" t="s">
        <v>4829</v>
      </c>
      <c r="AK2093" s="78" t="s">
        <v>4640</v>
      </c>
      <c r="AL2093" t="b">
        <v>0</v>
      </c>
      <c r="AM2093">
        <v>162</v>
      </c>
      <c r="AN2093" s="78" t="s">
        <v>4473</v>
      </c>
      <c r="AO2093" s="78" t="s">
        <v>4849</v>
      </c>
      <c r="AP2093" t="b">
        <v>0</v>
      </c>
      <c r="AQ2093" s="78" t="s">
        <v>4473</v>
      </c>
      <c r="AR2093" t="s">
        <v>179</v>
      </c>
      <c r="AS2093">
        <v>0</v>
      </c>
      <c r="AT2093">
        <v>0</v>
      </c>
    </row>
    <row r="2094" spans="1:46" x14ac:dyDescent="0.45">
      <c r="A2094" s="62" t="s">
        <v>645</v>
      </c>
      <c r="B2094" s="62" t="s">
        <v>242</v>
      </c>
      <c r="C2094" s="63"/>
      <c r="D2094" s="64"/>
      <c r="E2094" s="65"/>
      <c r="F2094" s="66"/>
      <c r="G2094" s="63"/>
      <c r="H2094" s="67"/>
      <c r="I2094" s="68"/>
      <c r="J2094" s="68"/>
      <c r="K2094" s="32"/>
      <c r="L2094" s="75"/>
      <c r="M2094" s="75"/>
      <c r="N2094" s="70"/>
      <c r="O2094" t="s">
        <v>1569</v>
      </c>
      <c r="P2094" s="76">
        <v>44958.850011574075</v>
      </c>
      <c r="Q2094" t="s">
        <v>1693</v>
      </c>
      <c r="V2094" s="77" t="str">
        <f>HYPERLINK("https://pbs.twimg.com/profile_images/1609794482114797571/4J-aiWbr_normal.jpg")</f>
        <v>https://pbs.twimg.com/profile_images/1609794482114797571/4J-aiWbr_normal.jpg</v>
      </c>
      <c r="W2094" s="76">
        <v>44958.850011574075</v>
      </c>
      <c r="X2094" s="80">
        <v>44958</v>
      </c>
      <c r="Y2094" s="78" t="s">
        <v>2845</v>
      </c>
      <c r="Z2094" s="77" t="str">
        <f>HYPERLINK("https://twitter.com/mcyruscuba/status/1620880670984912896")</f>
        <v>https://twitter.com/mcyruscuba/status/1620880670984912896</v>
      </c>
      <c r="AC2094" s="78" t="s">
        <v>3910</v>
      </c>
      <c r="AE2094" t="b">
        <v>0</v>
      </c>
      <c r="AF2094">
        <v>0</v>
      </c>
      <c r="AG2094" s="78" t="s">
        <v>4640</v>
      </c>
      <c r="AH2094" t="b">
        <v>0</v>
      </c>
      <c r="AI2094" t="s">
        <v>4829</v>
      </c>
      <c r="AK2094" s="78" t="s">
        <v>4640</v>
      </c>
      <c r="AL2094" t="b">
        <v>0</v>
      </c>
      <c r="AM2094">
        <v>162</v>
      </c>
      <c r="AN2094" s="78" t="s">
        <v>4473</v>
      </c>
      <c r="AO2094" s="78" t="s">
        <v>4849</v>
      </c>
      <c r="AP2094" t="b">
        <v>0</v>
      </c>
      <c r="AQ2094" s="78" t="s">
        <v>4473</v>
      </c>
      <c r="AR2094" t="s">
        <v>179</v>
      </c>
      <c r="AS2094">
        <v>0</v>
      </c>
      <c r="AT2094">
        <v>0</v>
      </c>
    </row>
    <row r="2095" spans="1:46" x14ac:dyDescent="0.45">
      <c r="A2095" s="62" t="s">
        <v>646</v>
      </c>
      <c r="B2095" s="62" t="s">
        <v>1230</v>
      </c>
      <c r="C2095" s="63"/>
      <c r="D2095" s="64"/>
      <c r="E2095" s="65"/>
      <c r="F2095" s="66"/>
      <c r="G2095" s="63"/>
      <c r="H2095" s="67"/>
      <c r="I2095" s="68"/>
      <c r="J2095" s="68"/>
      <c r="K2095" s="32"/>
      <c r="L2095" s="75"/>
      <c r="M2095" s="75"/>
      <c r="N2095" s="70"/>
      <c r="O2095" t="s">
        <v>1570</v>
      </c>
      <c r="P2095" s="76">
        <v>44958.852233796293</v>
      </c>
      <c r="Q2095" t="s">
        <v>1693</v>
      </c>
      <c r="V2095" s="77" t="str">
        <f>HYPERLINK("https://pbs.twimg.com/profile_images/1613540392661647361/t8sSCyeR_normal.jpg")</f>
        <v>https://pbs.twimg.com/profile_images/1613540392661647361/t8sSCyeR_normal.jpg</v>
      </c>
      <c r="W2095" s="76">
        <v>44958.852233796293</v>
      </c>
      <c r="X2095" s="80">
        <v>44958</v>
      </c>
      <c r="Y2095" s="78" t="s">
        <v>2846</v>
      </c>
      <c r="Z2095" s="77" t="str">
        <f>HYPERLINK("https://twitter.com/iedsonsmile/status/1620881476513587200")</f>
        <v>https://twitter.com/iedsonsmile/status/1620881476513587200</v>
      </c>
      <c r="AC2095" s="78" t="s">
        <v>3911</v>
      </c>
      <c r="AE2095" t="b">
        <v>0</v>
      </c>
      <c r="AF2095">
        <v>0</v>
      </c>
      <c r="AG2095" s="78" t="s">
        <v>4640</v>
      </c>
      <c r="AH2095" t="b">
        <v>0</v>
      </c>
      <c r="AI2095" t="s">
        <v>4829</v>
      </c>
      <c r="AK2095" s="78" t="s">
        <v>4640</v>
      </c>
      <c r="AL2095" t="b">
        <v>0</v>
      </c>
      <c r="AM2095">
        <v>162</v>
      </c>
      <c r="AN2095" s="78" t="s">
        <v>4473</v>
      </c>
      <c r="AO2095" s="78" t="s">
        <v>4849</v>
      </c>
      <c r="AP2095" t="b">
        <v>0</v>
      </c>
      <c r="AQ2095" s="78" t="s">
        <v>4473</v>
      </c>
      <c r="AR2095" t="s">
        <v>179</v>
      </c>
      <c r="AS2095">
        <v>0</v>
      </c>
      <c r="AT2095">
        <v>0</v>
      </c>
    </row>
    <row r="2096" spans="1:46" x14ac:dyDescent="0.45">
      <c r="A2096" s="62" t="s">
        <v>646</v>
      </c>
      <c r="B2096" s="62" t="s">
        <v>242</v>
      </c>
      <c r="C2096" s="63"/>
      <c r="D2096" s="64"/>
      <c r="E2096" s="65"/>
      <c r="F2096" s="66"/>
      <c r="G2096" s="63"/>
      <c r="H2096" s="67"/>
      <c r="I2096" s="68"/>
      <c r="J2096" s="68"/>
      <c r="K2096" s="32"/>
      <c r="L2096" s="75"/>
      <c r="M2096" s="75"/>
      <c r="N2096" s="70"/>
      <c r="O2096" t="s">
        <v>1569</v>
      </c>
      <c r="P2096" s="76">
        <v>44958.852233796293</v>
      </c>
      <c r="Q2096" t="s">
        <v>1693</v>
      </c>
      <c r="V2096" s="77" t="str">
        <f>HYPERLINK("https://pbs.twimg.com/profile_images/1613540392661647361/t8sSCyeR_normal.jpg")</f>
        <v>https://pbs.twimg.com/profile_images/1613540392661647361/t8sSCyeR_normal.jpg</v>
      </c>
      <c r="W2096" s="76">
        <v>44958.852233796293</v>
      </c>
      <c r="X2096" s="80">
        <v>44958</v>
      </c>
      <c r="Y2096" s="78" t="s">
        <v>2846</v>
      </c>
      <c r="Z2096" s="77" t="str">
        <f>HYPERLINK("https://twitter.com/iedsonsmile/status/1620881476513587200")</f>
        <v>https://twitter.com/iedsonsmile/status/1620881476513587200</v>
      </c>
      <c r="AC2096" s="78" t="s">
        <v>3911</v>
      </c>
      <c r="AE2096" t="b">
        <v>0</v>
      </c>
      <c r="AF2096">
        <v>0</v>
      </c>
      <c r="AG2096" s="78" t="s">
        <v>4640</v>
      </c>
      <c r="AH2096" t="b">
        <v>0</v>
      </c>
      <c r="AI2096" t="s">
        <v>4829</v>
      </c>
      <c r="AK2096" s="78" t="s">
        <v>4640</v>
      </c>
      <c r="AL2096" t="b">
        <v>0</v>
      </c>
      <c r="AM2096">
        <v>162</v>
      </c>
      <c r="AN2096" s="78" t="s">
        <v>4473</v>
      </c>
      <c r="AO2096" s="78" t="s">
        <v>4849</v>
      </c>
      <c r="AP2096" t="b">
        <v>0</v>
      </c>
      <c r="AQ2096" s="78" t="s">
        <v>4473</v>
      </c>
      <c r="AR2096" t="s">
        <v>179</v>
      </c>
      <c r="AS2096">
        <v>0</v>
      </c>
      <c r="AT2096">
        <v>0</v>
      </c>
    </row>
    <row r="2097" spans="1:46" x14ac:dyDescent="0.45">
      <c r="A2097" s="62" t="s">
        <v>648</v>
      </c>
      <c r="B2097" s="62" t="s">
        <v>1230</v>
      </c>
      <c r="C2097" s="63"/>
      <c r="D2097" s="64"/>
      <c r="E2097" s="65"/>
      <c r="F2097" s="66"/>
      <c r="G2097" s="63"/>
      <c r="H2097" s="67"/>
      <c r="I2097" s="68"/>
      <c r="J2097" s="68"/>
      <c r="K2097" s="32"/>
      <c r="L2097" s="75"/>
      <c r="M2097" s="75"/>
      <c r="N2097" s="70"/>
      <c r="O2097" t="s">
        <v>1570</v>
      </c>
      <c r="P2097" s="76">
        <v>44958.853043981479</v>
      </c>
      <c r="Q2097" t="s">
        <v>1693</v>
      </c>
      <c r="V2097" s="77" t="str">
        <f>HYPERLINK("https://pbs.twimg.com/profile_images/1610028306656624646/Ksrp7fBa_normal.jpg")</f>
        <v>https://pbs.twimg.com/profile_images/1610028306656624646/Ksrp7fBa_normal.jpg</v>
      </c>
      <c r="W2097" s="76">
        <v>44958.853043981479</v>
      </c>
      <c r="X2097" s="80">
        <v>44958</v>
      </c>
      <c r="Y2097" s="78" t="s">
        <v>2848</v>
      </c>
      <c r="Z2097" s="77" t="str">
        <f>HYPERLINK("https://twitter.com/gypsyhearttour/status/1620881773201883136")</f>
        <v>https://twitter.com/gypsyhearttour/status/1620881773201883136</v>
      </c>
      <c r="AC2097" s="78" t="s">
        <v>3913</v>
      </c>
      <c r="AE2097" t="b">
        <v>0</v>
      </c>
      <c r="AF2097">
        <v>0</v>
      </c>
      <c r="AG2097" s="78" t="s">
        <v>4640</v>
      </c>
      <c r="AH2097" t="b">
        <v>0</v>
      </c>
      <c r="AI2097" t="s">
        <v>4829</v>
      </c>
      <c r="AK2097" s="78" t="s">
        <v>4640</v>
      </c>
      <c r="AL2097" t="b">
        <v>0</v>
      </c>
      <c r="AM2097">
        <v>162</v>
      </c>
      <c r="AN2097" s="78" t="s">
        <v>4473</v>
      </c>
      <c r="AO2097" s="78" t="s">
        <v>4851</v>
      </c>
      <c r="AP2097" t="b">
        <v>0</v>
      </c>
      <c r="AQ2097" s="78" t="s">
        <v>4473</v>
      </c>
      <c r="AR2097" t="s">
        <v>179</v>
      </c>
      <c r="AS2097">
        <v>0</v>
      </c>
      <c r="AT2097">
        <v>0</v>
      </c>
    </row>
    <row r="2098" spans="1:46" x14ac:dyDescent="0.45">
      <c r="A2098" s="62" t="s">
        <v>648</v>
      </c>
      <c r="B2098" s="62" t="s">
        <v>242</v>
      </c>
      <c r="C2098" s="63"/>
      <c r="D2098" s="64"/>
      <c r="E2098" s="65"/>
      <c r="F2098" s="66"/>
      <c r="G2098" s="63"/>
      <c r="H2098" s="67"/>
      <c r="I2098" s="68"/>
      <c r="J2098" s="68"/>
      <c r="K2098" s="32"/>
      <c r="L2098" s="75"/>
      <c r="M2098" s="75"/>
      <c r="N2098" s="70"/>
      <c r="O2098" t="s">
        <v>1569</v>
      </c>
      <c r="P2098" s="76">
        <v>44958.853043981479</v>
      </c>
      <c r="Q2098" t="s">
        <v>1693</v>
      </c>
      <c r="V2098" s="77" t="str">
        <f>HYPERLINK("https://pbs.twimg.com/profile_images/1610028306656624646/Ksrp7fBa_normal.jpg")</f>
        <v>https://pbs.twimg.com/profile_images/1610028306656624646/Ksrp7fBa_normal.jpg</v>
      </c>
      <c r="W2098" s="76">
        <v>44958.853043981479</v>
      </c>
      <c r="X2098" s="80">
        <v>44958</v>
      </c>
      <c r="Y2098" s="78" t="s">
        <v>2848</v>
      </c>
      <c r="Z2098" s="77" t="str">
        <f>HYPERLINK("https://twitter.com/gypsyhearttour/status/1620881773201883136")</f>
        <v>https://twitter.com/gypsyhearttour/status/1620881773201883136</v>
      </c>
      <c r="AC2098" s="78" t="s">
        <v>3913</v>
      </c>
      <c r="AE2098" t="b">
        <v>0</v>
      </c>
      <c r="AF2098">
        <v>0</v>
      </c>
      <c r="AG2098" s="78" t="s">
        <v>4640</v>
      </c>
      <c r="AH2098" t="b">
        <v>0</v>
      </c>
      <c r="AI2098" t="s">
        <v>4829</v>
      </c>
      <c r="AK2098" s="78" t="s">
        <v>4640</v>
      </c>
      <c r="AL2098" t="b">
        <v>0</v>
      </c>
      <c r="AM2098">
        <v>162</v>
      </c>
      <c r="AN2098" s="78" t="s">
        <v>4473</v>
      </c>
      <c r="AO2098" s="78" t="s">
        <v>4851</v>
      </c>
      <c r="AP2098" t="b">
        <v>0</v>
      </c>
      <c r="AQ2098" s="78" t="s">
        <v>4473</v>
      </c>
      <c r="AR2098" t="s">
        <v>179</v>
      </c>
      <c r="AS2098">
        <v>0</v>
      </c>
      <c r="AT2098">
        <v>0</v>
      </c>
    </row>
    <row r="2099" spans="1:46" x14ac:dyDescent="0.45">
      <c r="A2099" s="62" t="s">
        <v>649</v>
      </c>
      <c r="B2099" s="62" t="s">
        <v>1230</v>
      </c>
      <c r="C2099" s="63"/>
      <c r="D2099" s="64"/>
      <c r="E2099" s="65"/>
      <c r="F2099" s="66"/>
      <c r="G2099" s="63"/>
      <c r="H2099" s="67"/>
      <c r="I2099" s="68"/>
      <c r="J2099" s="68"/>
      <c r="K2099" s="32"/>
      <c r="L2099" s="75"/>
      <c r="M2099" s="75"/>
      <c r="N2099" s="70"/>
      <c r="O2099" t="s">
        <v>1570</v>
      </c>
      <c r="P2099" s="76">
        <v>44958.853310185186</v>
      </c>
      <c r="Q2099" t="s">
        <v>1693</v>
      </c>
      <c r="V2099" s="77" t="str">
        <f>HYPERLINK("https://pbs.twimg.com/profile_images/1620637410496491522/A6pEaFi6_normal.jpg")</f>
        <v>https://pbs.twimg.com/profile_images/1620637410496491522/A6pEaFi6_normal.jpg</v>
      </c>
      <c r="W2099" s="76">
        <v>44958.853310185186</v>
      </c>
      <c r="X2099" s="80">
        <v>44958</v>
      </c>
      <c r="Y2099" s="78" t="s">
        <v>2849</v>
      </c>
      <c r="Z2099" s="77" t="str">
        <f>HYPERLINK("https://twitter.com/_xidzelxx/status/1620881868420939778")</f>
        <v>https://twitter.com/_xidzelxx/status/1620881868420939778</v>
      </c>
      <c r="AC2099" s="78" t="s">
        <v>3914</v>
      </c>
      <c r="AE2099" t="b">
        <v>0</v>
      </c>
      <c r="AF2099">
        <v>0</v>
      </c>
      <c r="AG2099" s="78" t="s">
        <v>4640</v>
      </c>
      <c r="AH2099" t="b">
        <v>0</v>
      </c>
      <c r="AI2099" t="s">
        <v>4829</v>
      </c>
      <c r="AK2099" s="78" t="s">
        <v>4640</v>
      </c>
      <c r="AL2099" t="b">
        <v>0</v>
      </c>
      <c r="AM2099">
        <v>162</v>
      </c>
      <c r="AN2099" s="78" t="s">
        <v>4473</v>
      </c>
      <c r="AO2099" s="78" t="s">
        <v>4850</v>
      </c>
      <c r="AP2099" t="b">
        <v>0</v>
      </c>
      <c r="AQ2099" s="78" t="s">
        <v>4473</v>
      </c>
      <c r="AR2099" t="s">
        <v>179</v>
      </c>
      <c r="AS2099">
        <v>0</v>
      </c>
      <c r="AT2099">
        <v>0</v>
      </c>
    </row>
    <row r="2100" spans="1:46" x14ac:dyDescent="0.45">
      <c r="A2100" s="62" t="s">
        <v>649</v>
      </c>
      <c r="B2100" s="62" t="s">
        <v>242</v>
      </c>
      <c r="C2100" s="63"/>
      <c r="D2100" s="64"/>
      <c r="E2100" s="65"/>
      <c r="F2100" s="66"/>
      <c r="G2100" s="63"/>
      <c r="H2100" s="67"/>
      <c r="I2100" s="68"/>
      <c r="J2100" s="68"/>
      <c r="K2100" s="32"/>
      <c r="L2100" s="75"/>
      <c r="M2100" s="75"/>
      <c r="N2100" s="70"/>
      <c r="O2100" t="s">
        <v>1569</v>
      </c>
      <c r="P2100" s="76">
        <v>44958.853310185186</v>
      </c>
      <c r="Q2100" t="s">
        <v>1693</v>
      </c>
      <c r="V2100" s="77" t="str">
        <f>HYPERLINK("https://pbs.twimg.com/profile_images/1620637410496491522/A6pEaFi6_normal.jpg")</f>
        <v>https://pbs.twimg.com/profile_images/1620637410496491522/A6pEaFi6_normal.jpg</v>
      </c>
      <c r="W2100" s="76">
        <v>44958.853310185186</v>
      </c>
      <c r="X2100" s="80">
        <v>44958</v>
      </c>
      <c r="Y2100" s="78" t="s">
        <v>2849</v>
      </c>
      <c r="Z2100" s="77" t="str">
        <f>HYPERLINK("https://twitter.com/_xidzelxx/status/1620881868420939778")</f>
        <v>https://twitter.com/_xidzelxx/status/1620881868420939778</v>
      </c>
      <c r="AC2100" s="78" t="s">
        <v>3914</v>
      </c>
      <c r="AE2100" t="b">
        <v>0</v>
      </c>
      <c r="AF2100">
        <v>0</v>
      </c>
      <c r="AG2100" s="78" t="s">
        <v>4640</v>
      </c>
      <c r="AH2100" t="b">
        <v>0</v>
      </c>
      <c r="AI2100" t="s">
        <v>4829</v>
      </c>
      <c r="AK2100" s="78" t="s">
        <v>4640</v>
      </c>
      <c r="AL2100" t="b">
        <v>0</v>
      </c>
      <c r="AM2100">
        <v>162</v>
      </c>
      <c r="AN2100" s="78" t="s">
        <v>4473</v>
      </c>
      <c r="AO2100" s="78" t="s">
        <v>4850</v>
      </c>
      <c r="AP2100" t="b">
        <v>0</v>
      </c>
      <c r="AQ2100" s="78" t="s">
        <v>4473</v>
      </c>
      <c r="AR2100" t="s">
        <v>179</v>
      </c>
      <c r="AS2100">
        <v>0</v>
      </c>
      <c r="AT2100">
        <v>0</v>
      </c>
    </row>
    <row r="2101" spans="1:46" x14ac:dyDescent="0.45">
      <c r="A2101" s="62" t="s">
        <v>650</v>
      </c>
      <c r="B2101" s="62" t="s">
        <v>242</v>
      </c>
      <c r="C2101" s="63"/>
      <c r="D2101" s="64"/>
      <c r="E2101" s="65"/>
      <c r="F2101" s="66"/>
      <c r="G2101" s="63"/>
      <c r="H2101" s="67"/>
      <c r="I2101" s="68"/>
      <c r="J2101" s="68"/>
      <c r="K2101" s="32"/>
      <c r="L2101" s="75"/>
      <c r="M2101" s="75"/>
      <c r="N2101" s="70"/>
      <c r="O2101" t="s">
        <v>1567</v>
      </c>
      <c r="P2101" s="76">
        <v>44958.853842592594</v>
      </c>
      <c r="Q2101" t="s">
        <v>1844</v>
      </c>
      <c r="V2101" s="77" t="str">
        <f>HYPERLINK("https://pbs.twimg.com/profile_images/1587627463751892993/pKIIHFUc_normal.jpg")</f>
        <v>https://pbs.twimg.com/profile_images/1587627463751892993/pKIIHFUc_normal.jpg</v>
      </c>
      <c r="W2101" s="76">
        <v>44958.853842592594</v>
      </c>
      <c r="X2101" s="80">
        <v>44958</v>
      </c>
      <c r="Y2101" s="78" t="s">
        <v>2850</v>
      </c>
      <c r="Z2101" s="77" t="str">
        <f>HYPERLINK("https://twitter.com/stpetemomma/status/1620882062508195840")</f>
        <v>https://twitter.com/stpetemomma/status/1620882062508195840</v>
      </c>
      <c r="AC2101" s="78" t="s">
        <v>3915</v>
      </c>
      <c r="AE2101" t="b">
        <v>0</v>
      </c>
      <c r="AF2101">
        <v>0</v>
      </c>
      <c r="AG2101" s="78" t="s">
        <v>4639</v>
      </c>
      <c r="AH2101" t="b">
        <v>0</v>
      </c>
      <c r="AI2101" t="s">
        <v>4829</v>
      </c>
      <c r="AK2101" s="78" t="s">
        <v>4640</v>
      </c>
      <c r="AL2101" t="b">
        <v>0</v>
      </c>
      <c r="AM2101">
        <v>0</v>
      </c>
      <c r="AN2101" s="78" t="s">
        <v>4640</v>
      </c>
      <c r="AO2101" s="78" t="s">
        <v>4850</v>
      </c>
      <c r="AP2101" t="b">
        <v>0</v>
      </c>
      <c r="AQ2101" s="78" t="s">
        <v>3915</v>
      </c>
      <c r="AR2101" t="s">
        <v>179</v>
      </c>
      <c r="AS2101">
        <v>0</v>
      </c>
      <c r="AT2101">
        <v>0</v>
      </c>
    </row>
    <row r="2102" spans="1:46" x14ac:dyDescent="0.45">
      <c r="A2102" s="62" t="s">
        <v>651</v>
      </c>
      <c r="B2102" s="62" t="s">
        <v>242</v>
      </c>
      <c r="C2102" s="63"/>
      <c r="D2102" s="64"/>
      <c r="E2102" s="65"/>
      <c r="F2102" s="66"/>
      <c r="G2102" s="63"/>
      <c r="H2102" s="67"/>
      <c r="I2102" s="68"/>
      <c r="J2102" s="68"/>
      <c r="K2102" s="32"/>
      <c r="L2102" s="75"/>
      <c r="M2102" s="75"/>
      <c r="N2102" s="70"/>
      <c r="O2102" t="s">
        <v>1567</v>
      </c>
      <c r="P2102" s="76">
        <v>44958.854247685187</v>
      </c>
      <c r="Q2102" t="s">
        <v>1845</v>
      </c>
      <c r="V2102" s="77" t="str">
        <f>HYPERLINK("https://pbs.twimg.com/profile_images/858740631748976640/dN2ABq5h_normal.jpg")</f>
        <v>https://pbs.twimg.com/profile_images/858740631748976640/dN2ABq5h_normal.jpg</v>
      </c>
      <c r="W2102" s="76">
        <v>44958.854247685187</v>
      </c>
      <c r="X2102" s="80">
        <v>44958</v>
      </c>
      <c r="Y2102" s="78" t="s">
        <v>2851</v>
      </c>
      <c r="Z2102" s="77" t="str">
        <f>HYPERLINK("https://twitter.com/justinproctor20/status/1620882206481850369")</f>
        <v>https://twitter.com/justinproctor20/status/1620882206481850369</v>
      </c>
      <c r="AC2102" s="78" t="s">
        <v>3916</v>
      </c>
      <c r="AE2102" t="b">
        <v>0</v>
      </c>
      <c r="AF2102">
        <v>0</v>
      </c>
      <c r="AG2102" s="78" t="s">
        <v>4639</v>
      </c>
      <c r="AH2102" t="b">
        <v>0</v>
      </c>
      <c r="AI2102" t="s">
        <v>4829</v>
      </c>
      <c r="AK2102" s="78" t="s">
        <v>4640</v>
      </c>
      <c r="AL2102" t="b">
        <v>0</v>
      </c>
      <c r="AM2102">
        <v>0</v>
      </c>
      <c r="AN2102" s="78" t="s">
        <v>4640</v>
      </c>
      <c r="AO2102" s="78" t="s">
        <v>4849</v>
      </c>
      <c r="AP2102" t="b">
        <v>0</v>
      </c>
      <c r="AQ2102" s="78" t="s">
        <v>3916</v>
      </c>
      <c r="AR2102" t="s">
        <v>179</v>
      </c>
      <c r="AS2102">
        <v>0</v>
      </c>
      <c r="AT2102">
        <v>0</v>
      </c>
    </row>
    <row r="2103" spans="1:46" x14ac:dyDescent="0.45">
      <c r="A2103" s="62" t="s">
        <v>653</v>
      </c>
      <c r="B2103" s="62" t="s">
        <v>242</v>
      </c>
      <c r="C2103" s="63"/>
      <c r="D2103" s="64"/>
      <c r="E2103" s="65"/>
      <c r="F2103" s="66"/>
      <c r="G2103" s="63"/>
      <c r="H2103" s="67"/>
      <c r="I2103" s="68"/>
      <c r="J2103" s="68"/>
      <c r="K2103" s="32"/>
      <c r="L2103" s="75"/>
      <c r="M2103" s="75"/>
      <c r="N2103" s="70"/>
      <c r="O2103" t="s">
        <v>1567</v>
      </c>
      <c r="P2103" s="76">
        <v>44958.858020833337</v>
      </c>
      <c r="Q2103" t="s">
        <v>1847</v>
      </c>
      <c r="U2103" s="77" t="str">
        <f>HYPERLINK("https://pbs.twimg.com/media/Fn6JA26XwAAuPAf.jpg")</f>
        <v>https://pbs.twimg.com/media/Fn6JA26XwAAuPAf.jpg</v>
      </c>
      <c r="V2103" s="77" t="str">
        <f>HYPERLINK("https://pbs.twimg.com/media/Fn6JA26XwAAuPAf.jpg")</f>
        <v>https://pbs.twimg.com/media/Fn6JA26XwAAuPAf.jpg</v>
      </c>
      <c r="W2103" s="76">
        <v>44958.858020833337</v>
      </c>
      <c r="X2103" s="80">
        <v>44958</v>
      </c>
      <c r="Y2103" s="78" t="s">
        <v>2853</v>
      </c>
      <c r="Z2103" s="77" t="str">
        <f>HYPERLINK("https://twitter.com/dbrooks2012/status/1620883575209091075")</f>
        <v>https://twitter.com/dbrooks2012/status/1620883575209091075</v>
      </c>
      <c r="AC2103" s="78" t="s">
        <v>3918</v>
      </c>
      <c r="AE2103" t="b">
        <v>0</v>
      </c>
      <c r="AF2103">
        <v>0</v>
      </c>
      <c r="AG2103" s="78" t="s">
        <v>4639</v>
      </c>
      <c r="AH2103" t="b">
        <v>0</v>
      </c>
      <c r="AI2103" t="s">
        <v>4829</v>
      </c>
      <c r="AK2103" s="78" t="s">
        <v>4640</v>
      </c>
      <c r="AL2103" t="b">
        <v>0</v>
      </c>
      <c r="AM2103">
        <v>0</v>
      </c>
      <c r="AN2103" s="78" t="s">
        <v>4640</v>
      </c>
      <c r="AO2103" s="78" t="s">
        <v>4850</v>
      </c>
      <c r="AP2103" t="b">
        <v>0</v>
      </c>
      <c r="AQ2103" s="78" t="s">
        <v>3918</v>
      </c>
      <c r="AR2103" t="s">
        <v>179</v>
      </c>
      <c r="AS2103">
        <v>0</v>
      </c>
      <c r="AT2103">
        <v>0</v>
      </c>
    </row>
    <row r="2104" spans="1:46" x14ac:dyDescent="0.45">
      <c r="A2104" s="62" t="s">
        <v>654</v>
      </c>
      <c r="B2104" s="62" t="s">
        <v>242</v>
      </c>
      <c r="C2104" s="63"/>
      <c r="D2104" s="64"/>
      <c r="E2104" s="65"/>
      <c r="F2104" s="66"/>
      <c r="G2104" s="63"/>
      <c r="H2104" s="67"/>
      <c r="I2104" s="68"/>
      <c r="J2104" s="68"/>
      <c r="K2104" s="32"/>
      <c r="L2104" s="75"/>
      <c r="M2104" s="75"/>
      <c r="N2104" s="70"/>
      <c r="O2104" t="s">
        <v>1567</v>
      </c>
      <c r="P2104" s="76">
        <v>44958.859467592592</v>
      </c>
      <c r="Q2104" t="s">
        <v>1848</v>
      </c>
      <c r="V2104" s="77" t="str">
        <f>HYPERLINK("https://pbs.twimg.com/profile_images/1612475862233894913/cDFr5gQi_normal.jpg")</f>
        <v>https://pbs.twimg.com/profile_images/1612475862233894913/cDFr5gQi_normal.jpg</v>
      </c>
      <c r="W2104" s="76">
        <v>44958.859467592592</v>
      </c>
      <c r="X2104" s="80">
        <v>44958</v>
      </c>
      <c r="Y2104" s="78" t="s">
        <v>2854</v>
      </c>
      <c r="Z2104" s="77" t="str">
        <f>HYPERLINK("https://twitter.com/fruityrolce/status/1620884099232841729")</f>
        <v>https://twitter.com/fruityrolce/status/1620884099232841729</v>
      </c>
      <c r="AC2104" s="78" t="s">
        <v>3919</v>
      </c>
      <c r="AD2104" s="78" t="s">
        <v>4498</v>
      </c>
      <c r="AE2104" t="b">
        <v>0</v>
      </c>
      <c r="AF2104">
        <v>0</v>
      </c>
      <c r="AG2104" s="78" t="s">
        <v>4639</v>
      </c>
      <c r="AH2104" t="b">
        <v>0</v>
      </c>
      <c r="AI2104" t="s">
        <v>4829</v>
      </c>
      <c r="AK2104" s="78" t="s">
        <v>4640</v>
      </c>
      <c r="AL2104" t="b">
        <v>0</v>
      </c>
      <c r="AM2104">
        <v>0</v>
      </c>
      <c r="AN2104" s="78" t="s">
        <v>4640</v>
      </c>
      <c r="AO2104" s="78" t="s">
        <v>4850</v>
      </c>
      <c r="AP2104" t="b">
        <v>0</v>
      </c>
      <c r="AQ2104" s="78" t="s">
        <v>4498</v>
      </c>
      <c r="AR2104" t="s">
        <v>179</v>
      </c>
      <c r="AS2104">
        <v>0</v>
      </c>
      <c r="AT2104">
        <v>0</v>
      </c>
    </row>
    <row r="2105" spans="1:46" x14ac:dyDescent="0.45">
      <c r="A2105" s="62" t="s">
        <v>656</v>
      </c>
      <c r="B2105" s="62" t="s">
        <v>242</v>
      </c>
      <c r="C2105" s="63"/>
      <c r="D2105" s="64"/>
      <c r="E2105" s="65"/>
      <c r="F2105" s="66"/>
      <c r="G2105" s="63"/>
      <c r="H2105" s="67"/>
      <c r="I2105" s="68"/>
      <c r="J2105" s="68"/>
      <c r="K2105" s="32"/>
      <c r="L2105" s="75"/>
      <c r="M2105" s="75"/>
      <c r="N2105" s="70"/>
      <c r="O2105" t="s">
        <v>1569</v>
      </c>
      <c r="P2105" s="76">
        <v>44958.859699074077</v>
      </c>
      <c r="Q2105" t="s">
        <v>1850</v>
      </c>
      <c r="U2105" s="77" t="str">
        <f>HYPERLINK("https://pbs.twimg.com/amplify_video_thumb/1596245993267281921/img/04pXU6cXKD4D8lYr.jpg")</f>
        <v>https://pbs.twimg.com/amplify_video_thumb/1596245993267281921/img/04pXU6cXKD4D8lYr.jpg</v>
      </c>
      <c r="V2105" s="77" t="str">
        <f>HYPERLINK("https://pbs.twimg.com/amplify_video_thumb/1596245993267281921/img/04pXU6cXKD4D8lYr.jpg")</f>
        <v>https://pbs.twimg.com/amplify_video_thumb/1596245993267281921/img/04pXU6cXKD4D8lYr.jpg</v>
      </c>
      <c r="W2105" s="76">
        <v>44958.859699074077</v>
      </c>
      <c r="X2105" s="80">
        <v>44958</v>
      </c>
      <c r="Y2105" s="78" t="s">
        <v>2857</v>
      </c>
      <c r="Z2105" s="77" t="str">
        <f>HYPERLINK("https://twitter.com/navgireramdas/status/1620884183332835328")</f>
        <v>https://twitter.com/navgireramdas/status/1620884183332835328</v>
      </c>
      <c r="AC2105" s="78" t="s">
        <v>3922</v>
      </c>
      <c r="AE2105" t="b">
        <v>0</v>
      </c>
      <c r="AF2105">
        <v>0</v>
      </c>
      <c r="AG2105" s="78" t="s">
        <v>4640</v>
      </c>
      <c r="AH2105" t="b">
        <v>0</v>
      </c>
      <c r="AI2105" t="s">
        <v>4829</v>
      </c>
      <c r="AK2105" s="78" t="s">
        <v>4640</v>
      </c>
      <c r="AL2105" t="b">
        <v>0</v>
      </c>
      <c r="AM2105">
        <v>685</v>
      </c>
      <c r="AN2105" s="78" t="s">
        <v>4492</v>
      </c>
      <c r="AO2105" s="78" t="s">
        <v>4850</v>
      </c>
      <c r="AP2105" t="b">
        <v>0</v>
      </c>
      <c r="AQ2105" s="78" t="s">
        <v>4492</v>
      </c>
      <c r="AR2105" t="s">
        <v>179</v>
      </c>
      <c r="AS2105">
        <v>0</v>
      </c>
      <c r="AT2105">
        <v>0</v>
      </c>
    </row>
    <row r="2106" spans="1:46" x14ac:dyDescent="0.45">
      <c r="A2106" s="62" t="s">
        <v>659</v>
      </c>
      <c r="B2106" s="62" t="s">
        <v>1318</v>
      </c>
      <c r="C2106" s="63"/>
      <c r="D2106" s="64"/>
      <c r="E2106" s="65"/>
      <c r="F2106" s="66"/>
      <c r="G2106" s="63"/>
      <c r="H2106" s="67"/>
      <c r="I2106" s="68"/>
      <c r="J2106" s="68"/>
      <c r="K2106" s="32"/>
      <c r="L2106" s="75"/>
      <c r="M2106" s="75"/>
      <c r="N2106" s="70"/>
      <c r="O2106" t="s">
        <v>1570</v>
      </c>
      <c r="P2106" s="76">
        <v>44958.860763888886</v>
      </c>
      <c r="Q2106" t="s">
        <v>1851</v>
      </c>
      <c r="U2106" s="77" t="str">
        <f>HYPERLINK("https://pbs.twimg.com/media/FT7QXZUXoAQZnqP.png")</f>
        <v>https://pbs.twimg.com/media/FT7QXZUXoAQZnqP.png</v>
      </c>
      <c r="V2106" s="77" t="str">
        <f>HYPERLINK("https://pbs.twimg.com/media/FT7QXZUXoAQZnqP.png")</f>
        <v>https://pbs.twimg.com/media/FT7QXZUXoAQZnqP.png</v>
      </c>
      <c r="W2106" s="76">
        <v>44958.860763888886</v>
      </c>
      <c r="X2106" s="80">
        <v>44958</v>
      </c>
      <c r="Y2106" s="78" t="s">
        <v>2860</v>
      </c>
      <c r="Z2106" s="77" t="str">
        <f>HYPERLINK("https://twitter.com/unconsciousi/status/1620884568873271297")</f>
        <v>https://twitter.com/unconsciousi/status/1620884568873271297</v>
      </c>
      <c r="AC2106" s="78" t="s">
        <v>3925</v>
      </c>
      <c r="AE2106" t="b">
        <v>0</v>
      </c>
      <c r="AF2106">
        <v>0</v>
      </c>
      <c r="AG2106" s="78" t="s">
        <v>4640</v>
      </c>
      <c r="AH2106" t="b">
        <v>0</v>
      </c>
      <c r="AI2106" t="s">
        <v>4829</v>
      </c>
      <c r="AK2106" s="78" t="s">
        <v>4640</v>
      </c>
      <c r="AL2106" t="b">
        <v>0</v>
      </c>
      <c r="AM2106">
        <v>5</v>
      </c>
      <c r="AN2106" s="78" t="s">
        <v>3924</v>
      </c>
      <c r="AO2106" s="78" t="s">
        <v>4849</v>
      </c>
      <c r="AP2106" t="b">
        <v>0</v>
      </c>
      <c r="AQ2106" s="78" t="s">
        <v>3924</v>
      </c>
      <c r="AR2106" t="s">
        <v>179</v>
      </c>
      <c r="AS2106">
        <v>0</v>
      </c>
      <c r="AT2106">
        <v>0</v>
      </c>
    </row>
    <row r="2107" spans="1:46" x14ac:dyDescent="0.45">
      <c r="A2107" s="62" t="s">
        <v>659</v>
      </c>
      <c r="B2107" s="62" t="s">
        <v>1319</v>
      </c>
      <c r="C2107" s="63"/>
      <c r="D2107" s="64"/>
      <c r="E2107" s="65"/>
      <c r="F2107" s="66"/>
      <c r="G2107" s="63"/>
      <c r="H2107" s="67"/>
      <c r="I2107" s="68"/>
      <c r="J2107" s="68"/>
      <c r="K2107" s="32"/>
      <c r="L2107" s="75"/>
      <c r="M2107" s="75"/>
      <c r="N2107" s="70"/>
      <c r="O2107" t="s">
        <v>1570</v>
      </c>
      <c r="P2107" s="76">
        <v>44958.860763888886</v>
      </c>
      <c r="Q2107" t="s">
        <v>1851</v>
      </c>
      <c r="U2107" s="77" t="str">
        <f>HYPERLINK("https://pbs.twimg.com/media/FT7QXZUXoAQZnqP.png")</f>
        <v>https://pbs.twimg.com/media/FT7QXZUXoAQZnqP.png</v>
      </c>
      <c r="V2107" s="77" t="str">
        <f>HYPERLINK("https://pbs.twimg.com/media/FT7QXZUXoAQZnqP.png")</f>
        <v>https://pbs.twimg.com/media/FT7QXZUXoAQZnqP.png</v>
      </c>
      <c r="W2107" s="76">
        <v>44958.860763888886</v>
      </c>
      <c r="X2107" s="80">
        <v>44958</v>
      </c>
      <c r="Y2107" s="78" t="s">
        <v>2860</v>
      </c>
      <c r="Z2107" s="77" t="str">
        <f>HYPERLINK("https://twitter.com/unconsciousi/status/1620884568873271297")</f>
        <v>https://twitter.com/unconsciousi/status/1620884568873271297</v>
      </c>
      <c r="AC2107" s="78" t="s">
        <v>3925</v>
      </c>
      <c r="AE2107" t="b">
        <v>0</v>
      </c>
      <c r="AF2107">
        <v>0</v>
      </c>
      <c r="AG2107" s="78" t="s">
        <v>4640</v>
      </c>
      <c r="AH2107" t="b">
        <v>0</v>
      </c>
      <c r="AI2107" t="s">
        <v>4829</v>
      </c>
      <c r="AK2107" s="78" t="s">
        <v>4640</v>
      </c>
      <c r="AL2107" t="b">
        <v>0</v>
      </c>
      <c r="AM2107">
        <v>5</v>
      </c>
      <c r="AN2107" s="78" t="s">
        <v>3924</v>
      </c>
      <c r="AO2107" s="78" t="s">
        <v>4849</v>
      </c>
      <c r="AP2107" t="b">
        <v>0</v>
      </c>
      <c r="AQ2107" s="78" t="s">
        <v>3924</v>
      </c>
      <c r="AR2107" t="s">
        <v>179</v>
      </c>
      <c r="AS2107">
        <v>0</v>
      </c>
      <c r="AT2107">
        <v>0</v>
      </c>
    </row>
    <row r="2108" spans="1:46" x14ac:dyDescent="0.45">
      <c r="A2108" s="62" t="s">
        <v>659</v>
      </c>
      <c r="B2108" s="62" t="s">
        <v>1320</v>
      </c>
      <c r="C2108" s="63"/>
      <c r="D2108" s="64"/>
      <c r="E2108" s="65"/>
      <c r="F2108" s="66"/>
      <c r="G2108" s="63"/>
      <c r="H2108" s="67"/>
      <c r="I2108" s="68"/>
      <c r="J2108" s="68"/>
      <c r="K2108" s="32"/>
      <c r="L2108" s="75"/>
      <c r="M2108" s="75"/>
      <c r="N2108" s="70"/>
      <c r="O2108" t="s">
        <v>1570</v>
      </c>
      <c r="P2108" s="76">
        <v>44958.860763888886</v>
      </c>
      <c r="Q2108" t="s">
        <v>1851</v>
      </c>
      <c r="U2108" s="77" t="str">
        <f>HYPERLINK("https://pbs.twimg.com/media/FT7QXZUXoAQZnqP.png")</f>
        <v>https://pbs.twimg.com/media/FT7QXZUXoAQZnqP.png</v>
      </c>
      <c r="V2108" s="77" t="str">
        <f>HYPERLINK("https://pbs.twimg.com/media/FT7QXZUXoAQZnqP.png")</f>
        <v>https://pbs.twimg.com/media/FT7QXZUXoAQZnqP.png</v>
      </c>
      <c r="W2108" s="76">
        <v>44958.860763888886</v>
      </c>
      <c r="X2108" s="80">
        <v>44958</v>
      </c>
      <c r="Y2108" s="78" t="s">
        <v>2860</v>
      </c>
      <c r="Z2108" s="77" t="str">
        <f>HYPERLINK("https://twitter.com/unconsciousi/status/1620884568873271297")</f>
        <v>https://twitter.com/unconsciousi/status/1620884568873271297</v>
      </c>
      <c r="AC2108" s="78" t="s">
        <v>3925</v>
      </c>
      <c r="AE2108" t="b">
        <v>0</v>
      </c>
      <c r="AF2108">
        <v>0</v>
      </c>
      <c r="AG2108" s="78" t="s">
        <v>4640</v>
      </c>
      <c r="AH2108" t="b">
        <v>0</v>
      </c>
      <c r="AI2108" t="s">
        <v>4829</v>
      </c>
      <c r="AK2108" s="78" t="s">
        <v>4640</v>
      </c>
      <c r="AL2108" t="b">
        <v>0</v>
      </c>
      <c r="AM2108">
        <v>5</v>
      </c>
      <c r="AN2108" s="78" t="s">
        <v>3924</v>
      </c>
      <c r="AO2108" s="78" t="s">
        <v>4849</v>
      </c>
      <c r="AP2108" t="b">
        <v>0</v>
      </c>
      <c r="AQ2108" s="78" t="s">
        <v>3924</v>
      </c>
      <c r="AR2108" t="s">
        <v>179</v>
      </c>
      <c r="AS2108">
        <v>0</v>
      </c>
      <c r="AT2108">
        <v>0</v>
      </c>
    </row>
    <row r="2109" spans="1:46" x14ac:dyDescent="0.45">
      <c r="A2109" s="62" t="s">
        <v>659</v>
      </c>
      <c r="B2109" s="62" t="s">
        <v>1321</v>
      </c>
      <c r="C2109" s="63"/>
      <c r="D2109" s="64"/>
      <c r="E2109" s="65"/>
      <c r="F2109" s="66"/>
      <c r="G2109" s="63"/>
      <c r="H2109" s="67"/>
      <c r="I2109" s="68"/>
      <c r="J2109" s="68"/>
      <c r="K2109" s="32"/>
      <c r="L2109" s="75"/>
      <c r="M2109" s="75"/>
      <c r="N2109" s="70"/>
      <c r="O2109" t="s">
        <v>1570</v>
      </c>
      <c r="P2109" s="76">
        <v>44958.860763888886</v>
      </c>
      <c r="Q2109" t="s">
        <v>1851</v>
      </c>
      <c r="U2109" s="77" t="str">
        <f>HYPERLINK("https://pbs.twimg.com/media/FT7QXZUXoAQZnqP.png")</f>
        <v>https://pbs.twimg.com/media/FT7QXZUXoAQZnqP.png</v>
      </c>
      <c r="V2109" s="77" t="str">
        <f>HYPERLINK("https://pbs.twimg.com/media/FT7QXZUXoAQZnqP.png")</f>
        <v>https://pbs.twimg.com/media/FT7QXZUXoAQZnqP.png</v>
      </c>
      <c r="W2109" s="76">
        <v>44958.860763888886</v>
      </c>
      <c r="X2109" s="80">
        <v>44958</v>
      </c>
      <c r="Y2109" s="78" t="s">
        <v>2860</v>
      </c>
      <c r="Z2109" s="77" t="str">
        <f>HYPERLINK("https://twitter.com/unconsciousi/status/1620884568873271297")</f>
        <v>https://twitter.com/unconsciousi/status/1620884568873271297</v>
      </c>
      <c r="AC2109" s="78" t="s">
        <v>3925</v>
      </c>
      <c r="AE2109" t="b">
        <v>0</v>
      </c>
      <c r="AF2109">
        <v>0</v>
      </c>
      <c r="AG2109" s="78" t="s">
        <v>4640</v>
      </c>
      <c r="AH2109" t="b">
        <v>0</v>
      </c>
      <c r="AI2109" t="s">
        <v>4829</v>
      </c>
      <c r="AK2109" s="78" t="s">
        <v>4640</v>
      </c>
      <c r="AL2109" t="b">
        <v>0</v>
      </c>
      <c r="AM2109">
        <v>5</v>
      </c>
      <c r="AN2109" s="78" t="s">
        <v>3924</v>
      </c>
      <c r="AO2109" s="78" t="s">
        <v>4849</v>
      </c>
      <c r="AP2109" t="b">
        <v>0</v>
      </c>
      <c r="AQ2109" s="78" t="s">
        <v>3924</v>
      </c>
      <c r="AR2109" t="s">
        <v>179</v>
      </c>
      <c r="AS2109">
        <v>0</v>
      </c>
      <c r="AT2109">
        <v>0</v>
      </c>
    </row>
    <row r="2110" spans="1:46" x14ac:dyDescent="0.45">
      <c r="A2110" s="62" t="s">
        <v>659</v>
      </c>
      <c r="B2110" s="62" t="s">
        <v>1322</v>
      </c>
      <c r="C2110" s="63"/>
      <c r="D2110" s="64"/>
      <c r="E2110" s="65"/>
      <c r="F2110" s="66"/>
      <c r="G2110" s="63"/>
      <c r="H2110" s="67"/>
      <c r="I2110" s="68"/>
      <c r="J2110" s="68"/>
      <c r="K2110" s="32"/>
      <c r="L2110" s="75"/>
      <c r="M2110" s="75"/>
      <c r="N2110" s="70"/>
      <c r="O2110" t="s">
        <v>1570</v>
      </c>
      <c r="P2110" s="76">
        <v>44958.860763888886</v>
      </c>
      <c r="Q2110" t="s">
        <v>1851</v>
      </c>
      <c r="U2110" s="77" t="str">
        <f>HYPERLINK("https://pbs.twimg.com/media/FT7QXZUXoAQZnqP.png")</f>
        <v>https://pbs.twimg.com/media/FT7QXZUXoAQZnqP.png</v>
      </c>
      <c r="V2110" s="77" t="str">
        <f>HYPERLINK("https://pbs.twimg.com/media/FT7QXZUXoAQZnqP.png")</f>
        <v>https://pbs.twimg.com/media/FT7QXZUXoAQZnqP.png</v>
      </c>
      <c r="W2110" s="76">
        <v>44958.860763888886</v>
      </c>
      <c r="X2110" s="80">
        <v>44958</v>
      </c>
      <c r="Y2110" s="78" t="s">
        <v>2860</v>
      </c>
      <c r="Z2110" s="77" t="str">
        <f>HYPERLINK("https://twitter.com/unconsciousi/status/1620884568873271297")</f>
        <v>https://twitter.com/unconsciousi/status/1620884568873271297</v>
      </c>
      <c r="AC2110" s="78" t="s">
        <v>3925</v>
      </c>
      <c r="AE2110" t="b">
        <v>0</v>
      </c>
      <c r="AF2110">
        <v>0</v>
      </c>
      <c r="AG2110" s="78" t="s">
        <v>4640</v>
      </c>
      <c r="AH2110" t="b">
        <v>0</v>
      </c>
      <c r="AI2110" t="s">
        <v>4829</v>
      </c>
      <c r="AK2110" s="78" t="s">
        <v>4640</v>
      </c>
      <c r="AL2110" t="b">
        <v>0</v>
      </c>
      <c r="AM2110">
        <v>5</v>
      </c>
      <c r="AN2110" s="78" t="s">
        <v>3924</v>
      </c>
      <c r="AO2110" s="78" t="s">
        <v>4849</v>
      </c>
      <c r="AP2110" t="b">
        <v>0</v>
      </c>
      <c r="AQ2110" s="78" t="s">
        <v>3924</v>
      </c>
      <c r="AR2110" t="s">
        <v>179</v>
      </c>
      <c r="AS2110">
        <v>0</v>
      </c>
      <c r="AT2110">
        <v>0</v>
      </c>
    </row>
    <row r="2111" spans="1:46" x14ac:dyDescent="0.45">
      <c r="A2111" s="62" t="s">
        <v>659</v>
      </c>
      <c r="B2111" s="62" t="s">
        <v>1323</v>
      </c>
      <c r="C2111" s="63"/>
      <c r="D2111" s="64"/>
      <c r="E2111" s="65"/>
      <c r="F2111" s="66"/>
      <c r="G2111" s="63"/>
      <c r="H2111" s="67"/>
      <c r="I2111" s="68"/>
      <c r="J2111" s="68"/>
      <c r="K2111" s="32"/>
      <c r="L2111" s="75"/>
      <c r="M2111" s="75"/>
      <c r="N2111" s="70"/>
      <c r="O2111" t="s">
        <v>1570</v>
      </c>
      <c r="P2111" s="76">
        <v>44958.860763888886</v>
      </c>
      <c r="Q2111" t="s">
        <v>1851</v>
      </c>
      <c r="U2111" s="77" t="str">
        <f>HYPERLINK("https://pbs.twimg.com/media/FT7QXZUXoAQZnqP.png")</f>
        <v>https://pbs.twimg.com/media/FT7QXZUXoAQZnqP.png</v>
      </c>
      <c r="V2111" s="77" t="str">
        <f>HYPERLINK("https://pbs.twimg.com/media/FT7QXZUXoAQZnqP.png")</f>
        <v>https://pbs.twimg.com/media/FT7QXZUXoAQZnqP.png</v>
      </c>
      <c r="W2111" s="76">
        <v>44958.860763888886</v>
      </c>
      <c r="X2111" s="80">
        <v>44958</v>
      </c>
      <c r="Y2111" s="78" t="s">
        <v>2860</v>
      </c>
      <c r="Z2111" s="77" t="str">
        <f>HYPERLINK("https://twitter.com/unconsciousi/status/1620884568873271297")</f>
        <v>https://twitter.com/unconsciousi/status/1620884568873271297</v>
      </c>
      <c r="AC2111" s="78" t="s">
        <v>3925</v>
      </c>
      <c r="AE2111" t="b">
        <v>0</v>
      </c>
      <c r="AF2111">
        <v>0</v>
      </c>
      <c r="AG2111" s="78" t="s">
        <v>4640</v>
      </c>
      <c r="AH2111" t="b">
        <v>0</v>
      </c>
      <c r="AI2111" t="s">
        <v>4829</v>
      </c>
      <c r="AK2111" s="78" t="s">
        <v>4640</v>
      </c>
      <c r="AL2111" t="b">
        <v>0</v>
      </c>
      <c r="AM2111">
        <v>5</v>
      </c>
      <c r="AN2111" s="78" t="s">
        <v>3924</v>
      </c>
      <c r="AO2111" s="78" t="s">
        <v>4849</v>
      </c>
      <c r="AP2111" t="b">
        <v>0</v>
      </c>
      <c r="AQ2111" s="78" t="s">
        <v>3924</v>
      </c>
      <c r="AR2111" t="s">
        <v>179</v>
      </c>
      <c r="AS2111">
        <v>0</v>
      </c>
      <c r="AT2111">
        <v>0</v>
      </c>
    </row>
    <row r="2112" spans="1:46" x14ac:dyDescent="0.45">
      <c r="A2112" s="62" t="s">
        <v>659</v>
      </c>
      <c r="B2112" s="62" t="s">
        <v>1324</v>
      </c>
      <c r="C2112" s="63"/>
      <c r="D2112" s="64"/>
      <c r="E2112" s="65"/>
      <c r="F2112" s="66"/>
      <c r="G2112" s="63"/>
      <c r="H2112" s="67"/>
      <c r="I2112" s="68"/>
      <c r="J2112" s="68"/>
      <c r="K2112" s="32"/>
      <c r="L2112" s="75"/>
      <c r="M2112" s="75"/>
      <c r="N2112" s="70"/>
      <c r="O2112" t="s">
        <v>1570</v>
      </c>
      <c r="P2112" s="76">
        <v>44958.860763888886</v>
      </c>
      <c r="Q2112" t="s">
        <v>1851</v>
      </c>
      <c r="U2112" s="77" t="str">
        <f>HYPERLINK("https://pbs.twimg.com/media/FT7QXZUXoAQZnqP.png")</f>
        <v>https://pbs.twimg.com/media/FT7QXZUXoAQZnqP.png</v>
      </c>
      <c r="V2112" s="77" t="str">
        <f>HYPERLINK("https://pbs.twimg.com/media/FT7QXZUXoAQZnqP.png")</f>
        <v>https://pbs.twimg.com/media/FT7QXZUXoAQZnqP.png</v>
      </c>
      <c r="W2112" s="76">
        <v>44958.860763888886</v>
      </c>
      <c r="X2112" s="80">
        <v>44958</v>
      </c>
      <c r="Y2112" s="78" t="s">
        <v>2860</v>
      </c>
      <c r="Z2112" s="77" t="str">
        <f>HYPERLINK("https://twitter.com/unconsciousi/status/1620884568873271297")</f>
        <v>https://twitter.com/unconsciousi/status/1620884568873271297</v>
      </c>
      <c r="AC2112" s="78" t="s">
        <v>3925</v>
      </c>
      <c r="AE2112" t="b">
        <v>0</v>
      </c>
      <c r="AF2112">
        <v>0</v>
      </c>
      <c r="AG2112" s="78" t="s">
        <v>4640</v>
      </c>
      <c r="AH2112" t="b">
        <v>0</v>
      </c>
      <c r="AI2112" t="s">
        <v>4829</v>
      </c>
      <c r="AK2112" s="78" t="s">
        <v>4640</v>
      </c>
      <c r="AL2112" t="b">
        <v>0</v>
      </c>
      <c r="AM2112">
        <v>5</v>
      </c>
      <c r="AN2112" s="78" t="s">
        <v>3924</v>
      </c>
      <c r="AO2112" s="78" t="s">
        <v>4849</v>
      </c>
      <c r="AP2112" t="b">
        <v>0</v>
      </c>
      <c r="AQ2112" s="78" t="s">
        <v>3924</v>
      </c>
      <c r="AR2112" t="s">
        <v>179</v>
      </c>
      <c r="AS2112">
        <v>0</v>
      </c>
      <c r="AT2112">
        <v>0</v>
      </c>
    </row>
    <row r="2113" spans="1:54" x14ac:dyDescent="0.45">
      <c r="A2113" s="62" t="s">
        <v>659</v>
      </c>
      <c r="B2113" s="62" t="s">
        <v>658</v>
      </c>
      <c r="C2113" s="63"/>
      <c r="D2113" s="64"/>
      <c r="E2113" s="65"/>
      <c r="F2113" s="66"/>
      <c r="G2113" s="63"/>
      <c r="H2113" s="67"/>
      <c r="I2113" s="68"/>
      <c r="J2113" s="68"/>
      <c r="K2113" s="32"/>
      <c r="L2113" s="75"/>
      <c r="M2113" s="75"/>
      <c r="N2113" s="70"/>
      <c r="O2113" t="s">
        <v>1569</v>
      </c>
      <c r="P2113" s="76">
        <v>44958.860763888886</v>
      </c>
      <c r="Q2113" t="s">
        <v>1851</v>
      </c>
      <c r="U2113" s="77" t="str">
        <f>HYPERLINK("https://pbs.twimg.com/media/FT7QXZUXoAQZnqP.png")</f>
        <v>https://pbs.twimg.com/media/FT7QXZUXoAQZnqP.png</v>
      </c>
      <c r="V2113" s="77" t="str">
        <f>HYPERLINK("https://pbs.twimg.com/media/FT7QXZUXoAQZnqP.png")</f>
        <v>https://pbs.twimg.com/media/FT7QXZUXoAQZnqP.png</v>
      </c>
      <c r="W2113" s="76">
        <v>44958.860763888886</v>
      </c>
      <c r="X2113" s="80">
        <v>44958</v>
      </c>
      <c r="Y2113" s="78" t="s">
        <v>2860</v>
      </c>
      <c r="Z2113" s="77" t="str">
        <f>HYPERLINK("https://twitter.com/unconsciousi/status/1620884568873271297")</f>
        <v>https://twitter.com/unconsciousi/status/1620884568873271297</v>
      </c>
      <c r="AC2113" s="78" t="s">
        <v>3925</v>
      </c>
      <c r="AE2113" t="b">
        <v>0</v>
      </c>
      <c r="AF2113">
        <v>0</v>
      </c>
      <c r="AG2113" s="78" t="s">
        <v>4640</v>
      </c>
      <c r="AH2113" t="b">
        <v>0</v>
      </c>
      <c r="AI2113" t="s">
        <v>4829</v>
      </c>
      <c r="AK2113" s="78" t="s">
        <v>4640</v>
      </c>
      <c r="AL2113" t="b">
        <v>0</v>
      </c>
      <c r="AM2113">
        <v>5</v>
      </c>
      <c r="AN2113" s="78" t="s">
        <v>3924</v>
      </c>
      <c r="AO2113" s="78" t="s">
        <v>4849</v>
      </c>
      <c r="AP2113" t="b">
        <v>0</v>
      </c>
      <c r="AQ2113" s="78" t="s">
        <v>3924</v>
      </c>
      <c r="AR2113" t="s">
        <v>179</v>
      </c>
      <c r="AS2113">
        <v>0</v>
      </c>
      <c r="AT2113">
        <v>0</v>
      </c>
    </row>
    <row r="2114" spans="1:54" x14ac:dyDescent="0.45">
      <c r="A2114" s="62" t="s">
        <v>659</v>
      </c>
      <c r="B2114" s="62" t="s">
        <v>242</v>
      </c>
      <c r="C2114" s="63"/>
      <c r="D2114" s="64"/>
      <c r="E2114" s="65"/>
      <c r="F2114" s="66"/>
      <c r="G2114" s="63"/>
      <c r="H2114" s="67"/>
      <c r="I2114" s="68"/>
      <c r="J2114" s="68"/>
      <c r="K2114" s="32"/>
      <c r="L2114" s="75"/>
      <c r="M2114" s="75"/>
      <c r="N2114" s="70"/>
      <c r="O2114" t="s">
        <v>1570</v>
      </c>
      <c r="P2114" s="76">
        <v>44958.860763888886</v>
      </c>
      <c r="Q2114" t="s">
        <v>1851</v>
      </c>
      <c r="U2114" s="77" t="str">
        <f>HYPERLINK("https://pbs.twimg.com/media/FT7QXZUXoAQZnqP.png")</f>
        <v>https://pbs.twimg.com/media/FT7QXZUXoAQZnqP.png</v>
      </c>
      <c r="V2114" s="77" t="str">
        <f>HYPERLINK("https://pbs.twimg.com/media/FT7QXZUXoAQZnqP.png")</f>
        <v>https://pbs.twimg.com/media/FT7QXZUXoAQZnqP.png</v>
      </c>
      <c r="W2114" s="76">
        <v>44958.860763888886</v>
      </c>
      <c r="X2114" s="80">
        <v>44958</v>
      </c>
      <c r="Y2114" s="78" t="s">
        <v>2860</v>
      </c>
      <c r="Z2114" s="77" t="str">
        <f>HYPERLINK("https://twitter.com/unconsciousi/status/1620884568873271297")</f>
        <v>https://twitter.com/unconsciousi/status/1620884568873271297</v>
      </c>
      <c r="AC2114" s="78" t="s">
        <v>3925</v>
      </c>
      <c r="AE2114" t="b">
        <v>0</v>
      </c>
      <c r="AF2114">
        <v>0</v>
      </c>
      <c r="AG2114" s="78" t="s">
        <v>4640</v>
      </c>
      <c r="AH2114" t="b">
        <v>0</v>
      </c>
      <c r="AI2114" t="s">
        <v>4829</v>
      </c>
      <c r="AK2114" s="78" t="s">
        <v>4640</v>
      </c>
      <c r="AL2114" t="b">
        <v>0</v>
      </c>
      <c r="AM2114">
        <v>5</v>
      </c>
      <c r="AN2114" s="78" t="s">
        <v>3924</v>
      </c>
      <c r="AO2114" s="78" t="s">
        <v>4849</v>
      </c>
      <c r="AP2114" t="b">
        <v>0</v>
      </c>
      <c r="AQ2114" s="78" t="s">
        <v>3924</v>
      </c>
      <c r="AR2114" t="s">
        <v>179</v>
      </c>
      <c r="AS2114">
        <v>0</v>
      </c>
      <c r="AT2114">
        <v>0</v>
      </c>
    </row>
    <row r="2115" spans="1:54" x14ac:dyDescent="0.45">
      <c r="A2115" s="62" t="s">
        <v>659</v>
      </c>
      <c r="B2115" s="62" t="s">
        <v>1180</v>
      </c>
      <c r="C2115" s="63"/>
      <c r="D2115" s="64"/>
      <c r="E2115" s="65"/>
      <c r="F2115" s="66"/>
      <c r="G2115" s="63"/>
      <c r="H2115" s="67"/>
      <c r="I2115" s="68"/>
      <c r="J2115" s="68"/>
      <c r="K2115" s="32"/>
      <c r="L2115" s="75"/>
      <c r="M2115" s="75"/>
      <c r="N2115" s="70"/>
      <c r="O2115" t="s">
        <v>1570</v>
      </c>
      <c r="P2115" s="76">
        <v>44958.860763888886</v>
      </c>
      <c r="Q2115" t="s">
        <v>1851</v>
      </c>
      <c r="U2115" s="77" t="str">
        <f>HYPERLINK("https://pbs.twimg.com/media/FT7QXZUXoAQZnqP.png")</f>
        <v>https://pbs.twimg.com/media/FT7QXZUXoAQZnqP.png</v>
      </c>
      <c r="V2115" s="77" t="str">
        <f>HYPERLINK("https://pbs.twimg.com/media/FT7QXZUXoAQZnqP.png")</f>
        <v>https://pbs.twimg.com/media/FT7QXZUXoAQZnqP.png</v>
      </c>
      <c r="W2115" s="76">
        <v>44958.860763888886</v>
      </c>
      <c r="X2115" s="80">
        <v>44958</v>
      </c>
      <c r="Y2115" s="78" t="s">
        <v>2860</v>
      </c>
      <c r="Z2115" s="77" t="str">
        <f>HYPERLINK("https://twitter.com/unconsciousi/status/1620884568873271297")</f>
        <v>https://twitter.com/unconsciousi/status/1620884568873271297</v>
      </c>
      <c r="AC2115" s="78" t="s">
        <v>3925</v>
      </c>
      <c r="AE2115" t="b">
        <v>0</v>
      </c>
      <c r="AF2115">
        <v>0</v>
      </c>
      <c r="AG2115" s="78" t="s">
        <v>4640</v>
      </c>
      <c r="AH2115" t="b">
        <v>0</v>
      </c>
      <c r="AI2115" t="s">
        <v>4829</v>
      </c>
      <c r="AK2115" s="78" t="s">
        <v>4640</v>
      </c>
      <c r="AL2115" t="b">
        <v>0</v>
      </c>
      <c r="AM2115">
        <v>5</v>
      </c>
      <c r="AN2115" s="78" t="s">
        <v>3924</v>
      </c>
      <c r="AO2115" s="78" t="s">
        <v>4849</v>
      </c>
      <c r="AP2115" t="b">
        <v>0</v>
      </c>
      <c r="AQ2115" s="78" t="s">
        <v>3924</v>
      </c>
      <c r="AR2115" t="s">
        <v>179</v>
      </c>
      <c r="AS2115">
        <v>0</v>
      </c>
      <c r="AT2115">
        <v>0</v>
      </c>
    </row>
    <row r="2116" spans="1:54" x14ac:dyDescent="0.45">
      <c r="A2116" s="62" t="s">
        <v>659</v>
      </c>
      <c r="B2116" s="62" t="s">
        <v>1325</v>
      </c>
      <c r="C2116" s="63"/>
      <c r="D2116" s="64"/>
      <c r="E2116" s="65"/>
      <c r="F2116" s="66"/>
      <c r="G2116" s="63"/>
      <c r="H2116" s="67"/>
      <c r="I2116" s="68"/>
      <c r="J2116" s="68"/>
      <c r="K2116" s="32"/>
      <c r="L2116" s="75"/>
      <c r="M2116" s="75"/>
      <c r="N2116" s="70"/>
      <c r="O2116" t="s">
        <v>1570</v>
      </c>
      <c r="P2116" s="76">
        <v>44958.860763888886</v>
      </c>
      <c r="Q2116" t="s">
        <v>1851</v>
      </c>
      <c r="U2116" s="77" t="str">
        <f>HYPERLINK("https://pbs.twimg.com/media/FT7QXZUXoAQZnqP.png")</f>
        <v>https://pbs.twimg.com/media/FT7QXZUXoAQZnqP.png</v>
      </c>
      <c r="V2116" s="77" t="str">
        <f>HYPERLINK("https://pbs.twimg.com/media/FT7QXZUXoAQZnqP.png")</f>
        <v>https://pbs.twimg.com/media/FT7QXZUXoAQZnqP.png</v>
      </c>
      <c r="W2116" s="76">
        <v>44958.860763888886</v>
      </c>
      <c r="X2116" s="80">
        <v>44958</v>
      </c>
      <c r="Y2116" s="78" t="s">
        <v>2860</v>
      </c>
      <c r="Z2116" s="77" t="str">
        <f>HYPERLINK("https://twitter.com/unconsciousi/status/1620884568873271297")</f>
        <v>https://twitter.com/unconsciousi/status/1620884568873271297</v>
      </c>
      <c r="AC2116" s="78" t="s">
        <v>3925</v>
      </c>
      <c r="AE2116" t="b">
        <v>0</v>
      </c>
      <c r="AF2116">
        <v>0</v>
      </c>
      <c r="AG2116" s="78" t="s">
        <v>4640</v>
      </c>
      <c r="AH2116" t="b">
        <v>0</v>
      </c>
      <c r="AI2116" t="s">
        <v>4829</v>
      </c>
      <c r="AK2116" s="78" t="s">
        <v>4640</v>
      </c>
      <c r="AL2116" t="b">
        <v>0</v>
      </c>
      <c r="AM2116">
        <v>5</v>
      </c>
      <c r="AN2116" s="78" t="s">
        <v>3924</v>
      </c>
      <c r="AO2116" s="78" t="s">
        <v>4849</v>
      </c>
      <c r="AP2116" t="b">
        <v>0</v>
      </c>
      <c r="AQ2116" s="78" t="s">
        <v>3924</v>
      </c>
      <c r="AR2116" t="s">
        <v>179</v>
      </c>
      <c r="AS2116">
        <v>0</v>
      </c>
      <c r="AT2116">
        <v>0</v>
      </c>
    </row>
    <row r="2117" spans="1:54" x14ac:dyDescent="0.45">
      <c r="A2117" s="62" t="s">
        <v>659</v>
      </c>
      <c r="B2117" s="62" t="s">
        <v>1182</v>
      </c>
      <c r="C2117" s="63"/>
      <c r="D2117" s="64"/>
      <c r="E2117" s="65"/>
      <c r="F2117" s="66"/>
      <c r="G2117" s="63"/>
      <c r="H2117" s="67"/>
      <c r="I2117" s="68"/>
      <c r="J2117" s="68"/>
      <c r="K2117" s="32"/>
      <c r="L2117" s="75"/>
      <c r="M2117" s="75"/>
      <c r="N2117" s="70"/>
      <c r="O2117" t="s">
        <v>1570</v>
      </c>
      <c r="P2117" s="76">
        <v>44958.860763888886</v>
      </c>
      <c r="Q2117" t="s">
        <v>1851</v>
      </c>
      <c r="U2117" s="77" t="str">
        <f>HYPERLINK("https://pbs.twimg.com/media/FT7QXZUXoAQZnqP.png")</f>
        <v>https://pbs.twimg.com/media/FT7QXZUXoAQZnqP.png</v>
      </c>
      <c r="V2117" s="77" t="str">
        <f>HYPERLINK("https://pbs.twimg.com/media/FT7QXZUXoAQZnqP.png")</f>
        <v>https://pbs.twimg.com/media/FT7QXZUXoAQZnqP.png</v>
      </c>
      <c r="W2117" s="76">
        <v>44958.860763888886</v>
      </c>
      <c r="X2117" s="80">
        <v>44958</v>
      </c>
      <c r="Y2117" s="78" t="s">
        <v>2860</v>
      </c>
      <c r="Z2117" s="77" t="str">
        <f>HYPERLINK("https://twitter.com/unconsciousi/status/1620884568873271297")</f>
        <v>https://twitter.com/unconsciousi/status/1620884568873271297</v>
      </c>
      <c r="AC2117" s="78" t="s">
        <v>3925</v>
      </c>
      <c r="AE2117" t="b">
        <v>0</v>
      </c>
      <c r="AF2117">
        <v>0</v>
      </c>
      <c r="AG2117" s="78" t="s">
        <v>4640</v>
      </c>
      <c r="AH2117" t="b">
        <v>0</v>
      </c>
      <c r="AI2117" t="s">
        <v>4829</v>
      </c>
      <c r="AK2117" s="78" t="s">
        <v>4640</v>
      </c>
      <c r="AL2117" t="b">
        <v>0</v>
      </c>
      <c r="AM2117">
        <v>5</v>
      </c>
      <c r="AN2117" s="78" t="s">
        <v>3924</v>
      </c>
      <c r="AO2117" s="78" t="s">
        <v>4849</v>
      </c>
      <c r="AP2117" t="b">
        <v>0</v>
      </c>
      <c r="AQ2117" s="78" t="s">
        <v>3924</v>
      </c>
      <c r="AR2117" t="s">
        <v>179</v>
      </c>
      <c r="AS2117">
        <v>0</v>
      </c>
      <c r="AT2117">
        <v>0</v>
      </c>
    </row>
    <row r="2118" spans="1:54" x14ac:dyDescent="0.45">
      <c r="A2118" s="62" t="s">
        <v>659</v>
      </c>
      <c r="B2118" s="62" t="s">
        <v>1113</v>
      </c>
      <c r="C2118" s="63"/>
      <c r="D2118" s="64"/>
      <c r="E2118" s="65"/>
      <c r="F2118" s="66"/>
      <c r="G2118" s="63"/>
      <c r="H2118" s="67"/>
      <c r="I2118" s="68"/>
      <c r="J2118" s="68"/>
      <c r="K2118" s="32"/>
      <c r="L2118" s="75"/>
      <c r="M2118" s="75"/>
      <c r="N2118" s="70"/>
      <c r="O2118" t="s">
        <v>1570</v>
      </c>
      <c r="P2118" s="76">
        <v>44958.860763888886</v>
      </c>
      <c r="Q2118" t="s">
        <v>1851</v>
      </c>
      <c r="U2118" s="77" t="str">
        <f>HYPERLINK("https://pbs.twimg.com/media/FT7QXZUXoAQZnqP.png")</f>
        <v>https://pbs.twimg.com/media/FT7QXZUXoAQZnqP.png</v>
      </c>
      <c r="V2118" s="77" t="str">
        <f>HYPERLINK("https://pbs.twimg.com/media/FT7QXZUXoAQZnqP.png")</f>
        <v>https://pbs.twimg.com/media/FT7QXZUXoAQZnqP.png</v>
      </c>
      <c r="W2118" s="76">
        <v>44958.860763888886</v>
      </c>
      <c r="X2118" s="80">
        <v>44958</v>
      </c>
      <c r="Y2118" s="78" t="s">
        <v>2860</v>
      </c>
      <c r="Z2118" s="77" t="str">
        <f>HYPERLINK("https://twitter.com/unconsciousi/status/1620884568873271297")</f>
        <v>https://twitter.com/unconsciousi/status/1620884568873271297</v>
      </c>
      <c r="AC2118" s="78" t="s">
        <v>3925</v>
      </c>
      <c r="AE2118" t="b">
        <v>0</v>
      </c>
      <c r="AF2118">
        <v>0</v>
      </c>
      <c r="AG2118" s="78" t="s">
        <v>4640</v>
      </c>
      <c r="AH2118" t="b">
        <v>0</v>
      </c>
      <c r="AI2118" t="s">
        <v>4829</v>
      </c>
      <c r="AK2118" s="78" t="s">
        <v>4640</v>
      </c>
      <c r="AL2118" t="b">
        <v>0</v>
      </c>
      <c r="AM2118">
        <v>5</v>
      </c>
      <c r="AN2118" s="78" t="s">
        <v>3924</v>
      </c>
      <c r="AO2118" s="78" t="s">
        <v>4849</v>
      </c>
      <c r="AP2118" t="b">
        <v>0</v>
      </c>
      <c r="AQ2118" s="78" t="s">
        <v>3924</v>
      </c>
      <c r="AR2118" t="s">
        <v>179</v>
      </c>
      <c r="AS2118">
        <v>0</v>
      </c>
      <c r="AT2118">
        <v>0</v>
      </c>
    </row>
    <row r="2119" spans="1:54" x14ac:dyDescent="0.45">
      <c r="A2119" s="62" t="s">
        <v>662</v>
      </c>
      <c r="B2119" s="62" t="s">
        <v>242</v>
      </c>
      <c r="C2119" s="63"/>
      <c r="D2119" s="64"/>
      <c r="E2119" s="65"/>
      <c r="F2119" s="66"/>
      <c r="G2119" s="63"/>
      <c r="H2119" s="67"/>
      <c r="I2119" s="68"/>
      <c r="J2119" s="68"/>
      <c r="K2119" s="32"/>
      <c r="L2119" s="75"/>
      <c r="M2119" s="75"/>
      <c r="N2119" s="70"/>
      <c r="O2119" t="s">
        <v>1567</v>
      </c>
      <c r="P2119" s="76">
        <v>44958.863067129627</v>
      </c>
      <c r="Q2119" t="s">
        <v>1853</v>
      </c>
      <c r="V2119" s="77" t="str">
        <f>HYPERLINK("https://pbs.twimg.com/profile_images/1487853173092106240/vEB9P5ZR_normal.jpg")</f>
        <v>https://pbs.twimg.com/profile_images/1487853173092106240/vEB9P5ZR_normal.jpg</v>
      </c>
      <c r="W2119" s="76">
        <v>44958.863067129627</v>
      </c>
      <c r="X2119" s="80">
        <v>44958</v>
      </c>
      <c r="Y2119" s="78" t="s">
        <v>2863</v>
      </c>
      <c r="Z2119" s="77" t="str">
        <f>HYPERLINK("https://twitter.com/theyouthscat1/status/1620885402705092608")</f>
        <v>https://twitter.com/theyouthscat1/status/1620885402705092608</v>
      </c>
      <c r="AC2119" s="78" t="s">
        <v>3928</v>
      </c>
      <c r="AE2119" t="b">
        <v>0</v>
      </c>
      <c r="AF2119">
        <v>0</v>
      </c>
      <c r="AG2119" s="78" t="s">
        <v>4639</v>
      </c>
      <c r="AH2119" t="b">
        <v>0</v>
      </c>
      <c r="AI2119" t="s">
        <v>4829</v>
      </c>
      <c r="AK2119" s="78" t="s">
        <v>4640</v>
      </c>
      <c r="AL2119" t="b">
        <v>0</v>
      </c>
      <c r="AM2119">
        <v>0</v>
      </c>
      <c r="AN2119" s="78" t="s">
        <v>4640</v>
      </c>
      <c r="AO2119" s="78" t="s">
        <v>4851</v>
      </c>
      <c r="AP2119" t="b">
        <v>0</v>
      </c>
      <c r="AQ2119" s="78" t="s">
        <v>3928</v>
      </c>
      <c r="AR2119" t="s">
        <v>179</v>
      </c>
      <c r="AS2119">
        <v>0</v>
      </c>
      <c r="AT2119">
        <v>0</v>
      </c>
    </row>
    <row r="2120" spans="1:54" x14ac:dyDescent="0.45">
      <c r="A2120" s="62" t="s">
        <v>664</v>
      </c>
      <c r="B2120" s="62" t="s">
        <v>1230</v>
      </c>
      <c r="C2120" s="63"/>
      <c r="D2120" s="64"/>
      <c r="E2120" s="65"/>
      <c r="F2120" s="66"/>
      <c r="G2120" s="63"/>
      <c r="H2120" s="67"/>
      <c r="I2120" s="68"/>
      <c r="J2120" s="68"/>
      <c r="K2120" s="32"/>
      <c r="L2120" s="75"/>
      <c r="M2120" s="75"/>
      <c r="N2120" s="70"/>
      <c r="O2120" t="s">
        <v>1568</v>
      </c>
      <c r="P2120" s="76">
        <v>44958.863923611112</v>
      </c>
      <c r="Q2120" t="s">
        <v>1854</v>
      </c>
      <c r="V2120" s="77" t="str">
        <f>HYPERLINK("https://pbs.twimg.com/profile_images/1552141285716365312/yJLSkzqu_normal.jpg")</f>
        <v>https://pbs.twimg.com/profile_images/1552141285716365312/yJLSkzqu_normal.jpg</v>
      </c>
      <c r="W2120" s="76">
        <v>44958.863923611112</v>
      </c>
      <c r="X2120" s="80">
        <v>44958</v>
      </c>
      <c r="Y2120" s="78" t="s">
        <v>2865</v>
      </c>
      <c r="Z2120" s="77" t="str">
        <f>HYPERLINK("https://twitter.com/eightifact/status/1620885712861278209")</f>
        <v>https://twitter.com/eightifact/status/1620885712861278209</v>
      </c>
      <c r="AC2120" s="78" t="s">
        <v>3930</v>
      </c>
      <c r="AD2120" s="78" t="s">
        <v>4473</v>
      </c>
      <c r="AE2120" t="b">
        <v>0</v>
      </c>
      <c r="AF2120">
        <v>0</v>
      </c>
      <c r="AG2120" s="78" t="s">
        <v>4639</v>
      </c>
      <c r="AH2120" t="b">
        <v>0</v>
      </c>
      <c r="AI2120" t="s">
        <v>4829</v>
      </c>
      <c r="AK2120" s="78" t="s">
        <v>4640</v>
      </c>
      <c r="AL2120" t="b">
        <v>0</v>
      </c>
      <c r="AM2120">
        <v>0</v>
      </c>
      <c r="AN2120" s="78" t="s">
        <v>4640</v>
      </c>
      <c r="AO2120" s="78" t="s">
        <v>4851</v>
      </c>
      <c r="AP2120" t="b">
        <v>0</v>
      </c>
      <c r="AQ2120" s="78" t="s">
        <v>4473</v>
      </c>
      <c r="AR2120" t="s">
        <v>179</v>
      </c>
      <c r="AS2120">
        <v>0</v>
      </c>
      <c r="AT2120">
        <v>0</v>
      </c>
    </row>
    <row r="2121" spans="1:54" x14ac:dyDescent="0.45">
      <c r="A2121" s="62" t="s">
        <v>664</v>
      </c>
      <c r="B2121" s="62" t="s">
        <v>242</v>
      </c>
      <c r="C2121" s="63"/>
      <c r="D2121" s="64"/>
      <c r="E2121" s="65"/>
      <c r="F2121" s="66"/>
      <c r="G2121" s="63"/>
      <c r="H2121" s="67"/>
      <c r="I2121" s="68"/>
      <c r="J2121" s="68"/>
      <c r="K2121" s="32"/>
      <c r="L2121" s="75"/>
      <c r="M2121" s="75"/>
      <c r="N2121" s="70"/>
      <c r="O2121" t="s">
        <v>1567</v>
      </c>
      <c r="P2121" s="76">
        <v>44958.863923611112</v>
      </c>
      <c r="Q2121" t="s">
        <v>1854</v>
      </c>
      <c r="V2121" s="77" t="str">
        <f>HYPERLINK("https://pbs.twimg.com/profile_images/1552141285716365312/yJLSkzqu_normal.jpg")</f>
        <v>https://pbs.twimg.com/profile_images/1552141285716365312/yJLSkzqu_normal.jpg</v>
      </c>
      <c r="W2121" s="76">
        <v>44958.863923611112</v>
      </c>
      <c r="X2121" s="80">
        <v>44958</v>
      </c>
      <c r="Y2121" s="78" t="s">
        <v>2865</v>
      </c>
      <c r="Z2121" s="77" t="str">
        <f>HYPERLINK("https://twitter.com/eightifact/status/1620885712861278209")</f>
        <v>https://twitter.com/eightifact/status/1620885712861278209</v>
      </c>
      <c r="AC2121" s="78" t="s">
        <v>3930</v>
      </c>
      <c r="AD2121" s="78" t="s">
        <v>4473</v>
      </c>
      <c r="AE2121" t="b">
        <v>0</v>
      </c>
      <c r="AF2121">
        <v>0</v>
      </c>
      <c r="AG2121" s="78" t="s">
        <v>4639</v>
      </c>
      <c r="AH2121" t="b">
        <v>0</v>
      </c>
      <c r="AI2121" t="s">
        <v>4829</v>
      </c>
      <c r="AK2121" s="78" t="s">
        <v>4640</v>
      </c>
      <c r="AL2121" t="b">
        <v>0</v>
      </c>
      <c r="AM2121">
        <v>0</v>
      </c>
      <c r="AN2121" s="78" t="s">
        <v>4640</v>
      </c>
      <c r="AO2121" s="78" t="s">
        <v>4851</v>
      </c>
      <c r="AP2121" t="b">
        <v>0</v>
      </c>
      <c r="AQ2121" s="78" t="s">
        <v>4473</v>
      </c>
      <c r="AR2121" t="s">
        <v>179</v>
      </c>
      <c r="AS2121">
        <v>0</v>
      </c>
      <c r="AT2121">
        <v>0</v>
      </c>
    </row>
    <row r="2122" spans="1:54" x14ac:dyDescent="0.45">
      <c r="A2122" s="62" t="s">
        <v>665</v>
      </c>
      <c r="B2122" s="62" t="s">
        <v>242</v>
      </c>
      <c r="C2122" s="63"/>
      <c r="D2122" s="64"/>
      <c r="E2122" s="65"/>
      <c r="F2122" s="66"/>
      <c r="G2122" s="63"/>
      <c r="H2122" s="67"/>
      <c r="I2122" s="68"/>
      <c r="J2122" s="68"/>
      <c r="K2122" s="32"/>
      <c r="L2122" s="75"/>
      <c r="M2122" s="75"/>
      <c r="N2122" s="70"/>
      <c r="O2122" t="s">
        <v>1570</v>
      </c>
      <c r="P2122" s="76">
        <v>44958.864016203705</v>
      </c>
      <c r="Q2122" t="s">
        <v>1597</v>
      </c>
      <c r="U2122" s="77" t="str">
        <f>HYPERLINK("https://pbs.twimg.com/media/Fn21cCpaEAIoT8g.jpg")</f>
        <v>https://pbs.twimg.com/media/Fn21cCpaEAIoT8g.jpg</v>
      </c>
      <c r="V2122" s="77" t="str">
        <f>HYPERLINK("https://pbs.twimg.com/media/Fn21cCpaEAIoT8g.jpg")</f>
        <v>https://pbs.twimg.com/media/Fn21cCpaEAIoT8g.jpg</v>
      </c>
      <c r="W2122" s="76">
        <v>44958.864016203705</v>
      </c>
      <c r="X2122" s="80">
        <v>44958</v>
      </c>
      <c r="Y2122" s="78" t="s">
        <v>2866</v>
      </c>
      <c r="Z2122" s="77" t="str">
        <f>HYPERLINK("https://twitter.com/humbleatomicboh/status/1620885748349284352")</f>
        <v>https://twitter.com/humbleatomicboh/status/1620885748349284352</v>
      </c>
      <c r="AC2122" s="78" t="s">
        <v>3931</v>
      </c>
      <c r="AE2122" t="b">
        <v>0</v>
      </c>
      <c r="AF2122">
        <v>0</v>
      </c>
      <c r="AG2122" s="78" t="s">
        <v>4640</v>
      </c>
      <c r="AH2122" t="b">
        <v>0</v>
      </c>
      <c r="AI2122" t="s">
        <v>4829</v>
      </c>
      <c r="AK2122" s="78" t="s">
        <v>4640</v>
      </c>
      <c r="AL2122" t="b">
        <v>0</v>
      </c>
      <c r="AM2122">
        <v>13</v>
      </c>
      <c r="AN2122" s="78" t="s">
        <v>4342</v>
      </c>
      <c r="AO2122" s="78" t="s">
        <v>4850</v>
      </c>
      <c r="AP2122" t="b">
        <v>0</v>
      </c>
      <c r="AQ2122" s="78" t="s">
        <v>4342</v>
      </c>
      <c r="AR2122" t="s">
        <v>179</v>
      </c>
      <c r="AS2122">
        <v>0</v>
      </c>
      <c r="AT2122">
        <v>0</v>
      </c>
    </row>
    <row r="2123" spans="1:54" x14ac:dyDescent="0.45">
      <c r="A2123" s="62" t="s">
        <v>665</v>
      </c>
      <c r="B2123" s="62" t="s">
        <v>992</v>
      </c>
      <c r="C2123" s="63"/>
      <c r="D2123" s="64"/>
      <c r="E2123" s="65"/>
      <c r="F2123" s="66"/>
      <c r="G2123" s="63"/>
      <c r="H2123" s="67"/>
      <c r="I2123" s="68"/>
      <c r="J2123" s="68"/>
      <c r="K2123" s="32"/>
      <c r="L2123" s="75"/>
      <c r="M2123" s="75"/>
      <c r="N2123" s="70"/>
      <c r="O2123" t="s">
        <v>1569</v>
      </c>
      <c r="P2123" s="76">
        <v>44958.864016203705</v>
      </c>
      <c r="Q2123" t="s">
        <v>1597</v>
      </c>
      <c r="U2123" s="77" t="str">
        <f>HYPERLINK("https://pbs.twimg.com/media/Fn21cCpaEAIoT8g.jpg")</f>
        <v>https://pbs.twimg.com/media/Fn21cCpaEAIoT8g.jpg</v>
      </c>
      <c r="V2123" s="77" t="str">
        <f>HYPERLINK("https://pbs.twimg.com/media/Fn21cCpaEAIoT8g.jpg")</f>
        <v>https://pbs.twimg.com/media/Fn21cCpaEAIoT8g.jpg</v>
      </c>
      <c r="W2123" s="76">
        <v>44958.864016203705</v>
      </c>
      <c r="X2123" s="80">
        <v>44958</v>
      </c>
      <c r="Y2123" s="78" t="s">
        <v>2866</v>
      </c>
      <c r="Z2123" s="77" t="str">
        <f>HYPERLINK("https://twitter.com/humbleatomicboh/status/1620885748349284352")</f>
        <v>https://twitter.com/humbleatomicboh/status/1620885748349284352</v>
      </c>
      <c r="AC2123" s="78" t="s">
        <v>3931</v>
      </c>
      <c r="AE2123" t="b">
        <v>0</v>
      </c>
      <c r="AF2123">
        <v>0</v>
      </c>
      <c r="AG2123" s="78" t="s">
        <v>4640</v>
      </c>
      <c r="AH2123" t="b">
        <v>0</v>
      </c>
      <c r="AI2123" t="s">
        <v>4829</v>
      </c>
      <c r="AK2123" s="78" t="s">
        <v>4640</v>
      </c>
      <c r="AL2123" t="b">
        <v>0</v>
      </c>
      <c r="AM2123">
        <v>13</v>
      </c>
      <c r="AN2123" s="78" t="s">
        <v>4342</v>
      </c>
      <c r="AO2123" s="78" t="s">
        <v>4850</v>
      </c>
      <c r="AP2123" t="b">
        <v>0</v>
      </c>
      <c r="AQ2123" s="78" t="s">
        <v>4342</v>
      </c>
      <c r="AR2123" t="s">
        <v>179</v>
      </c>
      <c r="AS2123">
        <v>0</v>
      </c>
      <c r="AT2123">
        <v>0</v>
      </c>
    </row>
    <row r="2124" spans="1:54" x14ac:dyDescent="0.45">
      <c r="A2124" s="62" t="s">
        <v>666</v>
      </c>
      <c r="B2124" s="62" t="s">
        <v>1326</v>
      </c>
      <c r="C2124" s="63"/>
      <c r="D2124" s="64"/>
      <c r="E2124" s="65"/>
      <c r="F2124" s="66"/>
      <c r="G2124" s="63"/>
      <c r="H2124" s="67"/>
      <c r="I2124" s="68"/>
      <c r="J2124" s="68"/>
      <c r="K2124" s="32"/>
      <c r="L2124" s="75"/>
      <c r="M2124" s="75"/>
      <c r="N2124" s="70"/>
      <c r="O2124" t="s">
        <v>1568</v>
      </c>
      <c r="P2124" s="76">
        <v>44958.864803240744</v>
      </c>
      <c r="Q2124" t="s">
        <v>1855</v>
      </c>
      <c r="V2124" s="77" t="str">
        <f>HYPERLINK("https://pbs.twimg.com/profile_images/1490405318785835011/pIJuXSeG_normal.jpg")</f>
        <v>https://pbs.twimg.com/profile_images/1490405318785835011/pIJuXSeG_normal.jpg</v>
      </c>
      <c r="W2124" s="76">
        <v>44958.864803240744</v>
      </c>
      <c r="X2124" s="80">
        <v>44958</v>
      </c>
      <c r="Y2124" s="78" t="s">
        <v>2867</v>
      </c>
      <c r="Z2124" s="77" t="str">
        <f>HYPERLINK("https://twitter.com/danniwoohoo/status/1620886032660180992")</f>
        <v>https://twitter.com/danniwoohoo/status/1620886032660180992</v>
      </c>
      <c r="AC2124" s="78" t="s">
        <v>3932</v>
      </c>
      <c r="AE2124" t="b">
        <v>0</v>
      </c>
      <c r="AF2124">
        <v>0</v>
      </c>
      <c r="AG2124" s="78" t="s">
        <v>4640</v>
      </c>
      <c r="AH2124" t="b">
        <v>0</v>
      </c>
      <c r="AI2124" t="s">
        <v>4829</v>
      </c>
      <c r="AK2124" s="78" t="s">
        <v>4640</v>
      </c>
      <c r="AL2124" t="b">
        <v>0</v>
      </c>
      <c r="AM2124">
        <v>0</v>
      </c>
      <c r="AN2124" s="78" t="s">
        <v>4640</v>
      </c>
      <c r="AO2124" s="78" t="s">
        <v>4849</v>
      </c>
      <c r="AP2124" t="b">
        <v>0</v>
      </c>
      <c r="AQ2124" s="78" t="s">
        <v>3932</v>
      </c>
      <c r="AR2124" t="s">
        <v>179</v>
      </c>
      <c r="AS2124">
        <v>0</v>
      </c>
      <c r="AT2124">
        <v>0</v>
      </c>
      <c r="AU2124" t="s">
        <v>4885</v>
      </c>
      <c r="AV2124" t="s">
        <v>4899</v>
      </c>
      <c r="AW2124" t="s">
        <v>4901</v>
      </c>
      <c r="AX2124" t="s">
        <v>4914</v>
      </c>
      <c r="AY2124" t="s">
        <v>4939</v>
      </c>
      <c r="AZ2124" t="s">
        <v>4964</v>
      </c>
      <c r="BA2124" t="s">
        <v>4975</v>
      </c>
      <c r="BB2124" s="77" t="str">
        <f>HYPERLINK("https://api.twitter.com/1.1/geo/id/5c62ffb0f0f3479d.json")</f>
        <v>https://api.twitter.com/1.1/geo/id/5c62ffb0f0f3479d.json</v>
      </c>
    </row>
    <row r="2125" spans="1:54" x14ac:dyDescent="0.45">
      <c r="A2125" s="62" t="s">
        <v>666</v>
      </c>
      <c r="B2125" s="62" t="s">
        <v>242</v>
      </c>
      <c r="C2125" s="63"/>
      <c r="D2125" s="64"/>
      <c r="E2125" s="65"/>
      <c r="F2125" s="66"/>
      <c r="G2125" s="63"/>
      <c r="H2125" s="67"/>
      <c r="I2125" s="68"/>
      <c r="J2125" s="68"/>
      <c r="K2125" s="32"/>
      <c r="L2125" s="75"/>
      <c r="M2125" s="75"/>
      <c r="N2125" s="70"/>
      <c r="O2125" t="s">
        <v>1568</v>
      </c>
      <c r="P2125" s="76">
        <v>44958.864803240744</v>
      </c>
      <c r="Q2125" t="s">
        <v>1855</v>
      </c>
      <c r="V2125" s="77" t="str">
        <f>HYPERLINK("https://pbs.twimg.com/profile_images/1490405318785835011/pIJuXSeG_normal.jpg")</f>
        <v>https://pbs.twimg.com/profile_images/1490405318785835011/pIJuXSeG_normal.jpg</v>
      </c>
      <c r="W2125" s="76">
        <v>44958.864803240744</v>
      </c>
      <c r="X2125" s="80">
        <v>44958</v>
      </c>
      <c r="Y2125" s="78" t="s">
        <v>2867</v>
      </c>
      <c r="Z2125" s="77" t="str">
        <f>HYPERLINK("https://twitter.com/danniwoohoo/status/1620886032660180992")</f>
        <v>https://twitter.com/danniwoohoo/status/1620886032660180992</v>
      </c>
      <c r="AC2125" s="78" t="s">
        <v>3932</v>
      </c>
      <c r="AE2125" t="b">
        <v>0</v>
      </c>
      <c r="AF2125">
        <v>0</v>
      </c>
      <c r="AG2125" s="78" t="s">
        <v>4640</v>
      </c>
      <c r="AH2125" t="b">
        <v>0</v>
      </c>
      <c r="AI2125" t="s">
        <v>4829</v>
      </c>
      <c r="AK2125" s="78" t="s">
        <v>4640</v>
      </c>
      <c r="AL2125" t="b">
        <v>0</v>
      </c>
      <c r="AM2125">
        <v>0</v>
      </c>
      <c r="AN2125" s="78" t="s">
        <v>4640</v>
      </c>
      <c r="AO2125" s="78" t="s">
        <v>4849</v>
      </c>
      <c r="AP2125" t="b">
        <v>0</v>
      </c>
      <c r="AQ2125" s="78" t="s">
        <v>3932</v>
      </c>
      <c r="AR2125" t="s">
        <v>179</v>
      </c>
      <c r="AS2125">
        <v>0</v>
      </c>
      <c r="AT2125">
        <v>0</v>
      </c>
      <c r="AU2125" t="s">
        <v>4885</v>
      </c>
      <c r="AV2125" t="s">
        <v>4899</v>
      </c>
      <c r="AW2125" t="s">
        <v>4901</v>
      </c>
      <c r="AX2125" t="s">
        <v>4914</v>
      </c>
      <c r="AY2125" t="s">
        <v>4939</v>
      </c>
      <c r="AZ2125" t="s">
        <v>4964</v>
      </c>
      <c r="BA2125" t="s">
        <v>4975</v>
      </c>
      <c r="BB2125" s="77" t="str">
        <f>HYPERLINK("https://api.twitter.com/1.1/geo/id/5c62ffb0f0f3479d.json")</f>
        <v>https://api.twitter.com/1.1/geo/id/5c62ffb0f0f3479d.json</v>
      </c>
    </row>
    <row r="2126" spans="1:54" x14ac:dyDescent="0.45">
      <c r="A2126" s="62" t="s">
        <v>667</v>
      </c>
      <c r="B2126" s="62" t="s">
        <v>242</v>
      </c>
      <c r="C2126" s="63"/>
      <c r="D2126" s="64"/>
      <c r="E2126" s="65"/>
      <c r="F2126" s="66"/>
      <c r="G2126" s="63"/>
      <c r="H2126" s="67"/>
      <c r="I2126" s="68"/>
      <c r="J2126" s="68"/>
      <c r="K2126" s="32"/>
      <c r="L2126" s="75"/>
      <c r="M2126" s="75"/>
      <c r="N2126" s="70"/>
      <c r="O2126" t="s">
        <v>1567</v>
      </c>
      <c r="P2126" s="76">
        <v>44958.866284722222</v>
      </c>
      <c r="Q2126" t="s">
        <v>1856</v>
      </c>
      <c r="V2126" s="77" t="str">
        <f>HYPERLINK("https://pbs.twimg.com/profile_images/1614259345172140032/kWhrGWEx_normal.jpg")</f>
        <v>https://pbs.twimg.com/profile_images/1614259345172140032/kWhrGWEx_normal.jpg</v>
      </c>
      <c r="W2126" s="76">
        <v>44958.866284722222</v>
      </c>
      <c r="X2126" s="80">
        <v>44958</v>
      </c>
      <c r="Y2126" s="78" t="s">
        <v>2868</v>
      </c>
      <c r="Z2126" s="77" t="str">
        <f>HYPERLINK("https://twitter.com/carrie_oh99/status/1620886570353192960")</f>
        <v>https://twitter.com/carrie_oh99/status/1620886570353192960</v>
      </c>
      <c r="AC2126" s="78" t="s">
        <v>3933</v>
      </c>
      <c r="AE2126" t="b">
        <v>0</v>
      </c>
      <c r="AF2126">
        <v>0</v>
      </c>
      <c r="AG2126" s="78" t="s">
        <v>4639</v>
      </c>
      <c r="AH2126" t="b">
        <v>0</v>
      </c>
      <c r="AI2126" t="s">
        <v>4829</v>
      </c>
      <c r="AK2126" s="78" t="s">
        <v>4640</v>
      </c>
      <c r="AL2126" t="b">
        <v>0</v>
      </c>
      <c r="AM2126">
        <v>0</v>
      </c>
      <c r="AN2126" s="78" t="s">
        <v>4640</v>
      </c>
      <c r="AO2126" s="78" t="s">
        <v>4849</v>
      </c>
      <c r="AP2126" t="b">
        <v>0</v>
      </c>
      <c r="AQ2126" s="78" t="s">
        <v>3933</v>
      </c>
      <c r="AR2126" t="s">
        <v>179</v>
      </c>
      <c r="AS2126">
        <v>0</v>
      </c>
      <c r="AT2126">
        <v>0</v>
      </c>
    </row>
    <row r="2127" spans="1:54" x14ac:dyDescent="0.45">
      <c r="A2127" s="62" t="s">
        <v>671</v>
      </c>
      <c r="B2127" s="62" t="s">
        <v>1230</v>
      </c>
      <c r="C2127" s="63"/>
      <c r="D2127" s="64"/>
      <c r="E2127" s="65"/>
      <c r="F2127" s="66"/>
      <c r="G2127" s="63"/>
      <c r="H2127" s="67"/>
      <c r="I2127" s="68"/>
      <c r="J2127" s="68"/>
      <c r="K2127" s="32"/>
      <c r="L2127" s="75"/>
      <c r="M2127" s="75"/>
      <c r="N2127" s="70"/>
      <c r="O2127" t="s">
        <v>1570</v>
      </c>
      <c r="P2127" s="76">
        <v>44958.868368055555</v>
      </c>
      <c r="Q2127" t="s">
        <v>1693</v>
      </c>
      <c r="V2127" s="77" t="str">
        <f>HYPERLINK("https://abs.twimg.com/sticky/default_profile_images/default_profile_normal.png")</f>
        <v>https://abs.twimg.com/sticky/default_profile_images/default_profile_normal.png</v>
      </c>
      <c r="W2127" s="76">
        <v>44958.868368055555</v>
      </c>
      <c r="X2127" s="80">
        <v>44958</v>
      </c>
      <c r="Y2127" s="78" t="s">
        <v>2872</v>
      </c>
      <c r="Z2127" s="77" t="str">
        <f>HYPERLINK("https://twitter.com/king____ricky/status/1620887324648411136")</f>
        <v>https://twitter.com/king____ricky/status/1620887324648411136</v>
      </c>
      <c r="AC2127" s="78" t="s">
        <v>3937</v>
      </c>
      <c r="AE2127" t="b">
        <v>0</v>
      </c>
      <c r="AF2127">
        <v>0</v>
      </c>
      <c r="AG2127" s="78" t="s">
        <v>4640</v>
      </c>
      <c r="AH2127" t="b">
        <v>0</v>
      </c>
      <c r="AI2127" t="s">
        <v>4829</v>
      </c>
      <c r="AK2127" s="78" t="s">
        <v>4640</v>
      </c>
      <c r="AL2127" t="b">
        <v>0</v>
      </c>
      <c r="AM2127">
        <v>162</v>
      </c>
      <c r="AN2127" s="78" t="s">
        <v>4473</v>
      </c>
      <c r="AO2127" s="78" t="s">
        <v>4849</v>
      </c>
      <c r="AP2127" t="b">
        <v>0</v>
      </c>
      <c r="AQ2127" s="78" t="s">
        <v>4473</v>
      </c>
      <c r="AR2127" t="s">
        <v>179</v>
      </c>
      <c r="AS2127">
        <v>0</v>
      </c>
      <c r="AT2127">
        <v>0</v>
      </c>
    </row>
    <row r="2128" spans="1:54" x14ac:dyDescent="0.45">
      <c r="A2128" s="62" t="s">
        <v>671</v>
      </c>
      <c r="B2128" s="62" t="s">
        <v>242</v>
      </c>
      <c r="C2128" s="63"/>
      <c r="D2128" s="64"/>
      <c r="E2128" s="65"/>
      <c r="F2128" s="66"/>
      <c r="G2128" s="63"/>
      <c r="H2128" s="67"/>
      <c r="I2128" s="68"/>
      <c r="J2128" s="68"/>
      <c r="K2128" s="32"/>
      <c r="L2128" s="75"/>
      <c r="M2128" s="75"/>
      <c r="N2128" s="70"/>
      <c r="O2128" t="s">
        <v>1569</v>
      </c>
      <c r="P2128" s="76">
        <v>44958.868368055555</v>
      </c>
      <c r="Q2128" t="s">
        <v>1693</v>
      </c>
      <c r="V2128" s="77" t="str">
        <f>HYPERLINK("https://abs.twimg.com/sticky/default_profile_images/default_profile_normal.png")</f>
        <v>https://abs.twimg.com/sticky/default_profile_images/default_profile_normal.png</v>
      </c>
      <c r="W2128" s="76">
        <v>44958.868368055555</v>
      </c>
      <c r="X2128" s="80">
        <v>44958</v>
      </c>
      <c r="Y2128" s="78" t="s">
        <v>2872</v>
      </c>
      <c r="Z2128" s="77" t="str">
        <f>HYPERLINK("https://twitter.com/king____ricky/status/1620887324648411136")</f>
        <v>https://twitter.com/king____ricky/status/1620887324648411136</v>
      </c>
      <c r="AC2128" s="78" t="s">
        <v>3937</v>
      </c>
      <c r="AE2128" t="b">
        <v>0</v>
      </c>
      <c r="AF2128">
        <v>0</v>
      </c>
      <c r="AG2128" s="78" t="s">
        <v>4640</v>
      </c>
      <c r="AH2128" t="b">
        <v>0</v>
      </c>
      <c r="AI2128" t="s">
        <v>4829</v>
      </c>
      <c r="AK2128" s="78" t="s">
        <v>4640</v>
      </c>
      <c r="AL2128" t="b">
        <v>0</v>
      </c>
      <c r="AM2128">
        <v>162</v>
      </c>
      <c r="AN2128" s="78" t="s">
        <v>4473</v>
      </c>
      <c r="AO2128" s="78" t="s">
        <v>4849</v>
      </c>
      <c r="AP2128" t="b">
        <v>0</v>
      </c>
      <c r="AQ2128" s="78" t="s">
        <v>4473</v>
      </c>
      <c r="AR2128" t="s">
        <v>179</v>
      </c>
      <c r="AS2128">
        <v>0</v>
      </c>
      <c r="AT2128">
        <v>0</v>
      </c>
    </row>
    <row r="2129" spans="1:46" x14ac:dyDescent="0.45">
      <c r="A2129" s="62" t="s">
        <v>672</v>
      </c>
      <c r="B2129" s="62" t="s">
        <v>242</v>
      </c>
      <c r="C2129" s="63"/>
      <c r="D2129" s="64"/>
      <c r="E2129" s="65"/>
      <c r="F2129" s="66"/>
      <c r="G2129" s="63"/>
      <c r="H2129" s="67"/>
      <c r="I2129" s="68"/>
      <c r="J2129" s="68"/>
      <c r="K2129" s="32"/>
      <c r="L2129" s="75"/>
      <c r="M2129" s="75"/>
      <c r="N2129" s="70"/>
      <c r="O2129" t="s">
        <v>1568</v>
      </c>
      <c r="P2129" s="76">
        <v>44958.869375000002</v>
      </c>
      <c r="Q2129" t="s">
        <v>1860</v>
      </c>
      <c r="V2129" s="77" t="str">
        <f>HYPERLINK("https://pbs.twimg.com/profile_images/874049208604647424/hzwI1Gpu_normal.jpg")</f>
        <v>https://pbs.twimg.com/profile_images/874049208604647424/hzwI1Gpu_normal.jpg</v>
      </c>
      <c r="W2129" s="76">
        <v>44958.869375000002</v>
      </c>
      <c r="X2129" s="80">
        <v>44958</v>
      </c>
      <c r="Y2129" s="78" t="s">
        <v>2873</v>
      </c>
      <c r="Z2129" s="77" t="str">
        <f>HYPERLINK("https://twitter.com/gregwaynewilson/status/1620887690387537921")</f>
        <v>https://twitter.com/gregwaynewilson/status/1620887690387537921</v>
      </c>
      <c r="AC2129" s="78" t="s">
        <v>3938</v>
      </c>
      <c r="AE2129" t="b">
        <v>0</v>
      </c>
      <c r="AF2129">
        <v>0</v>
      </c>
      <c r="AG2129" s="78" t="s">
        <v>4640</v>
      </c>
      <c r="AH2129" t="b">
        <v>0</v>
      </c>
      <c r="AI2129" t="s">
        <v>4829</v>
      </c>
      <c r="AK2129" s="78" t="s">
        <v>4640</v>
      </c>
      <c r="AL2129" t="b">
        <v>0</v>
      </c>
      <c r="AM2129">
        <v>0</v>
      </c>
      <c r="AN2129" s="78" t="s">
        <v>4640</v>
      </c>
      <c r="AO2129" s="78" t="s">
        <v>4851</v>
      </c>
      <c r="AP2129" t="b">
        <v>0</v>
      </c>
      <c r="AQ2129" s="78" t="s">
        <v>3938</v>
      </c>
      <c r="AR2129" t="s">
        <v>179</v>
      </c>
      <c r="AS2129">
        <v>0</v>
      </c>
      <c r="AT2129">
        <v>0</v>
      </c>
    </row>
    <row r="2130" spans="1:46" x14ac:dyDescent="0.45">
      <c r="A2130" s="62" t="s">
        <v>674</v>
      </c>
      <c r="B2130" s="62" t="s">
        <v>1230</v>
      </c>
      <c r="C2130" s="63"/>
      <c r="D2130" s="64"/>
      <c r="E2130" s="65"/>
      <c r="F2130" s="66"/>
      <c r="G2130" s="63"/>
      <c r="H2130" s="67"/>
      <c r="I2130" s="68"/>
      <c r="J2130" s="68"/>
      <c r="K2130" s="32"/>
      <c r="L2130" s="75"/>
      <c r="M2130" s="75"/>
      <c r="N2130" s="70"/>
      <c r="O2130" t="s">
        <v>1570</v>
      </c>
      <c r="P2130" s="76">
        <v>44958.870057870372</v>
      </c>
      <c r="Q2130" t="s">
        <v>1693</v>
      </c>
      <c r="V2130" s="77" t="str">
        <f>HYPERLINK("https://pbs.twimg.com/profile_images/1009261264223264768/mdHH-D25_normal.jpg")</f>
        <v>https://pbs.twimg.com/profile_images/1009261264223264768/mdHH-D25_normal.jpg</v>
      </c>
      <c r="W2130" s="76">
        <v>44958.870057870372</v>
      </c>
      <c r="X2130" s="80">
        <v>44958</v>
      </c>
      <c r="Y2130" s="78" t="s">
        <v>2875</v>
      </c>
      <c r="Z2130" s="77" t="str">
        <f>HYPERLINK("https://twitter.com/thecarterfilez/status/1620887936408637440")</f>
        <v>https://twitter.com/thecarterfilez/status/1620887936408637440</v>
      </c>
      <c r="AC2130" s="78" t="s">
        <v>3940</v>
      </c>
      <c r="AE2130" t="b">
        <v>0</v>
      </c>
      <c r="AF2130">
        <v>0</v>
      </c>
      <c r="AG2130" s="78" t="s">
        <v>4640</v>
      </c>
      <c r="AH2130" t="b">
        <v>0</v>
      </c>
      <c r="AI2130" t="s">
        <v>4829</v>
      </c>
      <c r="AK2130" s="78" t="s">
        <v>4640</v>
      </c>
      <c r="AL2130" t="b">
        <v>0</v>
      </c>
      <c r="AM2130">
        <v>162</v>
      </c>
      <c r="AN2130" s="78" t="s">
        <v>4473</v>
      </c>
      <c r="AO2130" s="78" t="s">
        <v>4851</v>
      </c>
      <c r="AP2130" t="b">
        <v>0</v>
      </c>
      <c r="AQ2130" s="78" t="s">
        <v>4473</v>
      </c>
      <c r="AR2130" t="s">
        <v>179</v>
      </c>
      <c r="AS2130">
        <v>0</v>
      </c>
      <c r="AT2130">
        <v>0</v>
      </c>
    </row>
    <row r="2131" spans="1:46" x14ac:dyDescent="0.45">
      <c r="A2131" s="62" t="s">
        <v>674</v>
      </c>
      <c r="B2131" s="62" t="s">
        <v>242</v>
      </c>
      <c r="C2131" s="63"/>
      <c r="D2131" s="64"/>
      <c r="E2131" s="65"/>
      <c r="F2131" s="66"/>
      <c r="G2131" s="63"/>
      <c r="H2131" s="67"/>
      <c r="I2131" s="68"/>
      <c r="J2131" s="68"/>
      <c r="K2131" s="32"/>
      <c r="L2131" s="75"/>
      <c r="M2131" s="75"/>
      <c r="N2131" s="70"/>
      <c r="O2131" t="s">
        <v>1569</v>
      </c>
      <c r="P2131" s="76">
        <v>44958.870057870372</v>
      </c>
      <c r="Q2131" t="s">
        <v>1693</v>
      </c>
      <c r="V2131" s="77" t="str">
        <f>HYPERLINK("https://pbs.twimg.com/profile_images/1009261264223264768/mdHH-D25_normal.jpg")</f>
        <v>https://pbs.twimg.com/profile_images/1009261264223264768/mdHH-D25_normal.jpg</v>
      </c>
      <c r="W2131" s="76">
        <v>44958.870057870372</v>
      </c>
      <c r="X2131" s="80">
        <v>44958</v>
      </c>
      <c r="Y2131" s="78" t="s">
        <v>2875</v>
      </c>
      <c r="Z2131" s="77" t="str">
        <f>HYPERLINK("https://twitter.com/thecarterfilez/status/1620887936408637440")</f>
        <v>https://twitter.com/thecarterfilez/status/1620887936408637440</v>
      </c>
      <c r="AC2131" s="78" t="s">
        <v>3940</v>
      </c>
      <c r="AE2131" t="b">
        <v>0</v>
      </c>
      <c r="AF2131">
        <v>0</v>
      </c>
      <c r="AG2131" s="78" t="s">
        <v>4640</v>
      </c>
      <c r="AH2131" t="b">
        <v>0</v>
      </c>
      <c r="AI2131" t="s">
        <v>4829</v>
      </c>
      <c r="AK2131" s="78" t="s">
        <v>4640</v>
      </c>
      <c r="AL2131" t="b">
        <v>0</v>
      </c>
      <c r="AM2131">
        <v>162</v>
      </c>
      <c r="AN2131" s="78" t="s">
        <v>4473</v>
      </c>
      <c r="AO2131" s="78" t="s">
        <v>4851</v>
      </c>
      <c r="AP2131" t="b">
        <v>0</v>
      </c>
      <c r="AQ2131" s="78" t="s">
        <v>4473</v>
      </c>
      <c r="AR2131" t="s">
        <v>179</v>
      </c>
      <c r="AS2131">
        <v>0</v>
      </c>
      <c r="AT2131">
        <v>0</v>
      </c>
    </row>
    <row r="2132" spans="1:46" x14ac:dyDescent="0.45">
      <c r="A2132" s="62" t="s">
        <v>675</v>
      </c>
      <c r="B2132" s="62" t="s">
        <v>1230</v>
      </c>
      <c r="C2132" s="63"/>
      <c r="D2132" s="64"/>
      <c r="E2132" s="65"/>
      <c r="F2132" s="66"/>
      <c r="G2132" s="63"/>
      <c r="H2132" s="67"/>
      <c r="I2132" s="68"/>
      <c r="J2132" s="68"/>
      <c r="K2132" s="32"/>
      <c r="L2132" s="75"/>
      <c r="M2132" s="75"/>
      <c r="N2132" s="70"/>
      <c r="O2132" t="s">
        <v>1570</v>
      </c>
      <c r="P2132" s="76">
        <v>44958.871990740743</v>
      </c>
      <c r="Q2132" t="s">
        <v>1693</v>
      </c>
      <c r="V2132" s="77" t="str">
        <f>HYPERLINK("https://pbs.twimg.com/profile_images/1305915665157632001/8cp-Wb-v_normal.jpg")</f>
        <v>https://pbs.twimg.com/profile_images/1305915665157632001/8cp-Wb-v_normal.jpg</v>
      </c>
      <c r="W2132" s="76">
        <v>44958.871990740743</v>
      </c>
      <c r="X2132" s="80">
        <v>44958</v>
      </c>
      <c r="Y2132" s="78" t="s">
        <v>2876</v>
      </c>
      <c r="Z2132" s="77" t="str">
        <f>HYPERLINK("https://twitter.com/jramon23190792/status/1620888638455422977")</f>
        <v>https://twitter.com/jramon23190792/status/1620888638455422977</v>
      </c>
      <c r="AC2132" s="78" t="s">
        <v>3941</v>
      </c>
      <c r="AE2132" t="b">
        <v>0</v>
      </c>
      <c r="AF2132">
        <v>0</v>
      </c>
      <c r="AG2132" s="78" t="s">
        <v>4640</v>
      </c>
      <c r="AH2132" t="b">
        <v>0</v>
      </c>
      <c r="AI2132" t="s">
        <v>4829</v>
      </c>
      <c r="AK2132" s="78" t="s">
        <v>4640</v>
      </c>
      <c r="AL2132" t="b">
        <v>0</v>
      </c>
      <c r="AM2132">
        <v>162</v>
      </c>
      <c r="AN2132" s="78" t="s">
        <v>4473</v>
      </c>
      <c r="AO2132" s="78" t="s">
        <v>4849</v>
      </c>
      <c r="AP2132" t="b">
        <v>0</v>
      </c>
      <c r="AQ2132" s="78" t="s">
        <v>4473</v>
      </c>
      <c r="AR2132" t="s">
        <v>179</v>
      </c>
      <c r="AS2132">
        <v>0</v>
      </c>
      <c r="AT2132">
        <v>0</v>
      </c>
    </row>
    <row r="2133" spans="1:46" x14ac:dyDescent="0.45">
      <c r="A2133" s="62" t="s">
        <v>675</v>
      </c>
      <c r="B2133" s="62" t="s">
        <v>242</v>
      </c>
      <c r="C2133" s="63"/>
      <c r="D2133" s="64"/>
      <c r="E2133" s="65"/>
      <c r="F2133" s="66"/>
      <c r="G2133" s="63"/>
      <c r="H2133" s="67"/>
      <c r="I2133" s="68"/>
      <c r="J2133" s="68"/>
      <c r="K2133" s="32"/>
      <c r="L2133" s="75"/>
      <c r="M2133" s="75"/>
      <c r="N2133" s="70"/>
      <c r="O2133" t="s">
        <v>1569</v>
      </c>
      <c r="P2133" s="76">
        <v>44958.871990740743</v>
      </c>
      <c r="Q2133" t="s">
        <v>1693</v>
      </c>
      <c r="V2133" s="77" t="str">
        <f>HYPERLINK("https://pbs.twimg.com/profile_images/1305915665157632001/8cp-Wb-v_normal.jpg")</f>
        <v>https://pbs.twimg.com/profile_images/1305915665157632001/8cp-Wb-v_normal.jpg</v>
      </c>
      <c r="W2133" s="76">
        <v>44958.871990740743</v>
      </c>
      <c r="X2133" s="80">
        <v>44958</v>
      </c>
      <c r="Y2133" s="78" t="s">
        <v>2876</v>
      </c>
      <c r="Z2133" s="77" t="str">
        <f>HYPERLINK("https://twitter.com/jramon23190792/status/1620888638455422977")</f>
        <v>https://twitter.com/jramon23190792/status/1620888638455422977</v>
      </c>
      <c r="AC2133" s="78" t="s">
        <v>3941</v>
      </c>
      <c r="AE2133" t="b">
        <v>0</v>
      </c>
      <c r="AF2133">
        <v>0</v>
      </c>
      <c r="AG2133" s="78" t="s">
        <v>4640</v>
      </c>
      <c r="AH2133" t="b">
        <v>0</v>
      </c>
      <c r="AI2133" t="s">
        <v>4829</v>
      </c>
      <c r="AK2133" s="78" t="s">
        <v>4640</v>
      </c>
      <c r="AL2133" t="b">
        <v>0</v>
      </c>
      <c r="AM2133">
        <v>162</v>
      </c>
      <c r="AN2133" s="78" t="s">
        <v>4473</v>
      </c>
      <c r="AO2133" s="78" t="s">
        <v>4849</v>
      </c>
      <c r="AP2133" t="b">
        <v>0</v>
      </c>
      <c r="AQ2133" s="78" t="s">
        <v>4473</v>
      </c>
      <c r="AR2133" t="s">
        <v>179</v>
      </c>
      <c r="AS2133">
        <v>0</v>
      </c>
      <c r="AT2133">
        <v>0</v>
      </c>
    </row>
    <row r="2134" spans="1:46" x14ac:dyDescent="0.45">
      <c r="A2134" s="62" t="s">
        <v>677</v>
      </c>
      <c r="B2134" s="62" t="s">
        <v>1230</v>
      </c>
      <c r="C2134" s="63"/>
      <c r="D2134" s="64"/>
      <c r="E2134" s="65"/>
      <c r="F2134" s="66"/>
      <c r="G2134" s="63"/>
      <c r="H2134" s="67"/>
      <c r="I2134" s="68"/>
      <c r="J2134" s="68"/>
      <c r="K2134" s="32"/>
      <c r="L2134" s="75"/>
      <c r="M2134" s="75"/>
      <c r="N2134" s="70"/>
      <c r="O2134" t="s">
        <v>1570</v>
      </c>
      <c r="P2134" s="76">
        <v>44958.875844907408</v>
      </c>
      <c r="Q2134" t="s">
        <v>1693</v>
      </c>
      <c r="V2134" s="77" t="str">
        <f>HYPERLINK("https://pbs.twimg.com/profile_images/1497986333188448257/SMo_xv3t_normal.jpg")</f>
        <v>https://pbs.twimg.com/profile_images/1497986333188448257/SMo_xv3t_normal.jpg</v>
      </c>
      <c r="W2134" s="76">
        <v>44958.875844907408</v>
      </c>
      <c r="X2134" s="80">
        <v>44958</v>
      </c>
      <c r="Y2134" s="78" t="s">
        <v>2878</v>
      </c>
      <c r="Z2134" s="77" t="str">
        <f>HYPERLINK("https://twitter.com/imchrisenriquez/status/1620890034714079233")</f>
        <v>https://twitter.com/imchrisenriquez/status/1620890034714079233</v>
      </c>
      <c r="AC2134" s="78" t="s">
        <v>3943</v>
      </c>
      <c r="AE2134" t="b">
        <v>0</v>
      </c>
      <c r="AF2134">
        <v>0</v>
      </c>
      <c r="AG2134" s="78" t="s">
        <v>4640</v>
      </c>
      <c r="AH2134" t="b">
        <v>0</v>
      </c>
      <c r="AI2134" t="s">
        <v>4829</v>
      </c>
      <c r="AK2134" s="78" t="s">
        <v>4640</v>
      </c>
      <c r="AL2134" t="b">
        <v>0</v>
      </c>
      <c r="AM2134">
        <v>162</v>
      </c>
      <c r="AN2134" s="78" t="s">
        <v>4473</v>
      </c>
      <c r="AO2134" s="78" t="s">
        <v>4849</v>
      </c>
      <c r="AP2134" t="b">
        <v>0</v>
      </c>
      <c r="AQ2134" s="78" t="s">
        <v>4473</v>
      </c>
      <c r="AR2134" t="s">
        <v>179</v>
      </c>
      <c r="AS2134">
        <v>0</v>
      </c>
      <c r="AT2134">
        <v>0</v>
      </c>
    </row>
    <row r="2135" spans="1:46" x14ac:dyDescent="0.45">
      <c r="A2135" s="62" t="s">
        <v>677</v>
      </c>
      <c r="B2135" s="62" t="s">
        <v>242</v>
      </c>
      <c r="C2135" s="63"/>
      <c r="D2135" s="64"/>
      <c r="E2135" s="65"/>
      <c r="F2135" s="66"/>
      <c r="G2135" s="63"/>
      <c r="H2135" s="67"/>
      <c r="I2135" s="68"/>
      <c r="J2135" s="68"/>
      <c r="K2135" s="32"/>
      <c r="L2135" s="75"/>
      <c r="M2135" s="75"/>
      <c r="N2135" s="70"/>
      <c r="O2135" t="s">
        <v>1569</v>
      </c>
      <c r="P2135" s="76">
        <v>44958.875844907408</v>
      </c>
      <c r="Q2135" t="s">
        <v>1693</v>
      </c>
      <c r="V2135" s="77" t="str">
        <f>HYPERLINK("https://pbs.twimg.com/profile_images/1497986333188448257/SMo_xv3t_normal.jpg")</f>
        <v>https://pbs.twimg.com/profile_images/1497986333188448257/SMo_xv3t_normal.jpg</v>
      </c>
      <c r="W2135" s="76">
        <v>44958.875844907408</v>
      </c>
      <c r="X2135" s="80">
        <v>44958</v>
      </c>
      <c r="Y2135" s="78" t="s">
        <v>2878</v>
      </c>
      <c r="Z2135" s="77" t="str">
        <f>HYPERLINK("https://twitter.com/imchrisenriquez/status/1620890034714079233")</f>
        <v>https://twitter.com/imchrisenriquez/status/1620890034714079233</v>
      </c>
      <c r="AC2135" s="78" t="s">
        <v>3943</v>
      </c>
      <c r="AE2135" t="b">
        <v>0</v>
      </c>
      <c r="AF2135">
        <v>0</v>
      </c>
      <c r="AG2135" s="78" t="s">
        <v>4640</v>
      </c>
      <c r="AH2135" t="b">
        <v>0</v>
      </c>
      <c r="AI2135" t="s">
        <v>4829</v>
      </c>
      <c r="AK2135" s="78" t="s">
        <v>4640</v>
      </c>
      <c r="AL2135" t="b">
        <v>0</v>
      </c>
      <c r="AM2135">
        <v>162</v>
      </c>
      <c r="AN2135" s="78" t="s">
        <v>4473</v>
      </c>
      <c r="AO2135" s="78" t="s">
        <v>4849</v>
      </c>
      <c r="AP2135" t="b">
        <v>0</v>
      </c>
      <c r="AQ2135" s="78" t="s">
        <v>4473</v>
      </c>
      <c r="AR2135" t="s">
        <v>179</v>
      </c>
      <c r="AS2135">
        <v>0</v>
      </c>
      <c r="AT2135">
        <v>0</v>
      </c>
    </row>
    <row r="2136" spans="1:46" x14ac:dyDescent="0.45">
      <c r="A2136" s="62" t="s">
        <v>684</v>
      </c>
      <c r="B2136" s="62" t="s">
        <v>1230</v>
      </c>
      <c r="C2136" s="63"/>
      <c r="D2136" s="64"/>
      <c r="E2136" s="65"/>
      <c r="F2136" s="66"/>
      <c r="G2136" s="63"/>
      <c r="H2136" s="67"/>
      <c r="I2136" s="68"/>
      <c r="J2136" s="68"/>
      <c r="K2136" s="32"/>
      <c r="L2136" s="75"/>
      <c r="M2136" s="75"/>
      <c r="N2136" s="70"/>
      <c r="O2136" t="s">
        <v>1568</v>
      </c>
      <c r="P2136" s="76">
        <v>44958.777662037035</v>
      </c>
      <c r="Q2136" t="s">
        <v>1869</v>
      </c>
      <c r="V2136" s="77" t="str">
        <f>HYPERLINK("https://pbs.twimg.com/profile_images/1603829117320822792/IEA7cm1y_normal.png")</f>
        <v>https://pbs.twimg.com/profile_images/1603829117320822792/IEA7cm1y_normal.png</v>
      </c>
      <c r="W2136" s="76">
        <v>44958.777662037035</v>
      </c>
      <c r="X2136" s="80">
        <v>44958</v>
      </c>
      <c r="Y2136" s="78" t="s">
        <v>2885</v>
      </c>
      <c r="Z2136" s="77" t="str">
        <f>HYPERLINK("https://twitter.com/mmarsh222/status/1620854454995255299")</f>
        <v>https://twitter.com/mmarsh222/status/1620854454995255299</v>
      </c>
      <c r="AC2136" s="78" t="s">
        <v>3950</v>
      </c>
      <c r="AD2136" s="78" t="s">
        <v>4473</v>
      </c>
      <c r="AE2136" t="b">
        <v>0</v>
      </c>
      <c r="AF2136">
        <v>0</v>
      </c>
      <c r="AG2136" s="78" t="s">
        <v>4639</v>
      </c>
      <c r="AH2136" t="b">
        <v>0</v>
      </c>
      <c r="AI2136" t="s">
        <v>4829</v>
      </c>
      <c r="AK2136" s="78" t="s">
        <v>4640</v>
      </c>
      <c r="AL2136" t="b">
        <v>0</v>
      </c>
      <c r="AM2136">
        <v>0</v>
      </c>
      <c r="AN2136" s="78" t="s">
        <v>4640</v>
      </c>
      <c r="AO2136" s="78" t="s">
        <v>4850</v>
      </c>
      <c r="AP2136" t="b">
        <v>0</v>
      </c>
      <c r="AQ2136" s="78" t="s">
        <v>4473</v>
      </c>
      <c r="AR2136" t="s">
        <v>179</v>
      </c>
      <c r="AS2136">
        <v>0</v>
      </c>
      <c r="AT2136">
        <v>0</v>
      </c>
    </row>
    <row r="2137" spans="1:46" x14ac:dyDescent="0.45">
      <c r="A2137" s="62" t="s">
        <v>684</v>
      </c>
      <c r="B2137" s="62" t="s">
        <v>242</v>
      </c>
      <c r="C2137" s="63"/>
      <c r="D2137" s="64"/>
      <c r="E2137" s="65"/>
      <c r="F2137" s="66"/>
      <c r="G2137" s="63"/>
      <c r="H2137" s="67"/>
      <c r="I2137" s="68"/>
      <c r="J2137" s="68"/>
      <c r="K2137" s="32"/>
      <c r="L2137" s="75"/>
      <c r="M2137" s="75"/>
      <c r="N2137" s="70"/>
      <c r="O2137" t="s">
        <v>1567</v>
      </c>
      <c r="P2137" s="76">
        <v>44958.777662037035</v>
      </c>
      <c r="Q2137" t="s">
        <v>1869</v>
      </c>
      <c r="V2137" s="77" t="str">
        <f>HYPERLINK("https://pbs.twimg.com/profile_images/1603829117320822792/IEA7cm1y_normal.png")</f>
        <v>https://pbs.twimg.com/profile_images/1603829117320822792/IEA7cm1y_normal.png</v>
      </c>
      <c r="W2137" s="76">
        <v>44958.777662037035</v>
      </c>
      <c r="X2137" s="80">
        <v>44958</v>
      </c>
      <c r="Y2137" s="78" t="s">
        <v>2885</v>
      </c>
      <c r="Z2137" s="77" t="str">
        <f>HYPERLINK("https://twitter.com/mmarsh222/status/1620854454995255299")</f>
        <v>https://twitter.com/mmarsh222/status/1620854454995255299</v>
      </c>
      <c r="AC2137" s="78" t="s">
        <v>3950</v>
      </c>
      <c r="AD2137" s="78" t="s">
        <v>4473</v>
      </c>
      <c r="AE2137" t="b">
        <v>0</v>
      </c>
      <c r="AF2137">
        <v>0</v>
      </c>
      <c r="AG2137" s="78" t="s">
        <v>4639</v>
      </c>
      <c r="AH2137" t="b">
        <v>0</v>
      </c>
      <c r="AI2137" t="s">
        <v>4829</v>
      </c>
      <c r="AK2137" s="78" t="s">
        <v>4640</v>
      </c>
      <c r="AL2137" t="b">
        <v>0</v>
      </c>
      <c r="AM2137">
        <v>0</v>
      </c>
      <c r="AN2137" s="78" t="s">
        <v>4640</v>
      </c>
      <c r="AO2137" s="78" t="s">
        <v>4850</v>
      </c>
      <c r="AP2137" t="b">
        <v>0</v>
      </c>
      <c r="AQ2137" s="78" t="s">
        <v>4473</v>
      </c>
      <c r="AR2137" t="s">
        <v>179</v>
      </c>
      <c r="AS2137">
        <v>0</v>
      </c>
      <c r="AT2137">
        <v>0</v>
      </c>
    </row>
    <row r="2138" spans="1:46" x14ac:dyDescent="0.45">
      <c r="A2138" s="62" t="s">
        <v>684</v>
      </c>
      <c r="B2138" s="62" t="s">
        <v>242</v>
      </c>
      <c r="C2138" s="63"/>
      <c r="D2138" s="64"/>
      <c r="E2138" s="65"/>
      <c r="F2138" s="66"/>
      <c r="G2138" s="63"/>
      <c r="H2138" s="67"/>
      <c r="I2138" s="68"/>
      <c r="J2138" s="68"/>
      <c r="K2138" s="32"/>
      <c r="L2138" s="75"/>
      <c r="M2138" s="75"/>
      <c r="N2138" s="70"/>
      <c r="O2138" t="s">
        <v>1567</v>
      </c>
      <c r="P2138" s="76">
        <v>44958.879189814812</v>
      </c>
      <c r="Q2138" t="s">
        <v>1870</v>
      </c>
      <c r="V2138" s="77" t="str">
        <f>HYPERLINK("https://pbs.twimg.com/profile_images/1603829117320822792/IEA7cm1y_normal.png")</f>
        <v>https://pbs.twimg.com/profile_images/1603829117320822792/IEA7cm1y_normal.png</v>
      </c>
      <c r="W2138" s="76">
        <v>44958.879189814812</v>
      </c>
      <c r="X2138" s="80">
        <v>44958</v>
      </c>
      <c r="Y2138" s="78" t="s">
        <v>2886</v>
      </c>
      <c r="Z2138" s="77" t="str">
        <f>HYPERLINK("https://twitter.com/mmarsh222/status/1620891244665896961")</f>
        <v>https://twitter.com/mmarsh222/status/1620891244665896961</v>
      </c>
      <c r="AC2138" s="78" t="s">
        <v>3951</v>
      </c>
      <c r="AD2138" s="78" t="s">
        <v>4495</v>
      </c>
      <c r="AE2138" t="b">
        <v>0</v>
      </c>
      <c r="AF2138">
        <v>0</v>
      </c>
      <c r="AG2138" s="78" t="s">
        <v>4639</v>
      </c>
      <c r="AH2138" t="b">
        <v>0</v>
      </c>
      <c r="AI2138" t="s">
        <v>4829</v>
      </c>
      <c r="AK2138" s="78" t="s">
        <v>4640</v>
      </c>
      <c r="AL2138" t="b">
        <v>0</v>
      </c>
      <c r="AM2138">
        <v>0</v>
      </c>
      <c r="AN2138" s="78" t="s">
        <v>4640</v>
      </c>
      <c r="AO2138" s="78" t="s">
        <v>4850</v>
      </c>
      <c r="AP2138" t="b">
        <v>0</v>
      </c>
      <c r="AQ2138" s="78" t="s">
        <v>4495</v>
      </c>
      <c r="AR2138" t="s">
        <v>179</v>
      </c>
      <c r="AS2138">
        <v>0</v>
      </c>
      <c r="AT2138">
        <v>0</v>
      </c>
    </row>
    <row r="2139" spans="1:46" x14ac:dyDescent="0.45">
      <c r="A2139" s="62" t="s">
        <v>685</v>
      </c>
      <c r="B2139" s="62" t="s">
        <v>1329</v>
      </c>
      <c r="C2139" s="63"/>
      <c r="D2139" s="64"/>
      <c r="E2139" s="65"/>
      <c r="F2139" s="66"/>
      <c r="G2139" s="63"/>
      <c r="H2139" s="67"/>
      <c r="I2139" s="68"/>
      <c r="J2139" s="68"/>
      <c r="K2139" s="32"/>
      <c r="L2139" s="75"/>
      <c r="M2139" s="75"/>
      <c r="N2139" s="70"/>
      <c r="O2139" t="s">
        <v>1568</v>
      </c>
      <c r="P2139" s="76">
        <v>44958.883437500001</v>
      </c>
      <c r="Q2139" t="s">
        <v>1871</v>
      </c>
      <c r="V2139" s="77" t="str">
        <f>HYPERLINK("https://pbs.twimg.com/profile_images/1353522375074193408/TJXfddEf_normal.jpg")</f>
        <v>https://pbs.twimg.com/profile_images/1353522375074193408/TJXfddEf_normal.jpg</v>
      </c>
      <c r="W2139" s="76">
        <v>44958.883437500001</v>
      </c>
      <c r="X2139" s="80">
        <v>44958</v>
      </c>
      <c r="Y2139" s="78" t="s">
        <v>2887</v>
      </c>
      <c r="Z2139" s="77" t="str">
        <f>HYPERLINK("https://twitter.com/cartercheeks/status/1620892785141506048")</f>
        <v>https://twitter.com/cartercheeks/status/1620892785141506048</v>
      </c>
      <c r="AC2139" s="78" t="s">
        <v>3952</v>
      </c>
      <c r="AE2139" t="b">
        <v>0</v>
      </c>
      <c r="AF2139">
        <v>0</v>
      </c>
      <c r="AG2139" s="78" t="s">
        <v>4727</v>
      </c>
      <c r="AH2139" t="b">
        <v>0</v>
      </c>
      <c r="AI2139" t="s">
        <v>4829</v>
      </c>
      <c r="AK2139" s="78" t="s">
        <v>4640</v>
      </c>
      <c r="AL2139" t="b">
        <v>0</v>
      </c>
      <c r="AM2139">
        <v>0</v>
      </c>
      <c r="AN2139" s="78" t="s">
        <v>4640</v>
      </c>
      <c r="AO2139" s="78" t="s">
        <v>4851</v>
      </c>
      <c r="AP2139" t="b">
        <v>0</v>
      </c>
      <c r="AQ2139" s="78" t="s">
        <v>3952</v>
      </c>
      <c r="AR2139" t="s">
        <v>179</v>
      </c>
      <c r="AS2139">
        <v>0</v>
      </c>
      <c r="AT2139">
        <v>0</v>
      </c>
    </row>
    <row r="2140" spans="1:46" x14ac:dyDescent="0.45">
      <c r="A2140" s="62" t="s">
        <v>685</v>
      </c>
      <c r="B2140" s="62" t="s">
        <v>1330</v>
      </c>
      <c r="C2140" s="63"/>
      <c r="D2140" s="64"/>
      <c r="E2140" s="65"/>
      <c r="F2140" s="66"/>
      <c r="G2140" s="63"/>
      <c r="H2140" s="67"/>
      <c r="I2140" s="68"/>
      <c r="J2140" s="68"/>
      <c r="K2140" s="32"/>
      <c r="L2140" s="75"/>
      <c r="M2140" s="75"/>
      <c r="N2140" s="70"/>
      <c r="O2140" t="s">
        <v>1568</v>
      </c>
      <c r="P2140" s="76">
        <v>44958.883437500001</v>
      </c>
      <c r="Q2140" t="s">
        <v>1871</v>
      </c>
      <c r="V2140" s="77" t="str">
        <f>HYPERLINK("https://pbs.twimg.com/profile_images/1353522375074193408/TJXfddEf_normal.jpg")</f>
        <v>https://pbs.twimg.com/profile_images/1353522375074193408/TJXfddEf_normal.jpg</v>
      </c>
      <c r="W2140" s="76">
        <v>44958.883437500001</v>
      </c>
      <c r="X2140" s="80">
        <v>44958</v>
      </c>
      <c r="Y2140" s="78" t="s">
        <v>2887</v>
      </c>
      <c r="Z2140" s="77" t="str">
        <f>HYPERLINK("https://twitter.com/cartercheeks/status/1620892785141506048")</f>
        <v>https://twitter.com/cartercheeks/status/1620892785141506048</v>
      </c>
      <c r="AC2140" s="78" t="s">
        <v>3952</v>
      </c>
      <c r="AE2140" t="b">
        <v>0</v>
      </c>
      <c r="AF2140">
        <v>0</v>
      </c>
      <c r="AG2140" s="78" t="s">
        <v>4727</v>
      </c>
      <c r="AH2140" t="b">
        <v>0</v>
      </c>
      <c r="AI2140" t="s">
        <v>4829</v>
      </c>
      <c r="AK2140" s="78" t="s">
        <v>4640</v>
      </c>
      <c r="AL2140" t="b">
        <v>0</v>
      </c>
      <c r="AM2140">
        <v>0</v>
      </c>
      <c r="AN2140" s="78" t="s">
        <v>4640</v>
      </c>
      <c r="AO2140" s="78" t="s">
        <v>4851</v>
      </c>
      <c r="AP2140" t="b">
        <v>0</v>
      </c>
      <c r="AQ2140" s="78" t="s">
        <v>3952</v>
      </c>
      <c r="AR2140" t="s">
        <v>179</v>
      </c>
      <c r="AS2140">
        <v>0</v>
      </c>
      <c r="AT2140">
        <v>0</v>
      </c>
    </row>
    <row r="2141" spans="1:46" x14ac:dyDescent="0.45">
      <c r="A2141" s="62" t="s">
        <v>685</v>
      </c>
      <c r="B2141" s="62" t="s">
        <v>1331</v>
      </c>
      <c r="C2141" s="63"/>
      <c r="D2141" s="64"/>
      <c r="E2141" s="65"/>
      <c r="F2141" s="66"/>
      <c r="G2141" s="63"/>
      <c r="H2141" s="67"/>
      <c r="I2141" s="68"/>
      <c r="J2141" s="68"/>
      <c r="K2141" s="32"/>
      <c r="L2141" s="75"/>
      <c r="M2141" s="75"/>
      <c r="N2141" s="70"/>
      <c r="O2141" t="s">
        <v>1568</v>
      </c>
      <c r="P2141" s="76">
        <v>44958.883437500001</v>
      </c>
      <c r="Q2141" t="s">
        <v>1871</v>
      </c>
      <c r="V2141" s="77" t="str">
        <f>HYPERLINK("https://pbs.twimg.com/profile_images/1353522375074193408/TJXfddEf_normal.jpg")</f>
        <v>https://pbs.twimg.com/profile_images/1353522375074193408/TJXfddEf_normal.jpg</v>
      </c>
      <c r="W2141" s="76">
        <v>44958.883437500001</v>
      </c>
      <c r="X2141" s="80">
        <v>44958</v>
      </c>
      <c r="Y2141" s="78" t="s">
        <v>2887</v>
      </c>
      <c r="Z2141" s="77" t="str">
        <f>HYPERLINK("https://twitter.com/cartercheeks/status/1620892785141506048")</f>
        <v>https://twitter.com/cartercheeks/status/1620892785141506048</v>
      </c>
      <c r="AC2141" s="78" t="s">
        <v>3952</v>
      </c>
      <c r="AE2141" t="b">
        <v>0</v>
      </c>
      <c r="AF2141">
        <v>0</v>
      </c>
      <c r="AG2141" s="78" t="s">
        <v>4727</v>
      </c>
      <c r="AH2141" t="b">
        <v>0</v>
      </c>
      <c r="AI2141" t="s">
        <v>4829</v>
      </c>
      <c r="AK2141" s="78" t="s">
        <v>4640</v>
      </c>
      <c r="AL2141" t="b">
        <v>0</v>
      </c>
      <c r="AM2141">
        <v>0</v>
      </c>
      <c r="AN2141" s="78" t="s">
        <v>4640</v>
      </c>
      <c r="AO2141" s="78" t="s">
        <v>4851</v>
      </c>
      <c r="AP2141" t="b">
        <v>0</v>
      </c>
      <c r="AQ2141" s="78" t="s">
        <v>3952</v>
      </c>
      <c r="AR2141" t="s">
        <v>179</v>
      </c>
      <c r="AS2141">
        <v>0</v>
      </c>
      <c r="AT2141">
        <v>0</v>
      </c>
    </row>
    <row r="2142" spans="1:46" x14ac:dyDescent="0.45">
      <c r="A2142" s="62" t="s">
        <v>685</v>
      </c>
      <c r="B2142" s="62" t="s">
        <v>1332</v>
      </c>
      <c r="C2142" s="63"/>
      <c r="D2142" s="64"/>
      <c r="E2142" s="65"/>
      <c r="F2142" s="66"/>
      <c r="G2142" s="63"/>
      <c r="H2142" s="67"/>
      <c r="I2142" s="68"/>
      <c r="J2142" s="68"/>
      <c r="K2142" s="32"/>
      <c r="L2142" s="75"/>
      <c r="M2142" s="75"/>
      <c r="N2142" s="70"/>
      <c r="O2142" t="s">
        <v>1568</v>
      </c>
      <c r="P2142" s="76">
        <v>44958.883437500001</v>
      </c>
      <c r="Q2142" t="s">
        <v>1871</v>
      </c>
      <c r="V2142" s="77" t="str">
        <f>HYPERLINK("https://pbs.twimg.com/profile_images/1353522375074193408/TJXfddEf_normal.jpg")</f>
        <v>https://pbs.twimg.com/profile_images/1353522375074193408/TJXfddEf_normal.jpg</v>
      </c>
      <c r="W2142" s="76">
        <v>44958.883437500001</v>
      </c>
      <c r="X2142" s="80">
        <v>44958</v>
      </c>
      <c r="Y2142" s="78" t="s">
        <v>2887</v>
      </c>
      <c r="Z2142" s="77" t="str">
        <f>HYPERLINK("https://twitter.com/cartercheeks/status/1620892785141506048")</f>
        <v>https://twitter.com/cartercheeks/status/1620892785141506048</v>
      </c>
      <c r="AC2142" s="78" t="s">
        <v>3952</v>
      </c>
      <c r="AE2142" t="b">
        <v>0</v>
      </c>
      <c r="AF2142">
        <v>0</v>
      </c>
      <c r="AG2142" s="78" t="s">
        <v>4727</v>
      </c>
      <c r="AH2142" t="b">
        <v>0</v>
      </c>
      <c r="AI2142" t="s">
        <v>4829</v>
      </c>
      <c r="AK2142" s="78" t="s">
        <v>4640</v>
      </c>
      <c r="AL2142" t="b">
        <v>0</v>
      </c>
      <c r="AM2142">
        <v>0</v>
      </c>
      <c r="AN2142" s="78" t="s">
        <v>4640</v>
      </c>
      <c r="AO2142" s="78" t="s">
        <v>4851</v>
      </c>
      <c r="AP2142" t="b">
        <v>0</v>
      </c>
      <c r="AQ2142" s="78" t="s">
        <v>3952</v>
      </c>
      <c r="AR2142" t="s">
        <v>179</v>
      </c>
      <c r="AS2142">
        <v>0</v>
      </c>
      <c r="AT2142">
        <v>0</v>
      </c>
    </row>
    <row r="2143" spans="1:46" x14ac:dyDescent="0.45">
      <c r="A2143" s="62" t="s">
        <v>685</v>
      </c>
      <c r="B2143" s="62" t="s">
        <v>1333</v>
      </c>
      <c r="C2143" s="63"/>
      <c r="D2143" s="64"/>
      <c r="E2143" s="65"/>
      <c r="F2143" s="66"/>
      <c r="G2143" s="63"/>
      <c r="H2143" s="67"/>
      <c r="I2143" s="68"/>
      <c r="J2143" s="68"/>
      <c r="K2143" s="32"/>
      <c r="L2143" s="75"/>
      <c r="M2143" s="75"/>
      <c r="N2143" s="70"/>
      <c r="O2143" t="s">
        <v>1568</v>
      </c>
      <c r="P2143" s="76">
        <v>44958.883437500001</v>
      </c>
      <c r="Q2143" t="s">
        <v>1871</v>
      </c>
      <c r="V2143" s="77" t="str">
        <f>HYPERLINK("https://pbs.twimg.com/profile_images/1353522375074193408/TJXfddEf_normal.jpg")</f>
        <v>https://pbs.twimg.com/profile_images/1353522375074193408/TJXfddEf_normal.jpg</v>
      </c>
      <c r="W2143" s="76">
        <v>44958.883437500001</v>
      </c>
      <c r="X2143" s="80">
        <v>44958</v>
      </c>
      <c r="Y2143" s="78" t="s">
        <v>2887</v>
      </c>
      <c r="Z2143" s="77" t="str">
        <f>HYPERLINK("https://twitter.com/cartercheeks/status/1620892785141506048")</f>
        <v>https://twitter.com/cartercheeks/status/1620892785141506048</v>
      </c>
      <c r="AC2143" s="78" t="s">
        <v>3952</v>
      </c>
      <c r="AE2143" t="b">
        <v>0</v>
      </c>
      <c r="AF2143">
        <v>0</v>
      </c>
      <c r="AG2143" s="78" t="s">
        <v>4727</v>
      </c>
      <c r="AH2143" t="b">
        <v>0</v>
      </c>
      <c r="AI2143" t="s">
        <v>4829</v>
      </c>
      <c r="AK2143" s="78" t="s">
        <v>4640</v>
      </c>
      <c r="AL2143" t="b">
        <v>0</v>
      </c>
      <c r="AM2143">
        <v>0</v>
      </c>
      <c r="AN2143" s="78" t="s">
        <v>4640</v>
      </c>
      <c r="AO2143" s="78" t="s">
        <v>4851</v>
      </c>
      <c r="AP2143" t="b">
        <v>0</v>
      </c>
      <c r="AQ2143" s="78" t="s">
        <v>3952</v>
      </c>
      <c r="AR2143" t="s">
        <v>179</v>
      </c>
      <c r="AS2143">
        <v>0</v>
      </c>
      <c r="AT2143">
        <v>0</v>
      </c>
    </row>
    <row r="2144" spans="1:46" x14ac:dyDescent="0.45">
      <c r="A2144" s="62" t="s">
        <v>685</v>
      </c>
      <c r="B2144" s="62" t="s">
        <v>1334</v>
      </c>
      <c r="C2144" s="63"/>
      <c r="D2144" s="64"/>
      <c r="E2144" s="65"/>
      <c r="F2144" s="66"/>
      <c r="G2144" s="63"/>
      <c r="H2144" s="67"/>
      <c r="I2144" s="68"/>
      <c r="J2144" s="68"/>
      <c r="K2144" s="32"/>
      <c r="L2144" s="75"/>
      <c r="M2144" s="75"/>
      <c r="N2144" s="70"/>
      <c r="O2144" t="s">
        <v>1568</v>
      </c>
      <c r="P2144" s="76">
        <v>44958.883437500001</v>
      </c>
      <c r="Q2144" t="s">
        <v>1871</v>
      </c>
      <c r="V2144" s="77" t="str">
        <f>HYPERLINK("https://pbs.twimg.com/profile_images/1353522375074193408/TJXfddEf_normal.jpg")</f>
        <v>https://pbs.twimg.com/profile_images/1353522375074193408/TJXfddEf_normal.jpg</v>
      </c>
      <c r="W2144" s="76">
        <v>44958.883437500001</v>
      </c>
      <c r="X2144" s="80">
        <v>44958</v>
      </c>
      <c r="Y2144" s="78" t="s">
        <v>2887</v>
      </c>
      <c r="Z2144" s="77" t="str">
        <f>HYPERLINK("https://twitter.com/cartercheeks/status/1620892785141506048")</f>
        <v>https://twitter.com/cartercheeks/status/1620892785141506048</v>
      </c>
      <c r="AC2144" s="78" t="s">
        <v>3952</v>
      </c>
      <c r="AE2144" t="b">
        <v>0</v>
      </c>
      <c r="AF2144">
        <v>0</v>
      </c>
      <c r="AG2144" s="78" t="s">
        <v>4727</v>
      </c>
      <c r="AH2144" t="b">
        <v>0</v>
      </c>
      <c r="AI2144" t="s">
        <v>4829</v>
      </c>
      <c r="AK2144" s="78" t="s">
        <v>4640</v>
      </c>
      <c r="AL2144" t="b">
        <v>0</v>
      </c>
      <c r="AM2144">
        <v>0</v>
      </c>
      <c r="AN2144" s="78" t="s">
        <v>4640</v>
      </c>
      <c r="AO2144" s="78" t="s">
        <v>4851</v>
      </c>
      <c r="AP2144" t="b">
        <v>0</v>
      </c>
      <c r="AQ2144" s="78" t="s">
        <v>3952</v>
      </c>
      <c r="AR2144" t="s">
        <v>179</v>
      </c>
      <c r="AS2144">
        <v>0</v>
      </c>
      <c r="AT2144">
        <v>0</v>
      </c>
    </row>
    <row r="2145" spans="1:46" x14ac:dyDescent="0.45">
      <c r="A2145" s="62" t="s">
        <v>685</v>
      </c>
      <c r="B2145" s="62" t="s">
        <v>1335</v>
      </c>
      <c r="C2145" s="63"/>
      <c r="D2145" s="64"/>
      <c r="E2145" s="65"/>
      <c r="F2145" s="66"/>
      <c r="G2145" s="63"/>
      <c r="H2145" s="67"/>
      <c r="I2145" s="68"/>
      <c r="J2145" s="68"/>
      <c r="K2145" s="32"/>
      <c r="L2145" s="75"/>
      <c r="M2145" s="75"/>
      <c r="N2145" s="70"/>
      <c r="O2145" t="s">
        <v>1567</v>
      </c>
      <c r="P2145" s="76">
        <v>44958.883437500001</v>
      </c>
      <c r="Q2145" t="s">
        <v>1871</v>
      </c>
      <c r="V2145" s="77" t="str">
        <f>HYPERLINK("https://pbs.twimg.com/profile_images/1353522375074193408/TJXfddEf_normal.jpg")</f>
        <v>https://pbs.twimg.com/profile_images/1353522375074193408/TJXfddEf_normal.jpg</v>
      </c>
      <c r="W2145" s="76">
        <v>44958.883437500001</v>
      </c>
      <c r="X2145" s="80">
        <v>44958</v>
      </c>
      <c r="Y2145" s="78" t="s">
        <v>2887</v>
      </c>
      <c r="Z2145" s="77" t="str">
        <f>HYPERLINK("https://twitter.com/cartercheeks/status/1620892785141506048")</f>
        <v>https://twitter.com/cartercheeks/status/1620892785141506048</v>
      </c>
      <c r="AC2145" s="78" t="s">
        <v>3952</v>
      </c>
      <c r="AE2145" t="b">
        <v>0</v>
      </c>
      <c r="AF2145">
        <v>0</v>
      </c>
      <c r="AG2145" s="78" t="s">
        <v>4727</v>
      </c>
      <c r="AH2145" t="b">
        <v>0</v>
      </c>
      <c r="AI2145" t="s">
        <v>4829</v>
      </c>
      <c r="AK2145" s="78" t="s">
        <v>4640</v>
      </c>
      <c r="AL2145" t="b">
        <v>0</v>
      </c>
      <c r="AM2145">
        <v>0</v>
      </c>
      <c r="AN2145" s="78" t="s">
        <v>4640</v>
      </c>
      <c r="AO2145" s="78" t="s">
        <v>4851</v>
      </c>
      <c r="AP2145" t="b">
        <v>0</v>
      </c>
      <c r="AQ2145" s="78" t="s">
        <v>3952</v>
      </c>
      <c r="AR2145" t="s">
        <v>179</v>
      </c>
      <c r="AS2145">
        <v>0</v>
      </c>
      <c r="AT2145">
        <v>0</v>
      </c>
    </row>
    <row r="2146" spans="1:46" x14ac:dyDescent="0.45">
      <c r="A2146" s="62" t="s">
        <v>685</v>
      </c>
      <c r="B2146" s="62" t="s">
        <v>242</v>
      </c>
      <c r="C2146" s="63"/>
      <c r="D2146" s="64"/>
      <c r="E2146" s="65"/>
      <c r="F2146" s="66"/>
      <c r="G2146" s="63"/>
      <c r="H2146" s="67"/>
      <c r="I2146" s="68"/>
      <c r="J2146" s="68"/>
      <c r="K2146" s="32"/>
      <c r="L2146" s="75"/>
      <c r="M2146" s="75"/>
      <c r="N2146" s="70"/>
      <c r="O2146" t="s">
        <v>1568</v>
      </c>
      <c r="P2146" s="76">
        <v>44958.883437500001</v>
      </c>
      <c r="Q2146" t="s">
        <v>1871</v>
      </c>
      <c r="V2146" s="77" t="str">
        <f>HYPERLINK("https://pbs.twimg.com/profile_images/1353522375074193408/TJXfddEf_normal.jpg")</f>
        <v>https://pbs.twimg.com/profile_images/1353522375074193408/TJXfddEf_normal.jpg</v>
      </c>
      <c r="W2146" s="76">
        <v>44958.883437500001</v>
      </c>
      <c r="X2146" s="80">
        <v>44958</v>
      </c>
      <c r="Y2146" s="78" t="s">
        <v>2887</v>
      </c>
      <c r="Z2146" s="77" t="str">
        <f>HYPERLINK("https://twitter.com/cartercheeks/status/1620892785141506048")</f>
        <v>https://twitter.com/cartercheeks/status/1620892785141506048</v>
      </c>
      <c r="AC2146" s="78" t="s">
        <v>3952</v>
      </c>
      <c r="AE2146" t="b">
        <v>0</v>
      </c>
      <c r="AF2146">
        <v>0</v>
      </c>
      <c r="AG2146" s="78" t="s">
        <v>4727</v>
      </c>
      <c r="AH2146" t="b">
        <v>0</v>
      </c>
      <c r="AI2146" t="s">
        <v>4829</v>
      </c>
      <c r="AK2146" s="78" t="s">
        <v>4640</v>
      </c>
      <c r="AL2146" t="b">
        <v>0</v>
      </c>
      <c r="AM2146">
        <v>0</v>
      </c>
      <c r="AN2146" s="78" t="s">
        <v>4640</v>
      </c>
      <c r="AO2146" s="78" t="s">
        <v>4851</v>
      </c>
      <c r="AP2146" t="b">
        <v>0</v>
      </c>
      <c r="AQ2146" s="78" t="s">
        <v>3952</v>
      </c>
      <c r="AR2146" t="s">
        <v>179</v>
      </c>
      <c r="AS2146">
        <v>0</v>
      </c>
      <c r="AT2146">
        <v>0</v>
      </c>
    </row>
    <row r="2147" spans="1:46" x14ac:dyDescent="0.45">
      <c r="A2147" s="62" t="s">
        <v>685</v>
      </c>
      <c r="B2147" s="62" t="s">
        <v>1163</v>
      </c>
      <c r="C2147" s="63"/>
      <c r="D2147" s="64"/>
      <c r="E2147" s="65"/>
      <c r="F2147" s="66"/>
      <c r="G2147" s="63"/>
      <c r="H2147" s="67"/>
      <c r="I2147" s="68"/>
      <c r="J2147" s="68"/>
      <c r="K2147" s="32"/>
      <c r="L2147" s="75"/>
      <c r="M2147" s="75"/>
      <c r="N2147" s="70"/>
      <c r="O2147" t="s">
        <v>1568</v>
      </c>
      <c r="P2147" s="76">
        <v>44958.883437500001</v>
      </c>
      <c r="Q2147" t="s">
        <v>1871</v>
      </c>
      <c r="V2147" s="77" t="str">
        <f>HYPERLINK("https://pbs.twimg.com/profile_images/1353522375074193408/TJXfddEf_normal.jpg")</f>
        <v>https://pbs.twimg.com/profile_images/1353522375074193408/TJXfddEf_normal.jpg</v>
      </c>
      <c r="W2147" s="76">
        <v>44958.883437500001</v>
      </c>
      <c r="X2147" s="80">
        <v>44958</v>
      </c>
      <c r="Y2147" s="78" t="s">
        <v>2887</v>
      </c>
      <c r="Z2147" s="77" t="str">
        <f>HYPERLINK("https://twitter.com/cartercheeks/status/1620892785141506048")</f>
        <v>https://twitter.com/cartercheeks/status/1620892785141506048</v>
      </c>
      <c r="AC2147" s="78" t="s">
        <v>3952</v>
      </c>
      <c r="AE2147" t="b">
        <v>0</v>
      </c>
      <c r="AF2147">
        <v>0</v>
      </c>
      <c r="AG2147" s="78" t="s">
        <v>4727</v>
      </c>
      <c r="AH2147" t="b">
        <v>0</v>
      </c>
      <c r="AI2147" t="s">
        <v>4829</v>
      </c>
      <c r="AK2147" s="78" t="s">
        <v>4640</v>
      </c>
      <c r="AL2147" t="b">
        <v>0</v>
      </c>
      <c r="AM2147">
        <v>0</v>
      </c>
      <c r="AN2147" s="78" t="s">
        <v>4640</v>
      </c>
      <c r="AO2147" s="78" t="s">
        <v>4851</v>
      </c>
      <c r="AP2147" t="b">
        <v>0</v>
      </c>
      <c r="AQ2147" s="78" t="s">
        <v>3952</v>
      </c>
      <c r="AR2147" t="s">
        <v>179</v>
      </c>
      <c r="AS2147">
        <v>0</v>
      </c>
      <c r="AT2147">
        <v>0</v>
      </c>
    </row>
    <row r="2148" spans="1:46" x14ac:dyDescent="0.45">
      <c r="A2148" s="62" t="s">
        <v>686</v>
      </c>
      <c r="B2148" s="62" t="s">
        <v>1230</v>
      </c>
      <c r="C2148" s="63"/>
      <c r="D2148" s="64"/>
      <c r="E2148" s="65"/>
      <c r="F2148" s="66"/>
      <c r="G2148" s="63"/>
      <c r="H2148" s="67"/>
      <c r="I2148" s="68"/>
      <c r="J2148" s="68"/>
      <c r="K2148" s="32"/>
      <c r="L2148" s="75"/>
      <c r="M2148" s="75"/>
      <c r="N2148" s="70"/>
      <c r="O2148" t="s">
        <v>1570</v>
      </c>
      <c r="P2148" s="76">
        <v>44958.883680555555</v>
      </c>
      <c r="Q2148" t="s">
        <v>1693</v>
      </c>
      <c r="V2148" s="77" t="str">
        <f>HYPERLINK("https://pbs.twimg.com/profile_images/1397214267678642179/ke_S53ZA_normal.jpg")</f>
        <v>https://pbs.twimg.com/profile_images/1397214267678642179/ke_S53ZA_normal.jpg</v>
      </c>
      <c r="W2148" s="76">
        <v>44958.883680555555</v>
      </c>
      <c r="X2148" s="80">
        <v>44958</v>
      </c>
      <c r="Y2148" s="78" t="s">
        <v>2888</v>
      </c>
      <c r="Z2148" s="77" t="str">
        <f>HYPERLINK("https://twitter.com/sparklezonfire/status/1620892875121917953")</f>
        <v>https://twitter.com/sparklezonfire/status/1620892875121917953</v>
      </c>
      <c r="AC2148" s="78" t="s">
        <v>3953</v>
      </c>
      <c r="AE2148" t="b">
        <v>0</v>
      </c>
      <c r="AF2148">
        <v>0</v>
      </c>
      <c r="AG2148" s="78" t="s">
        <v>4640</v>
      </c>
      <c r="AH2148" t="b">
        <v>0</v>
      </c>
      <c r="AI2148" t="s">
        <v>4829</v>
      </c>
      <c r="AK2148" s="78" t="s">
        <v>4640</v>
      </c>
      <c r="AL2148" t="b">
        <v>0</v>
      </c>
      <c r="AM2148">
        <v>162</v>
      </c>
      <c r="AN2148" s="78" t="s">
        <v>4473</v>
      </c>
      <c r="AO2148" s="78" t="s">
        <v>4849</v>
      </c>
      <c r="AP2148" t="b">
        <v>0</v>
      </c>
      <c r="AQ2148" s="78" t="s">
        <v>4473</v>
      </c>
      <c r="AR2148" t="s">
        <v>179</v>
      </c>
      <c r="AS2148">
        <v>0</v>
      </c>
      <c r="AT2148">
        <v>0</v>
      </c>
    </row>
    <row r="2149" spans="1:46" x14ac:dyDescent="0.45">
      <c r="A2149" s="62" t="s">
        <v>686</v>
      </c>
      <c r="B2149" s="62" t="s">
        <v>242</v>
      </c>
      <c r="C2149" s="63"/>
      <c r="D2149" s="64"/>
      <c r="E2149" s="65"/>
      <c r="F2149" s="66"/>
      <c r="G2149" s="63"/>
      <c r="H2149" s="67"/>
      <c r="I2149" s="68"/>
      <c r="J2149" s="68"/>
      <c r="K2149" s="32"/>
      <c r="L2149" s="75"/>
      <c r="M2149" s="75"/>
      <c r="N2149" s="70"/>
      <c r="O2149" t="s">
        <v>1569</v>
      </c>
      <c r="P2149" s="76">
        <v>44958.883680555555</v>
      </c>
      <c r="Q2149" t="s">
        <v>1693</v>
      </c>
      <c r="V2149" s="77" t="str">
        <f>HYPERLINK("https://pbs.twimg.com/profile_images/1397214267678642179/ke_S53ZA_normal.jpg")</f>
        <v>https://pbs.twimg.com/profile_images/1397214267678642179/ke_S53ZA_normal.jpg</v>
      </c>
      <c r="W2149" s="76">
        <v>44958.883680555555</v>
      </c>
      <c r="X2149" s="80">
        <v>44958</v>
      </c>
      <c r="Y2149" s="78" t="s">
        <v>2888</v>
      </c>
      <c r="Z2149" s="77" t="str">
        <f>HYPERLINK("https://twitter.com/sparklezonfire/status/1620892875121917953")</f>
        <v>https://twitter.com/sparklezonfire/status/1620892875121917953</v>
      </c>
      <c r="AC2149" s="78" t="s">
        <v>3953</v>
      </c>
      <c r="AE2149" t="b">
        <v>0</v>
      </c>
      <c r="AF2149">
        <v>0</v>
      </c>
      <c r="AG2149" s="78" t="s">
        <v>4640</v>
      </c>
      <c r="AH2149" t="b">
        <v>0</v>
      </c>
      <c r="AI2149" t="s">
        <v>4829</v>
      </c>
      <c r="AK2149" s="78" t="s">
        <v>4640</v>
      </c>
      <c r="AL2149" t="b">
        <v>0</v>
      </c>
      <c r="AM2149">
        <v>162</v>
      </c>
      <c r="AN2149" s="78" t="s">
        <v>4473</v>
      </c>
      <c r="AO2149" s="78" t="s">
        <v>4849</v>
      </c>
      <c r="AP2149" t="b">
        <v>0</v>
      </c>
      <c r="AQ2149" s="78" t="s">
        <v>4473</v>
      </c>
      <c r="AR2149" t="s">
        <v>179</v>
      </c>
      <c r="AS2149">
        <v>0</v>
      </c>
      <c r="AT2149">
        <v>0</v>
      </c>
    </row>
    <row r="2150" spans="1:46" x14ac:dyDescent="0.45">
      <c r="A2150" s="62" t="s">
        <v>688</v>
      </c>
      <c r="B2150" s="62" t="s">
        <v>1336</v>
      </c>
      <c r="C2150" s="63"/>
      <c r="D2150" s="64"/>
      <c r="E2150" s="65"/>
      <c r="F2150" s="66"/>
      <c r="G2150" s="63"/>
      <c r="H2150" s="67"/>
      <c r="I2150" s="68"/>
      <c r="J2150" s="68"/>
      <c r="K2150" s="32"/>
      <c r="L2150" s="75"/>
      <c r="M2150" s="75"/>
      <c r="N2150" s="70"/>
      <c r="O2150" t="s">
        <v>1567</v>
      </c>
      <c r="P2150" s="76">
        <v>44958.886724537035</v>
      </c>
      <c r="Q2150" t="s">
        <v>1873</v>
      </c>
      <c r="V2150" s="77" t="str">
        <f>HYPERLINK("https://pbs.twimg.com/profile_images/519788882427408384/i_p7gk4B_normal.jpeg")</f>
        <v>https://pbs.twimg.com/profile_images/519788882427408384/i_p7gk4B_normal.jpeg</v>
      </c>
      <c r="W2150" s="76">
        <v>44958.886724537035</v>
      </c>
      <c r="X2150" s="80">
        <v>44958</v>
      </c>
      <c r="Y2150" s="78" t="s">
        <v>2890</v>
      </c>
      <c r="Z2150" s="77" t="str">
        <f>HYPERLINK("https://twitter.com/mattwroberts/status/1620893975896014848")</f>
        <v>https://twitter.com/mattwroberts/status/1620893975896014848</v>
      </c>
      <c r="AC2150" s="78" t="s">
        <v>3955</v>
      </c>
      <c r="AD2150" s="78" t="s">
        <v>4556</v>
      </c>
      <c r="AE2150" t="b">
        <v>0</v>
      </c>
      <c r="AF2150">
        <v>0</v>
      </c>
      <c r="AG2150" s="78" t="s">
        <v>4728</v>
      </c>
      <c r="AH2150" t="b">
        <v>0</v>
      </c>
      <c r="AI2150" t="s">
        <v>4829</v>
      </c>
      <c r="AK2150" s="78" t="s">
        <v>4640</v>
      </c>
      <c r="AL2150" t="b">
        <v>0</v>
      </c>
      <c r="AM2150">
        <v>0</v>
      </c>
      <c r="AN2150" s="78" t="s">
        <v>4640</v>
      </c>
      <c r="AO2150" s="78" t="s">
        <v>4849</v>
      </c>
      <c r="AP2150" t="b">
        <v>0</v>
      </c>
      <c r="AQ2150" s="78" t="s">
        <v>4556</v>
      </c>
      <c r="AR2150" t="s">
        <v>179</v>
      </c>
      <c r="AS2150">
        <v>0</v>
      </c>
      <c r="AT2150">
        <v>0</v>
      </c>
    </row>
    <row r="2151" spans="1:46" x14ac:dyDescent="0.45">
      <c r="A2151" s="62" t="s">
        <v>688</v>
      </c>
      <c r="B2151" s="62" t="s">
        <v>1163</v>
      </c>
      <c r="C2151" s="63"/>
      <c r="D2151" s="64"/>
      <c r="E2151" s="65"/>
      <c r="F2151" s="66"/>
      <c r="G2151" s="63"/>
      <c r="H2151" s="67"/>
      <c r="I2151" s="68"/>
      <c r="J2151" s="68"/>
      <c r="K2151" s="32"/>
      <c r="L2151" s="75"/>
      <c r="M2151" s="75"/>
      <c r="N2151" s="70"/>
      <c r="O2151" t="s">
        <v>1568</v>
      </c>
      <c r="P2151" s="76">
        <v>44958.886724537035</v>
      </c>
      <c r="Q2151" t="s">
        <v>1873</v>
      </c>
      <c r="V2151" s="77" t="str">
        <f>HYPERLINK("https://pbs.twimg.com/profile_images/519788882427408384/i_p7gk4B_normal.jpeg")</f>
        <v>https://pbs.twimg.com/profile_images/519788882427408384/i_p7gk4B_normal.jpeg</v>
      </c>
      <c r="W2151" s="76">
        <v>44958.886724537035</v>
      </c>
      <c r="X2151" s="80">
        <v>44958</v>
      </c>
      <c r="Y2151" s="78" t="s">
        <v>2890</v>
      </c>
      <c r="Z2151" s="77" t="str">
        <f>HYPERLINK("https://twitter.com/mattwroberts/status/1620893975896014848")</f>
        <v>https://twitter.com/mattwroberts/status/1620893975896014848</v>
      </c>
      <c r="AC2151" s="78" t="s">
        <v>3955</v>
      </c>
      <c r="AD2151" s="78" t="s">
        <v>4556</v>
      </c>
      <c r="AE2151" t="b">
        <v>0</v>
      </c>
      <c r="AF2151">
        <v>0</v>
      </c>
      <c r="AG2151" s="78" t="s">
        <v>4728</v>
      </c>
      <c r="AH2151" t="b">
        <v>0</v>
      </c>
      <c r="AI2151" t="s">
        <v>4829</v>
      </c>
      <c r="AK2151" s="78" t="s">
        <v>4640</v>
      </c>
      <c r="AL2151" t="b">
        <v>0</v>
      </c>
      <c r="AM2151">
        <v>0</v>
      </c>
      <c r="AN2151" s="78" t="s">
        <v>4640</v>
      </c>
      <c r="AO2151" s="78" t="s">
        <v>4849</v>
      </c>
      <c r="AP2151" t="b">
        <v>0</v>
      </c>
      <c r="AQ2151" s="78" t="s">
        <v>4556</v>
      </c>
      <c r="AR2151" t="s">
        <v>179</v>
      </c>
      <c r="AS2151">
        <v>0</v>
      </c>
      <c r="AT2151">
        <v>0</v>
      </c>
    </row>
    <row r="2152" spans="1:46" x14ac:dyDescent="0.45">
      <c r="A2152" s="62" t="s">
        <v>688</v>
      </c>
      <c r="B2152" s="62" t="s">
        <v>242</v>
      </c>
      <c r="C2152" s="63"/>
      <c r="D2152" s="64"/>
      <c r="E2152" s="65"/>
      <c r="F2152" s="66"/>
      <c r="G2152" s="63"/>
      <c r="H2152" s="67"/>
      <c r="I2152" s="68"/>
      <c r="J2152" s="68"/>
      <c r="K2152" s="32"/>
      <c r="L2152" s="75"/>
      <c r="M2152" s="75"/>
      <c r="N2152" s="70"/>
      <c r="O2152" t="s">
        <v>1568</v>
      </c>
      <c r="P2152" s="76">
        <v>44958.886724537035</v>
      </c>
      <c r="Q2152" t="s">
        <v>1873</v>
      </c>
      <c r="V2152" s="77" t="str">
        <f>HYPERLINK("https://pbs.twimg.com/profile_images/519788882427408384/i_p7gk4B_normal.jpeg")</f>
        <v>https://pbs.twimg.com/profile_images/519788882427408384/i_p7gk4B_normal.jpeg</v>
      </c>
      <c r="W2152" s="76">
        <v>44958.886724537035</v>
      </c>
      <c r="X2152" s="80">
        <v>44958</v>
      </c>
      <c r="Y2152" s="78" t="s">
        <v>2890</v>
      </c>
      <c r="Z2152" s="77" t="str">
        <f>HYPERLINK("https://twitter.com/mattwroberts/status/1620893975896014848")</f>
        <v>https://twitter.com/mattwroberts/status/1620893975896014848</v>
      </c>
      <c r="AC2152" s="78" t="s">
        <v>3955</v>
      </c>
      <c r="AD2152" s="78" t="s">
        <v>4556</v>
      </c>
      <c r="AE2152" t="b">
        <v>0</v>
      </c>
      <c r="AF2152">
        <v>0</v>
      </c>
      <c r="AG2152" s="78" t="s">
        <v>4728</v>
      </c>
      <c r="AH2152" t="b">
        <v>0</v>
      </c>
      <c r="AI2152" t="s">
        <v>4829</v>
      </c>
      <c r="AK2152" s="78" t="s">
        <v>4640</v>
      </c>
      <c r="AL2152" t="b">
        <v>0</v>
      </c>
      <c r="AM2152">
        <v>0</v>
      </c>
      <c r="AN2152" s="78" t="s">
        <v>4640</v>
      </c>
      <c r="AO2152" s="78" t="s">
        <v>4849</v>
      </c>
      <c r="AP2152" t="b">
        <v>0</v>
      </c>
      <c r="AQ2152" s="78" t="s">
        <v>4556</v>
      </c>
      <c r="AR2152" t="s">
        <v>179</v>
      </c>
      <c r="AS2152">
        <v>0</v>
      </c>
      <c r="AT2152">
        <v>0</v>
      </c>
    </row>
    <row r="2153" spans="1:46" x14ac:dyDescent="0.45">
      <c r="A2153" s="62" t="s">
        <v>690</v>
      </c>
      <c r="B2153" s="62" t="s">
        <v>1337</v>
      </c>
      <c r="C2153" s="63"/>
      <c r="D2153" s="64"/>
      <c r="E2153" s="65"/>
      <c r="F2153" s="66"/>
      <c r="G2153" s="63"/>
      <c r="H2153" s="67"/>
      <c r="I2153" s="68"/>
      <c r="J2153" s="68"/>
      <c r="K2153" s="32"/>
      <c r="L2153" s="75"/>
      <c r="M2153" s="75"/>
      <c r="N2153" s="70"/>
      <c r="O2153" t="s">
        <v>1567</v>
      </c>
      <c r="P2153" s="76">
        <v>44958.887858796297</v>
      </c>
      <c r="Q2153" t="s">
        <v>1874</v>
      </c>
      <c r="V2153" s="77" t="str">
        <f>HYPERLINK("https://pbs.twimg.com/profile_images/1528749495772762113/jcuCl62I_normal.jpg")</f>
        <v>https://pbs.twimg.com/profile_images/1528749495772762113/jcuCl62I_normal.jpg</v>
      </c>
      <c r="W2153" s="76">
        <v>44958.887858796297</v>
      </c>
      <c r="X2153" s="80">
        <v>44958</v>
      </c>
      <c r="Y2153" s="78" t="s">
        <v>2892</v>
      </c>
      <c r="Z2153" s="77" t="str">
        <f>HYPERLINK("https://twitter.com/mcbudman/status/1620894387290132480")</f>
        <v>https://twitter.com/mcbudman/status/1620894387290132480</v>
      </c>
      <c r="AC2153" s="78" t="s">
        <v>3957</v>
      </c>
      <c r="AD2153" s="78" t="s">
        <v>4557</v>
      </c>
      <c r="AE2153" t="b">
        <v>0</v>
      </c>
      <c r="AF2153">
        <v>0</v>
      </c>
      <c r="AG2153" s="78" t="s">
        <v>4729</v>
      </c>
      <c r="AH2153" t="b">
        <v>0</v>
      </c>
      <c r="AI2153" t="s">
        <v>4829</v>
      </c>
      <c r="AK2153" s="78" t="s">
        <v>4640</v>
      </c>
      <c r="AL2153" t="b">
        <v>0</v>
      </c>
      <c r="AM2153">
        <v>0</v>
      </c>
      <c r="AN2153" s="78" t="s">
        <v>4640</v>
      </c>
      <c r="AO2153" s="78" t="s">
        <v>4850</v>
      </c>
      <c r="AP2153" t="b">
        <v>0</v>
      </c>
      <c r="AQ2153" s="78" t="s">
        <v>4557</v>
      </c>
      <c r="AR2153" t="s">
        <v>179</v>
      </c>
      <c r="AS2153">
        <v>0</v>
      </c>
      <c r="AT2153">
        <v>0</v>
      </c>
    </row>
    <row r="2154" spans="1:46" x14ac:dyDescent="0.45">
      <c r="A2154" s="62" t="s">
        <v>690</v>
      </c>
      <c r="B2154" s="62" t="s">
        <v>242</v>
      </c>
      <c r="C2154" s="63"/>
      <c r="D2154" s="64"/>
      <c r="E2154" s="65"/>
      <c r="F2154" s="66"/>
      <c r="G2154" s="63"/>
      <c r="H2154" s="67"/>
      <c r="I2154" s="68"/>
      <c r="J2154" s="68"/>
      <c r="K2154" s="32"/>
      <c r="L2154" s="75"/>
      <c r="M2154" s="75"/>
      <c r="N2154" s="70"/>
      <c r="O2154" t="s">
        <v>1568</v>
      </c>
      <c r="P2154" s="76">
        <v>44958.887858796297</v>
      </c>
      <c r="Q2154" t="s">
        <v>1874</v>
      </c>
      <c r="V2154" s="77" t="str">
        <f>HYPERLINK("https://pbs.twimg.com/profile_images/1528749495772762113/jcuCl62I_normal.jpg")</f>
        <v>https://pbs.twimg.com/profile_images/1528749495772762113/jcuCl62I_normal.jpg</v>
      </c>
      <c r="W2154" s="76">
        <v>44958.887858796297</v>
      </c>
      <c r="X2154" s="80">
        <v>44958</v>
      </c>
      <c r="Y2154" s="78" t="s">
        <v>2892</v>
      </c>
      <c r="Z2154" s="77" t="str">
        <f>HYPERLINK("https://twitter.com/mcbudman/status/1620894387290132480")</f>
        <v>https://twitter.com/mcbudman/status/1620894387290132480</v>
      </c>
      <c r="AC2154" s="78" t="s">
        <v>3957</v>
      </c>
      <c r="AD2154" s="78" t="s">
        <v>4557</v>
      </c>
      <c r="AE2154" t="b">
        <v>0</v>
      </c>
      <c r="AF2154">
        <v>0</v>
      </c>
      <c r="AG2154" s="78" t="s">
        <v>4729</v>
      </c>
      <c r="AH2154" t="b">
        <v>0</v>
      </c>
      <c r="AI2154" t="s">
        <v>4829</v>
      </c>
      <c r="AK2154" s="78" t="s">
        <v>4640</v>
      </c>
      <c r="AL2154" t="b">
        <v>0</v>
      </c>
      <c r="AM2154">
        <v>0</v>
      </c>
      <c r="AN2154" s="78" t="s">
        <v>4640</v>
      </c>
      <c r="AO2154" s="78" t="s">
        <v>4850</v>
      </c>
      <c r="AP2154" t="b">
        <v>0</v>
      </c>
      <c r="AQ2154" s="78" t="s">
        <v>4557</v>
      </c>
      <c r="AR2154" t="s">
        <v>179</v>
      </c>
      <c r="AS2154">
        <v>0</v>
      </c>
      <c r="AT2154">
        <v>0</v>
      </c>
    </row>
    <row r="2155" spans="1:46" x14ac:dyDescent="0.45">
      <c r="A2155" s="62" t="s">
        <v>691</v>
      </c>
      <c r="B2155" s="62" t="s">
        <v>1215</v>
      </c>
      <c r="C2155" s="63"/>
      <c r="D2155" s="64"/>
      <c r="E2155" s="65"/>
      <c r="F2155" s="66"/>
      <c r="G2155" s="63"/>
      <c r="H2155" s="67"/>
      <c r="I2155" s="68"/>
      <c r="J2155" s="68"/>
      <c r="K2155" s="32"/>
      <c r="L2155" s="75"/>
      <c r="M2155" s="75"/>
      <c r="N2155" s="70"/>
      <c r="O2155" t="s">
        <v>1568</v>
      </c>
      <c r="P2155" s="76">
        <v>44958.888009259259</v>
      </c>
      <c r="Q2155" t="s">
        <v>1875</v>
      </c>
      <c r="V2155" s="77" t="str">
        <f>HYPERLINK("https://pbs.twimg.com/profile_images/1610912723885297665/UKDdgqGw_normal.jpg")</f>
        <v>https://pbs.twimg.com/profile_images/1610912723885297665/UKDdgqGw_normal.jpg</v>
      </c>
      <c r="W2155" s="76">
        <v>44958.888009259259</v>
      </c>
      <c r="X2155" s="80">
        <v>44958</v>
      </c>
      <c r="Y2155" s="78" t="s">
        <v>2893</v>
      </c>
      <c r="Z2155" s="77" t="str">
        <f>HYPERLINK("https://twitter.com/anataeasia/status/1620894441354534932")</f>
        <v>https://twitter.com/anataeasia/status/1620894441354534932</v>
      </c>
      <c r="AC2155" s="78" t="s">
        <v>3958</v>
      </c>
      <c r="AD2155" s="78" t="s">
        <v>4558</v>
      </c>
      <c r="AE2155" t="b">
        <v>0</v>
      </c>
      <c r="AF2155">
        <v>0</v>
      </c>
      <c r="AG2155" s="78" t="s">
        <v>4730</v>
      </c>
      <c r="AH2155" t="b">
        <v>0</v>
      </c>
      <c r="AI2155" t="s">
        <v>4829</v>
      </c>
      <c r="AK2155" s="78" t="s">
        <v>4640</v>
      </c>
      <c r="AL2155" t="b">
        <v>0</v>
      </c>
      <c r="AM2155">
        <v>0</v>
      </c>
      <c r="AN2155" s="78" t="s">
        <v>4640</v>
      </c>
      <c r="AO2155" s="78" t="s">
        <v>4849</v>
      </c>
      <c r="AP2155" t="b">
        <v>0</v>
      </c>
      <c r="AQ2155" s="78" t="s">
        <v>4558</v>
      </c>
      <c r="AR2155" t="s">
        <v>179</v>
      </c>
      <c r="AS2155">
        <v>0</v>
      </c>
      <c r="AT2155">
        <v>0</v>
      </c>
    </row>
    <row r="2156" spans="1:46" x14ac:dyDescent="0.45">
      <c r="A2156" s="62" t="s">
        <v>691</v>
      </c>
      <c r="B2156" s="62" t="s">
        <v>1338</v>
      </c>
      <c r="C2156" s="63"/>
      <c r="D2156" s="64"/>
      <c r="E2156" s="65"/>
      <c r="F2156" s="66"/>
      <c r="G2156" s="63"/>
      <c r="H2156" s="67"/>
      <c r="I2156" s="68"/>
      <c r="J2156" s="68"/>
      <c r="K2156" s="32"/>
      <c r="L2156" s="75"/>
      <c r="M2156" s="75"/>
      <c r="N2156" s="70"/>
      <c r="O2156" t="s">
        <v>1568</v>
      </c>
      <c r="P2156" s="76">
        <v>44958.888009259259</v>
      </c>
      <c r="Q2156" t="s">
        <v>1875</v>
      </c>
      <c r="V2156" s="77" t="str">
        <f>HYPERLINK("https://pbs.twimg.com/profile_images/1610912723885297665/UKDdgqGw_normal.jpg")</f>
        <v>https://pbs.twimg.com/profile_images/1610912723885297665/UKDdgqGw_normal.jpg</v>
      </c>
      <c r="W2156" s="76">
        <v>44958.888009259259</v>
      </c>
      <c r="X2156" s="80">
        <v>44958</v>
      </c>
      <c r="Y2156" s="78" t="s">
        <v>2893</v>
      </c>
      <c r="Z2156" s="77" t="str">
        <f>HYPERLINK("https://twitter.com/anataeasia/status/1620894441354534932")</f>
        <v>https://twitter.com/anataeasia/status/1620894441354534932</v>
      </c>
      <c r="AC2156" s="78" t="s">
        <v>3958</v>
      </c>
      <c r="AD2156" s="78" t="s">
        <v>4558</v>
      </c>
      <c r="AE2156" t="b">
        <v>0</v>
      </c>
      <c r="AF2156">
        <v>0</v>
      </c>
      <c r="AG2156" s="78" t="s">
        <v>4730</v>
      </c>
      <c r="AH2156" t="b">
        <v>0</v>
      </c>
      <c r="AI2156" t="s">
        <v>4829</v>
      </c>
      <c r="AK2156" s="78" t="s">
        <v>4640</v>
      </c>
      <c r="AL2156" t="b">
        <v>0</v>
      </c>
      <c r="AM2156">
        <v>0</v>
      </c>
      <c r="AN2156" s="78" t="s">
        <v>4640</v>
      </c>
      <c r="AO2156" s="78" t="s">
        <v>4849</v>
      </c>
      <c r="AP2156" t="b">
        <v>0</v>
      </c>
      <c r="AQ2156" s="78" t="s">
        <v>4558</v>
      </c>
      <c r="AR2156" t="s">
        <v>179</v>
      </c>
      <c r="AS2156">
        <v>0</v>
      </c>
      <c r="AT2156">
        <v>0</v>
      </c>
    </row>
    <row r="2157" spans="1:46" x14ac:dyDescent="0.45">
      <c r="A2157" s="62" t="s">
        <v>691</v>
      </c>
      <c r="B2157" s="62" t="s">
        <v>1339</v>
      </c>
      <c r="C2157" s="63"/>
      <c r="D2157" s="64"/>
      <c r="E2157" s="65"/>
      <c r="F2157" s="66"/>
      <c r="G2157" s="63"/>
      <c r="H2157" s="67"/>
      <c r="I2157" s="68"/>
      <c r="J2157" s="68"/>
      <c r="K2157" s="32"/>
      <c r="L2157" s="75"/>
      <c r="M2157" s="75"/>
      <c r="N2157" s="70"/>
      <c r="O2157" t="s">
        <v>1568</v>
      </c>
      <c r="P2157" s="76">
        <v>44958.888009259259</v>
      </c>
      <c r="Q2157" t="s">
        <v>1875</v>
      </c>
      <c r="V2157" s="77" t="str">
        <f>HYPERLINK("https://pbs.twimg.com/profile_images/1610912723885297665/UKDdgqGw_normal.jpg")</f>
        <v>https://pbs.twimg.com/profile_images/1610912723885297665/UKDdgqGw_normal.jpg</v>
      </c>
      <c r="W2157" s="76">
        <v>44958.888009259259</v>
      </c>
      <c r="X2157" s="80">
        <v>44958</v>
      </c>
      <c r="Y2157" s="78" t="s">
        <v>2893</v>
      </c>
      <c r="Z2157" s="77" t="str">
        <f>HYPERLINK("https://twitter.com/anataeasia/status/1620894441354534932")</f>
        <v>https://twitter.com/anataeasia/status/1620894441354534932</v>
      </c>
      <c r="AC2157" s="78" t="s">
        <v>3958</v>
      </c>
      <c r="AD2157" s="78" t="s">
        <v>4558</v>
      </c>
      <c r="AE2157" t="b">
        <v>0</v>
      </c>
      <c r="AF2157">
        <v>0</v>
      </c>
      <c r="AG2157" s="78" t="s">
        <v>4730</v>
      </c>
      <c r="AH2157" t="b">
        <v>0</v>
      </c>
      <c r="AI2157" t="s">
        <v>4829</v>
      </c>
      <c r="AK2157" s="78" t="s">
        <v>4640</v>
      </c>
      <c r="AL2157" t="b">
        <v>0</v>
      </c>
      <c r="AM2157">
        <v>0</v>
      </c>
      <c r="AN2157" s="78" t="s">
        <v>4640</v>
      </c>
      <c r="AO2157" s="78" t="s">
        <v>4849</v>
      </c>
      <c r="AP2157" t="b">
        <v>0</v>
      </c>
      <c r="AQ2157" s="78" t="s">
        <v>4558</v>
      </c>
      <c r="AR2157" t="s">
        <v>179</v>
      </c>
      <c r="AS2157">
        <v>0</v>
      </c>
      <c r="AT2157">
        <v>0</v>
      </c>
    </row>
    <row r="2158" spans="1:46" x14ac:dyDescent="0.45">
      <c r="A2158" s="62" t="s">
        <v>691</v>
      </c>
      <c r="B2158" s="62" t="s">
        <v>1340</v>
      </c>
      <c r="C2158" s="63"/>
      <c r="D2158" s="64"/>
      <c r="E2158" s="65"/>
      <c r="F2158" s="66"/>
      <c r="G2158" s="63"/>
      <c r="H2158" s="67"/>
      <c r="I2158" s="68"/>
      <c r="J2158" s="68"/>
      <c r="K2158" s="32"/>
      <c r="L2158" s="75"/>
      <c r="M2158" s="75"/>
      <c r="N2158" s="70"/>
      <c r="O2158" t="s">
        <v>1567</v>
      </c>
      <c r="P2158" s="76">
        <v>44958.888009259259</v>
      </c>
      <c r="Q2158" t="s">
        <v>1875</v>
      </c>
      <c r="V2158" s="77" t="str">
        <f>HYPERLINK("https://pbs.twimg.com/profile_images/1610912723885297665/UKDdgqGw_normal.jpg")</f>
        <v>https://pbs.twimg.com/profile_images/1610912723885297665/UKDdgqGw_normal.jpg</v>
      </c>
      <c r="W2158" s="76">
        <v>44958.888009259259</v>
      </c>
      <c r="X2158" s="80">
        <v>44958</v>
      </c>
      <c r="Y2158" s="78" t="s">
        <v>2893</v>
      </c>
      <c r="Z2158" s="77" t="str">
        <f>HYPERLINK("https://twitter.com/anataeasia/status/1620894441354534932")</f>
        <v>https://twitter.com/anataeasia/status/1620894441354534932</v>
      </c>
      <c r="AC2158" s="78" t="s">
        <v>3958</v>
      </c>
      <c r="AD2158" s="78" t="s">
        <v>4558</v>
      </c>
      <c r="AE2158" t="b">
        <v>0</v>
      </c>
      <c r="AF2158">
        <v>0</v>
      </c>
      <c r="AG2158" s="78" t="s">
        <v>4730</v>
      </c>
      <c r="AH2158" t="b">
        <v>0</v>
      </c>
      <c r="AI2158" t="s">
        <v>4829</v>
      </c>
      <c r="AK2158" s="78" t="s">
        <v>4640</v>
      </c>
      <c r="AL2158" t="b">
        <v>0</v>
      </c>
      <c r="AM2158">
        <v>0</v>
      </c>
      <c r="AN2158" s="78" t="s">
        <v>4640</v>
      </c>
      <c r="AO2158" s="78" t="s">
        <v>4849</v>
      </c>
      <c r="AP2158" t="b">
        <v>0</v>
      </c>
      <c r="AQ2158" s="78" t="s">
        <v>4558</v>
      </c>
      <c r="AR2158" t="s">
        <v>179</v>
      </c>
      <c r="AS2158">
        <v>0</v>
      </c>
      <c r="AT2158">
        <v>0</v>
      </c>
    </row>
    <row r="2159" spans="1:46" x14ac:dyDescent="0.45">
      <c r="A2159" s="62" t="s">
        <v>691</v>
      </c>
      <c r="B2159" s="62" t="s">
        <v>242</v>
      </c>
      <c r="C2159" s="63"/>
      <c r="D2159" s="64"/>
      <c r="E2159" s="65"/>
      <c r="F2159" s="66"/>
      <c r="G2159" s="63"/>
      <c r="H2159" s="67"/>
      <c r="I2159" s="68"/>
      <c r="J2159" s="68"/>
      <c r="K2159" s="32"/>
      <c r="L2159" s="75"/>
      <c r="M2159" s="75"/>
      <c r="N2159" s="70"/>
      <c r="O2159" t="s">
        <v>1568</v>
      </c>
      <c r="P2159" s="76">
        <v>44958.888009259259</v>
      </c>
      <c r="Q2159" t="s">
        <v>1875</v>
      </c>
      <c r="V2159" s="77" t="str">
        <f>HYPERLINK("https://pbs.twimg.com/profile_images/1610912723885297665/UKDdgqGw_normal.jpg")</f>
        <v>https://pbs.twimg.com/profile_images/1610912723885297665/UKDdgqGw_normal.jpg</v>
      </c>
      <c r="W2159" s="76">
        <v>44958.888009259259</v>
      </c>
      <c r="X2159" s="80">
        <v>44958</v>
      </c>
      <c r="Y2159" s="78" t="s">
        <v>2893</v>
      </c>
      <c r="Z2159" s="77" t="str">
        <f>HYPERLINK("https://twitter.com/anataeasia/status/1620894441354534932")</f>
        <v>https://twitter.com/anataeasia/status/1620894441354534932</v>
      </c>
      <c r="AC2159" s="78" t="s">
        <v>3958</v>
      </c>
      <c r="AD2159" s="78" t="s">
        <v>4558</v>
      </c>
      <c r="AE2159" t="b">
        <v>0</v>
      </c>
      <c r="AF2159">
        <v>0</v>
      </c>
      <c r="AG2159" s="78" t="s">
        <v>4730</v>
      </c>
      <c r="AH2159" t="b">
        <v>0</v>
      </c>
      <c r="AI2159" t="s">
        <v>4829</v>
      </c>
      <c r="AK2159" s="78" t="s">
        <v>4640</v>
      </c>
      <c r="AL2159" t="b">
        <v>0</v>
      </c>
      <c r="AM2159">
        <v>0</v>
      </c>
      <c r="AN2159" s="78" t="s">
        <v>4640</v>
      </c>
      <c r="AO2159" s="78" t="s">
        <v>4849</v>
      </c>
      <c r="AP2159" t="b">
        <v>0</v>
      </c>
      <c r="AQ2159" s="78" t="s">
        <v>4558</v>
      </c>
      <c r="AR2159" t="s">
        <v>179</v>
      </c>
      <c r="AS2159">
        <v>0</v>
      </c>
      <c r="AT2159">
        <v>0</v>
      </c>
    </row>
    <row r="2160" spans="1:46" x14ac:dyDescent="0.45">
      <c r="A2160" s="62" t="s">
        <v>693</v>
      </c>
      <c r="B2160" s="62" t="s">
        <v>1230</v>
      </c>
      <c r="C2160" s="63"/>
      <c r="D2160" s="64"/>
      <c r="E2160" s="65"/>
      <c r="F2160" s="66"/>
      <c r="G2160" s="63"/>
      <c r="H2160" s="67"/>
      <c r="I2160" s="68"/>
      <c r="J2160" s="68"/>
      <c r="K2160" s="32"/>
      <c r="L2160" s="75"/>
      <c r="M2160" s="75"/>
      <c r="N2160" s="70"/>
      <c r="O2160" t="s">
        <v>1570</v>
      </c>
      <c r="P2160" s="76">
        <v>44958.890844907408</v>
      </c>
      <c r="Q2160" t="s">
        <v>1693</v>
      </c>
      <c r="V2160" s="77" t="str">
        <f>HYPERLINK("https://pbs.twimg.com/profile_images/1459244348688719874/u5n3DfNy_normal.jpg")</f>
        <v>https://pbs.twimg.com/profile_images/1459244348688719874/u5n3DfNy_normal.jpg</v>
      </c>
      <c r="W2160" s="76">
        <v>44958.890844907408</v>
      </c>
      <c r="X2160" s="80">
        <v>44958</v>
      </c>
      <c r="Y2160" s="78" t="s">
        <v>2896</v>
      </c>
      <c r="Z2160" s="77" t="str">
        <f>HYPERLINK("https://twitter.com/dwaynepinckney5/status/1620895471580643329")</f>
        <v>https://twitter.com/dwaynepinckney5/status/1620895471580643329</v>
      </c>
      <c r="AC2160" s="78" t="s">
        <v>3961</v>
      </c>
      <c r="AE2160" t="b">
        <v>0</v>
      </c>
      <c r="AF2160">
        <v>0</v>
      </c>
      <c r="AG2160" s="78" t="s">
        <v>4640</v>
      </c>
      <c r="AH2160" t="b">
        <v>0</v>
      </c>
      <c r="AI2160" t="s">
        <v>4829</v>
      </c>
      <c r="AK2160" s="78" t="s">
        <v>4640</v>
      </c>
      <c r="AL2160" t="b">
        <v>0</v>
      </c>
      <c r="AM2160">
        <v>162</v>
      </c>
      <c r="AN2160" s="78" t="s">
        <v>4473</v>
      </c>
      <c r="AO2160" s="78" t="s">
        <v>4849</v>
      </c>
      <c r="AP2160" t="b">
        <v>0</v>
      </c>
      <c r="AQ2160" s="78" t="s">
        <v>4473</v>
      </c>
      <c r="AR2160" t="s">
        <v>179</v>
      </c>
      <c r="AS2160">
        <v>0</v>
      </c>
      <c r="AT2160">
        <v>0</v>
      </c>
    </row>
    <row r="2161" spans="1:46" x14ac:dyDescent="0.45">
      <c r="A2161" s="62" t="s">
        <v>693</v>
      </c>
      <c r="B2161" s="62" t="s">
        <v>242</v>
      </c>
      <c r="C2161" s="63"/>
      <c r="D2161" s="64"/>
      <c r="E2161" s="65"/>
      <c r="F2161" s="66"/>
      <c r="G2161" s="63"/>
      <c r="H2161" s="67"/>
      <c r="I2161" s="68"/>
      <c r="J2161" s="68"/>
      <c r="K2161" s="32"/>
      <c r="L2161" s="75"/>
      <c r="M2161" s="75"/>
      <c r="N2161" s="70"/>
      <c r="O2161" t="s">
        <v>1569</v>
      </c>
      <c r="P2161" s="76">
        <v>44958.890844907408</v>
      </c>
      <c r="Q2161" t="s">
        <v>1693</v>
      </c>
      <c r="V2161" s="77" t="str">
        <f>HYPERLINK("https://pbs.twimg.com/profile_images/1459244348688719874/u5n3DfNy_normal.jpg")</f>
        <v>https://pbs.twimg.com/profile_images/1459244348688719874/u5n3DfNy_normal.jpg</v>
      </c>
      <c r="W2161" s="76">
        <v>44958.890844907408</v>
      </c>
      <c r="X2161" s="80">
        <v>44958</v>
      </c>
      <c r="Y2161" s="78" t="s">
        <v>2896</v>
      </c>
      <c r="Z2161" s="77" t="str">
        <f>HYPERLINK("https://twitter.com/dwaynepinckney5/status/1620895471580643329")</f>
        <v>https://twitter.com/dwaynepinckney5/status/1620895471580643329</v>
      </c>
      <c r="AC2161" s="78" t="s">
        <v>3961</v>
      </c>
      <c r="AE2161" t="b">
        <v>0</v>
      </c>
      <c r="AF2161">
        <v>0</v>
      </c>
      <c r="AG2161" s="78" t="s">
        <v>4640</v>
      </c>
      <c r="AH2161" t="b">
        <v>0</v>
      </c>
      <c r="AI2161" t="s">
        <v>4829</v>
      </c>
      <c r="AK2161" s="78" t="s">
        <v>4640</v>
      </c>
      <c r="AL2161" t="b">
        <v>0</v>
      </c>
      <c r="AM2161">
        <v>162</v>
      </c>
      <c r="AN2161" s="78" t="s">
        <v>4473</v>
      </c>
      <c r="AO2161" s="78" t="s">
        <v>4849</v>
      </c>
      <c r="AP2161" t="b">
        <v>0</v>
      </c>
      <c r="AQ2161" s="78" t="s">
        <v>4473</v>
      </c>
      <c r="AR2161" t="s">
        <v>179</v>
      </c>
      <c r="AS2161">
        <v>0</v>
      </c>
      <c r="AT2161">
        <v>0</v>
      </c>
    </row>
    <row r="2162" spans="1:46" x14ac:dyDescent="0.45">
      <c r="A2162" s="62" t="s">
        <v>695</v>
      </c>
      <c r="B2162" s="62" t="s">
        <v>1230</v>
      </c>
      <c r="C2162" s="63"/>
      <c r="D2162" s="64"/>
      <c r="E2162" s="65"/>
      <c r="F2162" s="66"/>
      <c r="G2162" s="63"/>
      <c r="H2162" s="67"/>
      <c r="I2162" s="68"/>
      <c r="J2162" s="68"/>
      <c r="K2162" s="32"/>
      <c r="L2162" s="75"/>
      <c r="M2162" s="75"/>
      <c r="N2162" s="70"/>
      <c r="O2162" t="s">
        <v>1570</v>
      </c>
      <c r="P2162" s="76">
        <v>44958.891631944447</v>
      </c>
      <c r="Q2162" t="s">
        <v>1693</v>
      </c>
      <c r="V2162" s="77" t="str">
        <f>HYPERLINK("https://pbs.twimg.com/profile_images/1614593051191836674/bQ_ql2gz_normal.jpg")</f>
        <v>https://pbs.twimg.com/profile_images/1614593051191836674/bQ_ql2gz_normal.jpg</v>
      </c>
      <c r="W2162" s="76">
        <v>44958.891631944447</v>
      </c>
      <c r="X2162" s="80">
        <v>44958</v>
      </c>
      <c r="Y2162" s="78" t="s">
        <v>2898</v>
      </c>
      <c r="Z2162" s="77" t="str">
        <f>HYPERLINK("https://twitter.com/irespectmiley/status/1620895753328787457")</f>
        <v>https://twitter.com/irespectmiley/status/1620895753328787457</v>
      </c>
      <c r="AC2162" s="78" t="s">
        <v>3963</v>
      </c>
      <c r="AE2162" t="b">
        <v>0</v>
      </c>
      <c r="AF2162">
        <v>0</v>
      </c>
      <c r="AG2162" s="78" t="s">
        <v>4640</v>
      </c>
      <c r="AH2162" t="b">
        <v>0</v>
      </c>
      <c r="AI2162" t="s">
        <v>4829</v>
      </c>
      <c r="AK2162" s="78" t="s">
        <v>4640</v>
      </c>
      <c r="AL2162" t="b">
        <v>0</v>
      </c>
      <c r="AM2162">
        <v>162</v>
      </c>
      <c r="AN2162" s="78" t="s">
        <v>4473</v>
      </c>
      <c r="AO2162" s="78" t="s">
        <v>4849</v>
      </c>
      <c r="AP2162" t="b">
        <v>0</v>
      </c>
      <c r="AQ2162" s="78" t="s">
        <v>4473</v>
      </c>
      <c r="AR2162" t="s">
        <v>179</v>
      </c>
      <c r="AS2162">
        <v>0</v>
      </c>
      <c r="AT2162">
        <v>0</v>
      </c>
    </row>
    <row r="2163" spans="1:46" x14ac:dyDescent="0.45">
      <c r="A2163" s="62" t="s">
        <v>695</v>
      </c>
      <c r="B2163" s="62" t="s">
        <v>242</v>
      </c>
      <c r="C2163" s="63"/>
      <c r="D2163" s="64"/>
      <c r="E2163" s="65"/>
      <c r="F2163" s="66"/>
      <c r="G2163" s="63"/>
      <c r="H2163" s="67"/>
      <c r="I2163" s="68"/>
      <c r="J2163" s="68"/>
      <c r="K2163" s="32"/>
      <c r="L2163" s="75"/>
      <c r="M2163" s="75"/>
      <c r="N2163" s="70"/>
      <c r="O2163" t="s">
        <v>1569</v>
      </c>
      <c r="P2163" s="76">
        <v>44958.891631944447</v>
      </c>
      <c r="Q2163" t="s">
        <v>1693</v>
      </c>
      <c r="V2163" s="77" t="str">
        <f>HYPERLINK("https://pbs.twimg.com/profile_images/1614593051191836674/bQ_ql2gz_normal.jpg")</f>
        <v>https://pbs.twimg.com/profile_images/1614593051191836674/bQ_ql2gz_normal.jpg</v>
      </c>
      <c r="W2163" s="76">
        <v>44958.891631944447</v>
      </c>
      <c r="X2163" s="80">
        <v>44958</v>
      </c>
      <c r="Y2163" s="78" t="s">
        <v>2898</v>
      </c>
      <c r="Z2163" s="77" t="str">
        <f>HYPERLINK("https://twitter.com/irespectmiley/status/1620895753328787457")</f>
        <v>https://twitter.com/irespectmiley/status/1620895753328787457</v>
      </c>
      <c r="AC2163" s="78" t="s">
        <v>3963</v>
      </c>
      <c r="AE2163" t="b">
        <v>0</v>
      </c>
      <c r="AF2163">
        <v>0</v>
      </c>
      <c r="AG2163" s="78" t="s">
        <v>4640</v>
      </c>
      <c r="AH2163" t="b">
        <v>0</v>
      </c>
      <c r="AI2163" t="s">
        <v>4829</v>
      </c>
      <c r="AK2163" s="78" t="s">
        <v>4640</v>
      </c>
      <c r="AL2163" t="b">
        <v>0</v>
      </c>
      <c r="AM2163">
        <v>162</v>
      </c>
      <c r="AN2163" s="78" t="s">
        <v>4473</v>
      </c>
      <c r="AO2163" s="78" t="s">
        <v>4849</v>
      </c>
      <c r="AP2163" t="b">
        <v>0</v>
      </c>
      <c r="AQ2163" s="78" t="s">
        <v>4473</v>
      </c>
      <c r="AR2163" t="s">
        <v>179</v>
      </c>
      <c r="AS2163">
        <v>0</v>
      </c>
      <c r="AT2163">
        <v>0</v>
      </c>
    </row>
    <row r="2164" spans="1:46" x14ac:dyDescent="0.45">
      <c r="A2164" s="62" t="s">
        <v>697</v>
      </c>
      <c r="B2164" s="62" t="s">
        <v>696</v>
      </c>
      <c r="C2164" s="63"/>
      <c r="D2164" s="64"/>
      <c r="E2164" s="65"/>
      <c r="F2164" s="66"/>
      <c r="G2164" s="63"/>
      <c r="H2164" s="67"/>
      <c r="I2164" s="68"/>
      <c r="J2164" s="68"/>
      <c r="K2164" s="32"/>
      <c r="L2164" s="75"/>
      <c r="M2164" s="75"/>
      <c r="N2164" s="70"/>
      <c r="O2164" t="s">
        <v>1569</v>
      </c>
      <c r="P2164" s="76">
        <v>44958.892187500001</v>
      </c>
      <c r="Q2164" t="s">
        <v>1879</v>
      </c>
      <c r="V2164" s="77" t="str">
        <f>HYPERLINK("https://pbs.twimg.com/profile_images/1616406050181373952/bH8BbKIn_normal.jpg")</f>
        <v>https://pbs.twimg.com/profile_images/1616406050181373952/bH8BbKIn_normal.jpg</v>
      </c>
      <c r="W2164" s="76">
        <v>44958.892187500001</v>
      </c>
      <c r="X2164" s="80">
        <v>44958</v>
      </c>
      <c r="Y2164" s="78" t="s">
        <v>2900</v>
      </c>
      <c r="Z2164" s="77" t="str">
        <f>HYPERLINK("https://twitter.com/mileymutual/status/1620895955938848768")</f>
        <v>https://twitter.com/mileymutual/status/1620895955938848768</v>
      </c>
      <c r="AC2164" s="78" t="s">
        <v>3965</v>
      </c>
      <c r="AE2164" t="b">
        <v>0</v>
      </c>
      <c r="AF2164">
        <v>0</v>
      </c>
      <c r="AG2164" s="78" t="s">
        <v>4640</v>
      </c>
      <c r="AH2164" t="b">
        <v>0</v>
      </c>
      <c r="AI2164" t="s">
        <v>4829</v>
      </c>
      <c r="AK2164" s="78" t="s">
        <v>4640</v>
      </c>
      <c r="AL2164" t="b">
        <v>0</v>
      </c>
      <c r="AM2164">
        <v>1</v>
      </c>
      <c r="AN2164" s="78" t="s">
        <v>3964</v>
      </c>
      <c r="AO2164" s="78" t="s">
        <v>4849</v>
      </c>
      <c r="AP2164" t="b">
        <v>0</v>
      </c>
      <c r="AQ2164" s="78" t="s">
        <v>3964</v>
      </c>
      <c r="AR2164" t="s">
        <v>179</v>
      </c>
      <c r="AS2164">
        <v>0</v>
      </c>
      <c r="AT2164">
        <v>0</v>
      </c>
    </row>
    <row r="2165" spans="1:46" x14ac:dyDescent="0.45">
      <c r="A2165" s="62" t="s">
        <v>697</v>
      </c>
      <c r="B2165" s="62" t="s">
        <v>1230</v>
      </c>
      <c r="C2165" s="63"/>
      <c r="D2165" s="64"/>
      <c r="E2165" s="65"/>
      <c r="F2165" s="66"/>
      <c r="G2165" s="63"/>
      <c r="H2165" s="67"/>
      <c r="I2165" s="68"/>
      <c r="J2165" s="68"/>
      <c r="K2165" s="32"/>
      <c r="L2165" s="75"/>
      <c r="M2165" s="75"/>
      <c r="N2165" s="70"/>
      <c r="O2165" t="s">
        <v>1570</v>
      </c>
      <c r="P2165" s="76">
        <v>44958.877175925925</v>
      </c>
      <c r="Q2165" t="s">
        <v>1693</v>
      </c>
      <c r="V2165" s="77" t="str">
        <f>HYPERLINK("https://pbs.twimg.com/profile_images/1616406050181373952/bH8BbKIn_normal.jpg")</f>
        <v>https://pbs.twimg.com/profile_images/1616406050181373952/bH8BbKIn_normal.jpg</v>
      </c>
      <c r="W2165" s="76">
        <v>44958.877175925925</v>
      </c>
      <c r="X2165" s="80">
        <v>44958</v>
      </c>
      <c r="Y2165" s="78" t="s">
        <v>2901</v>
      </c>
      <c r="Z2165" s="77" t="str">
        <f>HYPERLINK("https://twitter.com/mileymutual/status/1620890515607814144")</f>
        <v>https://twitter.com/mileymutual/status/1620890515607814144</v>
      </c>
      <c r="AC2165" s="78" t="s">
        <v>3966</v>
      </c>
      <c r="AE2165" t="b">
        <v>0</v>
      </c>
      <c r="AF2165">
        <v>0</v>
      </c>
      <c r="AG2165" s="78" t="s">
        <v>4640</v>
      </c>
      <c r="AH2165" t="b">
        <v>0</v>
      </c>
      <c r="AI2165" t="s">
        <v>4829</v>
      </c>
      <c r="AK2165" s="78" t="s">
        <v>4640</v>
      </c>
      <c r="AL2165" t="b">
        <v>0</v>
      </c>
      <c r="AM2165">
        <v>162</v>
      </c>
      <c r="AN2165" s="78" t="s">
        <v>4473</v>
      </c>
      <c r="AO2165" s="78" t="s">
        <v>4849</v>
      </c>
      <c r="AP2165" t="b">
        <v>0</v>
      </c>
      <c r="AQ2165" s="78" t="s">
        <v>4473</v>
      </c>
      <c r="AR2165" t="s">
        <v>179</v>
      </c>
      <c r="AS2165">
        <v>0</v>
      </c>
      <c r="AT2165">
        <v>0</v>
      </c>
    </row>
    <row r="2166" spans="1:46" x14ac:dyDescent="0.45">
      <c r="A2166" s="62" t="s">
        <v>697</v>
      </c>
      <c r="B2166" s="62" t="s">
        <v>242</v>
      </c>
      <c r="C2166" s="63"/>
      <c r="D2166" s="64"/>
      <c r="E2166" s="65"/>
      <c r="F2166" s="66"/>
      <c r="G2166" s="63"/>
      <c r="H2166" s="67"/>
      <c r="I2166" s="68"/>
      <c r="J2166" s="68"/>
      <c r="K2166" s="32"/>
      <c r="L2166" s="75"/>
      <c r="M2166" s="75"/>
      <c r="N2166" s="70"/>
      <c r="O2166" t="s">
        <v>1569</v>
      </c>
      <c r="P2166" s="76">
        <v>44958.877175925925</v>
      </c>
      <c r="Q2166" t="s">
        <v>1693</v>
      </c>
      <c r="V2166" s="77" t="str">
        <f>HYPERLINK("https://pbs.twimg.com/profile_images/1616406050181373952/bH8BbKIn_normal.jpg")</f>
        <v>https://pbs.twimg.com/profile_images/1616406050181373952/bH8BbKIn_normal.jpg</v>
      </c>
      <c r="W2166" s="76">
        <v>44958.877175925925</v>
      </c>
      <c r="X2166" s="80">
        <v>44958</v>
      </c>
      <c r="Y2166" s="78" t="s">
        <v>2901</v>
      </c>
      <c r="Z2166" s="77" t="str">
        <f>HYPERLINK("https://twitter.com/mileymutual/status/1620890515607814144")</f>
        <v>https://twitter.com/mileymutual/status/1620890515607814144</v>
      </c>
      <c r="AC2166" s="78" t="s">
        <v>3966</v>
      </c>
      <c r="AE2166" t="b">
        <v>0</v>
      </c>
      <c r="AF2166">
        <v>0</v>
      </c>
      <c r="AG2166" s="78" t="s">
        <v>4640</v>
      </c>
      <c r="AH2166" t="b">
        <v>0</v>
      </c>
      <c r="AI2166" t="s">
        <v>4829</v>
      </c>
      <c r="AK2166" s="78" t="s">
        <v>4640</v>
      </c>
      <c r="AL2166" t="b">
        <v>0</v>
      </c>
      <c r="AM2166">
        <v>162</v>
      </c>
      <c r="AN2166" s="78" t="s">
        <v>4473</v>
      </c>
      <c r="AO2166" s="78" t="s">
        <v>4849</v>
      </c>
      <c r="AP2166" t="b">
        <v>0</v>
      </c>
      <c r="AQ2166" s="78" t="s">
        <v>4473</v>
      </c>
      <c r="AR2166" t="s">
        <v>179</v>
      </c>
      <c r="AS2166">
        <v>0</v>
      </c>
      <c r="AT2166">
        <v>0</v>
      </c>
    </row>
    <row r="2167" spans="1:46" x14ac:dyDescent="0.45">
      <c r="A2167" s="62" t="s">
        <v>697</v>
      </c>
      <c r="B2167" s="62" t="s">
        <v>1230</v>
      </c>
      <c r="C2167" s="63"/>
      <c r="D2167" s="64"/>
      <c r="E2167" s="65"/>
      <c r="F2167" s="66"/>
      <c r="G2167" s="63"/>
      <c r="H2167" s="67"/>
      <c r="I2167" s="68"/>
      <c r="J2167" s="68"/>
      <c r="K2167" s="32"/>
      <c r="L2167" s="75"/>
      <c r="M2167" s="75"/>
      <c r="N2167" s="70"/>
      <c r="O2167" t="s">
        <v>1570</v>
      </c>
      <c r="P2167" s="76">
        <v>44958.892187500001</v>
      </c>
      <c r="Q2167" t="s">
        <v>1879</v>
      </c>
      <c r="V2167" s="77" t="str">
        <f>HYPERLINK("https://pbs.twimg.com/profile_images/1616406050181373952/bH8BbKIn_normal.jpg")</f>
        <v>https://pbs.twimg.com/profile_images/1616406050181373952/bH8BbKIn_normal.jpg</v>
      </c>
      <c r="W2167" s="76">
        <v>44958.892187500001</v>
      </c>
      <c r="X2167" s="80">
        <v>44958</v>
      </c>
      <c r="Y2167" s="78" t="s">
        <v>2900</v>
      </c>
      <c r="Z2167" s="77" t="str">
        <f>HYPERLINK("https://twitter.com/mileymutual/status/1620895955938848768")</f>
        <v>https://twitter.com/mileymutual/status/1620895955938848768</v>
      </c>
      <c r="AC2167" s="78" t="s">
        <v>3965</v>
      </c>
      <c r="AE2167" t="b">
        <v>0</v>
      </c>
      <c r="AF2167">
        <v>0</v>
      </c>
      <c r="AG2167" s="78" t="s">
        <v>4640</v>
      </c>
      <c r="AH2167" t="b">
        <v>0</v>
      </c>
      <c r="AI2167" t="s">
        <v>4829</v>
      </c>
      <c r="AK2167" s="78" t="s">
        <v>4640</v>
      </c>
      <c r="AL2167" t="b">
        <v>0</v>
      </c>
      <c r="AM2167">
        <v>1</v>
      </c>
      <c r="AN2167" s="78" t="s">
        <v>3964</v>
      </c>
      <c r="AO2167" s="78" t="s">
        <v>4849</v>
      </c>
      <c r="AP2167" t="b">
        <v>0</v>
      </c>
      <c r="AQ2167" s="78" t="s">
        <v>3964</v>
      </c>
      <c r="AR2167" t="s">
        <v>179</v>
      </c>
      <c r="AS2167">
        <v>0</v>
      </c>
      <c r="AT2167">
        <v>0</v>
      </c>
    </row>
    <row r="2168" spans="1:46" x14ac:dyDescent="0.45">
      <c r="A2168" s="62" t="s">
        <v>697</v>
      </c>
      <c r="B2168" s="62" t="s">
        <v>242</v>
      </c>
      <c r="C2168" s="63"/>
      <c r="D2168" s="64"/>
      <c r="E2168" s="65"/>
      <c r="F2168" s="66"/>
      <c r="G2168" s="63"/>
      <c r="H2168" s="67"/>
      <c r="I2168" s="68"/>
      <c r="J2168" s="68"/>
      <c r="K2168" s="32"/>
      <c r="L2168" s="75"/>
      <c r="M2168" s="75"/>
      <c r="N2168" s="70"/>
      <c r="O2168" t="s">
        <v>1567</v>
      </c>
      <c r="P2168" s="76">
        <v>44958.892187500001</v>
      </c>
      <c r="Q2168" t="s">
        <v>1879</v>
      </c>
      <c r="V2168" s="77" t="str">
        <f>HYPERLINK("https://pbs.twimg.com/profile_images/1616406050181373952/bH8BbKIn_normal.jpg")</f>
        <v>https://pbs.twimg.com/profile_images/1616406050181373952/bH8BbKIn_normal.jpg</v>
      </c>
      <c r="W2168" s="76">
        <v>44958.892187500001</v>
      </c>
      <c r="X2168" s="80">
        <v>44958</v>
      </c>
      <c r="Y2168" s="78" t="s">
        <v>2900</v>
      </c>
      <c r="Z2168" s="77" t="str">
        <f>HYPERLINK("https://twitter.com/mileymutual/status/1620895955938848768")</f>
        <v>https://twitter.com/mileymutual/status/1620895955938848768</v>
      </c>
      <c r="AC2168" s="78" t="s">
        <v>3965</v>
      </c>
      <c r="AE2168" t="b">
        <v>0</v>
      </c>
      <c r="AF2168">
        <v>0</v>
      </c>
      <c r="AG2168" s="78" t="s">
        <v>4640</v>
      </c>
      <c r="AH2168" t="b">
        <v>0</v>
      </c>
      <c r="AI2168" t="s">
        <v>4829</v>
      </c>
      <c r="AK2168" s="78" t="s">
        <v>4640</v>
      </c>
      <c r="AL2168" t="b">
        <v>0</v>
      </c>
      <c r="AM2168">
        <v>1</v>
      </c>
      <c r="AN2168" s="78" t="s">
        <v>3964</v>
      </c>
      <c r="AO2168" s="78" t="s">
        <v>4849</v>
      </c>
      <c r="AP2168" t="b">
        <v>0</v>
      </c>
      <c r="AQ2168" s="78" t="s">
        <v>3964</v>
      </c>
      <c r="AR2168" t="s">
        <v>179</v>
      </c>
      <c r="AS2168">
        <v>0</v>
      </c>
      <c r="AT2168">
        <v>0</v>
      </c>
    </row>
    <row r="2169" spans="1:46" x14ac:dyDescent="0.45">
      <c r="A2169" s="62" t="s">
        <v>699</v>
      </c>
      <c r="B2169" s="62" t="s">
        <v>1230</v>
      </c>
      <c r="C2169" s="63"/>
      <c r="D2169" s="64"/>
      <c r="E2169" s="65"/>
      <c r="F2169" s="66"/>
      <c r="G2169" s="63"/>
      <c r="H2169" s="67"/>
      <c r="I2169" s="68"/>
      <c r="J2169" s="68"/>
      <c r="K2169" s="32"/>
      <c r="L2169" s="75"/>
      <c r="M2169" s="75"/>
      <c r="N2169" s="70"/>
      <c r="O2169" t="s">
        <v>1570</v>
      </c>
      <c r="P2169" s="76">
        <v>44958.892858796295</v>
      </c>
      <c r="Q2169" t="s">
        <v>1693</v>
      </c>
      <c r="V2169" s="77" t="str">
        <f>HYPERLINK("https://pbs.twimg.com/profile_images/1614465783840804864/SlhHV-7S_normal.jpg")</f>
        <v>https://pbs.twimg.com/profile_images/1614465783840804864/SlhHV-7S_normal.jpg</v>
      </c>
      <c r="W2169" s="76">
        <v>44958.892858796295</v>
      </c>
      <c r="X2169" s="80">
        <v>44958</v>
      </c>
      <c r="Y2169" s="78" t="s">
        <v>2903</v>
      </c>
      <c r="Z2169" s="77" t="str">
        <f>HYPERLINK("https://twitter.com/jollygiant15/status/1620896200332578816")</f>
        <v>https://twitter.com/jollygiant15/status/1620896200332578816</v>
      </c>
      <c r="AC2169" s="78" t="s">
        <v>3968</v>
      </c>
      <c r="AE2169" t="b">
        <v>0</v>
      </c>
      <c r="AF2169">
        <v>0</v>
      </c>
      <c r="AG2169" s="78" t="s">
        <v>4640</v>
      </c>
      <c r="AH2169" t="b">
        <v>0</v>
      </c>
      <c r="AI2169" t="s">
        <v>4829</v>
      </c>
      <c r="AK2169" s="78" t="s">
        <v>4640</v>
      </c>
      <c r="AL2169" t="b">
        <v>0</v>
      </c>
      <c r="AM2169">
        <v>162</v>
      </c>
      <c r="AN2169" s="78" t="s">
        <v>4473</v>
      </c>
      <c r="AO2169" s="78" t="s">
        <v>4849</v>
      </c>
      <c r="AP2169" t="b">
        <v>0</v>
      </c>
      <c r="AQ2169" s="78" t="s">
        <v>4473</v>
      </c>
      <c r="AR2169" t="s">
        <v>179</v>
      </c>
      <c r="AS2169">
        <v>0</v>
      </c>
      <c r="AT2169">
        <v>0</v>
      </c>
    </row>
    <row r="2170" spans="1:46" x14ac:dyDescent="0.45">
      <c r="A2170" s="62" t="s">
        <v>699</v>
      </c>
      <c r="B2170" s="62" t="s">
        <v>242</v>
      </c>
      <c r="C2170" s="63"/>
      <c r="D2170" s="64"/>
      <c r="E2170" s="65"/>
      <c r="F2170" s="66"/>
      <c r="G2170" s="63"/>
      <c r="H2170" s="67"/>
      <c r="I2170" s="68"/>
      <c r="J2170" s="68"/>
      <c r="K2170" s="32"/>
      <c r="L2170" s="75"/>
      <c r="M2170" s="75"/>
      <c r="N2170" s="70"/>
      <c r="O2170" t="s">
        <v>1569</v>
      </c>
      <c r="P2170" s="76">
        <v>44958.892858796295</v>
      </c>
      <c r="Q2170" t="s">
        <v>1693</v>
      </c>
      <c r="V2170" s="77" t="str">
        <f>HYPERLINK("https://pbs.twimg.com/profile_images/1614465783840804864/SlhHV-7S_normal.jpg")</f>
        <v>https://pbs.twimg.com/profile_images/1614465783840804864/SlhHV-7S_normal.jpg</v>
      </c>
      <c r="W2170" s="76">
        <v>44958.892858796295</v>
      </c>
      <c r="X2170" s="80">
        <v>44958</v>
      </c>
      <c r="Y2170" s="78" t="s">
        <v>2903</v>
      </c>
      <c r="Z2170" s="77" t="str">
        <f>HYPERLINK("https://twitter.com/jollygiant15/status/1620896200332578816")</f>
        <v>https://twitter.com/jollygiant15/status/1620896200332578816</v>
      </c>
      <c r="AC2170" s="78" t="s">
        <v>3968</v>
      </c>
      <c r="AE2170" t="b">
        <v>0</v>
      </c>
      <c r="AF2170">
        <v>0</v>
      </c>
      <c r="AG2170" s="78" t="s">
        <v>4640</v>
      </c>
      <c r="AH2170" t="b">
        <v>0</v>
      </c>
      <c r="AI2170" t="s">
        <v>4829</v>
      </c>
      <c r="AK2170" s="78" t="s">
        <v>4640</v>
      </c>
      <c r="AL2170" t="b">
        <v>0</v>
      </c>
      <c r="AM2170">
        <v>162</v>
      </c>
      <c r="AN2170" s="78" t="s">
        <v>4473</v>
      </c>
      <c r="AO2170" s="78" t="s">
        <v>4849</v>
      </c>
      <c r="AP2170" t="b">
        <v>0</v>
      </c>
      <c r="AQ2170" s="78" t="s">
        <v>4473</v>
      </c>
      <c r="AR2170" t="s">
        <v>179</v>
      </c>
      <c r="AS2170">
        <v>0</v>
      </c>
      <c r="AT2170">
        <v>0</v>
      </c>
    </row>
    <row r="2171" spans="1:46" x14ac:dyDescent="0.45">
      <c r="A2171" s="62" t="s">
        <v>700</v>
      </c>
      <c r="B2171" s="62" t="s">
        <v>242</v>
      </c>
      <c r="C2171" s="63"/>
      <c r="D2171" s="64"/>
      <c r="E2171" s="65"/>
      <c r="F2171" s="66"/>
      <c r="G2171" s="63"/>
      <c r="H2171" s="67"/>
      <c r="I2171" s="68"/>
      <c r="J2171" s="68"/>
      <c r="K2171" s="32"/>
      <c r="L2171" s="75"/>
      <c r="M2171" s="75"/>
      <c r="N2171" s="70"/>
      <c r="O2171" t="s">
        <v>1567</v>
      </c>
      <c r="P2171" s="76">
        <v>44958.894560185188</v>
      </c>
      <c r="Q2171" t="s">
        <v>1880</v>
      </c>
      <c r="V2171" s="77" t="str">
        <f>HYPERLINK("https://pbs.twimg.com/profile_images/424216404351787009/TI82UjAR_normal.jpeg")</f>
        <v>https://pbs.twimg.com/profile_images/424216404351787009/TI82UjAR_normal.jpeg</v>
      </c>
      <c r="W2171" s="76">
        <v>44958.894560185188</v>
      </c>
      <c r="X2171" s="80">
        <v>44958</v>
      </c>
      <c r="Y2171" s="78" t="s">
        <v>2904</v>
      </c>
      <c r="Z2171" s="77" t="str">
        <f>HYPERLINK("https://twitter.com/amyjulissax33/status/1620896815091515393")</f>
        <v>https://twitter.com/amyjulissax33/status/1620896815091515393</v>
      </c>
      <c r="AC2171" s="78" t="s">
        <v>3969</v>
      </c>
      <c r="AE2171" t="b">
        <v>0</v>
      </c>
      <c r="AF2171">
        <v>0</v>
      </c>
      <c r="AG2171" s="78" t="s">
        <v>4639</v>
      </c>
      <c r="AH2171" t="b">
        <v>0</v>
      </c>
      <c r="AI2171" t="s">
        <v>4829</v>
      </c>
      <c r="AK2171" s="78" t="s">
        <v>4640</v>
      </c>
      <c r="AL2171" t="b">
        <v>0</v>
      </c>
      <c r="AM2171">
        <v>0</v>
      </c>
      <c r="AN2171" s="78" t="s">
        <v>4640</v>
      </c>
      <c r="AO2171" s="78" t="s">
        <v>4850</v>
      </c>
      <c r="AP2171" t="b">
        <v>0</v>
      </c>
      <c r="AQ2171" s="78" t="s">
        <v>3969</v>
      </c>
      <c r="AR2171" t="s">
        <v>179</v>
      </c>
      <c r="AS2171">
        <v>0</v>
      </c>
      <c r="AT2171">
        <v>0</v>
      </c>
    </row>
    <row r="2172" spans="1:46" x14ac:dyDescent="0.45">
      <c r="A2172" s="62" t="s">
        <v>703</v>
      </c>
      <c r="B2172" s="62" t="s">
        <v>1230</v>
      </c>
      <c r="C2172" s="63"/>
      <c r="D2172" s="64"/>
      <c r="E2172" s="65"/>
      <c r="F2172" s="66"/>
      <c r="G2172" s="63"/>
      <c r="H2172" s="67"/>
      <c r="I2172" s="68"/>
      <c r="J2172" s="68"/>
      <c r="K2172" s="32"/>
      <c r="L2172" s="75"/>
      <c r="M2172" s="75"/>
      <c r="N2172" s="70"/>
      <c r="O2172" t="s">
        <v>1570</v>
      </c>
      <c r="P2172" s="76">
        <v>44958.89603009259</v>
      </c>
      <c r="Q2172" t="s">
        <v>1693</v>
      </c>
      <c r="V2172" s="77" t="str">
        <f>HYPERLINK("https://pbs.twimg.com/profile_images/1511838716788195337/A_pBb1cS_normal.jpg")</f>
        <v>https://pbs.twimg.com/profile_images/1511838716788195337/A_pBb1cS_normal.jpg</v>
      </c>
      <c r="W2172" s="76">
        <v>44958.89603009259</v>
      </c>
      <c r="X2172" s="80">
        <v>44958</v>
      </c>
      <c r="Y2172" s="78" t="s">
        <v>2907</v>
      </c>
      <c r="Z2172" s="77" t="str">
        <f>HYPERLINK("https://twitter.com/samanthapopstar/status/1620897350620450816")</f>
        <v>https://twitter.com/samanthapopstar/status/1620897350620450816</v>
      </c>
      <c r="AC2172" s="78" t="s">
        <v>3972</v>
      </c>
      <c r="AE2172" t="b">
        <v>0</v>
      </c>
      <c r="AF2172">
        <v>0</v>
      </c>
      <c r="AG2172" s="78" t="s">
        <v>4640</v>
      </c>
      <c r="AH2172" t="b">
        <v>0</v>
      </c>
      <c r="AI2172" t="s">
        <v>4829</v>
      </c>
      <c r="AK2172" s="78" t="s">
        <v>4640</v>
      </c>
      <c r="AL2172" t="b">
        <v>0</v>
      </c>
      <c r="AM2172">
        <v>162</v>
      </c>
      <c r="AN2172" s="78" t="s">
        <v>4473</v>
      </c>
      <c r="AO2172" s="78" t="s">
        <v>4849</v>
      </c>
      <c r="AP2172" t="b">
        <v>0</v>
      </c>
      <c r="AQ2172" s="78" t="s">
        <v>4473</v>
      </c>
      <c r="AR2172" t="s">
        <v>179</v>
      </c>
      <c r="AS2172">
        <v>0</v>
      </c>
      <c r="AT2172">
        <v>0</v>
      </c>
    </row>
    <row r="2173" spans="1:46" x14ac:dyDescent="0.45">
      <c r="A2173" s="62" t="s">
        <v>703</v>
      </c>
      <c r="B2173" s="62" t="s">
        <v>242</v>
      </c>
      <c r="C2173" s="63"/>
      <c r="D2173" s="64"/>
      <c r="E2173" s="65"/>
      <c r="F2173" s="66"/>
      <c r="G2173" s="63"/>
      <c r="H2173" s="67"/>
      <c r="I2173" s="68"/>
      <c r="J2173" s="68"/>
      <c r="K2173" s="32"/>
      <c r="L2173" s="75"/>
      <c r="M2173" s="75"/>
      <c r="N2173" s="70"/>
      <c r="O2173" t="s">
        <v>1569</v>
      </c>
      <c r="P2173" s="76">
        <v>44958.89603009259</v>
      </c>
      <c r="Q2173" t="s">
        <v>1693</v>
      </c>
      <c r="V2173" s="77" t="str">
        <f>HYPERLINK("https://pbs.twimg.com/profile_images/1511838716788195337/A_pBb1cS_normal.jpg")</f>
        <v>https://pbs.twimg.com/profile_images/1511838716788195337/A_pBb1cS_normal.jpg</v>
      </c>
      <c r="W2173" s="76">
        <v>44958.89603009259</v>
      </c>
      <c r="X2173" s="80">
        <v>44958</v>
      </c>
      <c r="Y2173" s="78" t="s">
        <v>2907</v>
      </c>
      <c r="Z2173" s="77" t="str">
        <f>HYPERLINK("https://twitter.com/samanthapopstar/status/1620897350620450816")</f>
        <v>https://twitter.com/samanthapopstar/status/1620897350620450816</v>
      </c>
      <c r="AC2173" s="78" t="s">
        <v>3972</v>
      </c>
      <c r="AE2173" t="b">
        <v>0</v>
      </c>
      <c r="AF2173">
        <v>0</v>
      </c>
      <c r="AG2173" s="78" t="s">
        <v>4640</v>
      </c>
      <c r="AH2173" t="b">
        <v>0</v>
      </c>
      <c r="AI2173" t="s">
        <v>4829</v>
      </c>
      <c r="AK2173" s="78" t="s">
        <v>4640</v>
      </c>
      <c r="AL2173" t="b">
        <v>0</v>
      </c>
      <c r="AM2173">
        <v>162</v>
      </c>
      <c r="AN2173" s="78" t="s">
        <v>4473</v>
      </c>
      <c r="AO2173" s="78" t="s">
        <v>4849</v>
      </c>
      <c r="AP2173" t="b">
        <v>0</v>
      </c>
      <c r="AQ2173" s="78" t="s">
        <v>4473</v>
      </c>
      <c r="AR2173" t="s">
        <v>179</v>
      </c>
      <c r="AS2173">
        <v>0</v>
      </c>
      <c r="AT2173">
        <v>0</v>
      </c>
    </row>
    <row r="2174" spans="1:46" x14ac:dyDescent="0.45">
      <c r="A2174" s="62" t="s">
        <v>705</v>
      </c>
      <c r="B2174" s="62" t="s">
        <v>242</v>
      </c>
      <c r="C2174" s="63"/>
      <c r="D2174" s="64"/>
      <c r="E2174" s="65"/>
      <c r="F2174" s="66"/>
      <c r="G2174" s="63"/>
      <c r="H2174" s="67"/>
      <c r="I2174" s="68"/>
      <c r="J2174" s="68"/>
      <c r="K2174" s="32"/>
      <c r="L2174" s="75"/>
      <c r="M2174" s="75"/>
      <c r="N2174" s="70"/>
      <c r="O2174" t="s">
        <v>1568</v>
      </c>
      <c r="P2174" s="76">
        <v>44958.901620370372</v>
      </c>
      <c r="Q2174" t="s">
        <v>1883</v>
      </c>
      <c r="V2174" s="77" t="str">
        <f>HYPERLINK("https://pbs.twimg.com/profile_images/1620605358052937731/fbecbdWB_normal.jpg")</f>
        <v>https://pbs.twimg.com/profile_images/1620605358052937731/fbecbdWB_normal.jpg</v>
      </c>
      <c r="W2174" s="76">
        <v>44958.901620370372</v>
      </c>
      <c r="X2174" s="80">
        <v>44958</v>
      </c>
      <c r="Y2174" s="78" t="s">
        <v>2909</v>
      </c>
      <c r="Z2174" s="77" t="str">
        <f>HYPERLINK("https://twitter.com/kholtonkjd/status/1620899374871232512")</f>
        <v>https://twitter.com/kholtonkjd/status/1620899374871232512</v>
      </c>
      <c r="AC2174" s="78" t="s">
        <v>3974</v>
      </c>
      <c r="AE2174" t="b">
        <v>0</v>
      </c>
      <c r="AF2174">
        <v>0</v>
      </c>
      <c r="AG2174" s="78" t="s">
        <v>4640</v>
      </c>
      <c r="AH2174" t="b">
        <v>0</v>
      </c>
      <c r="AI2174" t="s">
        <v>4829</v>
      </c>
      <c r="AK2174" s="78" t="s">
        <v>4640</v>
      </c>
      <c r="AL2174" t="b">
        <v>0</v>
      </c>
      <c r="AM2174">
        <v>0</v>
      </c>
      <c r="AN2174" s="78" t="s">
        <v>4640</v>
      </c>
      <c r="AO2174" s="78" t="s">
        <v>4849</v>
      </c>
      <c r="AP2174" t="b">
        <v>0</v>
      </c>
      <c r="AQ2174" s="78" t="s">
        <v>3974</v>
      </c>
      <c r="AR2174" t="s">
        <v>179</v>
      </c>
      <c r="AS2174">
        <v>0</v>
      </c>
      <c r="AT2174">
        <v>0</v>
      </c>
    </row>
    <row r="2175" spans="1:46" x14ac:dyDescent="0.45">
      <c r="A2175" s="62" t="s">
        <v>706</v>
      </c>
      <c r="B2175" s="62" t="s">
        <v>1343</v>
      </c>
      <c r="C2175" s="63"/>
      <c r="D2175" s="64"/>
      <c r="E2175" s="65"/>
      <c r="F2175" s="66"/>
      <c r="G2175" s="63"/>
      <c r="H2175" s="67"/>
      <c r="I2175" s="68"/>
      <c r="J2175" s="68"/>
      <c r="K2175" s="32"/>
      <c r="L2175" s="75"/>
      <c r="M2175" s="75"/>
      <c r="N2175" s="70"/>
      <c r="O2175" t="s">
        <v>1568</v>
      </c>
      <c r="P2175" s="76">
        <v>44958.901898148149</v>
      </c>
      <c r="Q2175" t="s">
        <v>1884</v>
      </c>
      <c r="V2175" s="77" t="str">
        <f>HYPERLINK("https://pbs.twimg.com/profile_images/969412224245678080/a4KURZNB_normal.jpg")</f>
        <v>https://pbs.twimg.com/profile_images/969412224245678080/a4KURZNB_normal.jpg</v>
      </c>
      <c r="W2175" s="76">
        <v>44958.901898148149</v>
      </c>
      <c r="X2175" s="80">
        <v>44958</v>
      </c>
      <c r="Y2175" s="78" t="s">
        <v>2910</v>
      </c>
      <c r="Z2175" s="77" t="str">
        <f>HYPERLINK("https://twitter.com/yadayada3857/status/1620899477396803585")</f>
        <v>https://twitter.com/yadayada3857/status/1620899477396803585</v>
      </c>
      <c r="AC2175" s="78" t="s">
        <v>3975</v>
      </c>
      <c r="AE2175" t="b">
        <v>0</v>
      </c>
      <c r="AF2175">
        <v>0</v>
      </c>
      <c r="AG2175" s="78" t="s">
        <v>4640</v>
      </c>
      <c r="AH2175" t="b">
        <v>0</v>
      </c>
      <c r="AI2175" t="s">
        <v>4829</v>
      </c>
      <c r="AK2175" s="78" t="s">
        <v>4640</v>
      </c>
      <c r="AL2175" t="b">
        <v>0</v>
      </c>
      <c r="AM2175">
        <v>0</v>
      </c>
      <c r="AN2175" s="78" t="s">
        <v>4640</v>
      </c>
      <c r="AO2175" s="78" t="s">
        <v>4849</v>
      </c>
      <c r="AP2175" t="b">
        <v>0</v>
      </c>
      <c r="AQ2175" s="78" t="s">
        <v>3975</v>
      </c>
      <c r="AR2175" t="s">
        <v>179</v>
      </c>
      <c r="AS2175">
        <v>0</v>
      </c>
      <c r="AT2175">
        <v>0</v>
      </c>
    </row>
    <row r="2176" spans="1:46" x14ac:dyDescent="0.45">
      <c r="A2176" s="62" t="s">
        <v>706</v>
      </c>
      <c r="B2176" s="62" t="s">
        <v>242</v>
      </c>
      <c r="C2176" s="63"/>
      <c r="D2176" s="64"/>
      <c r="E2176" s="65"/>
      <c r="F2176" s="66"/>
      <c r="G2176" s="63"/>
      <c r="H2176" s="67"/>
      <c r="I2176" s="68"/>
      <c r="J2176" s="68"/>
      <c r="K2176" s="32"/>
      <c r="L2176" s="75"/>
      <c r="M2176" s="75"/>
      <c r="N2176" s="70"/>
      <c r="O2176" t="s">
        <v>1568</v>
      </c>
      <c r="P2176" s="76">
        <v>44958.901898148149</v>
      </c>
      <c r="Q2176" t="s">
        <v>1884</v>
      </c>
      <c r="V2176" s="77" t="str">
        <f>HYPERLINK("https://pbs.twimg.com/profile_images/969412224245678080/a4KURZNB_normal.jpg")</f>
        <v>https://pbs.twimg.com/profile_images/969412224245678080/a4KURZNB_normal.jpg</v>
      </c>
      <c r="W2176" s="76">
        <v>44958.901898148149</v>
      </c>
      <c r="X2176" s="80">
        <v>44958</v>
      </c>
      <c r="Y2176" s="78" t="s">
        <v>2910</v>
      </c>
      <c r="Z2176" s="77" t="str">
        <f>HYPERLINK("https://twitter.com/yadayada3857/status/1620899477396803585")</f>
        <v>https://twitter.com/yadayada3857/status/1620899477396803585</v>
      </c>
      <c r="AC2176" s="78" t="s">
        <v>3975</v>
      </c>
      <c r="AE2176" t="b">
        <v>0</v>
      </c>
      <c r="AF2176">
        <v>0</v>
      </c>
      <c r="AG2176" s="78" t="s">
        <v>4640</v>
      </c>
      <c r="AH2176" t="b">
        <v>0</v>
      </c>
      <c r="AI2176" t="s">
        <v>4829</v>
      </c>
      <c r="AK2176" s="78" t="s">
        <v>4640</v>
      </c>
      <c r="AL2176" t="b">
        <v>0</v>
      </c>
      <c r="AM2176">
        <v>0</v>
      </c>
      <c r="AN2176" s="78" t="s">
        <v>4640</v>
      </c>
      <c r="AO2176" s="78" t="s">
        <v>4849</v>
      </c>
      <c r="AP2176" t="b">
        <v>0</v>
      </c>
      <c r="AQ2176" s="78" t="s">
        <v>3975</v>
      </c>
      <c r="AR2176" t="s">
        <v>179</v>
      </c>
      <c r="AS2176">
        <v>0</v>
      </c>
      <c r="AT2176">
        <v>0</v>
      </c>
    </row>
    <row r="2177" spans="1:46" x14ac:dyDescent="0.45">
      <c r="A2177" s="62" t="s">
        <v>707</v>
      </c>
      <c r="B2177" s="62" t="s">
        <v>1230</v>
      </c>
      <c r="C2177" s="63"/>
      <c r="D2177" s="64"/>
      <c r="E2177" s="65"/>
      <c r="F2177" s="66"/>
      <c r="G2177" s="63"/>
      <c r="H2177" s="67"/>
      <c r="I2177" s="68"/>
      <c r="J2177" s="68"/>
      <c r="K2177" s="32"/>
      <c r="L2177" s="75"/>
      <c r="M2177" s="75"/>
      <c r="N2177" s="70"/>
      <c r="O2177" t="s">
        <v>1568</v>
      </c>
      <c r="P2177" s="76">
        <v>44958.902280092596</v>
      </c>
      <c r="Q2177" t="s">
        <v>1885</v>
      </c>
      <c r="V2177" s="77" t="str">
        <f>HYPERLINK("https://pbs.twimg.com/profile_images/1418472813250367489/qoQpbrl9_normal.jpg")</f>
        <v>https://pbs.twimg.com/profile_images/1418472813250367489/qoQpbrl9_normal.jpg</v>
      </c>
      <c r="W2177" s="76">
        <v>44958.902280092596</v>
      </c>
      <c r="X2177" s="80">
        <v>44958</v>
      </c>
      <c r="Y2177" s="78" t="s">
        <v>2911</v>
      </c>
      <c r="Z2177" s="77" t="str">
        <f>HYPERLINK("https://twitter.com/bursigaga/status/1620899615116791809")</f>
        <v>https://twitter.com/bursigaga/status/1620899615116791809</v>
      </c>
      <c r="AC2177" s="78" t="s">
        <v>3976</v>
      </c>
      <c r="AD2177" s="78" t="s">
        <v>4473</v>
      </c>
      <c r="AE2177" t="b">
        <v>0</v>
      </c>
      <c r="AF2177">
        <v>0</v>
      </c>
      <c r="AG2177" s="78" t="s">
        <v>4639</v>
      </c>
      <c r="AH2177" t="b">
        <v>0</v>
      </c>
      <c r="AI2177" t="s">
        <v>4829</v>
      </c>
      <c r="AK2177" s="78" t="s">
        <v>4640</v>
      </c>
      <c r="AL2177" t="b">
        <v>0</v>
      </c>
      <c r="AM2177">
        <v>0</v>
      </c>
      <c r="AN2177" s="78" t="s">
        <v>4640</v>
      </c>
      <c r="AO2177" s="78" t="s">
        <v>4849</v>
      </c>
      <c r="AP2177" t="b">
        <v>0</v>
      </c>
      <c r="AQ2177" s="78" t="s">
        <v>4473</v>
      </c>
      <c r="AR2177" t="s">
        <v>179</v>
      </c>
      <c r="AS2177">
        <v>0</v>
      </c>
      <c r="AT2177">
        <v>0</v>
      </c>
    </row>
    <row r="2178" spans="1:46" x14ac:dyDescent="0.45">
      <c r="A2178" s="62" t="s">
        <v>707</v>
      </c>
      <c r="B2178" s="62" t="s">
        <v>242</v>
      </c>
      <c r="C2178" s="63"/>
      <c r="D2178" s="64"/>
      <c r="E2178" s="65"/>
      <c r="F2178" s="66"/>
      <c r="G2178" s="63"/>
      <c r="H2178" s="67"/>
      <c r="I2178" s="68"/>
      <c r="J2178" s="68"/>
      <c r="K2178" s="32"/>
      <c r="L2178" s="75"/>
      <c r="M2178" s="75"/>
      <c r="N2178" s="70"/>
      <c r="O2178" t="s">
        <v>1567</v>
      </c>
      <c r="P2178" s="76">
        <v>44958.902280092596</v>
      </c>
      <c r="Q2178" t="s">
        <v>1885</v>
      </c>
      <c r="V2178" s="77" t="str">
        <f>HYPERLINK("https://pbs.twimg.com/profile_images/1418472813250367489/qoQpbrl9_normal.jpg")</f>
        <v>https://pbs.twimg.com/profile_images/1418472813250367489/qoQpbrl9_normal.jpg</v>
      </c>
      <c r="W2178" s="76">
        <v>44958.902280092596</v>
      </c>
      <c r="X2178" s="80">
        <v>44958</v>
      </c>
      <c r="Y2178" s="78" t="s">
        <v>2911</v>
      </c>
      <c r="Z2178" s="77" t="str">
        <f>HYPERLINK("https://twitter.com/bursigaga/status/1620899615116791809")</f>
        <v>https://twitter.com/bursigaga/status/1620899615116791809</v>
      </c>
      <c r="AC2178" s="78" t="s">
        <v>3976</v>
      </c>
      <c r="AD2178" s="78" t="s">
        <v>4473</v>
      </c>
      <c r="AE2178" t="b">
        <v>0</v>
      </c>
      <c r="AF2178">
        <v>0</v>
      </c>
      <c r="AG2178" s="78" t="s">
        <v>4639</v>
      </c>
      <c r="AH2178" t="b">
        <v>0</v>
      </c>
      <c r="AI2178" t="s">
        <v>4829</v>
      </c>
      <c r="AK2178" s="78" t="s">
        <v>4640</v>
      </c>
      <c r="AL2178" t="b">
        <v>0</v>
      </c>
      <c r="AM2178">
        <v>0</v>
      </c>
      <c r="AN2178" s="78" t="s">
        <v>4640</v>
      </c>
      <c r="AO2178" s="78" t="s">
        <v>4849</v>
      </c>
      <c r="AP2178" t="b">
        <v>0</v>
      </c>
      <c r="AQ2178" s="78" t="s">
        <v>4473</v>
      </c>
      <c r="AR2178" t="s">
        <v>179</v>
      </c>
      <c r="AS2178">
        <v>0</v>
      </c>
      <c r="AT2178">
        <v>0</v>
      </c>
    </row>
    <row r="2179" spans="1:46" x14ac:dyDescent="0.45">
      <c r="A2179" s="62" t="s">
        <v>708</v>
      </c>
      <c r="B2179" s="62" t="s">
        <v>242</v>
      </c>
      <c r="C2179" s="63"/>
      <c r="D2179" s="64"/>
      <c r="E2179" s="65"/>
      <c r="F2179" s="66"/>
      <c r="G2179" s="63"/>
      <c r="H2179" s="67"/>
      <c r="I2179" s="68"/>
      <c r="J2179" s="68"/>
      <c r="K2179" s="32"/>
      <c r="L2179" s="75"/>
      <c r="M2179" s="75"/>
      <c r="N2179" s="70"/>
      <c r="O2179" t="s">
        <v>1567</v>
      </c>
      <c r="P2179" s="76">
        <v>44958.838726851849</v>
      </c>
      <c r="Q2179" t="s">
        <v>1886</v>
      </c>
      <c r="V2179" s="77" t="str">
        <f>HYPERLINK("https://pbs.twimg.com/profile_images/1422690186660564997/r3cMPvpT_normal.jpg")</f>
        <v>https://pbs.twimg.com/profile_images/1422690186660564997/r3cMPvpT_normal.jpg</v>
      </c>
      <c r="W2179" s="76">
        <v>44958.838726851849</v>
      </c>
      <c r="X2179" s="80">
        <v>44958</v>
      </c>
      <c r="Y2179" s="78" t="s">
        <v>2912</v>
      </c>
      <c r="Z2179" s="77" t="str">
        <f>HYPERLINK("https://twitter.com/onlybmesb/status/1620876582503198721")</f>
        <v>https://twitter.com/onlybmesb/status/1620876582503198721</v>
      </c>
      <c r="AC2179" s="78" t="s">
        <v>3977</v>
      </c>
      <c r="AE2179" t="b">
        <v>0</v>
      </c>
      <c r="AF2179">
        <v>0</v>
      </c>
      <c r="AG2179" s="78" t="s">
        <v>4639</v>
      </c>
      <c r="AH2179" t="b">
        <v>0</v>
      </c>
      <c r="AI2179" t="s">
        <v>4829</v>
      </c>
      <c r="AK2179" s="78" t="s">
        <v>4640</v>
      </c>
      <c r="AL2179" t="b">
        <v>0</v>
      </c>
      <c r="AM2179">
        <v>0</v>
      </c>
      <c r="AN2179" s="78" t="s">
        <v>4640</v>
      </c>
      <c r="AO2179" s="78" t="s">
        <v>4849</v>
      </c>
      <c r="AP2179" t="b">
        <v>0</v>
      </c>
      <c r="AQ2179" s="78" t="s">
        <v>3977</v>
      </c>
      <c r="AR2179" t="s">
        <v>179</v>
      </c>
      <c r="AS2179">
        <v>0</v>
      </c>
      <c r="AT2179">
        <v>0</v>
      </c>
    </row>
    <row r="2180" spans="1:46" x14ac:dyDescent="0.45">
      <c r="A2180" s="62" t="s">
        <v>708</v>
      </c>
      <c r="B2180" s="62" t="s">
        <v>242</v>
      </c>
      <c r="C2180" s="63"/>
      <c r="D2180" s="64"/>
      <c r="E2180" s="65"/>
      <c r="F2180" s="66"/>
      <c r="G2180" s="63"/>
      <c r="H2180" s="67"/>
      <c r="I2180" s="68"/>
      <c r="J2180" s="68"/>
      <c r="K2180" s="32"/>
      <c r="L2180" s="75"/>
      <c r="M2180" s="75"/>
      <c r="N2180" s="70"/>
      <c r="O2180" t="s">
        <v>1567</v>
      </c>
      <c r="P2180" s="76">
        <v>44958.902488425927</v>
      </c>
      <c r="Q2180" t="s">
        <v>1887</v>
      </c>
      <c r="V2180" s="77" t="str">
        <f>HYPERLINK("https://pbs.twimg.com/profile_images/1422690186660564997/r3cMPvpT_normal.jpg")</f>
        <v>https://pbs.twimg.com/profile_images/1422690186660564997/r3cMPvpT_normal.jpg</v>
      </c>
      <c r="W2180" s="76">
        <v>44958.902488425927</v>
      </c>
      <c r="X2180" s="80">
        <v>44958</v>
      </c>
      <c r="Y2180" s="78" t="s">
        <v>2913</v>
      </c>
      <c r="Z2180" s="77" t="str">
        <f>HYPERLINK("https://twitter.com/onlybmesb/status/1620899687950843905")</f>
        <v>https://twitter.com/onlybmesb/status/1620899687950843905</v>
      </c>
      <c r="AC2180" s="78" t="s">
        <v>3978</v>
      </c>
      <c r="AD2180" s="78" t="s">
        <v>4559</v>
      </c>
      <c r="AE2180" t="b">
        <v>0</v>
      </c>
      <c r="AF2180">
        <v>0</v>
      </c>
      <c r="AG2180" s="78" t="s">
        <v>4639</v>
      </c>
      <c r="AH2180" t="b">
        <v>0</v>
      </c>
      <c r="AI2180" t="s">
        <v>4829</v>
      </c>
      <c r="AK2180" s="78" t="s">
        <v>4640</v>
      </c>
      <c r="AL2180" t="b">
        <v>0</v>
      </c>
      <c r="AM2180">
        <v>0</v>
      </c>
      <c r="AN2180" s="78" t="s">
        <v>4640</v>
      </c>
      <c r="AO2180" s="78" t="s">
        <v>4849</v>
      </c>
      <c r="AP2180" t="b">
        <v>0</v>
      </c>
      <c r="AQ2180" s="78" t="s">
        <v>4559</v>
      </c>
      <c r="AR2180" t="s">
        <v>179</v>
      </c>
      <c r="AS2180">
        <v>0</v>
      </c>
      <c r="AT2180">
        <v>0</v>
      </c>
    </row>
    <row r="2181" spans="1:46" x14ac:dyDescent="0.45">
      <c r="A2181" s="62" t="s">
        <v>709</v>
      </c>
      <c r="B2181" s="62" t="s">
        <v>242</v>
      </c>
      <c r="C2181" s="63"/>
      <c r="D2181" s="64"/>
      <c r="E2181" s="65"/>
      <c r="F2181" s="66"/>
      <c r="G2181" s="63"/>
      <c r="H2181" s="67"/>
      <c r="I2181" s="68"/>
      <c r="J2181" s="68"/>
      <c r="K2181" s="32"/>
      <c r="L2181" s="75"/>
      <c r="M2181" s="75"/>
      <c r="N2181" s="70"/>
      <c r="O2181" t="s">
        <v>1567</v>
      </c>
      <c r="P2181" s="76">
        <v>44958.625</v>
      </c>
      <c r="Q2181" t="s">
        <v>1889</v>
      </c>
      <c r="V2181" s="77" t="str">
        <f>HYPERLINK("https://abs.twimg.com/sticky/default_profile_images/default_profile_normal.png")</f>
        <v>https://abs.twimg.com/sticky/default_profile_images/default_profile_normal.png</v>
      </c>
      <c r="W2181" s="76">
        <v>44958.625</v>
      </c>
      <c r="X2181" s="80">
        <v>44958</v>
      </c>
      <c r="Y2181" s="78" t="s">
        <v>2915</v>
      </c>
      <c r="Z2181" s="77" t="str">
        <f>HYPERLINK("https://twitter.com/chris27678863/status/1620799131295059971")</f>
        <v>https://twitter.com/chris27678863/status/1620799131295059971</v>
      </c>
      <c r="AC2181" s="78" t="s">
        <v>3980</v>
      </c>
      <c r="AD2181" s="78" t="s">
        <v>3979</v>
      </c>
      <c r="AE2181" t="b">
        <v>0</v>
      </c>
      <c r="AF2181">
        <v>0</v>
      </c>
      <c r="AG2181" s="78" t="s">
        <v>4731</v>
      </c>
      <c r="AH2181" t="b">
        <v>0</v>
      </c>
      <c r="AI2181" t="s">
        <v>4829</v>
      </c>
      <c r="AK2181" s="78" t="s">
        <v>4640</v>
      </c>
      <c r="AL2181" t="b">
        <v>0</v>
      </c>
      <c r="AM2181">
        <v>0</v>
      </c>
      <c r="AN2181" s="78" t="s">
        <v>4640</v>
      </c>
      <c r="AO2181" s="78" t="s">
        <v>4850</v>
      </c>
      <c r="AP2181" t="b">
        <v>0</v>
      </c>
      <c r="AQ2181" s="78" t="s">
        <v>3979</v>
      </c>
      <c r="AR2181" t="s">
        <v>179</v>
      </c>
      <c r="AS2181">
        <v>0</v>
      </c>
      <c r="AT2181">
        <v>0</v>
      </c>
    </row>
    <row r="2182" spans="1:46" x14ac:dyDescent="0.45">
      <c r="A2182" s="62" t="s">
        <v>710</v>
      </c>
      <c r="B2182" s="62" t="s">
        <v>1267</v>
      </c>
      <c r="C2182" s="63"/>
      <c r="D2182" s="64"/>
      <c r="E2182" s="65"/>
      <c r="F2182" s="66"/>
      <c r="G2182" s="63"/>
      <c r="H2182" s="67"/>
      <c r="I2182" s="68"/>
      <c r="J2182" s="68"/>
      <c r="K2182" s="32"/>
      <c r="L2182" s="75"/>
      <c r="M2182" s="75"/>
      <c r="N2182" s="70"/>
      <c r="O2182" t="s">
        <v>1568</v>
      </c>
      <c r="P2182" s="76">
        <v>44958.903287037036</v>
      </c>
      <c r="Q2182" t="s">
        <v>1899</v>
      </c>
      <c r="V2182" s="77" t="str">
        <f>HYPERLINK("https://pbs.twimg.com/profile_images/1562807520711802880/-RRqQIUQ_normal.jpg")</f>
        <v>https://pbs.twimg.com/profile_images/1562807520711802880/-RRqQIUQ_normal.jpg</v>
      </c>
      <c r="W2182" s="76">
        <v>44958.903287037036</v>
      </c>
      <c r="X2182" s="80">
        <v>44958</v>
      </c>
      <c r="Y2182" s="78" t="s">
        <v>2925</v>
      </c>
      <c r="Z2182" s="77" t="str">
        <f>HYPERLINK("https://twitter.com/elisehansen53/status/1620899978813276161")</f>
        <v>https://twitter.com/elisehansen53/status/1620899978813276161</v>
      </c>
      <c r="AC2182" s="78" t="s">
        <v>3990</v>
      </c>
      <c r="AE2182" t="b">
        <v>0</v>
      </c>
      <c r="AF2182">
        <v>0</v>
      </c>
      <c r="AG2182" s="78" t="s">
        <v>4640</v>
      </c>
      <c r="AH2182" t="b">
        <v>0</v>
      </c>
      <c r="AI2182" t="s">
        <v>4829</v>
      </c>
      <c r="AK2182" s="78" t="s">
        <v>4640</v>
      </c>
      <c r="AL2182" t="b">
        <v>0</v>
      </c>
      <c r="AM2182">
        <v>0</v>
      </c>
      <c r="AN2182" s="78" t="s">
        <v>4640</v>
      </c>
      <c r="AO2182" s="78" t="s">
        <v>4850</v>
      </c>
      <c r="AP2182" t="b">
        <v>0</v>
      </c>
      <c r="AQ2182" s="78" t="s">
        <v>3990</v>
      </c>
      <c r="AR2182" t="s">
        <v>179</v>
      </c>
      <c r="AS2182">
        <v>0</v>
      </c>
      <c r="AT2182">
        <v>0</v>
      </c>
    </row>
    <row r="2183" spans="1:46" x14ac:dyDescent="0.45">
      <c r="A2183" s="62" t="s">
        <v>710</v>
      </c>
      <c r="B2183" s="62" t="s">
        <v>242</v>
      </c>
      <c r="C2183" s="63"/>
      <c r="D2183" s="64"/>
      <c r="E2183" s="65"/>
      <c r="F2183" s="66"/>
      <c r="G2183" s="63"/>
      <c r="H2183" s="67"/>
      <c r="I2183" s="68"/>
      <c r="J2183" s="68"/>
      <c r="K2183" s="32"/>
      <c r="L2183" s="75"/>
      <c r="M2183" s="75"/>
      <c r="N2183" s="70"/>
      <c r="O2183" t="s">
        <v>1568</v>
      </c>
      <c r="P2183" s="76">
        <v>44958.903287037036</v>
      </c>
      <c r="Q2183" t="s">
        <v>1899</v>
      </c>
      <c r="V2183" s="77" t="str">
        <f>HYPERLINK("https://pbs.twimg.com/profile_images/1562807520711802880/-RRqQIUQ_normal.jpg")</f>
        <v>https://pbs.twimg.com/profile_images/1562807520711802880/-RRqQIUQ_normal.jpg</v>
      </c>
      <c r="W2183" s="76">
        <v>44958.903287037036</v>
      </c>
      <c r="X2183" s="80">
        <v>44958</v>
      </c>
      <c r="Y2183" s="78" t="s">
        <v>2925</v>
      </c>
      <c r="Z2183" s="77" t="str">
        <f>HYPERLINK("https://twitter.com/elisehansen53/status/1620899978813276161")</f>
        <v>https://twitter.com/elisehansen53/status/1620899978813276161</v>
      </c>
      <c r="AC2183" s="78" t="s">
        <v>3990</v>
      </c>
      <c r="AE2183" t="b">
        <v>0</v>
      </c>
      <c r="AF2183">
        <v>0</v>
      </c>
      <c r="AG2183" s="78" t="s">
        <v>4640</v>
      </c>
      <c r="AH2183" t="b">
        <v>0</v>
      </c>
      <c r="AI2183" t="s">
        <v>4829</v>
      </c>
      <c r="AK2183" s="78" t="s">
        <v>4640</v>
      </c>
      <c r="AL2183" t="b">
        <v>0</v>
      </c>
      <c r="AM2183">
        <v>0</v>
      </c>
      <c r="AN2183" s="78" t="s">
        <v>4640</v>
      </c>
      <c r="AO2183" s="78" t="s">
        <v>4850</v>
      </c>
      <c r="AP2183" t="b">
        <v>0</v>
      </c>
      <c r="AQ2183" s="78" t="s">
        <v>3990</v>
      </c>
      <c r="AR2183" t="s">
        <v>179</v>
      </c>
      <c r="AS2183">
        <v>0</v>
      </c>
      <c r="AT2183">
        <v>0</v>
      </c>
    </row>
    <row r="2184" spans="1:46" x14ac:dyDescent="0.45">
      <c r="A2184" s="62" t="s">
        <v>711</v>
      </c>
      <c r="B2184" s="62" t="s">
        <v>242</v>
      </c>
      <c r="C2184" s="63"/>
      <c r="D2184" s="64"/>
      <c r="E2184" s="65"/>
      <c r="F2184" s="66"/>
      <c r="G2184" s="63"/>
      <c r="H2184" s="67"/>
      <c r="I2184" s="68"/>
      <c r="J2184" s="68"/>
      <c r="K2184" s="32"/>
      <c r="L2184" s="75"/>
      <c r="M2184" s="75"/>
      <c r="N2184" s="70"/>
      <c r="O2184" t="s">
        <v>1567</v>
      </c>
      <c r="P2184" s="76">
        <v>44958.903414351851</v>
      </c>
      <c r="Q2184" t="s">
        <v>1900</v>
      </c>
      <c r="V2184" s="77" t="str">
        <f>HYPERLINK("https://pbs.twimg.com/profile_images/1619813836382429191/seTsVFqP_normal.jpg")</f>
        <v>https://pbs.twimg.com/profile_images/1619813836382429191/seTsVFqP_normal.jpg</v>
      </c>
      <c r="W2184" s="76">
        <v>44958.903414351851</v>
      </c>
      <c r="X2184" s="80">
        <v>44958</v>
      </c>
      <c r="Y2184" s="78" t="s">
        <v>2926</v>
      </c>
      <c r="Z2184" s="77" t="str">
        <f>HYPERLINK("https://twitter.com/markthewrid/status/1620900025906733075")</f>
        <v>https://twitter.com/markthewrid/status/1620900025906733075</v>
      </c>
      <c r="AC2184" s="78" t="s">
        <v>3991</v>
      </c>
      <c r="AD2184" s="78" t="s">
        <v>4560</v>
      </c>
      <c r="AE2184" t="b">
        <v>0</v>
      </c>
      <c r="AF2184">
        <v>0</v>
      </c>
      <c r="AG2184" s="78" t="s">
        <v>4639</v>
      </c>
      <c r="AH2184" t="b">
        <v>0</v>
      </c>
      <c r="AI2184" t="s">
        <v>4829</v>
      </c>
      <c r="AK2184" s="78" t="s">
        <v>4640</v>
      </c>
      <c r="AL2184" t="b">
        <v>0</v>
      </c>
      <c r="AM2184">
        <v>0</v>
      </c>
      <c r="AN2184" s="78" t="s">
        <v>4640</v>
      </c>
      <c r="AO2184" s="78" t="s">
        <v>4849</v>
      </c>
      <c r="AP2184" t="b">
        <v>0</v>
      </c>
      <c r="AQ2184" s="78" t="s">
        <v>4560</v>
      </c>
      <c r="AR2184" t="s">
        <v>179</v>
      </c>
      <c r="AS2184">
        <v>0</v>
      </c>
      <c r="AT2184">
        <v>0</v>
      </c>
    </row>
    <row r="2185" spans="1:46" x14ac:dyDescent="0.45">
      <c r="A2185" s="62" t="s">
        <v>713</v>
      </c>
      <c r="B2185" s="62" t="s">
        <v>1344</v>
      </c>
      <c r="C2185" s="63"/>
      <c r="D2185" s="64"/>
      <c r="E2185" s="65"/>
      <c r="F2185" s="66"/>
      <c r="G2185" s="63"/>
      <c r="H2185" s="67"/>
      <c r="I2185" s="68"/>
      <c r="J2185" s="68"/>
      <c r="K2185" s="32"/>
      <c r="L2185" s="75"/>
      <c r="M2185" s="75"/>
      <c r="N2185" s="70"/>
      <c r="O2185" t="s">
        <v>1568</v>
      </c>
      <c r="P2185" s="76">
        <v>44958.904594907406</v>
      </c>
      <c r="Q2185" t="s">
        <v>1902</v>
      </c>
      <c r="V2185" s="77" t="str">
        <f>HYPERLINK("https://pbs.twimg.com/profile_images/1681374444/liberty-bell-1_normal.jpg")</f>
        <v>https://pbs.twimg.com/profile_images/1681374444/liberty-bell-1_normal.jpg</v>
      </c>
      <c r="W2185" s="76">
        <v>44958.904594907406</v>
      </c>
      <c r="X2185" s="80">
        <v>44958</v>
      </c>
      <c r="Y2185" s="78" t="s">
        <v>2928</v>
      </c>
      <c r="Z2185" s="77" t="str">
        <f>HYPERLINK("https://twitter.com/lastchance4l/status/1620900451305820160")</f>
        <v>https://twitter.com/lastchance4l/status/1620900451305820160</v>
      </c>
      <c r="AC2185" s="78" t="s">
        <v>3993</v>
      </c>
      <c r="AD2185" s="78" t="s">
        <v>4561</v>
      </c>
      <c r="AE2185" t="b">
        <v>0</v>
      </c>
      <c r="AF2185">
        <v>0</v>
      </c>
      <c r="AG2185" s="78" t="s">
        <v>4732</v>
      </c>
      <c r="AH2185" t="b">
        <v>0</v>
      </c>
      <c r="AI2185" t="s">
        <v>4829</v>
      </c>
      <c r="AK2185" s="78" t="s">
        <v>4640</v>
      </c>
      <c r="AL2185" t="b">
        <v>0</v>
      </c>
      <c r="AM2185">
        <v>0</v>
      </c>
      <c r="AN2185" s="78" t="s">
        <v>4640</v>
      </c>
      <c r="AO2185" s="78" t="s">
        <v>4851</v>
      </c>
      <c r="AP2185" t="b">
        <v>0</v>
      </c>
      <c r="AQ2185" s="78" t="s">
        <v>4561</v>
      </c>
      <c r="AR2185" t="s">
        <v>179</v>
      </c>
      <c r="AS2185">
        <v>0</v>
      </c>
      <c r="AT2185">
        <v>0</v>
      </c>
    </row>
    <row r="2186" spans="1:46" x14ac:dyDescent="0.45">
      <c r="A2186" s="62" t="s">
        <v>713</v>
      </c>
      <c r="B2186" s="62" t="s">
        <v>1345</v>
      </c>
      <c r="C2186" s="63"/>
      <c r="D2186" s="64"/>
      <c r="E2186" s="65"/>
      <c r="F2186" s="66"/>
      <c r="G2186" s="63"/>
      <c r="H2186" s="67"/>
      <c r="I2186" s="68"/>
      <c r="J2186" s="68"/>
      <c r="K2186" s="32"/>
      <c r="L2186" s="75"/>
      <c r="M2186" s="75"/>
      <c r="N2186" s="70"/>
      <c r="O2186" t="s">
        <v>1568</v>
      </c>
      <c r="P2186" s="76">
        <v>44958.904594907406</v>
      </c>
      <c r="Q2186" t="s">
        <v>1902</v>
      </c>
      <c r="V2186" s="77" t="str">
        <f>HYPERLINK("https://pbs.twimg.com/profile_images/1681374444/liberty-bell-1_normal.jpg")</f>
        <v>https://pbs.twimg.com/profile_images/1681374444/liberty-bell-1_normal.jpg</v>
      </c>
      <c r="W2186" s="76">
        <v>44958.904594907406</v>
      </c>
      <c r="X2186" s="80">
        <v>44958</v>
      </c>
      <c r="Y2186" s="78" t="s">
        <v>2928</v>
      </c>
      <c r="Z2186" s="77" t="str">
        <f>HYPERLINK("https://twitter.com/lastchance4l/status/1620900451305820160")</f>
        <v>https://twitter.com/lastchance4l/status/1620900451305820160</v>
      </c>
      <c r="AC2186" s="78" t="s">
        <v>3993</v>
      </c>
      <c r="AD2186" s="78" t="s">
        <v>4561</v>
      </c>
      <c r="AE2186" t="b">
        <v>0</v>
      </c>
      <c r="AF2186">
        <v>0</v>
      </c>
      <c r="AG2186" s="78" t="s">
        <v>4732</v>
      </c>
      <c r="AH2186" t="b">
        <v>0</v>
      </c>
      <c r="AI2186" t="s">
        <v>4829</v>
      </c>
      <c r="AK2186" s="78" t="s">
        <v>4640</v>
      </c>
      <c r="AL2186" t="b">
        <v>0</v>
      </c>
      <c r="AM2186">
        <v>0</v>
      </c>
      <c r="AN2186" s="78" t="s">
        <v>4640</v>
      </c>
      <c r="AO2186" s="78" t="s">
        <v>4851</v>
      </c>
      <c r="AP2186" t="b">
        <v>0</v>
      </c>
      <c r="AQ2186" s="78" t="s">
        <v>4561</v>
      </c>
      <c r="AR2186" t="s">
        <v>179</v>
      </c>
      <c r="AS2186">
        <v>0</v>
      </c>
      <c r="AT2186">
        <v>0</v>
      </c>
    </row>
    <row r="2187" spans="1:46" x14ac:dyDescent="0.45">
      <c r="A2187" s="62" t="s">
        <v>713</v>
      </c>
      <c r="B2187" s="62" t="s">
        <v>1346</v>
      </c>
      <c r="C2187" s="63"/>
      <c r="D2187" s="64"/>
      <c r="E2187" s="65"/>
      <c r="F2187" s="66"/>
      <c r="G2187" s="63"/>
      <c r="H2187" s="67"/>
      <c r="I2187" s="68"/>
      <c r="J2187" s="68"/>
      <c r="K2187" s="32"/>
      <c r="L2187" s="75"/>
      <c r="M2187" s="75"/>
      <c r="N2187" s="70"/>
      <c r="O2187" t="s">
        <v>1567</v>
      </c>
      <c r="P2187" s="76">
        <v>44958.904594907406</v>
      </c>
      <c r="Q2187" t="s">
        <v>1902</v>
      </c>
      <c r="V2187" s="77" t="str">
        <f>HYPERLINK("https://pbs.twimg.com/profile_images/1681374444/liberty-bell-1_normal.jpg")</f>
        <v>https://pbs.twimg.com/profile_images/1681374444/liberty-bell-1_normal.jpg</v>
      </c>
      <c r="W2187" s="76">
        <v>44958.904594907406</v>
      </c>
      <c r="X2187" s="80">
        <v>44958</v>
      </c>
      <c r="Y2187" s="78" t="s">
        <v>2928</v>
      </c>
      <c r="Z2187" s="77" t="str">
        <f>HYPERLINK("https://twitter.com/lastchance4l/status/1620900451305820160")</f>
        <v>https://twitter.com/lastchance4l/status/1620900451305820160</v>
      </c>
      <c r="AC2187" s="78" t="s">
        <v>3993</v>
      </c>
      <c r="AD2187" s="78" t="s">
        <v>4561</v>
      </c>
      <c r="AE2187" t="b">
        <v>0</v>
      </c>
      <c r="AF2187">
        <v>0</v>
      </c>
      <c r="AG2187" s="78" t="s">
        <v>4732</v>
      </c>
      <c r="AH2187" t="b">
        <v>0</v>
      </c>
      <c r="AI2187" t="s">
        <v>4829</v>
      </c>
      <c r="AK2187" s="78" t="s">
        <v>4640</v>
      </c>
      <c r="AL2187" t="b">
        <v>0</v>
      </c>
      <c r="AM2187">
        <v>0</v>
      </c>
      <c r="AN2187" s="78" t="s">
        <v>4640</v>
      </c>
      <c r="AO2187" s="78" t="s">
        <v>4851</v>
      </c>
      <c r="AP2187" t="b">
        <v>0</v>
      </c>
      <c r="AQ2187" s="78" t="s">
        <v>4561</v>
      </c>
      <c r="AR2187" t="s">
        <v>179</v>
      </c>
      <c r="AS2187">
        <v>0</v>
      </c>
      <c r="AT2187">
        <v>0</v>
      </c>
    </row>
    <row r="2188" spans="1:46" x14ac:dyDescent="0.45">
      <c r="A2188" s="62" t="s">
        <v>713</v>
      </c>
      <c r="B2188" s="62" t="s">
        <v>242</v>
      </c>
      <c r="C2188" s="63"/>
      <c r="D2188" s="64"/>
      <c r="E2188" s="65"/>
      <c r="F2188" s="66"/>
      <c r="G2188" s="63"/>
      <c r="H2188" s="67"/>
      <c r="I2188" s="68"/>
      <c r="J2188" s="68"/>
      <c r="K2188" s="32"/>
      <c r="L2188" s="75"/>
      <c r="M2188" s="75"/>
      <c r="N2188" s="70"/>
      <c r="O2188" t="s">
        <v>1568</v>
      </c>
      <c r="P2188" s="76">
        <v>44958.904594907406</v>
      </c>
      <c r="Q2188" t="s">
        <v>1902</v>
      </c>
      <c r="V2188" s="77" t="str">
        <f>HYPERLINK("https://pbs.twimg.com/profile_images/1681374444/liberty-bell-1_normal.jpg")</f>
        <v>https://pbs.twimg.com/profile_images/1681374444/liberty-bell-1_normal.jpg</v>
      </c>
      <c r="W2188" s="76">
        <v>44958.904594907406</v>
      </c>
      <c r="X2188" s="80">
        <v>44958</v>
      </c>
      <c r="Y2188" s="78" t="s">
        <v>2928</v>
      </c>
      <c r="Z2188" s="77" t="str">
        <f>HYPERLINK("https://twitter.com/lastchance4l/status/1620900451305820160")</f>
        <v>https://twitter.com/lastchance4l/status/1620900451305820160</v>
      </c>
      <c r="AC2188" s="78" t="s">
        <v>3993</v>
      </c>
      <c r="AD2188" s="78" t="s">
        <v>4561</v>
      </c>
      <c r="AE2188" t="b">
        <v>0</v>
      </c>
      <c r="AF2188">
        <v>0</v>
      </c>
      <c r="AG2188" s="78" t="s">
        <v>4732</v>
      </c>
      <c r="AH2188" t="b">
        <v>0</v>
      </c>
      <c r="AI2188" t="s">
        <v>4829</v>
      </c>
      <c r="AK2188" s="78" t="s">
        <v>4640</v>
      </c>
      <c r="AL2188" t="b">
        <v>0</v>
      </c>
      <c r="AM2188">
        <v>0</v>
      </c>
      <c r="AN2188" s="78" t="s">
        <v>4640</v>
      </c>
      <c r="AO2188" s="78" t="s">
        <v>4851</v>
      </c>
      <c r="AP2188" t="b">
        <v>0</v>
      </c>
      <c r="AQ2188" s="78" t="s">
        <v>4561</v>
      </c>
      <c r="AR2188" t="s">
        <v>179</v>
      </c>
      <c r="AS2188">
        <v>0</v>
      </c>
      <c r="AT2188">
        <v>0</v>
      </c>
    </row>
    <row r="2189" spans="1:46" x14ac:dyDescent="0.45">
      <c r="A2189" s="62" t="s">
        <v>714</v>
      </c>
      <c r="B2189" s="62" t="s">
        <v>242</v>
      </c>
      <c r="C2189" s="63"/>
      <c r="D2189" s="64"/>
      <c r="E2189" s="65"/>
      <c r="F2189" s="66"/>
      <c r="G2189" s="63"/>
      <c r="H2189" s="67"/>
      <c r="I2189" s="68"/>
      <c r="J2189" s="68"/>
      <c r="K2189" s="32"/>
      <c r="L2189" s="75"/>
      <c r="M2189" s="75"/>
      <c r="N2189" s="70"/>
      <c r="O2189" t="s">
        <v>1567</v>
      </c>
      <c r="P2189" s="76">
        <v>44958.908842592595</v>
      </c>
      <c r="Q2189" t="s">
        <v>1903</v>
      </c>
      <c r="V2189" s="77" t="str">
        <f>HYPERLINK("https://pbs.twimg.com/profile_images/1481809945343537161/CZ-rrhXc_normal.jpg")</f>
        <v>https://pbs.twimg.com/profile_images/1481809945343537161/CZ-rrhXc_normal.jpg</v>
      </c>
      <c r="W2189" s="76">
        <v>44958.908842592595</v>
      </c>
      <c r="X2189" s="80">
        <v>44958</v>
      </c>
      <c r="Y2189" s="78" t="s">
        <v>2929</v>
      </c>
      <c r="Z2189" s="77" t="str">
        <f>HYPERLINK("https://twitter.com/mikebob115/status/1620901993723330561")</f>
        <v>https://twitter.com/mikebob115/status/1620901993723330561</v>
      </c>
      <c r="AC2189" s="78" t="s">
        <v>3994</v>
      </c>
      <c r="AE2189" t="b">
        <v>0</v>
      </c>
      <c r="AF2189">
        <v>0</v>
      </c>
      <c r="AG2189" s="78" t="s">
        <v>4639</v>
      </c>
      <c r="AH2189" t="b">
        <v>0</v>
      </c>
      <c r="AI2189" t="s">
        <v>4829</v>
      </c>
      <c r="AK2189" s="78" t="s">
        <v>4640</v>
      </c>
      <c r="AL2189" t="b">
        <v>0</v>
      </c>
      <c r="AM2189">
        <v>0</v>
      </c>
      <c r="AN2189" s="78" t="s">
        <v>4640</v>
      </c>
      <c r="AO2189" s="78" t="s">
        <v>4850</v>
      </c>
      <c r="AP2189" t="b">
        <v>0</v>
      </c>
      <c r="AQ2189" s="78" t="s">
        <v>3994</v>
      </c>
      <c r="AR2189" t="s">
        <v>179</v>
      </c>
      <c r="AS2189">
        <v>0</v>
      </c>
      <c r="AT2189">
        <v>0</v>
      </c>
    </row>
    <row r="2190" spans="1:46" x14ac:dyDescent="0.45">
      <c r="A2190" s="62" t="s">
        <v>715</v>
      </c>
      <c r="B2190" s="62" t="s">
        <v>242</v>
      </c>
      <c r="C2190" s="63"/>
      <c r="D2190" s="64"/>
      <c r="E2190" s="65"/>
      <c r="F2190" s="66"/>
      <c r="G2190" s="63"/>
      <c r="H2190" s="67"/>
      <c r="I2190" s="68"/>
      <c r="J2190" s="68"/>
      <c r="K2190" s="32"/>
      <c r="L2190" s="75"/>
      <c r="M2190" s="75"/>
      <c r="N2190" s="70"/>
      <c r="O2190" t="s">
        <v>1568</v>
      </c>
      <c r="P2190" s="76">
        <v>44958.909803240742</v>
      </c>
      <c r="Q2190" t="s">
        <v>1904</v>
      </c>
      <c r="V2190" s="77" t="str">
        <f>HYPERLINK("https://pbs.twimg.com/profile_images/1556558294231257088/3gNXnD0k_normal.jpg")</f>
        <v>https://pbs.twimg.com/profile_images/1556558294231257088/3gNXnD0k_normal.jpg</v>
      </c>
      <c r="W2190" s="76">
        <v>44958.909803240742</v>
      </c>
      <c r="X2190" s="80">
        <v>44958</v>
      </c>
      <c r="Y2190" s="78" t="s">
        <v>2930</v>
      </c>
      <c r="Z2190" s="77" t="str">
        <f>HYPERLINK("https://twitter.com/beccalyn2002/status/1620902339308834816")</f>
        <v>https://twitter.com/beccalyn2002/status/1620902339308834816</v>
      </c>
      <c r="AC2190" s="78" t="s">
        <v>3995</v>
      </c>
      <c r="AE2190" t="b">
        <v>0</v>
      </c>
      <c r="AF2190">
        <v>0</v>
      </c>
      <c r="AG2190" s="78" t="s">
        <v>4640</v>
      </c>
      <c r="AH2190" t="b">
        <v>0</v>
      </c>
      <c r="AI2190" t="s">
        <v>4829</v>
      </c>
      <c r="AK2190" s="78" t="s">
        <v>4640</v>
      </c>
      <c r="AL2190" t="b">
        <v>0</v>
      </c>
      <c r="AM2190">
        <v>0</v>
      </c>
      <c r="AN2190" s="78" t="s">
        <v>4640</v>
      </c>
      <c r="AO2190" s="78" t="s">
        <v>4849</v>
      </c>
      <c r="AP2190" t="b">
        <v>0</v>
      </c>
      <c r="AQ2190" s="78" t="s">
        <v>3995</v>
      </c>
      <c r="AR2190" t="s">
        <v>179</v>
      </c>
      <c r="AS2190">
        <v>0</v>
      </c>
      <c r="AT2190">
        <v>0</v>
      </c>
    </row>
    <row r="2191" spans="1:46" x14ac:dyDescent="0.45">
      <c r="A2191" s="62" t="s">
        <v>717</v>
      </c>
      <c r="B2191" s="62" t="s">
        <v>242</v>
      </c>
      <c r="C2191" s="63"/>
      <c r="D2191" s="64"/>
      <c r="E2191" s="65"/>
      <c r="F2191" s="66"/>
      <c r="G2191" s="63"/>
      <c r="H2191" s="67"/>
      <c r="I2191" s="68"/>
      <c r="J2191" s="68"/>
      <c r="K2191" s="32"/>
      <c r="L2191" s="75"/>
      <c r="M2191" s="75"/>
      <c r="N2191" s="70"/>
      <c r="O2191" t="s">
        <v>1567</v>
      </c>
      <c r="P2191" s="76">
        <v>44958.77480324074</v>
      </c>
      <c r="Q2191" t="s">
        <v>1906</v>
      </c>
      <c r="V2191" s="77" t="str">
        <f>HYPERLINK("https://pbs.twimg.com/profile_images/1620950182052364292/CX6KF3le_normal.jpg")</f>
        <v>https://pbs.twimg.com/profile_images/1620950182052364292/CX6KF3le_normal.jpg</v>
      </c>
      <c r="W2191" s="76">
        <v>44958.77480324074</v>
      </c>
      <c r="X2191" s="80">
        <v>44958</v>
      </c>
      <c r="Y2191" s="78" t="s">
        <v>2932</v>
      </c>
      <c r="Z2191" s="77" t="str">
        <f>HYPERLINK("https://twitter.com/nagitokomaeba/status/1620853419761348608")</f>
        <v>https://twitter.com/nagitokomaeba/status/1620853419761348608</v>
      </c>
      <c r="AC2191" s="78" t="s">
        <v>3997</v>
      </c>
      <c r="AD2191" s="78" t="s">
        <v>4562</v>
      </c>
      <c r="AE2191" t="b">
        <v>0</v>
      </c>
      <c r="AF2191">
        <v>0</v>
      </c>
      <c r="AG2191" s="78" t="s">
        <v>4639</v>
      </c>
      <c r="AH2191" t="b">
        <v>0</v>
      </c>
      <c r="AI2191" t="s">
        <v>4829</v>
      </c>
      <c r="AK2191" s="78" t="s">
        <v>4640</v>
      </c>
      <c r="AL2191" t="b">
        <v>0</v>
      </c>
      <c r="AM2191">
        <v>0</v>
      </c>
      <c r="AN2191" s="78" t="s">
        <v>4640</v>
      </c>
      <c r="AO2191" s="78" t="s">
        <v>4850</v>
      </c>
      <c r="AP2191" t="b">
        <v>0</v>
      </c>
      <c r="AQ2191" s="78" t="s">
        <v>4562</v>
      </c>
      <c r="AR2191" t="s">
        <v>179</v>
      </c>
      <c r="AS2191">
        <v>0</v>
      </c>
      <c r="AT2191">
        <v>0</v>
      </c>
    </row>
    <row r="2192" spans="1:46" x14ac:dyDescent="0.45">
      <c r="A2192" s="62" t="s">
        <v>717</v>
      </c>
      <c r="B2192" s="62" t="s">
        <v>242</v>
      </c>
      <c r="C2192" s="63"/>
      <c r="D2192" s="64"/>
      <c r="E2192" s="65"/>
      <c r="F2192" s="66"/>
      <c r="G2192" s="63"/>
      <c r="H2192" s="67"/>
      <c r="I2192" s="68"/>
      <c r="J2192" s="68"/>
      <c r="K2192" s="32"/>
      <c r="L2192" s="75"/>
      <c r="M2192" s="75"/>
      <c r="N2192" s="70"/>
      <c r="O2192" t="s">
        <v>1567</v>
      </c>
      <c r="P2192" s="76">
        <v>44958.911423611113</v>
      </c>
      <c r="Q2192" t="s">
        <v>1907</v>
      </c>
      <c r="V2192" s="77" t="str">
        <f>HYPERLINK("https://pbs.twimg.com/profile_images/1620950182052364292/CX6KF3le_normal.jpg")</f>
        <v>https://pbs.twimg.com/profile_images/1620950182052364292/CX6KF3le_normal.jpg</v>
      </c>
      <c r="W2192" s="76">
        <v>44958.911423611113</v>
      </c>
      <c r="X2192" s="80">
        <v>44958</v>
      </c>
      <c r="Y2192" s="78" t="s">
        <v>2933</v>
      </c>
      <c r="Z2192" s="77" t="str">
        <f>HYPERLINK("https://twitter.com/nagitokomaeba/status/1620902925538316289")</f>
        <v>https://twitter.com/nagitokomaeba/status/1620902925538316289</v>
      </c>
      <c r="AC2192" s="78" t="s">
        <v>3998</v>
      </c>
      <c r="AD2192" s="78" t="s">
        <v>4563</v>
      </c>
      <c r="AE2192" t="b">
        <v>0</v>
      </c>
      <c r="AF2192">
        <v>0</v>
      </c>
      <c r="AG2192" s="78" t="s">
        <v>4639</v>
      </c>
      <c r="AH2192" t="b">
        <v>0</v>
      </c>
      <c r="AI2192" t="s">
        <v>4829</v>
      </c>
      <c r="AK2192" s="78" t="s">
        <v>4640</v>
      </c>
      <c r="AL2192" t="b">
        <v>0</v>
      </c>
      <c r="AM2192">
        <v>0</v>
      </c>
      <c r="AN2192" s="78" t="s">
        <v>4640</v>
      </c>
      <c r="AO2192" s="78" t="s">
        <v>4850</v>
      </c>
      <c r="AP2192" t="b">
        <v>0</v>
      </c>
      <c r="AQ2192" s="78" t="s">
        <v>4563</v>
      </c>
      <c r="AR2192" t="s">
        <v>179</v>
      </c>
      <c r="AS2192">
        <v>0</v>
      </c>
      <c r="AT2192">
        <v>0</v>
      </c>
    </row>
    <row r="2193" spans="1:46" x14ac:dyDescent="0.45">
      <c r="A2193" s="62" t="s">
        <v>720</v>
      </c>
      <c r="B2193" s="62" t="s">
        <v>1350</v>
      </c>
      <c r="C2193" s="63"/>
      <c r="D2193" s="64"/>
      <c r="E2193" s="65"/>
      <c r="F2193" s="66"/>
      <c r="G2193" s="63"/>
      <c r="H2193" s="67"/>
      <c r="I2193" s="68"/>
      <c r="J2193" s="68"/>
      <c r="K2193" s="32"/>
      <c r="L2193" s="75"/>
      <c r="M2193" s="75"/>
      <c r="N2193" s="70"/>
      <c r="O2193" t="s">
        <v>1567</v>
      </c>
      <c r="P2193" s="76">
        <v>44958.912175925929</v>
      </c>
      <c r="Q2193" t="s">
        <v>1909</v>
      </c>
      <c r="V2193" s="77" t="str">
        <f>HYPERLINK("https://pbs.twimg.com/profile_images/1562344135461330944/Q2oVhwo5_normal.jpg")</f>
        <v>https://pbs.twimg.com/profile_images/1562344135461330944/Q2oVhwo5_normal.jpg</v>
      </c>
      <c r="W2193" s="76">
        <v>44958.912175925929</v>
      </c>
      <c r="X2193" s="80">
        <v>44958</v>
      </c>
      <c r="Y2193" s="78" t="s">
        <v>2936</v>
      </c>
      <c r="Z2193" s="77" t="str">
        <f>HYPERLINK("https://twitter.com/realtatheer/status/1620903198897901569")</f>
        <v>https://twitter.com/realtatheer/status/1620903198897901569</v>
      </c>
      <c r="AC2193" s="78" t="s">
        <v>4001</v>
      </c>
      <c r="AD2193" s="78" t="s">
        <v>4564</v>
      </c>
      <c r="AE2193" t="b">
        <v>0</v>
      </c>
      <c r="AF2193">
        <v>0</v>
      </c>
      <c r="AG2193" s="78" t="s">
        <v>4733</v>
      </c>
      <c r="AH2193" t="b">
        <v>0</v>
      </c>
      <c r="AI2193" t="s">
        <v>4829</v>
      </c>
      <c r="AK2193" s="78" t="s">
        <v>4640</v>
      </c>
      <c r="AL2193" t="b">
        <v>0</v>
      </c>
      <c r="AM2193">
        <v>0</v>
      </c>
      <c r="AN2193" s="78" t="s">
        <v>4640</v>
      </c>
      <c r="AO2193" s="78" t="s">
        <v>4850</v>
      </c>
      <c r="AP2193" t="b">
        <v>0</v>
      </c>
      <c r="AQ2193" s="78" t="s">
        <v>4564</v>
      </c>
      <c r="AR2193" t="s">
        <v>179</v>
      </c>
      <c r="AS2193">
        <v>0</v>
      </c>
      <c r="AT2193">
        <v>0</v>
      </c>
    </row>
    <row r="2194" spans="1:46" x14ac:dyDescent="0.45">
      <c r="A2194" s="62" t="s">
        <v>720</v>
      </c>
      <c r="B2194" s="62" t="s">
        <v>1351</v>
      </c>
      <c r="C2194" s="63"/>
      <c r="D2194" s="64"/>
      <c r="E2194" s="65"/>
      <c r="F2194" s="66"/>
      <c r="G2194" s="63"/>
      <c r="H2194" s="67"/>
      <c r="I2194" s="68"/>
      <c r="J2194" s="68"/>
      <c r="K2194" s="32"/>
      <c r="L2194" s="75"/>
      <c r="M2194" s="75"/>
      <c r="N2194" s="70"/>
      <c r="O2194" t="s">
        <v>1568</v>
      </c>
      <c r="P2194" s="76">
        <v>44958.912175925929</v>
      </c>
      <c r="Q2194" t="s">
        <v>1909</v>
      </c>
      <c r="V2194" s="77" t="str">
        <f>HYPERLINK("https://pbs.twimg.com/profile_images/1562344135461330944/Q2oVhwo5_normal.jpg")</f>
        <v>https://pbs.twimg.com/profile_images/1562344135461330944/Q2oVhwo5_normal.jpg</v>
      </c>
      <c r="W2194" s="76">
        <v>44958.912175925929</v>
      </c>
      <c r="X2194" s="80">
        <v>44958</v>
      </c>
      <c r="Y2194" s="78" t="s">
        <v>2936</v>
      </c>
      <c r="Z2194" s="77" t="str">
        <f>HYPERLINK("https://twitter.com/realtatheer/status/1620903198897901569")</f>
        <v>https://twitter.com/realtatheer/status/1620903198897901569</v>
      </c>
      <c r="AC2194" s="78" t="s">
        <v>4001</v>
      </c>
      <c r="AD2194" s="78" t="s">
        <v>4564</v>
      </c>
      <c r="AE2194" t="b">
        <v>0</v>
      </c>
      <c r="AF2194">
        <v>0</v>
      </c>
      <c r="AG2194" s="78" t="s">
        <v>4733</v>
      </c>
      <c r="AH2194" t="b">
        <v>0</v>
      </c>
      <c r="AI2194" t="s">
        <v>4829</v>
      </c>
      <c r="AK2194" s="78" t="s">
        <v>4640</v>
      </c>
      <c r="AL2194" t="b">
        <v>0</v>
      </c>
      <c r="AM2194">
        <v>0</v>
      </c>
      <c r="AN2194" s="78" t="s">
        <v>4640</v>
      </c>
      <c r="AO2194" s="78" t="s">
        <v>4850</v>
      </c>
      <c r="AP2194" t="b">
        <v>0</v>
      </c>
      <c r="AQ2194" s="78" t="s">
        <v>4564</v>
      </c>
      <c r="AR2194" t="s">
        <v>179</v>
      </c>
      <c r="AS2194">
        <v>0</v>
      </c>
      <c r="AT2194">
        <v>0</v>
      </c>
    </row>
    <row r="2195" spans="1:46" x14ac:dyDescent="0.45">
      <c r="A2195" s="62" t="s">
        <v>720</v>
      </c>
      <c r="B2195" s="62" t="s">
        <v>242</v>
      </c>
      <c r="C2195" s="63"/>
      <c r="D2195" s="64"/>
      <c r="E2195" s="65"/>
      <c r="F2195" s="66"/>
      <c r="G2195" s="63"/>
      <c r="H2195" s="67"/>
      <c r="I2195" s="68"/>
      <c r="J2195" s="68"/>
      <c r="K2195" s="32"/>
      <c r="L2195" s="75"/>
      <c r="M2195" s="75"/>
      <c r="N2195" s="70"/>
      <c r="O2195" t="s">
        <v>1568</v>
      </c>
      <c r="P2195" s="76">
        <v>44958.912175925929</v>
      </c>
      <c r="Q2195" t="s">
        <v>1909</v>
      </c>
      <c r="V2195" s="77" t="str">
        <f>HYPERLINK("https://pbs.twimg.com/profile_images/1562344135461330944/Q2oVhwo5_normal.jpg")</f>
        <v>https://pbs.twimg.com/profile_images/1562344135461330944/Q2oVhwo5_normal.jpg</v>
      </c>
      <c r="W2195" s="76">
        <v>44958.912175925929</v>
      </c>
      <c r="X2195" s="80">
        <v>44958</v>
      </c>
      <c r="Y2195" s="78" t="s">
        <v>2936</v>
      </c>
      <c r="Z2195" s="77" t="str">
        <f>HYPERLINK("https://twitter.com/realtatheer/status/1620903198897901569")</f>
        <v>https://twitter.com/realtatheer/status/1620903198897901569</v>
      </c>
      <c r="AC2195" s="78" t="s">
        <v>4001</v>
      </c>
      <c r="AD2195" s="78" t="s">
        <v>4564</v>
      </c>
      <c r="AE2195" t="b">
        <v>0</v>
      </c>
      <c r="AF2195">
        <v>0</v>
      </c>
      <c r="AG2195" s="78" t="s">
        <v>4733</v>
      </c>
      <c r="AH2195" t="b">
        <v>0</v>
      </c>
      <c r="AI2195" t="s">
        <v>4829</v>
      </c>
      <c r="AK2195" s="78" t="s">
        <v>4640</v>
      </c>
      <c r="AL2195" t="b">
        <v>0</v>
      </c>
      <c r="AM2195">
        <v>0</v>
      </c>
      <c r="AN2195" s="78" t="s">
        <v>4640</v>
      </c>
      <c r="AO2195" s="78" t="s">
        <v>4850</v>
      </c>
      <c r="AP2195" t="b">
        <v>0</v>
      </c>
      <c r="AQ2195" s="78" t="s">
        <v>4564</v>
      </c>
      <c r="AR2195" t="s">
        <v>179</v>
      </c>
      <c r="AS2195">
        <v>0</v>
      </c>
      <c r="AT2195">
        <v>0</v>
      </c>
    </row>
    <row r="2196" spans="1:46" x14ac:dyDescent="0.45">
      <c r="A2196" s="62" t="s">
        <v>721</v>
      </c>
      <c r="B2196" s="62" t="s">
        <v>1230</v>
      </c>
      <c r="C2196" s="63"/>
      <c r="D2196" s="64"/>
      <c r="E2196" s="65"/>
      <c r="F2196" s="66"/>
      <c r="G2196" s="63"/>
      <c r="H2196" s="67"/>
      <c r="I2196" s="68"/>
      <c r="J2196" s="68"/>
      <c r="K2196" s="32"/>
      <c r="L2196" s="75"/>
      <c r="M2196" s="75"/>
      <c r="N2196" s="70"/>
      <c r="O2196" t="s">
        <v>1570</v>
      </c>
      <c r="P2196" s="76">
        <v>44958.913391203707</v>
      </c>
      <c r="Q2196" t="s">
        <v>1693</v>
      </c>
      <c r="V2196" s="77" t="str">
        <f>HYPERLINK("https://pbs.twimg.com/profile_images/1613552507355119617/ZyOIb2Rc_normal.jpg")</f>
        <v>https://pbs.twimg.com/profile_images/1613552507355119617/ZyOIb2Rc_normal.jpg</v>
      </c>
      <c r="W2196" s="76">
        <v>44958.913391203707</v>
      </c>
      <c r="X2196" s="80">
        <v>44958</v>
      </c>
      <c r="Y2196" s="78" t="s">
        <v>2937</v>
      </c>
      <c r="Z2196" s="77" t="str">
        <f>HYPERLINK("https://twitter.com/falconhorny/status/1620903638620307456")</f>
        <v>https://twitter.com/falconhorny/status/1620903638620307456</v>
      </c>
      <c r="AC2196" s="78" t="s">
        <v>4002</v>
      </c>
      <c r="AE2196" t="b">
        <v>0</v>
      </c>
      <c r="AF2196">
        <v>0</v>
      </c>
      <c r="AG2196" s="78" t="s">
        <v>4640</v>
      </c>
      <c r="AH2196" t="b">
        <v>0</v>
      </c>
      <c r="AI2196" t="s">
        <v>4829</v>
      </c>
      <c r="AK2196" s="78" t="s">
        <v>4640</v>
      </c>
      <c r="AL2196" t="b">
        <v>0</v>
      </c>
      <c r="AM2196">
        <v>162</v>
      </c>
      <c r="AN2196" s="78" t="s">
        <v>4473</v>
      </c>
      <c r="AO2196" s="78" t="s">
        <v>4850</v>
      </c>
      <c r="AP2196" t="b">
        <v>0</v>
      </c>
      <c r="AQ2196" s="78" t="s">
        <v>4473</v>
      </c>
      <c r="AR2196" t="s">
        <v>179</v>
      </c>
      <c r="AS2196">
        <v>0</v>
      </c>
      <c r="AT2196">
        <v>0</v>
      </c>
    </row>
    <row r="2197" spans="1:46" x14ac:dyDescent="0.45">
      <c r="A2197" s="62" t="s">
        <v>721</v>
      </c>
      <c r="B2197" s="62" t="s">
        <v>242</v>
      </c>
      <c r="C2197" s="63"/>
      <c r="D2197" s="64"/>
      <c r="E2197" s="65"/>
      <c r="F2197" s="66"/>
      <c r="G2197" s="63"/>
      <c r="H2197" s="67"/>
      <c r="I2197" s="68"/>
      <c r="J2197" s="68"/>
      <c r="K2197" s="32"/>
      <c r="L2197" s="75"/>
      <c r="M2197" s="75"/>
      <c r="N2197" s="70"/>
      <c r="O2197" t="s">
        <v>1569</v>
      </c>
      <c r="P2197" s="76">
        <v>44958.913391203707</v>
      </c>
      <c r="Q2197" t="s">
        <v>1693</v>
      </c>
      <c r="V2197" s="77" t="str">
        <f>HYPERLINK("https://pbs.twimg.com/profile_images/1613552507355119617/ZyOIb2Rc_normal.jpg")</f>
        <v>https://pbs.twimg.com/profile_images/1613552507355119617/ZyOIb2Rc_normal.jpg</v>
      </c>
      <c r="W2197" s="76">
        <v>44958.913391203707</v>
      </c>
      <c r="X2197" s="80">
        <v>44958</v>
      </c>
      <c r="Y2197" s="78" t="s">
        <v>2937</v>
      </c>
      <c r="Z2197" s="77" t="str">
        <f>HYPERLINK("https://twitter.com/falconhorny/status/1620903638620307456")</f>
        <v>https://twitter.com/falconhorny/status/1620903638620307456</v>
      </c>
      <c r="AC2197" s="78" t="s">
        <v>4002</v>
      </c>
      <c r="AE2197" t="b">
        <v>0</v>
      </c>
      <c r="AF2197">
        <v>0</v>
      </c>
      <c r="AG2197" s="78" t="s">
        <v>4640</v>
      </c>
      <c r="AH2197" t="b">
        <v>0</v>
      </c>
      <c r="AI2197" t="s">
        <v>4829</v>
      </c>
      <c r="AK2197" s="78" t="s">
        <v>4640</v>
      </c>
      <c r="AL2197" t="b">
        <v>0</v>
      </c>
      <c r="AM2197">
        <v>162</v>
      </c>
      <c r="AN2197" s="78" t="s">
        <v>4473</v>
      </c>
      <c r="AO2197" s="78" t="s">
        <v>4850</v>
      </c>
      <c r="AP2197" t="b">
        <v>0</v>
      </c>
      <c r="AQ2197" s="78" t="s">
        <v>4473</v>
      </c>
      <c r="AR2197" t="s">
        <v>179</v>
      </c>
      <c r="AS2197">
        <v>0</v>
      </c>
      <c r="AT2197">
        <v>0</v>
      </c>
    </row>
    <row r="2198" spans="1:46" x14ac:dyDescent="0.45">
      <c r="A2198" s="62" t="s">
        <v>723</v>
      </c>
      <c r="B2198" s="62" t="s">
        <v>242</v>
      </c>
      <c r="C2198" s="63"/>
      <c r="D2198" s="64"/>
      <c r="E2198" s="65"/>
      <c r="F2198" s="66"/>
      <c r="G2198" s="63"/>
      <c r="H2198" s="67"/>
      <c r="I2198" s="68"/>
      <c r="J2198" s="68"/>
      <c r="K2198" s="32"/>
      <c r="L2198" s="75"/>
      <c r="M2198" s="75"/>
      <c r="N2198" s="70"/>
      <c r="O2198" t="s">
        <v>1569</v>
      </c>
      <c r="P2198" s="76">
        <v>44958.917187500003</v>
      </c>
      <c r="Q2198" t="s">
        <v>1912</v>
      </c>
      <c r="V2198" s="77" t="str">
        <f>HYPERLINK("https://pbs.twimg.com/profile_images/1564262792349237250/g102ce0S_normal.jpg")</f>
        <v>https://pbs.twimg.com/profile_images/1564262792349237250/g102ce0S_normal.jpg</v>
      </c>
      <c r="W2198" s="76">
        <v>44958.917187500003</v>
      </c>
      <c r="X2198" s="80">
        <v>44958</v>
      </c>
      <c r="Y2198" s="78" t="s">
        <v>2941</v>
      </c>
      <c r="Z2198" s="77" t="str">
        <f>HYPERLINK("https://twitter.com/93_babybatch/status/1620905014251372553")</f>
        <v>https://twitter.com/93_babybatch/status/1620905014251372553</v>
      </c>
      <c r="AC2198" s="78" t="s">
        <v>4006</v>
      </c>
      <c r="AE2198" t="b">
        <v>0</v>
      </c>
      <c r="AF2198">
        <v>0</v>
      </c>
      <c r="AG2198" s="78" t="s">
        <v>4640</v>
      </c>
      <c r="AH2198" t="b">
        <v>0</v>
      </c>
      <c r="AI2198" t="s">
        <v>4829</v>
      </c>
      <c r="AK2198" s="78" t="s">
        <v>4640</v>
      </c>
      <c r="AL2198" t="b">
        <v>0</v>
      </c>
      <c r="AM2198">
        <v>19</v>
      </c>
      <c r="AN2198" s="78" t="s">
        <v>4493</v>
      </c>
      <c r="AO2198" s="78" t="s">
        <v>4849</v>
      </c>
      <c r="AP2198" t="b">
        <v>0</v>
      </c>
      <c r="AQ2198" s="78" t="s">
        <v>4493</v>
      </c>
      <c r="AR2198" t="s">
        <v>179</v>
      </c>
      <c r="AS2198">
        <v>0</v>
      </c>
      <c r="AT2198">
        <v>0</v>
      </c>
    </row>
    <row r="2199" spans="1:46" x14ac:dyDescent="0.45">
      <c r="A2199" s="62" t="s">
        <v>726</v>
      </c>
      <c r="B2199" s="62" t="s">
        <v>1106</v>
      </c>
      <c r="C2199" s="63"/>
      <c r="D2199" s="64"/>
      <c r="E2199" s="65"/>
      <c r="F2199" s="66"/>
      <c r="G2199" s="63"/>
      <c r="H2199" s="67"/>
      <c r="I2199" s="68"/>
      <c r="J2199" s="68"/>
      <c r="K2199" s="32"/>
      <c r="L2199" s="75"/>
      <c r="M2199" s="75"/>
      <c r="N2199" s="70"/>
      <c r="O2199" t="s">
        <v>1568</v>
      </c>
      <c r="P2199" s="76">
        <v>44958.919537037036</v>
      </c>
      <c r="Q2199" t="s">
        <v>1915</v>
      </c>
      <c r="V2199" s="77" t="str">
        <f>HYPERLINK("https://pbs.twimg.com/profile_images/1609619065848614913/aztHGGLU_normal.jpg")</f>
        <v>https://pbs.twimg.com/profile_images/1609619065848614913/aztHGGLU_normal.jpg</v>
      </c>
      <c r="W2199" s="76">
        <v>44958.919537037036</v>
      </c>
      <c r="X2199" s="80">
        <v>44958</v>
      </c>
      <c r="Y2199" s="78" t="s">
        <v>2945</v>
      </c>
      <c r="Z2199" s="77" t="str">
        <f>HYPERLINK("https://twitter.com/anjuli_mack/status/1620905868278796288")</f>
        <v>https://twitter.com/anjuli_mack/status/1620905868278796288</v>
      </c>
      <c r="AC2199" s="78" t="s">
        <v>4010</v>
      </c>
      <c r="AD2199" s="78" t="s">
        <v>4501</v>
      </c>
      <c r="AE2199" t="b">
        <v>0</v>
      </c>
      <c r="AF2199">
        <v>0</v>
      </c>
      <c r="AG2199" s="78" t="s">
        <v>4641</v>
      </c>
      <c r="AH2199" t="b">
        <v>0</v>
      </c>
      <c r="AI2199" t="s">
        <v>4829</v>
      </c>
      <c r="AK2199" s="78" t="s">
        <v>4640</v>
      </c>
      <c r="AL2199" t="b">
        <v>0</v>
      </c>
      <c r="AM2199">
        <v>0</v>
      </c>
      <c r="AN2199" s="78" t="s">
        <v>4640</v>
      </c>
      <c r="AO2199" s="78" t="s">
        <v>4849</v>
      </c>
      <c r="AP2199" t="b">
        <v>0</v>
      </c>
      <c r="AQ2199" s="78" t="s">
        <v>4501</v>
      </c>
      <c r="AR2199" t="s">
        <v>179</v>
      </c>
      <c r="AS2199">
        <v>0</v>
      </c>
      <c r="AT2199">
        <v>0</v>
      </c>
    </row>
    <row r="2200" spans="1:46" x14ac:dyDescent="0.45">
      <c r="A2200" s="62" t="s">
        <v>726</v>
      </c>
      <c r="B2200" s="62" t="s">
        <v>1107</v>
      </c>
      <c r="C2200" s="63"/>
      <c r="D2200" s="64"/>
      <c r="E2200" s="65"/>
      <c r="F2200" s="66"/>
      <c r="G2200" s="63"/>
      <c r="H2200" s="67"/>
      <c r="I2200" s="68"/>
      <c r="J2200" s="68"/>
      <c r="K2200" s="32"/>
      <c r="L2200" s="75"/>
      <c r="M2200" s="75"/>
      <c r="N2200" s="70"/>
      <c r="O2200" t="s">
        <v>1567</v>
      </c>
      <c r="P2200" s="76">
        <v>44958.919537037036</v>
      </c>
      <c r="Q2200" t="s">
        <v>1915</v>
      </c>
      <c r="V2200" s="77" t="str">
        <f>HYPERLINK("https://pbs.twimg.com/profile_images/1609619065848614913/aztHGGLU_normal.jpg")</f>
        <v>https://pbs.twimg.com/profile_images/1609619065848614913/aztHGGLU_normal.jpg</v>
      </c>
      <c r="W2200" s="76">
        <v>44958.919537037036</v>
      </c>
      <c r="X2200" s="80">
        <v>44958</v>
      </c>
      <c r="Y2200" s="78" t="s">
        <v>2945</v>
      </c>
      <c r="Z2200" s="77" t="str">
        <f>HYPERLINK("https://twitter.com/anjuli_mack/status/1620905868278796288")</f>
        <v>https://twitter.com/anjuli_mack/status/1620905868278796288</v>
      </c>
      <c r="AC2200" s="78" t="s">
        <v>4010</v>
      </c>
      <c r="AD2200" s="78" t="s">
        <v>4501</v>
      </c>
      <c r="AE2200" t="b">
        <v>0</v>
      </c>
      <c r="AF2200">
        <v>0</v>
      </c>
      <c r="AG2200" s="78" t="s">
        <v>4641</v>
      </c>
      <c r="AH2200" t="b">
        <v>0</v>
      </c>
      <c r="AI2200" t="s">
        <v>4829</v>
      </c>
      <c r="AK2200" s="78" t="s">
        <v>4640</v>
      </c>
      <c r="AL2200" t="b">
        <v>0</v>
      </c>
      <c r="AM2200">
        <v>0</v>
      </c>
      <c r="AN2200" s="78" t="s">
        <v>4640</v>
      </c>
      <c r="AO2200" s="78" t="s">
        <v>4849</v>
      </c>
      <c r="AP2200" t="b">
        <v>0</v>
      </c>
      <c r="AQ2200" s="78" t="s">
        <v>4501</v>
      </c>
      <c r="AR2200" t="s">
        <v>179</v>
      </c>
      <c r="AS2200">
        <v>0</v>
      </c>
      <c r="AT2200">
        <v>0</v>
      </c>
    </row>
    <row r="2201" spans="1:46" x14ac:dyDescent="0.45">
      <c r="A2201" s="62" t="s">
        <v>726</v>
      </c>
      <c r="B2201" s="62" t="s">
        <v>242</v>
      </c>
      <c r="C2201" s="63"/>
      <c r="D2201" s="64"/>
      <c r="E2201" s="65"/>
      <c r="F2201" s="66"/>
      <c r="G2201" s="63"/>
      <c r="H2201" s="67"/>
      <c r="I2201" s="68"/>
      <c r="J2201" s="68"/>
      <c r="K2201" s="32"/>
      <c r="L2201" s="75"/>
      <c r="M2201" s="75"/>
      <c r="N2201" s="70"/>
      <c r="O2201" t="s">
        <v>1568</v>
      </c>
      <c r="P2201" s="76">
        <v>44958.919537037036</v>
      </c>
      <c r="Q2201" t="s">
        <v>1915</v>
      </c>
      <c r="V2201" s="77" t="str">
        <f>HYPERLINK("https://pbs.twimg.com/profile_images/1609619065848614913/aztHGGLU_normal.jpg")</f>
        <v>https://pbs.twimg.com/profile_images/1609619065848614913/aztHGGLU_normal.jpg</v>
      </c>
      <c r="W2201" s="76">
        <v>44958.919537037036</v>
      </c>
      <c r="X2201" s="80">
        <v>44958</v>
      </c>
      <c r="Y2201" s="78" t="s">
        <v>2945</v>
      </c>
      <c r="Z2201" s="77" t="str">
        <f>HYPERLINK("https://twitter.com/anjuli_mack/status/1620905868278796288")</f>
        <v>https://twitter.com/anjuli_mack/status/1620905868278796288</v>
      </c>
      <c r="AC2201" s="78" t="s">
        <v>4010</v>
      </c>
      <c r="AD2201" s="78" t="s">
        <v>4501</v>
      </c>
      <c r="AE2201" t="b">
        <v>0</v>
      </c>
      <c r="AF2201">
        <v>0</v>
      </c>
      <c r="AG2201" s="78" t="s">
        <v>4641</v>
      </c>
      <c r="AH2201" t="b">
        <v>0</v>
      </c>
      <c r="AI2201" t="s">
        <v>4829</v>
      </c>
      <c r="AK2201" s="78" t="s">
        <v>4640</v>
      </c>
      <c r="AL2201" t="b">
        <v>0</v>
      </c>
      <c r="AM2201">
        <v>0</v>
      </c>
      <c r="AN2201" s="78" t="s">
        <v>4640</v>
      </c>
      <c r="AO2201" s="78" t="s">
        <v>4849</v>
      </c>
      <c r="AP2201" t="b">
        <v>0</v>
      </c>
      <c r="AQ2201" s="78" t="s">
        <v>4501</v>
      </c>
      <c r="AR2201" t="s">
        <v>179</v>
      </c>
      <c r="AS2201">
        <v>0</v>
      </c>
      <c r="AT2201">
        <v>0</v>
      </c>
    </row>
    <row r="2202" spans="1:46" x14ac:dyDescent="0.45">
      <c r="A2202" s="62" t="s">
        <v>728</v>
      </c>
      <c r="B2202" s="62" t="s">
        <v>1230</v>
      </c>
      <c r="C2202" s="63"/>
      <c r="D2202" s="64"/>
      <c r="E2202" s="65"/>
      <c r="F2202" s="66"/>
      <c r="G2202" s="63"/>
      <c r="H2202" s="67"/>
      <c r="I2202" s="68"/>
      <c r="J2202" s="68"/>
      <c r="K2202" s="32"/>
      <c r="L2202" s="75"/>
      <c r="M2202" s="75"/>
      <c r="N2202" s="70"/>
      <c r="O2202" t="s">
        <v>1570</v>
      </c>
      <c r="P2202" s="76">
        <v>44958.92015046296</v>
      </c>
      <c r="Q2202" t="s">
        <v>1693</v>
      </c>
      <c r="V2202" s="77" t="str">
        <f>HYPERLINK("https://pbs.twimg.com/profile_images/1581373429223243776/sPqbnMBI_normal.jpg")</f>
        <v>https://pbs.twimg.com/profile_images/1581373429223243776/sPqbnMBI_normal.jpg</v>
      </c>
      <c r="W2202" s="76">
        <v>44958.92015046296</v>
      </c>
      <c r="X2202" s="80">
        <v>44958</v>
      </c>
      <c r="Y2202" s="78" t="s">
        <v>2947</v>
      </c>
      <c r="Z2202" s="77" t="str">
        <f>HYPERLINK("https://twitter.com/getphysicool/status/1620906091935670274")</f>
        <v>https://twitter.com/getphysicool/status/1620906091935670274</v>
      </c>
      <c r="AC2202" s="78" t="s">
        <v>4012</v>
      </c>
      <c r="AE2202" t="b">
        <v>0</v>
      </c>
      <c r="AF2202">
        <v>0</v>
      </c>
      <c r="AG2202" s="78" t="s">
        <v>4640</v>
      </c>
      <c r="AH2202" t="b">
        <v>0</v>
      </c>
      <c r="AI2202" t="s">
        <v>4829</v>
      </c>
      <c r="AK2202" s="78" t="s">
        <v>4640</v>
      </c>
      <c r="AL2202" t="b">
        <v>0</v>
      </c>
      <c r="AM2202">
        <v>162</v>
      </c>
      <c r="AN2202" s="78" t="s">
        <v>4473</v>
      </c>
      <c r="AO2202" s="78" t="s">
        <v>4849</v>
      </c>
      <c r="AP2202" t="b">
        <v>0</v>
      </c>
      <c r="AQ2202" s="78" t="s">
        <v>4473</v>
      </c>
      <c r="AR2202" t="s">
        <v>179</v>
      </c>
      <c r="AS2202">
        <v>0</v>
      </c>
      <c r="AT2202">
        <v>0</v>
      </c>
    </row>
    <row r="2203" spans="1:46" x14ac:dyDescent="0.45">
      <c r="A2203" s="62" t="s">
        <v>728</v>
      </c>
      <c r="B2203" s="62" t="s">
        <v>242</v>
      </c>
      <c r="C2203" s="63"/>
      <c r="D2203" s="64"/>
      <c r="E2203" s="65"/>
      <c r="F2203" s="66"/>
      <c r="G2203" s="63"/>
      <c r="H2203" s="67"/>
      <c r="I2203" s="68"/>
      <c r="J2203" s="68"/>
      <c r="K2203" s="32"/>
      <c r="L2203" s="75"/>
      <c r="M2203" s="75"/>
      <c r="N2203" s="70"/>
      <c r="O2203" t="s">
        <v>1569</v>
      </c>
      <c r="P2203" s="76">
        <v>44958.92015046296</v>
      </c>
      <c r="Q2203" t="s">
        <v>1693</v>
      </c>
      <c r="V2203" s="77" t="str">
        <f>HYPERLINK("https://pbs.twimg.com/profile_images/1581373429223243776/sPqbnMBI_normal.jpg")</f>
        <v>https://pbs.twimg.com/profile_images/1581373429223243776/sPqbnMBI_normal.jpg</v>
      </c>
      <c r="W2203" s="76">
        <v>44958.92015046296</v>
      </c>
      <c r="X2203" s="80">
        <v>44958</v>
      </c>
      <c r="Y2203" s="78" t="s">
        <v>2947</v>
      </c>
      <c r="Z2203" s="77" t="str">
        <f>HYPERLINK("https://twitter.com/getphysicool/status/1620906091935670274")</f>
        <v>https://twitter.com/getphysicool/status/1620906091935670274</v>
      </c>
      <c r="AC2203" s="78" t="s">
        <v>4012</v>
      </c>
      <c r="AE2203" t="b">
        <v>0</v>
      </c>
      <c r="AF2203">
        <v>0</v>
      </c>
      <c r="AG2203" s="78" t="s">
        <v>4640</v>
      </c>
      <c r="AH2203" t="b">
        <v>0</v>
      </c>
      <c r="AI2203" t="s">
        <v>4829</v>
      </c>
      <c r="AK2203" s="78" t="s">
        <v>4640</v>
      </c>
      <c r="AL2203" t="b">
        <v>0</v>
      </c>
      <c r="AM2203">
        <v>162</v>
      </c>
      <c r="AN2203" s="78" t="s">
        <v>4473</v>
      </c>
      <c r="AO2203" s="78" t="s">
        <v>4849</v>
      </c>
      <c r="AP2203" t="b">
        <v>0</v>
      </c>
      <c r="AQ2203" s="78" t="s">
        <v>4473</v>
      </c>
      <c r="AR2203" t="s">
        <v>179</v>
      </c>
      <c r="AS2203">
        <v>0</v>
      </c>
      <c r="AT2203">
        <v>0</v>
      </c>
    </row>
    <row r="2204" spans="1:46" x14ac:dyDescent="0.45">
      <c r="A2204" s="62" t="s">
        <v>732</v>
      </c>
      <c r="B2204" s="62" t="s">
        <v>242</v>
      </c>
      <c r="C2204" s="63"/>
      <c r="D2204" s="64"/>
      <c r="E2204" s="65"/>
      <c r="F2204" s="66"/>
      <c r="G2204" s="63"/>
      <c r="H2204" s="67"/>
      <c r="I2204" s="68"/>
      <c r="J2204" s="68"/>
      <c r="K2204" s="32"/>
      <c r="L2204" s="75"/>
      <c r="M2204" s="75"/>
      <c r="N2204" s="70"/>
      <c r="O2204" t="s">
        <v>1567</v>
      </c>
      <c r="P2204" s="76">
        <v>44958.927685185183</v>
      </c>
      <c r="Q2204" t="s">
        <v>1919</v>
      </c>
      <c r="V2204" s="77" t="str">
        <f>HYPERLINK("https://abs.twimg.com/sticky/default_profile_images/default_profile_normal.png")</f>
        <v>https://abs.twimg.com/sticky/default_profile_images/default_profile_normal.png</v>
      </c>
      <c r="W2204" s="76">
        <v>44958.927685185183</v>
      </c>
      <c r="X2204" s="80">
        <v>44958</v>
      </c>
      <c r="Y2204" s="78" t="s">
        <v>2951</v>
      </c>
      <c r="Z2204" s="77" t="str">
        <f>HYPERLINK("https://twitter.com/thomascomputes/status/1620908819638534155")</f>
        <v>https://twitter.com/thomascomputes/status/1620908819638534155</v>
      </c>
      <c r="AC2204" s="78" t="s">
        <v>4016</v>
      </c>
      <c r="AE2204" t="b">
        <v>0</v>
      </c>
      <c r="AF2204">
        <v>0</v>
      </c>
      <c r="AG2204" s="78" t="s">
        <v>4639</v>
      </c>
      <c r="AH2204" t="b">
        <v>0</v>
      </c>
      <c r="AI2204" t="s">
        <v>4829</v>
      </c>
      <c r="AK2204" s="78" t="s">
        <v>4640</v>
      </c>
      <c r="AL2204" t="b">
        <v>0</v>
      </c>
      <c r="AM2204">
        <v>0</v>
      </c>
      <c r="AN2204" s="78" t="s">
        <v>4640</v>
      </c>
      <c r="AO2204" s="78" t="s">
        <v>4849</v>
      </c>
      <c r="AP2204" t="b">
        <v>0</v>
      </c>
      <c r="AQ2204" s="78" t="s">
        <v>4016</v>
      </c>
      <c r="AR2204" t="s">
        <v>179</v>
      </c>
      <c r="AS2204">
        <v>0</v>
      </c>
      <c r="AT2204">
        <v>0</v>
      </c>
    </row>
    <row r="2205" spans="1:46" x14ac:dyDescent="0.45">
      <c r="A2205" s="62" t="s">
        <v>734</v>
      </c>
      <c r="B2205" s="62" t="s">
        <v>1354</v>
      </c>
      <c r="C2205" s="63"/>
      <c r="D2205" s="64"/>
      <c r="E2205" s="65"/>
      <c r="F2205" s="66"/>
      <c r="G2205" s="63"/>
      <c r="H2205" s="67"/>
      <c r="I2205" s="68"/>
      <c r="J2205" s="68"/>
      <c r="K2205" s="32"/>
      <c r="L2205" s="75"/>
      <c r="M2205" s="75"/>
      <c r="N2205" s="70"/>
      <c r="O2205" t="s">
        <v>1570</v>
      </c>
      <c r="P2205" s="76">
        <v>44958.929027777776</v>
      </c>
      <c r="Q2205" t="s">
        <v>1920</v>
      </c>
      <c r="U2205" s="77" t="str">
        <f>HYPERLINK("https://pbs.twimg.com/media/Fn6NiSMXoAsP_xF.jpg")</f>
        <v>https://pbs.twimg.com/media/Fn6NiSMXoAsP_xF.jpg</v>
      </c>
      <c r="V2205" s="77" t="str">
        <f>HYPERLINK("https://pbs.twimg.com/media/Fn6NiSMXoAsP_xF.jpg")</f>
        <v>https://pbs.twimg.com/media/Fn6NiSMXoAsP_xF.jpg</v>
      </c>
      <c r="W2205" s="76">
        <v>44958.929027777776</v>
      </c>
      <c r="X2205" s="80">
        <v>44958</v>
      </c>
      <c r="Y2205" s="78" t="s">
        <v>2953</v>
      </c>
      <c r="Z2205" s="77" t="str">
        <f>HYPERLINK("https://twitter.com/daniel_dennison/status/1620909306601422848")</f>
        <v>https://twitter.com/daniel_dennison/status/1620909306601422848</v>
      </c>
      <c r="AC2205" s="78" t="s">
        <v>4018</v>
      </c>
      <c r="AE2205" t="b">
        <v>0</v>
      </c>
      <c r="AF2205">
        <v>0</v>
      </c>
      <c r="AG2205" s="78" t="s">
        <v>4640</v>
      </c>
      <c r="AH2205" t="b">
        <v>0</v>
      </c>
      <c r="AI2205" t="s">
        <v>4829</v>
      </c>
      <c r="AK2205" s="78" t="s">
        <v>4640</v>
      </c>
      <c r="AL2205" t="b">
        <v>0</v>
      </c>
      <c r="AM2205">
        <v>1</v>
      </c>
      <c r="AN2205" s="78" t="s">
        <v>4017</v>
      </c>
      <c r="AO2205" s="78" t="s">
        <v>4849</v>
      </c>
      <c r="AP2205" t="b">
        <v>0</v>
      </c>
      <c r="AQ2205" s="78" t="s">
        <v>4017</v>
      </c>
      <c r="AR2205" t="s">
        <v>179</v>
      </c>
      <c r="AS2205">
        <v>0</v>
      </c>
      <c r="AT2205">
        <v>0</v>
      </c>
    </row>
    <row r="2206" spans="1:46" x14ac:dyDescent="0.45">
      <c r="A2206" s="62" t="s">
        <v>734</v>
      </c>
      <c r="B2206" s="62" t="s">
        <v>733</v>
      </c>
      <c r="C2206" s="63"/>
      <c r="D2206" s="64"/>
      <c r="E2206" s="65"/>
      <c r="F2206" s="66"/>
      <c r="G2206" s="63"/>
      <c r="H2206" s="67"/>
      <c r="I2206" s="68"/>
      <c r="J2206" s="68"/>
      <c r="K2206" s="32"/>
      <c r="L2206" s="75"/>
      <c r="M2206" s="75"/>
      <c r="N2206" s="70"/>
      <c r="O2206" t="s">
        <v>1569</v>
      </c>
      <c r="P2206" s="76">
        <v>44958.929027777776</v>
      </c>
      <c r="Q2206" t="s">
        <v>1920</v>
      </c>
      <c r="U2206" s="77" t="str">
        <f>HYPERLINK("https://pbs.twimg.com/media/Fn6NiSMXoAsP_xF.jpg")</f>
        <v>https://pbs.twimg.com/media/Fn6NiSMXoAsP_xF.jpg</v>
      </c>
      <c r="V2206" s="77" t="str">
        <f>HYPERLINK("https://pbs.twimg.com/media/Fn6NiSMXoAsP_xF.jpg")</f>
        <v>https://pbs.twimg.com/media/Fn6NiSMXoAsP_xF.jpg</v>
      </c>
      <c r="W2206" s="76">
        <v>44958.929027777776</v>
      </c>
      <c r="X2206" s="80">
        <v>44958</v>
      </c>
      <c r="Y2206" s="78" t="s">
        <v>2953</v>
      </c>
      <c r="Z2206" s="77" t="str">
        <f>HYPERLINK("https://twitter.com/daniel_dennison/status/1620909306601422848")</f>
        <v>https://twitter.com/daniel_dennison/status/1620909306601422848</v>
      </c>
      <c r="AC2206" s="78" t="s">
        <v>4018</v>
      </c>
      <c r="AE2206" t="b">
        <v>0</v>
      </c>
      <c r="AF2206">
        <v>0</v>
      </c>
      <c r="AG2206" s="78" t="s">
        <v>4640</v>
      </c>
      <c r="AH2206" t="b">
        <v>0</v>
      </c>
      <c r="AI2206" t="s">
        <v>4829</v>
      </c>
      <c r="AK2206" s="78" t="s">
        <v>4640</v>
      </c>
      <c r="AL2206" t="b">
        <v>0</v>
      </c>
      <c r="AM2206">
        <v>1</v>
      </c>
      <c r="AN2206" s="78" t="s">
        <v>4017</v>
      </c>
      <c r="AO2206" s="78" t="s">
        <v>4849</v>
      </c>
      <c r="AP2206" t="b">
        <v>0</v>
      </c>
      <c r="AQ2206" s="78" t="s">
        <v>4017</v>
      </c>
      <c r="AR2206" t="s">
        <v>179</v>
      </c>
      <c r="AS2206">
        <v>0</v>
      </c>
      <c r="AT2206">
        <v>0</v>
      </c>
    </row>
    <row r="2207" spans="1:46" x14ac:dyDescent="0.45">
      <c r="A2207" s="62" t="s">
        <v>734</v>
      </c>
      <c r="B2207" s="62" t="s">
        <v>242</v>
      </c>
      <c r="C2207" s="63"/>
      <c r="D2207" s="64"/>
      <c r="E2207" s="65"/>
      <c r="F2207" s="66"/>
      <c r="G2207" s="63"/>
      <c r="H2207" s="67"/>
      <c r="I2207" s="68"/>
      <c r="J2207" s="68"/>
      <c r="K2207" s="32"/>
      <c r="L2207" s="75"/>
      <c r="M2207" s="75"/>
      <c r="N2207" s="70"/>
      <c r="O2207" t="s">
        <v>1570</v>
      </c>
      <c r="P2207" s="76">
        <v>44958.929027777776</v>
      </c>
      <c r="Q2207" t="s">
        <v>1920</v>
      </c>
      <c r="U2207" s="77" t="str">
        <f>HYPERLINK("https://pbs.twimg.com/media/Fn6NiSMXoAsP_xF.jpg")</f>
        <v>https://pbs.twimg.com/media/Fn6NiSMXoAsP_xF.jpg</v>
      </c>
      <c r="V2207" s="77" t="str">
        <f>HYPERLINK("https://pbs.twimg.com/media/Fn6NiSMXoAsP_xF.jpg")</f>
        <v>https://pbs.twimg.com/media/Fn6NiSMXoAsP_xF.jpg</v>
      </c>
      <c r="W2207" s="76">
        <v>44958.929027777776</v>
      </c>
      <c r="X2207" s="80">
        <v>44958</v>
      </c>
      <c r="Y2207" s="78" t="s">
        <v>2953</v>
      </c>
      <c r="Z2207" s="77" t="str">
        <f>HYPERLINK("https://twitter.com/daniel_dennison/status/1620909306601422848")</f>
        <v>https://twitter.com/daniel_dennison/status/1620909306601422848</v>
      </c>
      <c r="AC2207" s="78" t="s">
        <v>4018</v>
      </c>
      <c r="AE2207" t="b">
        <v>0</v>
      </c>
      <c r="AF2207">
        <v>0</v>
      </c>
      <c r="AG2207" s="78" t="s">
        <v>4640</v>
      </c>
      <c r="AH2207" t="b">
        <v>0</v>
      </c>
      <c r="AI2207" t="s">
        <v>4829</v>
      </c>
      <c r="AK2207" s="78" t="s">
        <v>4640</v>
      </c>
      <c r="AL2207" t="b">
        <v>0</v>
      </c>
      <c r="AM2207">
        <v>1</v>
      </c>
      <c r="AN2207" s="78" t="s">
        <v>4017</v>
      </c>
      <c r="AO2207" s="78" t="s">
        <v>4849</v>
      </c>
      <c r="AP2207" t="b">
        <v>0</v>
      </c>
      <c r="AQ2207" s="78" t="s">
        <v>4017</v>
      </c>
      <c r="AR2207" t="s">
        <v>179</v>
      </c>
      <c r="AS2207">
        <v>0</v>
      </c>
      <c r="AT2207">
        <v>0</v>
      </c>
    </row>
    <row r="2208" spans="1:46" x14ac:dyDescent="0.45">
      <c r="A2208" s="62" t="s">
        <v>734</v>
      </c>
      <c r="B2208" s="62" t="s">
        <v>1185</v>
      </c>
      <c r="C2208" s="63"/>
      <c r="D2208" s="64"/>
      <c r="E2208" s="65"/>
      <c r="F2208" s="66"/>
      <c r="G2208" s="63"/>
      <c r="H2208" s="67"/>
      <c r="I2208" s="68"/>
      <c r="J2208" s="68"/>
      <c r="K2208" s="32"/>
      <c r="L2208" s="75"/>
      <c r="M2208" s="75"/>
      <c r="N2208" s="70"/>
      <c r="O2208" t="s">
        <v>1570</v>
      </c>
      <c r="P2208" s="76">
        <v>44958.929027777776</v>
      </c>
      <c r="Q2208" t="s">
        <v>1920</v>
      </c>
      <c r="U2208" s="77" t="str">
        <f>HYPERLINK("https://pbs.twimg.com/media/Fn6NiSMXoAsP_xF.jpg")</f>
        <v>https://pbs.twimg.com/media/Fn6NiSMXoAsP_xF.jpg</v>
      </c>
      <c r="V2208" s="77" t="str">
        <f>HYPERLINK("https://pbs.twimg.com/media/Fn6NiSMXoAsP_xF.jpg")</f>
        <v>https://pbs.twimg.com/media/Fn6NiSMXoAsP_xF.jpg</v>
      </c>
      <c r="W2208" s="76">
        <v>44958.929027777776</v>
      </c>
      <c r="X2208" s="80">
        <v>44958</v>
      </c>
      <c r="Y2208" s="78" t="s">
        <v>2953</v>
      </c>
      <c r="Z2208" s="77" t="str">
        <f>HYPERLINK("https://twitter.com/daniel_dennison/status/1620909306601422848")</f>
        <v>https://twitter.com/daniel_dennison/status/1620909306601422848</v>
      </c>
      <c r="AC2208" s="78" t="s">
        <v>4018</v>
      </c>
      <c r="AE2208" t="b">
        <v>0</v>
      </c>
      <c r="AF2208">
        <v>0</v>
      </c>
      <c r="AG2208" s="78" t="s">
        <v>4640</v>
      </c>
      <c r="AH2208" t="b">
        <v>0</v>
      </c>
      <c r="AI2208" t="s">
        <v>4829</v>
      </c>
      <c r="AK2208" s="78" t="s">
        <v>4640</v>
      </c>
      <c r="AL2208" t="b">
        <v>0</v>
      </c>
      <c r="AM2208">
        <v>1</v>
      </c>
      <c r="AN2208" s="78" t="s">
        <v>4017</v>
      </c>
      <c r="AO2208" s="78" t="s">
        <v>4849</v>
      </c>
      <c r="AP2208" t="b">
        <v>0</v>
      </c>
      <c r="AQ2208" s="78" t="s">
        <v>4017</v>
      </c>
      <c r="AR2208" t="s">
        <v>179</v>
      </c>
      <c r="AS2208">
        <v>0</v>
      </c>
      <c r="AT2208">
        <v>0</v>
      </c>
    </row>
    <row r="2209" spans="1:46" x14ac:dyDescent="0.45">
      <c r="A2209" s="62" t="s">
        <v>736</v>
      </c>
      <c r="B2209" s="62" t="s">
        <v>1181</v>
      </c>
      <c r="C2209" s="63"/>
      <c r="D2209" s="64"/>
      <c r="E2209" s="65"/>
      <c r="F2209" s="66"/>
      <c r="G2209" s="63"/>
      <c r="H2209" s="67"/>
      <c r="I2209" s="68"/>
      <c r="J2209" s="68"/>
      <c r="K2209" s="32"/>
      <c r="L2209" s="75"/>
      <c r="M2209" s="75"/>
      <c r="N2209" s="70"/>
      <c r="O2209" t="s">
        <v>1568</v>
      </c>
      <c r="P2209" s="76">
        <v>44958.931851851848</v>
      </c>
      <c r="Q2209" t="s">
        <v>1922</v>
      </c>
      <c r="V2209" s="77" t="str">
        <f>HYPERLINK("https://pbs.twimg.com/profile_images/1598876277762674688/Ph96fF-B_normal.jpg")</f>
        <v>https://pbs.twimg.com/profile_images/1598876277762674688/Ph96fF-B_normal.jpg</v>
      </c>
      <c r="W2209" s="76">
        <v>44958.931851851848</v>
      </c>
      <c r="X2209" s="80">
        <v>44958</v>
      </c>
      <c r="Y2209" s="78" t="s">
        <v>2955</v>
      </c>
      <c r="Z2209" s="77" t="str">
        <f>HYPERLINK("https://twitter.com/lifeofbreee__/status/1620910328937877505")</f>
        <v>https://twitter.com/lifeofbreee__/status/1620910328937877505</v>
      </c>
      <c r="AC2209" s="78" t="s">
        <v>4020</v>
      </c>
      <c r="AE2209" t="b">
        <v>0</v>
      </c>
      <c r="AF2209">
        <v>0</v>
      </c>
      <c r="AG2209" s="78" t="s">
        <v>4640</v>
      </c>
      <c r="AH2209" t="b">
        <v>0</v>
      </c>
      <c r="AI2209" t="s">
        <v>4829</v>
      </c>
      <c r="AK2209" s="78" t="s">
        <v>4640</v>
      </c>
      <c r="AL2209" t="b">
        <v>0</v>
      </c>
      <c r="AM2209">
        <v>0</v>
      </c>
      <c r="AN2209" s="78" t="s">
        <v>4640</v>
      </c>
      <c r="AO2209" s="78" t="s">
        <v>4849</v>
      </c>
      <c r="AP2209" t="b">
        <v>0</v>
      </c>
      <c r="AQ2209" s="78" t="s">
        <v>4020</v>
      </c>
      <c r="AR2209" t="s">
        <v>179</v>
      </c>
      <c r="AS2209">
        <v>0</v>
      </c>
      <c r="AT2209">
        <v>0</v>
      </c>
    </row>
    <row r="2210" spans="1:46" x14ac:dyDescent="0.45">
      <c r="A2210" s="62" t="s">
        <v>736</v>
      </c>
      <c r="B2210" s="62" t="s">
        <v>242</v>
      </c>
      <c r="C2210" s="63"/>
      <c r="D2210" s="64"/>
      <c r="E2210" s="65"/>
      <c r="F2210" s="66"/>
      <c r="G2210" s="63"/>
      <c r="H2210" s="67"/>
      <c r="I2210" s="68"/>
      <c r="J2210" s="68"/>
      <c r="K2210" s="32"/>
      <c r="L2210" s="75"/>
      <c r="M2210" s="75"/>
      <c r="N2210" s="70"/>
      <c r="O2210" t="s">
        <v>1568</v>
      </c>
      <c r="P2210" s="76">
        <v>44958.931851851848</v>
      </c>
      <c r="Q2210" t="s">
        <v>1922</v>
      </c>
      <c r="V2210" s="77" t="str">
        <f>HYPERLINK("https://pbs.twimg.com/profile_images/1598876277762674688/Ph96fF-B_normal.jpg")</f>
        <v>https://pbs.twimg.com/profile_images/1598876277762674688/Ph96fF-B_normal.jpg</v>
      </c>
      <c r="W2210" s="76">
        <v>44958.931851851848</v>
      </c>
      <c r="X2210" s="80">
        <v>44958</v>
      </c>
      <c r="Y2210" s="78" t="s">
        <v>2955</v>
      </c>
      <c r="Z2210" s="77" t="str">
        <f>HYPERLINK("https://twitter.com/lifeofbreee__/status/1620910328937877505")</f>
        <v>https://twitter.com/lifeofbreee__/status/1620910328937877505</v>
      </c>
      <c r="AC2210" s="78" t="s">
        <v>4020</v>
      </c>
      <c r="AE2210" t="b">
        <v>0</v>
      </c>
      <c r="AF2210">
        <v>0</v>
      </c>
      <c r="AG2210" s="78" t="s">
        <v>4640</v>
      </c>
      <c r="AH2210" t="b">
        <v>0</v>
      </c>
      <c r="AI2210" t="s">
        <v>4829</v>
      </c>
      <c r="AK2210" s="78" t="s">
        <v>4640</v>
      </c>
      <c r="AL2210" t="b">
        <v>0</v>
      </c>
      <c r="AM2210">
        <v>0</v>
      </c>
      <c r="AN2210" s="78" t="s">
        <v>4640</v>
      </c>
      <c r="AO2210" s="78" t="s">
        <v>4849</v>
      </c>
      <c r="AP2210" t="b">
        <v>0</v>
      </c>
      <c r="AQ2210" s="78" t="s">
        <v>4020</v>
      </c>
      <c r="AR2210" t="s">
        <v>179</v>
      </c>
      <c r="AS2210">
        <v>0</v>
      </c>
      <c r="AT2210">
        <v>0</v>
      </c>
    </row>
    <row r="2211" spans="1:46" x14ac:dyDescent="0.45">
      <c r="A2211" s="62" t="s">
        <v>737</v>
      </c>
      <c r="B2211" s="62" t="s">
        <v>242</v>
      </c>
      <c r="C2211" s="63"/>
      <c r="D2211" s="64"/>
      <c r="E2211" s="65"/>
      <c r="F2211" s="66"/>
      <c r="G2211" s="63"/>
      <c r="H2211" s="67"/>
      <c r="I2211" s="68"/>
      <c r="J2211" s="68"/>
      <c r="K2211" s="32"/>
      <c r="L2211" s="75"/>
      <c r="M2211" s="75"/>
      <c r="N2211" s="70"/>
      <c r="O2211" t="s">
        <v>1567</v>
      </c>
      <c r="P2211" s="76">
        <v>44958.933587962965</v>
      </c>
      <c r="Q2211" t="s">
        <v>1923</v>
      </c>
      <c r="V2211" s="77" t="str">
        <f>HYPERLINK("https://pbs.twimg.com/profile_images/2187498008/photo_2_normal.JPG")</f>
        <v>https://pbs.twimg.com/profile_images/2187498008/photo_2_normal.JPG</v>
      </c>
      <c r="W2211" s="76">
        <v>44958.933587962965</v>
      </c>
      <c r="X2211" s="80">
        <v>44958</v>
      </c>
      <c r="Y2211" s="78" t="s">
        <v>2956</v>
      </c>
      <c r="Z2211" s="77" t="str">
        <f>HYPERLINK("https://twitter.com/tonytouch_28/status/1620910960331395076")</f>
        <v>https://twitter.com/tonytouch_28/status/1620910960331395076</v>
      </c>
      <c r="AC2211" s="78" t="s">
        <v>4021</v>
      </c>
      <c r="AD2211" s="78" t="s">
        <v>4567</v>
      </c>
      <c r="AE2211" t="b">
        <v>0</v>
      </c>
      <c r="AF2211">
        <v>0</v>
      </c>
      <c r="AG2211" s="78" t="s">
        <v>4639</v>
      </c>
      <c r="AH2211" t="b">
        <v>0</v>
      </c>
      <c r="AI2211" t="s">
        <v>4829</v>
      </c>
      <c r="AK2211" s="78" t="s">
        <v>4640</v>
      </c>
      <c r="AL2211" t="b">
        <v>0</v>
      </c>
      <c r="AM2211">
        <v>0</v>
      </c>
      <c r="AN2211" s="78" t="s">
        <v>4640</v>
      </c>
      <c r="AO2211" s="78" t="s">
        <v>4849</v>
      </c>
      <c r="AP2211" t="b">
        <v>0</v>
      </c>
      <c r="AQ2211" s="78" t="s">
        <v>4567</v>
      </c>
      <c r="AR2211" t="s">
        <v>179</v>
      </c>
      <c r="AS2211">
        <v>0</v>
      </c>
      <c r="AT2211">
        <v>0</v>
      </c>
    </row>
    <row r="2212" spans="1:46" x14ac:dyDescent="0.45">
      <c r="A2212" s="62" t="s">
        <v>739</v>
      </c>
      <c r="B2212" s="62" t="s">
        <v>242</v>
      </c>
      <c r="C2212" s="63"/>
      <c r="D2212" s="64"/>
      <c r="E2212" s="65"/>
      <c r="F2212" s="66"/>
      <c r="G2212" s="63"/>
      <c r="H2212" s="67"/>
      <c r="I2212" s="68"/>
      <c r="J2212" s="68"/>
      <c r="K2212" s="32"/>
      <c r="L2212" s="75"/>
      <c r="M2212" s="75"/>
      <c r="N2212" s="70"/>
      <c r="O2212" t="s">
        <v>1567</v>
      </c>
      <c r="P2212" s="76">
        <v>44958.937245370369</v>
      </c>
      <c r="Q2212" t="s">
        <v>1925</v>
      </c>
      <c r="V2212" s="77" t="str">
        <f>HYPERLINK("https://pbs.twimg.com/profile_images/1079619645580165122/a5i8MVZf_normal.jpg")</f>
        <v>https://pbs.twimg.com/profile_images/1079619645580165122/a5i8MVZf_normal.jpg</v>
      </c>
      <c r="W2212" s="76">
        <v>44958.937245370369</v>
      </c>
      <c r="X2212" s="80">
        <v>44958</v>
      </c>
      <c r="Y2212" s="78" t="s">
        <v>2958</v>
      </c>
      <c r="Z2212" s="77" t="str">
        <f>HYPERLINK("https://twitter.com/thekid_dex/status/1620912284947333130")</f>
        <v>https://twitter.com/thekid_dex/status/1620912284947333130</v>
      </c>
      <c r="AC2212" s="78" t="s">
        <v>4023</v>
      </c>
      <c r="AE2212" t="b">
        <v>0</v>
      </c>
      <c r="AF2212">
        <v>0</v>
      </c>
      <c r="AG2212" s="78" t="s">
        <v>4639</v>
      </c>
      <c r="AH2212" t="b">
        <v>0</v>
      </c>
      <c r="AI2212" t="s">
        <v>4829</v>
      </c>
      <c r="AK2212" s="78" t="s">
        <v>4640</v>
      </c>
      <c r="AL2212" t="b">
        <v>0</v>
      </c>
      <c r="AM2212">
        <v>0</v>
      </c>
      <c r="AN2212" s="78" t="s">
        <v>4640</v>
      </c>
      <c r="AO2212" s="78" t="s">
        <v>4849</v>
      </c>
      <c r="AP2212" t="b">
        <v>0</v>
      </c>
      <c r="AQ2212" s="78" t="s">
        <v>4023</v>
      </c>
      <c r="AR2212" t="s">
        <v>179</v>
      </c>
      <c r="AS2212">
        <v>0</v>
      </c>
      <c r="AT2212">
        <v>0</v>
      </c>
    </row>
    <row r="2213" spans="1:46" x14ac:dyDescent="0.45">
      <c r="A2213" s="62" t="s">
        <v>743</v>
      </c>
      <c r="B2213" s="62" t="s">
        <v>242</v>
      </c>
      <c r="C2213" s="63"/>
      <c r="D2213" s="64"/>
      <c r="E2213" s="65"/>
      <c r="F2213" s="66"/>
      <c r="G2213" s="63"/>
      <c r="H2213" s="67"/>
      <c r="I2213" s="68"/>
      <c r="J2213" s="68"/>
      <c r="K2213" s="32"/>
      <c r="L2213" s="75"/>
      <c r="M2213" s="75"/>
      <c r="N2213" s="70"/>
      <c r="O2213" t="s">
        <v>1570</v>
      </c>
      <c r="P2213" s="76">
        <v>44958.939050925925</v>
      </c>
      <c r="Q2213" t="s">
        <v>1928</v>
      </c>
      <c r="U2213" s="77" t="str">
        <f>HYPERLINK("https://pbs.twimg.com/media/Fn6jrXTWAAEsrco.jpg")</f>
        <v>https://pbs.twimg.com/media/Fn6jrXTWAAEsrco.jpg</v>
      </c>
      <c r="V2213" s="77" t="str">
        <f>HYPERLINK("https://pbs.twimg.com/media/Fn6jrXTWAAEsrco.jpg")</f>
        <v>https://pbs.twimg.com/media/Fn6jrXTWAAEsrco.jpg</v>
      </c>
      <c r="W2213" s="76">
        <v>44958.939050925925</v>
      </c>
      <c r="X2213" s="80">
        <v>44958</v>
      </c>
      <c r="Y2213" s="78" t="s">
        <v>2962</v>
      </c>
      <c r="Z2213" s="77" t="str">
        <f>HYPERLINK("https://twitter.com/rockybrillo/status/1620912938944204801")</f>
        <v>https://twitter.com/rockybrillo/status/1620912938944204801</v>
      </c>
      <c r="AC2213" s="78" t="s">
        <v>4027</v>
      </c>
      <c r="AE2213" t="b">
        <v>0</v>
      </c>
      <c r="AF2213">
        <v>0</v>
      </c>
      <c r="AG2213" s="78" t="s">
        <v>4640</v>
      </c>
      <c r="AH2213" t="b">
        <v>0</v>
      </c>
      <c r="AI2213" t="s">
        <v>4829</v>
      </c>
      <c r="AK2213" s="78" t="s">
        <v>4640</v>
      </c>
      <c r="AL2213" t="b">
        <v>0</v>
      </c>
      <c r="AM2213">
        <v>8</v>
      </c>
      <c r="AN2213" s="78" t="s">
        <v>4420</v>
      </c>
      <c r="AO2213" s="78" t="s">
        <v>4850</v>
      </c>
      <c r="AP2213" t="b">
        <v>0</v>
      </c>
      <c r="AQ2213" s="78" t="s">
        <v>4420</v>
      </c>
      <c r="AR2213" t="s">
        <v>179</v>
      </c>
      <c r="AS2213">
        <v>0</v>
      </c>
      <c r="AT2213">
        <v>0</v>
      </c>
    </row>
    <row r="2214" spans="1:46" x14ac:dyDescent="0.45">
      <c r="A2214" s="62" t="s">
        <v>743</v>
      </c>
      <c r="B2214" s="62" t="s">
        <v>1046</v>
      </c>
      <c r="C2214" s="63"/>
      <c r="D2214" s="64"/>
      <c r="E2214" s="65"/>
      <c r="F2214" s="66"/>
      <c r="G2214" s="63"/>
      <c r="H2214" s="67"/>
      <c r="I2214" s="68"/>
      <c r="J2214" s="68"/>
      <c r="K2214" s="32"/>
      <c r="L2214" s="75"/>
      <c r="M2214" s="75"/>
      <c r="N2214" s="70"/>
      <c r="O2214" t="s">
        <v>1569</v>
      </c>
      <c r="P2214" s="76">
        <v>44958.939050925925</v>
      </c>
      <c r="Q2214" t="s">
        <v>1928</v>
      </c>
      <c r="U2214" s="77" t="str">
        <f>HYPERLINK("https://pbs.twimg.com/media/Fn6jrXTWAAEsrco.jpg")</f>
        <v>https://pbs.twimg.com/media/Fn6jrXTWAAEsrco.jpg</v>
      </c>
      <c r="V2214" s="77" t="str">
        <f>HYPERLINK("https://pbs.twimg.com/media/Fn6jrXTWAAEsrco.jpg")</f>
        <v>https://pbs.twimg.com/media/Fn6jrXTWAAEsrco.jpg</v>
      </c>
      <c r="W2214" s="76">
        <v>44958.939050925925</v>
      </c>
      <c r="X2214" s="80">
        <v>44958</v>
      </c>
      <c r="Y2214" s="78" t="s">
        <v>2962</v>
      </c>
      <c r="Z2214" s="77" t="str">
        <f>HYPERLINK("https://twitter.com/rockybrillo/status/1620912938944204801")</f>
        <v>https://twitter.com/rockybrillo/status/1620912938944204801</v>
      </c>
      <c r="AC2214" s="78" t="s">
        <v>4027</v>
      </c>
      <c r="AE2214" t="b">
        <v>0</v>
      </c>
      <c r="AF2214">
        <v>0</v>
      </c>
      <c r="AG2214" s="78" t="s">
        <v>4640</v>
      </c>
      <c r="AH2214" t="b">
        <v>0</v>
      </c>
      <c r="AI2214" t="s">
        <v>4829</v>
      </c>
      <c r="AK2214" s="78" t="s">
        <v>4640</v>
      </c>
      <c r="AL2214" t="b">
        <v>0</v>
      </c>
      <c r="AM2214">
        <v>8</v>
      </c>
      <c r="AN2214" s="78" t="s">
        <v>4420</v>
      </c>
      <c r="AO2214" s="78" t="s">
        <v>4850</v>
      </c>
      <c r="AP2214" t="b">
        <v>0</v>
      </c>
      <c r="AQ2214" s="78" t="s">
        <v>4420</v>
      </c>
      <c r="AR2214" t="s">
        <v>179</v>
      </c>
      <c r="AS2214">
        <v>0</v>
      </c>
      <c r="AT2214">
        <v>0</v>
      </c>
    </row>
    <row r="2215" spans="1:46" x14ac:dyDescent="0.45">
      <c r="A2215" s="62" t="s">
        <v>744</v>
      </c>
      <c r="B2215" s="62" t="s">
        <v>242</v>
      </c>
      <c r="C2215" s="63"/>
      <c r="D2215" s="64"/>
      <c r="E2215" s="65"/>
      <c r="F2215" s="66"/>
      <c r="G2215" s="63"/>
      <c r="H2215" s="67"/>
      <c r="I2215" s="68"/>
      <c r="J2215" s="68"/>
      <c r="K2215" s="32"/>
      <c r="L2215" s="75"/>
      <c r="M2215" s="75"/>
      <c r="N2215" s="70"/>
      <c r="O2215" t="s">
        <v>1570</v>
      </c>
      <c r="P2215" s="76">
        <v>44958.939131944448</v>
      </c>
      <c r="Q2215" t="s">
        <v>1928</v>
      </c>
      <c r="U2215" s="77" t="str">
        <f>HYPERLINK("https://pbs.twimg.com/media/Fn6jrXTWAAEsrco.jpg")</f>
        <v>https://pbs.twimg.com/media/Fn6jrXTWAAEsrco.jpg</v>
      </c>
      <c r="V2215" s="77" t="str">
        <f>HYPERLINK("https://pbs.twimg.com/media/Fn6jrXTWAAEsrco.jpg")</f>
        <v>https://pbs.twimg.com/media/Fn6jrXTWAAEsrco.jpg</v>
      </c>
      <c r="W2215" s="76">
        <v>44958.939131944448</v>
      </c>
      <c r="X2215" s="80">
        <v>44958</v>
      </c>
      <c r="Y2215" s="78" t="s">
        <v>2963</v>
      </c>
      <c r="Z2215" s="77" t="str">
        <f>HYPERLINK("https://twitter.com/dlegg236/status/1620912967402545152")</f>
        <v>https://twitter.com/dlegg236/status/1620912967402545152</v>
      </c>
      <c r="AC2215" s="78" t="s">
        <v>4028</v>
      </c>
      <c r="AE2215" t="b">
        <v>0</v>
      </c>
      <c r="AF2215">
        <v>0</v>
      </c>
      <c r="AG2215" s="78" t="s">
        <v>4640</v>
      </c>
      <c r="AH2215" t="b">
        <v>0</v>
      </c>
      <c r="AI2215" t="s">
        <v>4829</v>
      </c>
      <c r="AK2215" s="78" t="s">
        <v>4640</v>
      </c>
      <c r="AL2215" t="b">
        <v>0</v>
      </c>
      <c r="AM2215">
        <v>8</v>
      </c>
      <c r="AN2215" s="78" t="s">
        <v>4420</v>
      </c>
      <c r="AO2215" s="78" t="s">
        <v>4849</v>
      </c>
      <c r="AP2215" t="b">
        <v>0</v>
      </c>
      <c r="AQ2215" s="78" t="s">
        <v>4420</v>
      </c>
      <c r="AR2215" t="s">
        <v>179</v>
      </c>
      <c r="AS2215">
        <v>0</v>
      </c>
      <c r="AT2215">
        <v>0</v>
      </c>
    </row>
    <row r="2216" spans="1:46" x14ac:dyDescent="0.45">
      <c r="A2216" s="62" t="s">
        <v>744</v>
      </c>
      <c r="B2216" s="62" t="s">
        <v>1046</v>
      </c>
      <c r="C2216" s="63"/>
      <c r="D2216" s="64"/>
      <c r="E2216" s="65"/>
      <c r="F2216" s="66"/>
      <c r="G2216" s="63"/>
      <c r="H2216" s="67"/>
      <c r="I2216" s="68"/>
      <c r="J2216" s="68"/>
      <c r="K2216" s="32"/>
      <c r="L2216" s="75"/>
      <c r="M2216" s="75"/>
      <c r="N2216" s="70"/>
      <c r="O2216" t="s">
        <v>1569</v>
      </c>
      <c r="P2216" s="76">
        <v>44958.939131944448</v>
      </c>
      <c r="Q2216" t="s">
        <v>1928</v>
      </c>
      <c r="U2216" s="77" t="str">
        <f>HYPERLINK("https://pbs.twimg.com/media/Fn6jrXTWAAEsrco.jpg")</f>
        <v>https://pbs.twimg.com/media/Fn6jrXTWAAEsrco.jpg</v>
      </c>
      <c r="V2216" s="77" t="str">
        <f>HYPERLINK("https://pbs.twimg.com/media/Fn6jrXTWAAEsrco.jpg")</f>
        <v>https://pbs.twimg.com/media/Fn6jrXTWAAEsrco.jpg</v>
      </c>
      <c r="W2216" s="76">
        <v>44958.939131944448</v>
      </c>
      <c r="X2216" s="80">
        <v>44958</v>
      </c>
      <c r="Y2216" s="78" t="s">
        <v>2963</v>
      </c>
      <c r="Z2216" s="77" t="str">
        <f>HYPERLINK("https://twitter.com/dlegg236/status/1620912967402545152")</f>
        <v>https://twitter.com/dlegg236/status/1620912967402545152</v>
      </c>
      <c r="AC2216" s="78" t="s">
        <v>4028</v>
      </c>
      <c r="AE2216" t="b">
        <v>0</v>
      </c>
      <c r="AF2216">
        <v>0</v>
      </c>
      <c r="AG2216" s="78" t="s">
        <v>4640</v>
      </c>
      <c r="AH2216" t="b">
        <v>0</v>
      </c>
      <c r="AI2216" t="s">
        <v>4829</v>
      </c>
      <c r="AK2216" s="78" t="s">
        <v>4640</v>
      </c>
      <c r="AL2216" t="b">
        <v>0</v>
      </c>
      <c r="AM2216">
        <v>8</v>
      </c>
      <c r="AN2216" s="78" t="s">
        <v>4420</v>
      </c>
      <c r="AO2216" s="78" t="s">
        <v>4849</v>
      </c>
      <c r="AP2216" t="b">
        <v>0</v>
      </c>
      <c r="AQ2216" s="78" t="s">
        <v>4420</v>
      </c>
      <c r="AR2216" t="s">
        <v>179</v>
      </c>
      <c r="AS2216">
        <v>0</v>
      </c>
      <c r="AT2216">
        <v>0</v>
      </c>
    </row>
    <row r="2217" spans="1:46" x14ac:dyDescent="0.45">
      <c r="A2217" s="62" t="s">
        <v>745</v>
      </c>
      <c r="B2217" s="62" t="s">
        <v>242</v>
      </c>
      <c r="C2217" s="63"/>
      <c r="D2217" s="64"/>
      <c r="E2217" s="65"/>
      <c r="F2217" s="66"/>
      <c r="G2217" s="63"/>
      <c r="H2217" s="67"/>
      <c r="I2217" s="68"/>
      <c r="J2217" s="68"/>
      <c r="K2217" s="32"/>
      <c r="L2217" s="75"/>
      <c r="M2217" s="75"/>
      <c r="N2217" s="70"/>
      <c r="O2217" t="s">
        <v>1568</v>
      </c>
      <c r="P2217" s="76">
        <v>44958.939317129632</v>
      </c>
      <c r="Q2217" t="s">
        <v>1929</v>
      </c>
      <c r="V2217" s="77" t="str">
        <f>HYPERLINK("https://pbs.twimg.com/profile_images/1608255329405370368/xclDRdFf_normal.jpg")</f>
        <v>https://pbs.twimg.com/profile_images/1608255329405370368/xclDRdFf_normal.jpg</v>
      </c>
      <c r="W2217" s="76">
        <v>44958.939317129632</v>
      </c>
      <c r="X2217" s="80">
        <v>44958</v>
      </c>
      <c r="Y2217" s="78" t="s">
        <v>2964</v>
      </c>
      <c r="Z2217" s="77" t="str">
        <f>HYPERLINK("https://twitter.com/nickmanly2/status/1620913037644541953")</f>
        <v>https://twitter.com/nickmanly2/status/1620913037644541953</v>
      </c>
      <c r="AC2217" s="78" t="s">
        <v>4029</v>
      </c>
      <c r="AD2217" s="78" t="s">
        <v>4420</v>
      </c>
      <c r="AE2217" t="b">
        <v>0</v>
      </c>
      <c r="AF2217">
        <v>0</v>
      </c>
      <c r="AG2217" s="78" t="s">
        <v>4737</v>
      </c>
      <c r="AH2217" t="b">
        <v>0</v>
      </c>
      <c r="AI2217" t="s">
        <v>4829</v>
      </c>
      <c r="AK2217" s="78" t="s">
        <v>4640</v>
      </c>
      <c r="AL2217" t="b">
        <v>0</v>
      </c>
      <c r="AM2217">
        <v>0</v>
      </c>
      <c r="AN2217" s="78" t="s">
        <v>4640</v>
      </c>
      <c r="AO2217" s="78" t="s">
        <v>4849</v>
      </c>
      <c r="AP2217" t="b">
        <v>0</v>
      </c>
      <c r="AQ2217" s="78" t="s">
        <v>4420</v>
      </c>
      <c r="AR2217" t="s">
        <v>179</v>
      </c>
      <c r="AS2217">
        <v>0</v>
      </c>
      <c r="AT2217">
        <v>0</v>
      </c>
    </row>
    <row r="2218" spans="1:46" x14ac:dyDescent="0.45">
      <c r="A2218" s="62" t="s">
        <v>745</v>
      </c>
      <c r="B2218" s="62" t="s">
        <v>1046</v>
      </c>
      <c r="C2218" s="63"/>
      <c r="D2218" s="64"/>
      <c r="E2218" s="65"/>
      <c r="F2218" s="66"/>
      <c r="G2218" s="63"/>
      <c r="H2218" s="67"/>
      <c r="I2218" s="68"/>
      <c r="J2218" s="68"/>
      <c r="K2218" s="32"/>
      <c r="L2218" s="75"/>
      <c r="M2218" s="75"/>
      <c r="N2218" s="70"/>
      <c r="O2218" t="s">
        <v>1567</v>
      </c>
      <c r="P2218" s="76">
        <v>44958.939317129632</v>
      </c>
      <c r="Q2218" t="s">
        <v>1929</v>
      </c>
      <c r="V2218" s="77" t="str">
        <f>HYPERLINK("https://pbs.twimg.com/profile_images/1608255329405370368/xclDRdFf_normal.jpg")</f>
        <v>https://pbs.twimg.com/profile_images/1608255329405370368/xclDRdFf_normal.jpg</v>
      </c>
      <c r="W2218" s="76">
        <v>44958.939317129632</v>
      </c>
      <c r="X2218" s="80">
        <v>44958</v>
      </c>
      <c r="Y2218" s="78" t="s">
        <v>2964</v>
      </c>
      <c r="Z2218" s="77" t="str">
        <f>HYPERLINK("https://twitter.com/nickmanly2/status/1620913037644541953")</f>
        <v>https://twitter.com/nickmanly2/status/1620913037644541953</v>
      </c>
      <c r="AC2218" s="78" t="s">
        <v>4029</v>
      </c>
      <c r="AD2218" s="78" t="s">
        <v>4420</v>
      </c>
      <c r="AE2218" t="b">
        <v>0</v>
      </c>
      <c r="AF2218">
        <v>0</v>
      </c>
      <c r="AG2218" s="78" t="s">
        <v>4737</v>
      </c>
      <c r="AH2218" t="b">
        <v>0</v>
      </c>
      <c r="AI2218" t="s">
        <v>4829</v>
      </c>
      <c r="AK2218" s="78" t="s">
        <v>4640</v>
      </c>
      <c r="AL2218" t="b">
        <v>0</v>
      </c>
      <c r="AM2218">
        <v>0</v>
      </c>
      <c r="AN2218" s="78" t="s">
        <v>4640</v>
      </c>
      <c r="AO2218" s="78" t="s">
        <v>4849</v>
      </c>
      <c r="AP2218" t="b">
        <v>0</v>
      </c>
      <c r="AQ2218" s="78" t="s">
        <v>4420</v>
      </c>
      <c r="AR2218" t="s">
        <v>179</v>
      </c>
      <c r="AS2218">
        <v>0</v>
      </c>
      <c r="AT2218">
        <v>0</v>
      </c>
    </row>
    <row r="2219" spans="1:46" x14ac:dyDescent="0.45">
      <c r="A2219" s="62" t="s">
        <v>746</v>
      </c>
      <c r="B2219" s="62" t="s">
        <v>242</v>
      </c>
      <c r="C2219" s="63"/>
      <c r="D2219" s="64"/>
      <c r="E2219" s="65"/>
      <c r="F2219" s="66"/>
      <c r="G2219" s="63"/>
      <c r="H2219" s="67"/>
      <c r="I2219" s="68"/>
      <c r="J2219" s="68"/>
      <c r="K2219" s="32"/>
      <c r="L2219" s="75"/>
      <c r="M2219" s="75"/>
      <c r="N2219" s="70"/>
      <c r="O2219" t="s">
        <v>1568</v>
      </c>
      <c r="P2219" s="76">
        <v>44958.939421296294</v>
      </c>
      <c r="Q2219" t="s">
        <v>1930</v>
      </c>
      <c r="V2219" s="77" t="str">
        <f>HYPERLINK("https://pbs.twimg.com/profile_images/1619449072661716994/B2h5eipS_normal.jpg")</f>
        <v>https://pbs.twimg.com/profile_images/1619449072661716994/B2h5eipS_normal.jpg</v>
      </c>
      <c r="W2219" s="76">
        <v>44958.939421296294</v>
      </c>
      <c r="X2219" s="80">
        <v>44958</v>
      </c>
      <c r="Y2219" s="78" t="s">
        <v>2965</v>
      </c>
      <c r="Z2219" s="77" t="str">
        <f>HYPERLINK("https://twitter.com/drkateendocrine/status/1620913072117518339")</f>
        <v>https://twitter.com/drkateendocrine/status/1620913072117518339</v>
      </c>
      <c r="AC2219" s="78" t="s">
        <v>4030</v>
      </c>
      <c r="AE2219" t="b">
        <v>0</v>
      </c>
      <c r="AF2219">
        <v>0</v>
      </c>
      <c r="AG2219" s="78" t="s">
        <v>4640</v>
      </c>
      <c r="AH2219" t="b">
        <v>0</v>
      </c>
      <c r="AI2219" t="s">
        <v>4829</v>
      </c>
      <c r="AK2219" s="78" t="s">
        <v>4640</v>
      </c>
      <c r="AL2219" t="b">
        <v>0</v>
      </c>
      <c r="AM2219">
        <v>0</v>
      </c>
      <c r="AN2219" s="78" t="s">
        <v>4640</v>
      </c>
      <c r="AO2219" s="78" t="s">
        <v>4849</v>
      </c>
      <c r="AP2219" t="b">
        <v>0</v>
      </c>
      <c r="AQ2219" s="78" t="s">
        <v>4030</v>
      </c>
      <c r="AR2219" t="s">
        <v>179</v>
      </c>
      <c r="AS2219">
        <v>0</v>
      </c>
      <c r="AT2219">
        <v>0</v>
      </c>
    </row>
    <row r="2220" spans="1:46" x14ac:dyDescent="0.45">
      <c r="A2220" s="62" t="s">
        <v>749</v>
      </c>
      <c r="B2220" s="62" t="s">
        <v>242</v>
      </c>
      <c r="C2220" s="63"/>
      <c r="D2220" s="64"/>
      <c r="E2220" s="65"/>
      <c r="F2220" s="66"/>
      <c r="G2220" s="63"/>
      <c r="H2220" s="67"/>
      <c r="I2220" s="68"/>
      <c r="J2220" s="68"/>
      <c r="K2220" s="32"/>
      <c r="L2220" s="75"/>
      <c r="M2220" s="75"/>
      <c r="N2220" s="70"/>
      <c r="O2220" t="s">
        <v>1568</v>
      </c>
      <c r="P2220" s="76">
        <v>44958.94017361111</v>
      </c>
      <c r="Q2220" t="s">
        <v>1933</v>
      </c>
      <c r="V2220" s="77" t="str">
        <f>HYPERLINK("https://pbs.twimg.com/profile_images/1551281398396362754/naip-gsV_normal.jpg")</f>
        <v>https://pbs.twimg.com/profile_images/1551281398396362754/naip-gsV_normal.jpg</v>
      </c>
      <c r="W2220" s="76">
        <v>44958.94017361111</v>
      </c>
      <c r="X2220" s="80">
        <v>44958</v>
      </c>
      <c r="Y2220" s="78" t="s">
        <v>2968</v>
      </c>
      <c r="Z2220" s="77" t="str">
        <f>HYPERLINK("https://twitter.com/danlong31416940/status/1620913345493889027")</f>
        <v>https://twitter.com/danlong31416940/status/1620913345493889027</v>
      </c>
      <c r="AC2220" s="78" t="s">
        <v>4033</v>
      </c>
      <c r="AD2220" s="78" t="s">
        <v>4420</v>
      </c>
      <c r="AE2220" t="b">
        <v>0</v>
      </c>
      <c r="AF2220">
        <v>0</v>
      </c>
      <c r="AG2220" s="78" t="s">
        <v>4737</v>
      </c>
      <c r="AH2220" t="b">
        <v>0</v>
      </c>
      <c r="AI2220" t="s">
        <v>4829</v>
      </c>
      <c r="AK2220" s="78" t="s">
        <v>4640</v>
      </c>
      <c r="AL2220" t="b">
        <v>0</v>
      </c>
      <c r="AM2220">
        <v>0</v>
      </c>
      <c r="AN2220" s="78" t="s">
        <v>4640</v>
      </c>
      <c r="AO2220" s="78" t="s">
        <v>4849</v>
      </c>
      <c r="AP2220" t="b">
        <v>0</v>
      </c>
      <c r="AQ2220" s="78" t="s">
        <v>4420</v>
      </c>
      <c r="AR2220" t="s">
        <v>179</v>
      </c>
      <c r="AS2220">
        <v>0</v>
      </c>
      <c r="AT2220">
        <v>0</v>
      </c>
    </row>
    <row r="2221" spans="1:46" x14ac:dyDescent="0.45">
      <c r="A2221" s="62" t="s">
        <v>749</v>
      </c>
      <c r="B2221" s="62" t="s">
        <v>1046</v>
      </c>
      <c r="C2221" s="63"/>
      <c r="D2221" s="64"/>
      <c r="E2221" s="65"/>
      <c r="F2221" s="66"/>
      <c r="G2221" s="63"/>
      <c r="H2221" s="67"/>
      <c r="I2221" s="68"/>
      <c r="J2221" s="68"/>
      <c r="K2221" s="32"/>
      <c r="L2221" s="75"/>
      <c r="M2221" s="75"/>
      <c r="N2221" s="70"/>
      <c r="O2221" t="s">
        <v>1567</v>
      </c>
      <c r="P2221" s="76">
        <v>44958.94017361111</v>
      </c>
      <c r="Q2221" t="s">
        <v>1933</v>
      </c>
      <c r="V2221" s="77" t="str">
        <f>HYPERLINK("https://pbs.twimg.com/profile_images/1551281398396362754/naip-gsV_normal.jpg")</f>
        <v>https://pbs.twimg.com/profile_images/1551281398396362754/naip-gsV_normal.jpg</v>
      </c>
      <c r="W2221" s="76">
        <v>44958.94017361111</v>
      </c>
      <c r="X2221" s="80">
        <v>44958</v>
      </c>
      <c r="Y2221" s="78" t="s">
        <v>2968</v>
      </c>
      <c r="Z2221" s="77" t="str">
        <f>HYPERLINK("https://twitter.com/danlong31416940/status/1620913345493889027")</f>
        <v>https://twitter.com/danlong31416940/status/1620913345493889027</v>
      </c>
      <c r="AC2221" s="78" t="s">
        <v>4033</v>
      </c>
      <c r="AD2221" s="78" t="s">
        <v>4420</v>
      </c>
      <c r="AE2221" t="b">
        <v>0</v>
      </c>
      <c r="AF2221">
        <v>0</v>
      </c>
      <c r="AG2221" s="78" t="s">
        <v>4737</v>
      </c>
      <c r="AH2221" t="b">
        <v>0</v>
      </c>
      <c r="AI2221" t="s">
        <v>4829</v>
      </c>
      <c r="AK2221" s="78" t="s">
        <v>4640</v>
      </c>
      <c r="AL2221" t="b">
        <v>0</v>
      </c>
      <c r="AM2221">
        <v>0</v>
      </c>
      <c r="AN2221" s="78" t="s">
        <v>4640</v>
      </c>
      <c r="AO2221" s="78" t="s">
        <v>4849</v>
      </c>
      <c r="AP2221" t="b">
        <v>0</v>
      </c>
      <c r="AQ2221" s="78" t="s">
        <v>4420</v>
      </c>
      <c r="AR2221" t="s">
        <v>179</v>
      </c>
      <c r="AS2221">
        <v>0</v>
      </c>
      <c r="AT2221">
        <v>0</v>
      </c>
    </row>
    <row r="2222" spans="1:46" x14ac:dyDescent="0.45">
      <c r="A2222" s="62" t="s">
        <v>752</v>
      </c>
      <c r="B2222" s="62" t="s">
        <v>751</v>
      </c>
      <c r="C2222" s="63"/>
      <c r="D2222" s="64"/>
      <c r="E2222" s="65"/>
      <c r="F2222" s="66"/>
      <c r="G2222" s="63"/>
      <c r="H2222" s="67"/>
      <c r="I2222" s="68"/>
      <c r="J2222" s="68"/>
      <c r="K2222" s="32"/>
      <c r="L2222" s="75"/>
      <c r="M2222" s="75"/>
      <c r="N2222" s="70"/>
      <c r="O2222" t="s">
        <v>1569</v>
      </c>
      <c r="P2222" s="76">
        <v>44958.940868055557</v>
      </c>
      <c r="Q2222" t="s">
        <v>1935</v>
      </c>
      <c r="U2222" s="77" t="str">
        <f>HYPERLINK("https://pbs.twimg.com/media/Fn6CAvGXEAsb4_O.jpg")</f>
        <v>https://pbs.twimg.com/media/Fn6CAvGXEAsb4_O.jpg</v>
      </c>
      <c r="V2222" s="77" t="str">
        <f>HYPERLINK("https://pbs.twimg.com/media/Fn6CAvGXEAsb4_O.jpg")</f>
        <v>https://pbs.twimg.com/media/Fn6CAvGXEAsb4_O.jpg</v>
      </c>
      <c r="W2222" s="76">
        <v>44958.940868055557</v>
      </c>
      <c r="X2222" s="80">
        <v>44958</v>
      </c>
      <c r="Y2222" s="78" t="s">
        <v>2971</v>
      </c>
      <c r="Z2222" s="77" t="str">
        <f>HYPERLINK("https://twitter.com/atlayton/status/1620913597508628480")</f>
        <v>https://twitter.com/atlayton/status/1620913597508628480</v>
      </c>
      <c r="AC2222" s="78" t="s">
        <v>4036</v>
      </c>
      <c r="AE2222" t="b">
        <v>0</v>
      </c>
      <c r="AF2222">
        <v>0</v>
      </c>
      <c r="AG2222" s="78" t="s">
        <v>4640</v>
      </c>
      <c r="AH2222" t="b">
        <v>0</v>
      </c>
      <c r="AI2222" t="s">
        <v>4829</v>
      </c>
      <c r="AK2222" s="78" t="s">
        <v>4640</v>
      </c>
      <c r="AL2222" t="b">
        <v>0</v>
      </c>
      <c r="AM2222">
        <v>1</v>
      </c>
      <c r="AN2222" s="78" t="s">
        <v>4035</v>
      </c>
      <c r="AO2222" s="78" t="s">
        <v>4849</v>
      </c>
      <c r="AP2222" t="b">
        <v>0</v>
      </c>
      <c r="AQ2222" s="78" t="s">
        <v>4035</v>
      </c>
      <c r="AR2222" t="s">
        <v>179</v>
      </c>
      <c r="AS2222">
        <v>0</v>
      </c>
      <c r="AT2222">
        <v>0</v>
      </c>
    </row>
    <row r="2223" spans="1:46" x14ac:dyDescent="0.45">
      <c r="A2223" s="62" t="s">
        <v>752</v>
      </c>
      <c r="B2223" s="62" t="s">
        <v>1113</v>
      </c>
      <c r="C2223" s="63"/>
      <c r="D2223" s="64"/>
      <c r="E2223" s="65"/>
      <c r="F2223" s="66"/>
      <c r="G2223" s="63"/>
      <c r="H2223" s="67"/>
      <c r="I2223" s="68"/>
      <c r="J2223" s="68"/>
      <c r="K2223" s="32"/>
      <c r="L2223" s="75"/>
      <c r="M2223" s="75"/>
      <c r="N2223" s="70"/>
      <c r="O2223" t="s">
        <v>1570</v>
      </c>
      <c r="P2223" s="76">
        <v>44958.940868055557</v>
      </c>
      <c r="Q2223" t="s">
        <v>1935</v>
      </c>
      <c r="U2223" s="77" t="str">
        <f>HYPERLINK("https://pbs.twimg.com/media/Fn6CAvGXEAsb4_O.jpg")</f>
        <v>https://pbs.twimg.com/media/Fn6CAvGXEAsb4_O.jpg</v>
      </c>
      <c r="V2223" s="77" t="str">
        <f>HYPERLINK("https://pbs.twimg.com/media/Fn6CAvGXEAsb4_O.jpg")</f>
        <v>https://pbs.twimg.com/media/Fn6CAvGXEAsb4_O.jpg</v>
      </c>
      <c r="W2223" s="76">
        <v>44958.940868055557</v>
      </c>
      <c r="X2223" s="80">
        <v>44958</v>
      </c>
      <c r="Y2223" s="78" t="s">
        <v>2971</v>
      </c>
      <c r="Z2223" s="77" t="str">
        <f>HYPERLINK("https://twitter.com/atlayton/status/1620913597508628480")</f>
        <v>https://twitter.com/atlayton/status/1620913597508628480</v>
      </c>
      <c r="AC2223" s="78" t="s">
        <v>4036</v>
      </c>
      <c r="AE2223" t="b">
        <v>0</v>
      </c>
      <c r="AF2223">
        <v>0</v>
      </c>
      <c r="AG2223" s="78" t="s">
        <v>4640</v>
      </c>
      <c r="AH2223" t="b">
        <v>0</v>
      </c>
      <c r="AI2223" t="s">
        <v>4829</v>
      </c>
      <c r="AK2223" s="78" t="s">
        <v>4640</v>
      </c>
      <c r="AL2223" t="b">
        <v>0</v>
      </c>
      <c r="AM2223">
        <v>1</v>
      </c>
      <c r="AN2223" s="78" t="s">
        <v>4035</v>
      </c>
      <c r="AO2223" s="78" t="s">
        <v>4849</v>
      </c>
      <c r="AP2223" t="b">
        <v>0</v>
      </c>
      <c r="AQ2223" s="78" t="s">
        <v>4035</v>
      </c>
      <c r="AR2223" t="s">
        <v>179</v>
      </c>
      <c r="AS2223">
        <v>0</v>
      </c>
      <c r="AT2223">
        <v>0</v>
      </c>
    </row>
    <row r="2224" spans="1:46" x14ac:dyDescent="0.45">
      <c r="A2224" s="62" t="s">
        <v>752</v>
      </c>
      <c r="B2224" s="62" t="s">
        <v>1181</v>
      </c>
      <c r="C2224" s="63"/>
      <c r="D2224" s="64"/>
      <c r="E2224" s="65"/>
      <c r="F2224" s="66"/>
      <c r="G2224" s="63"/>
      <c r="H2224" s="67"/>
      <c r="I2224" s="68"/>
      <c r="J2224" s="68"/>
      <c r="K2224" s="32"/>
      <c r="L2224" s="75"/>
      <c r="M2224" s="75"/>
      <c r="N2224" s="70"/>
      <c r="O2224" t="s">
        <v>1570</v>
      </c>
      <c r="P2224" s="76">
        <v>44958.940868055557</v>
      </c>
      <c r="Q2224" t="s">
        <v>1935</v>
      </c>
      <c r="U2224" s="77" t="str">
        <f>HYPERLINK("https://pbs.twimg.com/media/Fn6CAvGXEAsb4_O.jpg")</f>
        <v>https://pbs.twimg.com/media/Fn6CAvGXEAsb4_O.jpg</v>
      </c>
      <c r="V2224" s="77" t="str">
        <f>HYPERLINK("https://pbs.twimg.com/media/Fn6CAvGXEAsb4_O.jpg")</f>
        <v>https://pbs.twimg.com/media/Fn6CAvGXEAsb4_O.jpg</v>
      </c>
      <c r="W2224" s="76">
        <v>44958.940868055557</v>
      </c>
      <c r="X2224" s="80">
        <v>44958</v>
      </c>
      <c r="Y2224" s="78" t="s">
        <v>2971</v>
      </c>
      <c r="Z2224" s="77" t="str">
        <f>HYPERLINK("https://twitter.com/atlayton/status/1620913597508628480")</f>
        <v>https://twitter.com/atlayton/status/1620913597508628480</v>
      </c>
      <c r="AC2224" s="78" t="s">
        <v>4036</v>
      </c>
      <c r="AE2224" t="b">
        <v>0</v>
      </c>
      <c r="AF2224">
        <v>0</v>
      </c>
      <c r="AG2224" s="78" t="s">
        <v>4640</v>
      </c>
      <c r="AH2224" t="b">
        <v>0</v>
      </c>
      <c r="AI2224" t="s">
        <v>4829</v>
      </c>
      <c r="AK2224" s="78" t="s">
        <v>4640</v>
      </c>
      <c r="AL2224" t="b">
        <v>0</v>
      </c>
      <c r="AM2224">
        <v>1</v>
      </c>
      <c r="AN2224" s="78" t="s">
        <v>4035</v>
      </c>
      <c r="AO2224" s="78" t="s">
        <v>4849</v>
      </c>
      <c r="AP2224" t="b">
        <v>0</v>
      </c>
      <c r="AQ2224" s="78" t="s">
        <v>4035</v>
      </c>
      <c r="AR2224" t="s">
        <v>179</v>
      </c>
      <c r="AS2224">
        <v>0</v>
      </c>
      <c r="AT2224">
        <v>0</v>
      </c>
    </row>
    <row r="2225" spans="1:46" x14ac:dyDescent="0.45">
      <c r="A2225" s="62" t="s">
        <v>752</v>
      </c>
      <c r="B2225" s="62" t="s">
        <v>242</v>
      </c>
      <c r="C2225" s="63"/>
      <c r="D2225" s="64"/>
      <c r="E2225" s="65"/>
      <c r="F2225" s="66"/>
      <c r="G2225" s="63"/>
      <c r="H2225" s="67"/>
      <c r="I2225" s="68"/>
      <c r="J2225" s="68"/>
      <c r="K2225" s="32"/>
      <c r="L2225" s="75"/>
      <c r="M2225" s="75"/>
      <c r="N2225" s="70"/>
      <c r="O2225" t="s">
        <v>1570</v>
      </c>
      <c r="P2225" s="76">
        <v>44958.940868055557</v>
      </c>
      <c r="Q2225" t="s">
        <v>1935</v>
      </c>
      <c r="U2225" s="77" t="str">
        <f>HYPERLINK("https://pbs.twimg.com/media/Fn6CAvGXEAsb4_O.jpg")</f>
        <v>https://pbs.twimg.com/media/Fn6CAvGXEAsb4_O.jpg</v>
      </c>
      <c r="V2225" s="77" t="str">
        <f>HYPERLINK("https://pbs.twimg.com/media/Fn6CAvGXEAsb4_O.jpg")</f>
        <v>https://pbs.twimg.com/media/Fn6CAvGXEAsb4_O.jpg</v>
      </c>
      <c r="W2225" s="76">
        <v>44958.940868055557</v>
      </c>
      <c r="X2225" s="80">
        <v>44958</v>
      </c>
      <c r="Y2225" s="78" t="s">
        <v>2971</v>
      </c>
      <c r="Z2225" s="77" t="str">
        <f>HYPERLINK("https://twitter.com/atlayton/status/1620913597508628480")</f>
        <v>https://twitter.com/atlayton/status/1620913597508628480</v>
      </c>
      <c r="AC2225" s="78" t="s">
        <v>4036</v>
      </c>
      <c r="AE2225" t="b">
        <v>0</v>
      </c>
      <c r="AF2225">
        <v>0</v>
      </c>
      <c r="AG2225" s="78" t="s">
        <v>4640</v>
      </c>
      <c r="AH2225" t="b">
        <v>0</v>
      </c>
      <c r="AI2225" t="s">
        <v>4829</v>
      </c>
      <c r="AK2225" s="78" t="s">
        <v>4640</v>
      </c>
      <c r="AL2225" t="b">
        <v>0</v>
      </c>
      <c r="AM2225">
        <v>1</v>
      </c>
      <c r="AN2225" s="78" t="s">
        <v>4035</v>
      </c>
      <c r="AO2225" s="78" t="s">
        <v>4849</v>
      </c>
      <c r="AP2225" t="b">
        <v>0</v>
      </c>
      <c r="AQ2225" s="78" t="s">
        <v>4035</v>
      </c>
      <c r="AR2225" t="s">
        <v>179</v>
      </c>
      <c r="AS2225">
        <v>0</v>
      </c>
      <c r="AT2225">
        <v>0</v>
      </c>
    </row>
    <row r="2226" spans="1:46" x14ac:dyDescent="0.45">
      <c r="A2226" s="62" t="s">
        <v>752</v>
      </c>
      <c r="B2226" s="62" t="s">
        <v>1180</v>
      </c>
      <c r="C2226" s="63"/>
      <c r="D2226" s="64"/>
      <c r="E2226" s="65"/>
      <c r="F2226" s="66"/>
      <c r="G2226" s="63"/>
      <c r="H2226" s="67"/>
      <c r="I2226" s="68"/>
      <c r="J2226" s="68"/>
      <c r="K2226" s="32"/>
      <c r="L2226" s="75"/>
      <c r="M2226" s="75"/>
      <c r="N2226" s="70"/>
      <c r="O2226" t="s">
        <v>1570</v>
      </c>
      <c r="P2226" s="76">
        <v>44958.940868055557</v>
      </c>
      <c r="Q2226" t="s">
        <v>1935</v>
      </c>
      <c r="U2226" s="77" t="str">
        <f>HYPERLINK("https://pbs.twimg.com/media/Fn6CAvGXEAsb4_O.jpg")</f>
        <v>https://pbs.twimg.com/media/Fn6CAvGXEAsb4_O.jpg</v>
      </c>
      <c r="V2226" s="77" t="str">
        <f>HYPERLINK("https://pbs.twimg.com/media/Fn6CAvGXEAsb4_O.jpg")</f>
        <v>https://pbs.twimg.com/media/Fn6CAvGXEAsb4_O.jpg</v>
      </c>
      <c r="W2226" s="76">
        <v>44958.940868055557</v>
      </c>
      <c r="X2226" s="80">
        <v>44958</v>
      </c>
      <c r="Y2226" s="78" t="s">
        <v>2971</v>
      </c>
      <c r="Z2226" s="77" t="str">
        <f>HYPERLINK("https://twitter.com/atlayton/status/1620913597508628480")</f>
        <v>https://twitter.com/atlayton/status/1620913597508628480</v>
      </c>
      <c r="AC2226" s="78" t="s">
        <v>4036</v>
      </c>
      <c r="AE2226" t="b">
        <v>0</v>
      </c>
      <c r="AF2226">
        <v>0</v>
      </c>
      <c r="AG2226" s="78" t="s">
        <v>4640</v>
      </c>
      <c r="AH2226" t="b">
        <v>0</v>
      </c>
      <c r="AI2226" t="s">
        <v>4829</v>
      </c>
      <c r="AK2226" s="78" t="s">
        <v>4640</v>
      </c>
      <c r="AL2226" t="b">
        <v>0</v>
      </c>
      <c r="AM2226">
        <v>1</v>
      </c>
      <c r="AN2226" s="78" t="s">
        <v>4035</v>
      </c>
      <c r="AO2226" s="78" t="s">
        <v>4849</v>
      </c>
      <c r="AP2226" t="b">
        <v>0</v>
      </c>
      <c r="AQ2226" s="78" t="s">
        <v>4035</v>
      </c>
      <c r="AR2226" t="s">
        <v>179</v>
      </c>
      <c r="AS2226">
        <v>0</v>
      </c>
      <c r="AT2226">
        <v>0</v>
      </c>
    </row>
    <row r="2227" spans="1:46" x14ac:dyDescent="0.45">
      <c r="A2227" s="62" t="s">
        <v>753</v>
      </c>
      <c r="B2227" s="62" t="s">
        <v>242</v>
      </c>
      <c r="C2227" s="63"/>
      <c r="D2227" s="64"/>
      <c r="E2227" s="65"/>
      <c r="F2227" s="66"/>
      <c r="G2227" s="63"/>
      <c r="H2227" s="67"/>
      <c r="I2227" s="68"/>
      <c r="J2227" s="68"/>
      <c r="K2227" s="32"/>
      <c r="L2227" s="75"/>
      <c r="M2227" s="75"/>
      <c r="N2227" s="70"/>
      <c r="O2227" t="s">
        <v>1568</v>
      </c>
      <c r="P2227" s="76">
        <v>44958.941157407404</v>
      </c>
      <c r="Q2227" t="s">
        <v>1936</v>
      </c>
      <c r="V2227" s="77" t="str">
        <f>HYPERLINK("https://pbs.twimg.com/profile_images/1617678119464505346/BUQ55hDu_normal.jpg")</f>
        <v>https://pbs.twimg.com/profile_images/1617678119464505346/BUQ55hDu_normal.jpg</v>
      </c>
      <c r="W2227" s="76">
        <v>44958.941157407404</v>
      </c>
      <c r="X2227" s="80">
        <v>44958</v>
      </c>
      <c r="Y2227" s="78" t="s">
        <v>2972</v>
      </c>
      <c r="Z2227" s="77" t="str">
        <f>HYPERLINK("https://twitter.com/saccharineqq/status/1620913703339307009")</f>
        <v>https://twitter.com/saccharineqq/status/1620913703339307009</v>
      </c>
      <c r="AC2227" s="78" t="s">
        <v>4037</v>
      </c>
      <c r="AD2227" s="78" t="s">
        <v>4420</v>
      </c>
      <c r="AE2227" t="b">
        <v>0</v>
      </c>
      <c r="AF2227">
        <v>0</v>
      </c>
      <c r="AG2227" s="78" t="s">
        <v>4737</v>
      </c>
      <c r="AH2227" t="b">
        <v>0</v>
      </c>
      <c r="AI2227" t="s">
        <v>4829</v>
      </c>
      <c r="AK2227" s="78" t="s">
        <v>4640</v>
      </c>
      <c r="AL2227" t="b">
        <v>0</v>
      </c>
      <c r="AM2227">
        <v>0</v>
      </c>
      <c r="AN2227" s="78" t="s">
        <v>4640</v>
      </c>
      <c r="AO2227" s="78" t="s">
        <v>4851</v>
      </c>
      <c r="AP2227" t="b">
        <v>0</v>
      </c>
      <c r="AQ2227" s="78" t="s">
        <v>4420</v>
      </c>
      <c r="AR2227" t="s">
        <v>179</v>
      </c>
      <c r="AS2227">
        <v>0</v>
      </c>
      <c r="AT2227">
        <v>0</v>
      </c>
    </row>
    <row r="2228" spans="1:46" x14ac:dyDescent="0.45">
      <c r="A2228" s="62" t="s">
        <v>753</v>
      </c>
      <c r="B2228" s="62" t="s">
        <v>1046</v>
      </c>
      <c r="C2228" s="63"/>
      <c r="D2228" s="64"/>
      <c r="E2228" s="65"/>
      <c r="F2228" s="66"/>
      <c r="G2228" s="63"/>
      <c r="H2228" s="67"/>
      <c r="I2228" s="68"/>
      <c r="J2228" s="68"/>
      <c r="K2228" s="32"/>
      <c r="L2228" s="75"/>
      <c r="M2228" s="75"/>
      <c r="N2228" s="70"/>
      <c r="O2228" t="s">
        <v>1567</v>
      </c>
      <c r="P2228" s="76">
        <v>44958.941157407404</v>
      </c>
      <c r="Q2228" t="s">
        <v>1936</v>
      </c>
      <c r="V2228" s="77" t="str">
        <f>HYPERLINK("https://pbs.twimg.com/profile_images/1617678119464505346/BUQ55hDu_normal.jpg")</f>
        <v>https://pbs.twimg.com/profile_images/1617678119464505346/BUQ55hDu_normal.jpg</v>
      </c>
      <c r="W2228" s="76">
        <v>44958.941157407404</v>
      </c>
      <c r="X2228" s="80">
        <v>44958</v>
      </c>
      <c r="Y2228" s="78" t="s">
        <v>2972</v>
      </c>
      <c r="Z2228" s="77" t="str">
        <f>HYPERLINK("https://twitter.com/saccharineqq/status/1620913703339307009")</f>
        <v>https://twitter.com/saccharineqq/status/1620913703339307009</v>
      </c>
      <c r="AC2228" s="78" t="s">
        <v>4037</v>
      </c>
      <c r="AD2228" s="78" t="s">
        <v>4420</v>
      </c>
      <c r="AE2228" t="b">
        <v>0</v>
      </c>
      <c r="AF2228">
        <v>0</v>
      </c>
      <c r="AG2228" s="78" t="s">
        <v>4737</v>
      </c>
      <c r="AH2228" t="b">
        <v>0</v>
      </c>
      <c r="AI2228" t="s">
        <v>4829</v>
      </c>
      <c r="AK2228" s="78" t="s">
        <v>4640</v>
      </c>
      <c r="AL2228" t="b">
        <v>0</v>
      </c>
      <c r="AM2228">
        <v>0</v>
      </c>
      <c r="AN2228" s="78" t="s">
        <v>4640</v>
      </c>
      <c r="AO2228" s="78" t="s">
        <v>4851</v>
      </c>
      <c r="AP2228" t="b">
        <v>0</v>
      </c>
      <c r="AQ2228" s="78" t="s">
        <v>4420</v>
      </c>
      <c r="AR2228" t="s">
        <v>179</v>
      </c>
      <c r="AS2228">
        <v>0</v>
      </c>
      <c r="AT2228">
        <v>0</v>
      </c>
    </row>
    <row r="2229" spans="1:46" x14ac:dyDescent="0.45">
      <c r="A2229" s="62" t="s">
        <v>754</v>
      </c>
      <c r="B2229" s="62" t="s">
        <v>242</v>
      </c>
      <c r="C2229" s="63"/>
      <c r="D2229" s="64"/>
      <c r="E2229" s="65"/>
      <c r="F2229" s="66"/>
      <c r="G2229" s="63"/>
      <c r="H2229" s="67"/>
      <c r="I2229" s="68"/>
      <c r="J2229" s="68"/>
      <c r="K2229" s="32"/>
      <c r="L2229" s="75"/>
      <c r="M2229" s="75"/>
      <c r="N2229" s="70"/>
      <c r="O2229" t="s">
        <v>1570</v>
      </c>
      <c r="P2229" s="76">
        <v>44958.941944444443</v>
      </c>
      <c r="Q2229" t="s">
        <v>1928</v>
      </c>
      <c r="U2229" s="77" t="str">
        <f>HYPERLINK("https://pbs.twimg.com/media/Fn6jrXTWAAEsrco.jpg")</f>
        <v>https://pbs.twimg.com/media/Fn6jrXTWAAEsrco.jpg</v>
      </c>
      <c r="V2229" s="77" t="str">
        <f>HYPERLINK("https://pbs.twimg.com/media/Fn6jrXTWAAEsrco.jpg")</f>
        <v>https://pbs.twimg.com/media/Fn6jrXTWAAEsrco.jpg</v>
      </c>
      <c r="W2229" s="76">
        <v>44958.941944444443</v>
      </c>
      <c r="X2229" s="80">
        <v>44958</v>
      </c>
      <c r="Y2229" s="78" t="s">
        <v>2973</v>
      </c>
      <c r="Z2229" s="77" t="str">
        <f>HYPERLINK("https://twitter.com/dpghittmann/status/1620913988178702336")</f>
        <v>https://twitter.com/dpghittmann/status/1620913988178702336</v>
      </c>
      <c r="AC2229" s="78" t="s">
        <v>4038</v>
      </c>
      <c r="AE2229" t="b">
        <v>0</v>
      </c>
      <c r="AF2229">
        <v>0</v>
      </c>
      <c r="AG2229" s="78" t="s">
        <v>4640</v>
      </c>
      <c r="AH2229" t="b">
        <v>0</v>
      </c>
      <c r="AI2229" t="s">
        <v>4829</v>
      </c>
      <c r="AK2229" s="78" t="s">
        <v>4640</v>
      </c>
      <c r="AL2229" t="b">
        <v>0</v>
      </c>
      <c r="AM2229">
        <v>8</v>
      </c>
      <c r="AN2229" s="78" t="s">
        <v>4420</v>
      </c>
      <c r="AO2229" s="78" t="s">
        <v>4849</v>
      </c>
      <c r="AP2229" t="b">
        <v>0</v>
      </c>
      <c r="AQ2229" s="78" t="s">
        <v>4420</v>
      </c>
      <c r="AR2229" t="s">
        <v>179</v>
      </c>
      <c r="AS2229">
        <v>0</v>
      </c>
      <c r="AT2229">
        <v>0</v>
      </c>
    </row>
    <row r="2230" spans="1:46" x14ac:dyDescent="0.45">
      <c r="A2230" s="62" t="s">
        <v>754</v>
      </c>
      <c r="B2230" s="62" t="s">
        <v>1046</v>
      </c>
      <c r="C2230" s="63"/>
      <c r="D2230" s="64"/>
      <c r="E2230" s="65"/>
      <c r="F2230" s="66"/>
      <c r="G2230" s="63"/>
      <c r="H2230" s="67"/>
      <c r="I2230" s="68"/>
      <c r="J2230" s="68"/>
      <c r="K2230" s="32"/>
      <c r="L2230" s="75"/>
      <c r="M2230" s="75"/>
      <c r="N2230" s="70"/>
      <c r="O2230" t="s">
        <v>1569</v>
      </c>
      <c r="P2230" s="76">
        <v>44958.941944444443</v>
      </c>
      <c r="Q2230" t="s">
        <v>1928</v>
      </c>
      <c r="U2230" s="77" t="str">
        <f>HYPERLINK("https://pbs.twimg.com/media/Fn6jrXTWAAEsrco.jpg")</f>
        <v>https://pbs.twimg.com/media/Fn6jrXTWAAEsrco.jpg</v>
      </c>
      <c r="V2230" s="77" t="str">
        <f>HYPERLINK("https://pbs.twimg.com/media/Fn6jrXTWAAEsrco.jpg")</f>
        <v>https://pbs.twimg.com/media/Fn6jrXTWAAEsrco.jpg</v>
      </c>
      <c r="W2230" s="76">
        <v>44958.941944444443</v>
      </c>
      <c r="X2230" s="80">
        <v>44958</v>
      </c>
      <c r="Y2230" s="78" t="s">
        <v>2973</v>
      </c>
      <c r="Z2230" s="77" t="str">
        <f>HYPERLINK("https://twitter.com/dpghittmann/status/1620913988178702336")</f>
        <v>https://twitter.com/dpghittmann/status/1620913988178702336</v>
      </c>
      <c r="AC2230" s="78" t="s">
        <v>4038</v>
      </c>
      <c r="AE2230" t="b">
        <v>0</v>
      </c>
      <c r="AF2230">
        <v>0</v>
      </c>
      <c r="AG2230" s="78" t="s">
        <v>4640</v>
      </c>
      <c r="AH2230" t="b">
        <v>0</v>
      </c>
      <c r="AI2230" t="s">
        <v>4829</v>
      </c>
      <c r="AK2230" s="78" t="s">
        <v>4640</v>
      </c>
      <c r="AL2230" t="b">
        <v>0</v>
      </c>
      <c r="AM2230">
        <v>8</v>
      </c>
      <c r="AN2230" s="78" t="s">
        <v>4420</v>
      </c>
      <c r="AO2230" s="78" t="s">
        <v>4849</v>
      </c>
      <c r="AP2230" t="b">
        <v>0</v>
      </c>
      <c r="AQ2230" s="78" t="s">
        <v>4420</v>
      </c>
      <c r="AR2230" t="s">
        <v>179</v>
      </c>
      <c r="AS2230">
        <v>0</v>
      </c>
      <c r="AT2230">
        <v>0</v>
      </c>
    </row>
    <row r="2231" spans="1:46" x14ac:dyDescent="0.45">
      <c r="A2231" s="62" t="s">
        <v>755</v>
      </c>
      <c r="B2231" s="62" t="s">
        <v>242</v>
      </c>
      <c r="C2231" s="63"/>
      <c r="D2231" s="64"/>
      <c r="E2231" s="65"/>
      <c r="F2231" s="66"/>
      <c r="G2231" s="63"/>
      <c r="H2231" s="67"/>
      <c r="I2231" s="68"/>
      <c r="J2231" s="68"/>
      <c r="K2231" s="32"/>
      <c r="L2231" s="75"/>
      <c r="M2231" s="75"/>
      <c r="N2231" s="70"/>
      <c r="O2231" t="s">
        <v>1570</v>
      </c>
      <c r="P2231" s="76">
        <v>44958.942916666667</v>
      </c>
      <c r="Q2231" t="s">
        <v>1928</v>
      </c>
      <c r="U2231" s="77" t="str">
        <f>HYPERLINK("https://pbs.twimg.com/media/Fn6jrXTWAAEsrco.jpg")</f>
        <v>https://pbs.twimg.com/media/Fn6jrXTWAAEsrco.jpg</v>
      </c>
      <c r="V2231" s="77" t="str">
        <f>HYPERLINK("https://pbs.twimg.com/media/Fn6jrXTWAAEsrco.jpg")</f>
        <v>https://pbs.twimg.com/media/Fn6jrXTWAAEsrco.jpg</v>
      </c>
      <c r="W2231" s="76">
        <v>44958.942916666667</v>
      </c>
      <c r="X2231" s="80">
        <v>44958</v>
      </c>
      <c r="Y2231" s="78" t="s">
        <v>2974</v>
      </c>
      <c r="Z2231" s="77" t="str">
        <f>HYPERLINK("https://twitter.com/the_movie_guy_/status/1620914338348564481")</f>
        <v>https://twitter.com/the_movie_guy_/status/1620914338348564481</v>
      </c>
      <c r="AC2231" s="78" t="s">
        <v>4039</v>
      </c>
      <c r="AE2231" t="b">
        <v>0</v>
      </c>
      <c r="AF2231">
        <v>0</v>
      </c>
      <c r="AG2231" s="78" t="s">
        <v>4640</v>
      </c>
      <c r="AH2231" t="b">
        <v>0</v>
      </c>
      <c r="AI2231" t="s">
        <v>4829</v>
      </c>
      <c r="AK2231" s="78" t="s">
        <v>4640</v>
      </c>
      <c r="AL2231" t="b">
        <v>0</v>
      </c>
      <c r="AM2231">
        <v>8</v>
      </c>
      <c r="AN2231" s="78" t="s">
        <v>4420</v>
      </c>
      <c r="AO2231" s="78" t="s">
        <v>4849</v>
      </c>
      <c r="AP2231" t="b">
        <v>0</v>
      </c>
      <c r="AQ2231" s="78" t="s">
        <v>4420</v>
      </c>
      <c r="AR2231" t="s">
        <v>179</v>
      </c>
      <c r="AS2231">
        <v>0</v>
      </c>
      <c r="AT2231">
        <v>0</v>
      </c>
    </row>
    <row r="2232" spans="1:46" x14ac:dyDescent="0.45">
      <c r="A2232" s="62" t="s">
        <v>755</v>
      </c>
      <c r="B2232" s="62" t="s">
        <v>1046</v>
      </c>
      <c r="C2232" s="63"/>
      <c r="D2232" s="64"/>
      <c r="E2232" s="65"/>
      <c r="F2232" s="66"/>
      <c r="G2232" s="63"/>
      <c r="H2232" s="67"/>
      <c r="I2232" s="68"/>
      <c r="J2232" s="68"/>
      <c r="K2232" s="32"/>
      <c r="L2232" s="75"/>
      <c r="M2232" s="75"/>
      <c r="N2232" s="70"/>
      <c r="O2232" t="s">
        <v>1569</v>
      </c>
      <c r="P2232" s="76">
        <v>44958.942916666667</v>
      </c>
      <c r="Q2232" t="s">
        <v>1928</v>
      </c>
      <c r="U2232" s="77" t="str">
        <f>HYPERLINK("https://pbs.twimg.com/media/Fn6jrXTWAAEsrco.jpg")</f>
        <v>https://pbs.twimg.com/media/Fn6jrXTWAAEsrco.jpg</v>
      </c>
      <c r="V2232" s="77" t="str">
        <f>HYPERLINK("https://pbs.twimg.com/media/Fn6jrXTWAAEsrco.jpg")</f>
        <v>https://pbs.twimg.com/media/Fn6jrXTWAAEsrco.jpg</v>
      </c>
      <c r="W2232" s="76">
        <v>44958.942916666667</v>
      </c>
      <c r="X2232" s="80">
        <v>44958</v>
      </c>
      <c r="Y2232" s="78" t="s">
        <v>2974</v>
      </c>
      <c r="Z2232" s="77" t="str">
        <f>HYPERLINK("https://twitter.com/the_movie_guy_/status/1620914338348564481")</f>
        <v>https://twitter.com/the_movie_guy_/status/1620914338348564481</v>
      </c>
      <c r="AC2232" s="78" t="s">
        <v>4039</v>
      </c>
      <c r="AE2232" t="b">
        <v>0</v>
      </c>
      <c r="AF2232">
        <v>0</v>
      </c>
      <c r="AG2232" s="78" t="s">
        <v>4640</v>
      </c>
      <c r="AH2232" t="b">
        <v>0</v>
      </c>
      <c r="AI2232" t="s">
        <v>4829</v>
      </c>
      <c r="AK2232" s="78" t="s">
        <v>4640</v>
      </c>
      <c r="AL2232" t="b">
        <v>0</v>
      </c>
      <c r="AM2232">
        <v>8</v>
      </c>
      <c r="AN2232" s="78" t="s">
        <v>4420</v>
      </c>
      <c r="AO2232" s="78" t="s">
        <v>4849</v>
      </c>
      <c r="AP2232" t="b">
        <v>0</v>
      </c>
      <c r="AQ2232" s="78" t="s">
        <v>4420</v>
      </c>
      <c r="AR2232" t="s">
        <v>179</v>
      </c>
      <c r="AS2232">
        <v>0</v>
      </c>
      <c r="AT2232">
        <v>0</v>
      </c>
    </row>
    <row r="2233" spans="1:46" x14ac:dyDescent="0.45">
      <c r="A2233" s="62" t="s">
        <v>756</v>
      </c>
      <c r="B2233" s="62" t="s">
        <v>1230</v>
      </c>
      <c r="C2233" s="63"/>
      <c r="D2233" s="64"/>
      <c r="E2233" s="65"/>
      <c r="F2233" s="66"/>
      <c r="G2233" s="63"/>
      <c r="H2233" s="67"/>
      <c r="I2233" s="68"/>
      <c r="J2233" s="68"/>
      <c r="K2233" s="32"/>
      <c r="L2233" s="75"/>
      <c r="M2233" s="75"/>
      <c r="N2233" s="70"/>
      <c r="O2233" t="s">
        <v>1570</v>
      </c>
      <c r="P2233" s="76">
        <v>44958.944236111114</v>
      </c>
      <c r="Q2233" t="s">
        <v>1693</v>
      </c>
      <c r="V2233" s="77" t="str">
        <f>HYPERLINK("https://pbs.twimg.com/profile_images/1615125488434913280/TKfhMVTv_normal.jpg")</f>
        <v>https://pbs.twimg.com/profile_images/1615125488434913280/TKfhMVTv_normal.jpg</v>
      </c>
      <c r="W2233" s="76">
        <v>44958.944236111114</v>
      </c>
      <c r="X2233" s="80">
        <v>44958</v>
      </c>
      <c r="Y2233" s="78" t="s">
        <v>2975</v>
      </c>
      <c r="Z2233" s="77" t="str">
        <f>HYPERLINK("https://twitter.com/andykillingback/status/1620914816419495937")</f>
        <v>https://twitter.com/andykillingback/status/1620914816419495937</v>
      </c>
      <c r="AC2233" s="78" t="s">
        <v>4040</v>
      </c>
      <c r="AE2233" t="b">
        <v>0</v>
      </c>
      <c r="AF2233">
        <v>0</v>
      </c>
      <c r="AG2233" s="78" t="s">
        <v>4640</v>
      </c>
      <c r="AH2233" t="b">
        <v>0</v>
      </c>
      <c r="AI2233" t="s">
        <v>4829</v>
      </c>
      <c r="AK2233" s="78" t="s">
        <v>4640</v>
      </c>
      <c r="AL2233" t="b">
        <v>0</v>
      </c>
      <c r="AM2233">
        <v>162</v>
      </c>
      <c r="AN2233" s="78" t="s">
        <v>4473</v>
      </c>
      <c r="AO2233" s="78" t="s">
        <v>4850</v>
      </c>
      <c r="AP2233" t="b">
        <v>0</v>
      </c>
      <c r="AQ2233" s="78" t="s">
        <v>4473</v>
      </c>
      <c r="AR2233" t="s">
        <v>179</v>
      </c>
      <c r="AS2233">
        <v>0</v>
      </c>
      <c r="AT2233">
        <v>0</v>
      </c>
    </row>
    <row r="2234" spans="1:46" x14ac:dyDescent="0.45">
      <c r="A2234" s="62" t="s">
        <v>756</v>
      </c>
      <c r="B2234" s="62" t="s">
        <v>242</v>
      </c>
      <c r="C2234" s="63"/>
      <c r="D2234" s="64"/>
      <c r="E2234" s="65"/>
      <c r="F2234" s="66"/>
      <c r="G2234" s="63"/>
      <c r="H2234" s="67"/>
      <c r="I2234" s="68"/>
      <c r="J2234" s="68"/>
      <c r="K2234" s="32"/>
      <c r="L2234" s="75"/>
      <c r="M2234" s="75"/>
      <c r="N2234" s="70"/>
      <c r="O2234" t="s">
        <v>1569</v>
      </c>
      <c r="P2234" s="76">
        <v>44958.944236111114</v>
      </c>
      <c r="Q2234" t="s">
        <v>1693</v>
      </c>
      <c r="V2234" s="77" t="str">
        <f>HYPERLINK("https://pbs.twimg.com/profile_images/1615125488434913280/TKfhMVTv_normal.jpg")</f>
        <v>https://pbs.twimg.com/profile_images/1615125488434913280/TKfhMVTv_normal.jpg</v>
      </c>
      <c r="W2234" s="76">
        <v>44958.944236111114</v>
      </c>
      <c r="X2234" s="80">
        <v>44958</v>
      </c>
      <c r="Y2234" s="78" t="s">
        <v>2975</v>
      </c>
      <c r="Z2234" s="77" t="str">
        <f>HYPERLINK("https://twitter.com/andykillingback/status/1620914816419495937")</f>
        <v>https://twitter.com/andykillingback/status/1620914816419495937</v>
      </c>
      <c r="AC2234" s="78" t="s">
        <v>4040</v>
      </c>
      <c r="AE2234" t="b">
        <v>0</v>
      </c>
      <c r="AF2234">
        <v>0</v>
      </c>
      <c r="AG2234" s="78" t="s">
        <v>4640</v>
      </c>
      <c r="AH2234" t="b">
        <v>0</v>
      </c>
      <c r="AI2234" t="s">
        <v>4829</v>
      </c>
      <c r="AK2234" s="78" t="s">
        <v>4640</v>
      </c>
      <c r="AL2234" t="b">
        <v>0</v>
      </c>
      <c r="AM2234">
        <v>162</v>
      </c>
      <c r="AN2234" s="78" t="s">
        <v>4473</v>
      </c>
      <c r="AO2234" s="78" t="s">
        <v>4850</v>
      </c>
      <c r="AP2234" t="b">
        <v>0</v>
      </c>
      <c r="AQ2234" s="78" t="s">
        <v>4473</v>
      </c>
      <c r="AR2234" t="s">
        <v>179</v>
      </c>
      <c r="AS2234">
        <v>0</v>
      </c>
      <c r="AT2234">
        <v>0</v>
      </c>
    </row>
    <row r="2235" spans="1:46" x14ac:dyDescent="0.45">
      <c r="A2235" s="62" t="s">
        <v>757</v>
      </c>
      <c r="B2235" s="62" t="s">
        <v>242</v>
      </c>
      <c r="C2235" s="63"/>
      <c r="D2235" s="64"/>
      <c r="E2235" s="65"/>
      <c r="F2235" s="66"/>
      <c r="G2235" s="63"/>
      <c r="H2235" s="67"/>
      <c r="I2235" s="68"/>
      <c r="J2235" s="68"/>
      <c r="K2235" s="32"/>
      <c r="L2235" s="75"/>
      <c r="M2235" s="75"/>
      <c r="N2235" s="70"/>
      <c r="O2235" t="s">
        <v>1568</v>
      </c>
      <c r="P2235" s="76">
        <v>44958.945567129631</v>
      </c>
      <c r="Q2235" t="s">
        <v>1937</v>
      </c>
      <c r="V2235" s="77" t="str">
        <f>HYPERLINK("https://pbs.twimg.com/profile_images/1614642465079984129/oATnBfH0_normal.jpg")</f>
        <v>https://pbs.twimg.com/profile_images/1614642465079984129/oATnBfH0_normal.jpg</v>
      </c>
      <c r="W2235" s="76">
        <v>44958.945567129631</v>
      </c>
      <c r="X2235" s="80">
        <v>44958</v>
      </c>
      <c r="Y2235" s="78" t="s">
        <v>2976</v>
      </c>
      <c r="Z2235" s="77" t="str">
        <f>HYPERLINK("https://twitter.com/codjunkiedotcom/status/1620915300765163520")</f>
        <v>https://twitter.com/codjunkiedotcom/status/1620915300765163520</v>
      </c>
      <c r="AC2235" s="78" t="s">
        <v>4041</v>
      </c>
      <c r="AD2235" s="78" t="s">
        <v>4420</v>
      </c>
      <c r="AE2235" t="b">
        <v>0</v>
      </c>
      <c r="AF2235">
        <v>0</v>
      </c>
      <c r="AG2235" s="78" t="s">
        <v>4737</v>
      </c>
      <c r="AH2235" t="b">
        <v>0</v>
      </c>
      <c r="AI2235" t="s">
        <v>4829</v>
      </c>
      <c r="AK2235" s="78" t="s">
        <v>4640</v>
      </c>
      <c r="AL2235" t="b">
        <v>0</v>
      </c>
      <c r="AM2235">
        <v>0</v>
      </c>
      <c r="AN2235" s="78" t="s">
        <v>4640</v>
      </c>
      <c r="AO2235" s="78" t="s">
        <v>4849</v>
      </c>
      <c r="AP2235" t="b">
        <v>0</v>
      </c>
      <c r="AQ2235" s="78" t="s">
        <v>4420</v>
      </c>
      <c r="AR2235" t="s">
        <v>179</v>
      </c>
      <c r="AS2235">
        <v>0</v>
      </c>
      <c r="AT2235">
        <v>0</v>
      </c>
    </row>
    <row r="2236" spans="1:46" x14ac:dyDescent="0.45">
      <c r="A2236" s="62" t="s">
        <v>757</v>
      </c>
      <c r="B2236" s="62" t="s">
        <v>1046</v>
      </c>
      <c r="C2236" s="63"/>
      <c r="D2236" s="64"/>
      <c r="E2236" s="65"/>
      <c r="F2236" s="66"/>
      <c r="G2236" s="63"/>
      <c r="H2236" s="67"/>
      <c r="I2236" s="68"/>
      <c r="J2236" s="68"/>
      <c r="K2236" s="32"/>
      <c r="L2236" s="75"/>
      <c r="M2236" s="75"/>
      <c r="N2236" s="70"/>
      <c r="O2236" t="s">
        <v>1567</v>
      </c>
      <c r="P2236" s="76">
        <v>44958.945567129631</v>
      </c>
      <c r="Q2236" t="s">
        <v>1937</v>
      </c>
      <c r="V2236" s="77" t="str">
        <f>HYPERLINK("https://pbs.twimg.com/profile_images/1614642465079984129/oATnBfH0_normal.jpg")</f>
        <v>https://pbs.twimg.com/profile_images/1614642465079984129/oATnBfH0_normal.jpg</v>
      </c>
      <c r="W2236" s="76">
        <v>44958.945567129631</v>
      </c>
      <c r="X2236" s="80">
        <v>44958</v>
      </c>
      <c r="Y2236" s="78" t="s">
        <v>2976</v>
      </c>
      <c r="Z2236" s="77" t="str">
        <f>HYPERLINK("https://twitter.com/codjunkiedotcom/status/1620915300765163520")</f>
        <v>https://twitter.com/codjunkiedotcom/status/1620915300765163520</v>
      </c>
      <c r="AC2236" s="78" t="s">
        <v>4041</v>
      </c>
      <c r="AD2236" s="78" t="s">
        <v>4420</v>
      </c>
      <c r="AE2236" t="b">
        <v>0</v>
      </c>
      <c r="AF2236">
        <v>0</v>
      </c>
      <c r="AG2236" s="78" t="s">
        <v>4737</v>
      </c>
      <c r="AH2236" t="b">
        <v>0</v>
      </c>
      <c r="AI2236" t="s">
        <v>4829</v>
      </c>
      <c r="AK2236" s="78" t="s">
        <v>4640</v>
      </c>
      <c r="AL2236" t="b">
        <v>0</v>
      </c>
      <c r="AM2236">
        <v>0</v>
      </c>
      <c r="AN2236" s="78" t="s">
        <v>4640</v>
      </c>
      <c r="AO2236" s="78" t="s">
        <v>4849</v>
      </c>
      <c r="AP2236" t="b">
        <v>0</v>
      </c>
      <c r="AQ2236" s="78" t="s">
        <v>4420</v>
      </c>
      <c r="AR2236" t="s">
        <v>179</v>
      </c>
      <c r="AS2236">
        <v>0</v>
      </c>
      <c r="AT2236">
        <v>0</v>
      </c>
    </row>
    <row r="2237" spans="1:46" x14ac:dyDescent="0.45">
      <c r="A2237" s="62" t="s">
        <v>758</v>
      </c>
      <c r="B2237" s="62" t="s">
        <v>242</v>
      </c>
      <c r="C2237" s="63"/>
      <c r="D2237" s="64"/>
      <c r="E2237" s="65"/>
      <c r="F2237" s="66"/>
      <c r="G2237" s="63"/>
      <c r="H2237" s="67"/>
      <c r="I2237" s="68"/>
      <c r="J2237" s="68"/>
      <c r="K2237" s="32"/>
      <c r="L2237" s="75"/>
      <c r="M2237" s="75"/>
      <c r="N2237" s="70"/>
      <c r="O2237" t="s">
        <v>1569</v>
      </c>
      <c r="P2237" s="76">
        <v>44958.946423611109</v>
      </c>
      <c r="Q2237" t="s">
        <v>1938</v>
      </c>
      <c r="V2237" s="77" t="str">
        <f>HYPERLINK("https://pbs.twimg.com/profile_images/1618355420791279617/h59HvrxZ_normal.jpg")</f>
        <v>https://pbs.twimg.com/profile_images/1618355420791279617/h59HvrxZ_normal.jpg</v>
      </c>
      <c r="W2237" s="76">
        <v>44958.946423611109</v>
      </c>
      <c r="X2237" s="80">
        <v>44958</v>
      </c>
      <c r="Y2237" s="78" t="s">
        <v>2978</v>
      </c>
      <c r="Z2237" s="77" t="str">
        <f>HYPERLINK("https://twitter.com/buchananbunch_4/status/1620915609822466049")</f>
        <v>https://twitter.com/buchananbunch_4/status/1620915609822466049</v>
      </c>
      <c r="AC2237" s="78" t="s">
        <v>4043</v>
      </c>
      <c r="AE2237" t="b">
        <v>0</v>
      </c>
      <c r="AF2237">
        <v>0</v>
      </c>
      <c r="AG2237" s="78" t="s">
        <v>4640</v>
      </c>
      <c r="AH2237" t="b">
        <v>0</v>
      </c>
      <c r="AI2237" t="s">
        <v>4829</v>
      </c>
      <c r="AK2237" s="78" t="s">
        <v>4640</v>
      </c>
      <c r="AL2237" t="b">
        <v>0</v>
      </c>
      <c r="AM2237">
        <v>1</v>
      </c>
      <c r="AN2237" s="78" t="s">
        <v>4042</v>
      </c>
      <c r="AO2237" s="78" t="s">
        <v>4849</v>
      </c>
      <c r="AP2237" t="b">
        <v>0</v>
      </c>
      <c r="AQ2237" s="78" t="s">
        <v>4042</v>
      </c>
      <c r="AR2237" t="s">
        <v>179</v>
      </c>
      <c r="AS2237">
        <v>0</v>
      </c>
      <c r="AT2237">
        <v>0</v>
      </c>
    </row>
    <row r="2238" spans="1:46" x14ac:dyDescent="0.45">
      <c r="A2238" s="62" t="s">
        <v>759</v>
      </c>
      <c r="B2238" s="62" t="s">
        <v>1230</v>
      </c>
      <c r="C2238" s="63"/>
      <c r="D2238" s="64"/>
      <c r="E2238" s="65"/>
      <c r="F2238" s="66"/>
      <c r="G2238" s="63"/>
      <c r="H2238" s="67"/>
      <c r="I2238" s="68"/>
      <c r="J2238" s="68"/>
      <c r="K2238" s="32"/>
      <c r="L2238" s="75"/>
      <c r="M2238" s="75"/>
      <c r="N2238" s="70"/>
      <c r="O2238" t="s">
        <v>1570</v>
      </c>
      <c r="P2238" s="76">
        <v>44958.947974537034</v>
      </c>
      <c r="Q2238" t="s">
        <v>1693</v>
      </c>
      <c r="V2238" s="77" t="str">
        <f>HYPERLINK("https://pbs.twimg.com/profile_images/1568655827279695872/AjW53t0J_normal.jpg")</f>
        <v>https://pbs.twimg.com/profile_images/1568655827279695872/AjW53t0J_normal.jpg</v>
      </c>
      <c r="W2238" s="76">
        <v>44958.947974537034</v>
      </c>
      <c r="X2238" s="80">
        <v>44958</v>
      </c>
      <c r="Y2238" s="78" t="s">
        <v>2979</v>
      </c>
      <c r="Z2238" s="77" t="str">
        <f>HYPERLINK("https://twitter.com/lightofsileence/status/1620916174367387648")</f>
        <v>https://twitter.com/lightofsileence/status/1620916174367387648</v>
      </c>
      <c r="AC2238" s="78" t="s">
        <v>4044</v>
      </c>
      <c r="AE2238" t="b">
        <v>0</v>
      </c>
      <c r="AF2238">
        <v>0</v>
      </c>
      <c r="AG2238" s="78" t="s">
        <v>4640</v>
      </c>
      <c r="AH2238" t="b">
        <v>0</v>
      </c>
      <c r="AI2238" t="s">
        <v>4829</v>
      </c>
      <c r="AK2238" s="78" t="s">
        <v>4640</v>
      </c>
      <c r="AL2238" t="b">
        <v>0</v>
      </c>
      <c r="AM2238">
        <v>162</v>
      </c>
      <c r="AN2238" s="78" t="s">
        <v>4473</v>
      </c>
      <c r="AO2238" s="78" t="s">
        <v>4850</v>
      </c>
      <c r="AP2238" t="b">
        <v>0</v>
      </c>
      <c r="AQ2238" s="78" t="s">
        <v>4473</v>
      </c>
      <c r="AR2238" t="s">
        <v>179</v>
      </c>
      <c r="AS2238">
        <v>0</v>
      </c>
      <c r="AT2238">
        <v>0</v>
      </c>
    </row>
    <row r="2239" spans="1:46" x14ac:dyDescent="0.45">
      <c r="A2239" s="62" t="s">
        <v>759</v>
      </c>
      <c r="B2239" s="62" t="s">
        <v>242</v>
      </c>
      <c r="C2239" s="63"/>
      <c r="D2239" s="64"/>
      <c r="E2239" s="65"/>
      <c r="F2239" s="66"/>
      <c r="G2239" s="63"/>
      <c r="H2239" s="67"/>
      <c r="I2239" s="68"/>
      <c r="J2239" s="68"/>
      <c r="K2239" s="32"/>
      <c r="L2239" s="75"/>
      <c r="M2239" s="75"/>
      <c r="N2239" s="70"/>
      <c r="O2239" t="s">
        <v>1569</v>
      </c>
      <c r="P2239" s="76">
        <v>44958.947974537034</v>
      </c>
      <c r="Q2239" t="s">
        <v>1693</v>
      </c>
      <c r="V2239" s="77" t="str">
        <f>HYPERLINK("https://pbs.twimg.com/profile_images/1568655827279695872/AjW53t0J_normal.jpg")</f>
        <v>https://pbs.twimg.com/profile_images/1568655827279695872/AjW53t0J_normal.jpg</v>
      </c>
      <c r="W2239" s="76">
        <v>44958.947974537034</v>
      </c>
      <c r="X2239" s="80">
        <v>44958</v>
      </c>
      <c r="Y2239" s="78" t="s">
        <v>2979</v>
      </c>
      <c r="Z2239" s="77" t="str">
        <f>HYPERLINK("https://twitter.com/lightofsileence/status/1620916174367387648")</f>
        <v>https://twitter.com/lightofsileence/status/1620916174367387648</v>
      </c>
      <c r="AC2239" s="78" t="s">
        <v>4044</v>
      </c>
      <c r="AE2239" t="b">
        <v>0</v>
      </c>
      <c r="AF2239">
        <v>0</v>
      </c>
      <c r="AG2239" s="78" t="s">
        <v>4640</v>
      </c>
      <c r="AH2239" t="b">
        <v>0</v>
      </c>
      <c r="AI2239" t="s">
        <v>4829</v>
      </c>
      <c r="AK2239" s="78" t="s">
        <v>4640</v>
      </c>
      <c r="AL2239" t="b">
        <v>0</v>
      </c>
      <c r="AM2239">
        <v>162</v>
      </c>
      <c r="AN2239" s="78" t="s">
        <v>4473</v>
      </c>
      <c r="AO2239" s="78" t="s">
        <v>4850</v>
      </c>
      <c r="AP2239" t="b">
        <v>0</v>
      </c>
      <c r="AQ2239" s="78" t="s">
        <v>4473</v>
      </c>
      <c r="AR2239" t="s">
        <v>179</v>
      </c>
      <c r="AS2239">
        <v>0</v>
      </c>
      <c r="AT2239">
        <v>0</v>
      </c>
    </row>
    <row r="2240" spans="1:46" x14ac:dyDescent="0.45">
      <c r="A2240" s="62" t="s">
        <v>760</v>
      </c>
      <c r="B2240" s="62" t="s">
        <v>1357</v>
      </c>
      <c r="C2240" s="63"/>
      <c r="D2240" s="64"/>
      <c r="E2240" s="65"/>
      <c r="F2240" s="66"/>
      <c r="G2240" s="63"/>
      <c r="H2240" s="67"/>
      <c r="I2240" s="68"/>
      <c r="J2240" s="68"/>
      <c r="K2240" s="32"/>
      <c r="L2240" s="75"/>
      <c r="M2240" s="75"/>
      <c r="N2240" s="70"/>
      <c r="O2240" t="s">
        <v>1568</v>
      </c>
      <c r="P2240" s="76">
        <v>44958.948101851849</v>
      </c>
      <c r="Q2240" t="s">
        <v>1939</v>
      </c>
      <c r="V2240" s="77" t="str">
        <f>HYPERLINK("https://pbs.twimg.com/profile_images/524325054612393984/UiyOfEkD_normal.jpeg")</f>
        <v>https://pbs.twimg.com/profile_images/524325054612393984/UiyOfEkD_normal.jpeg</v>
      </c>
      <c r="W2240" s="76">
        <v>44958.948101851849</v>
      </c>
      <c r="X2240" s="80">
        <v>44958</v>
      </c>
      <c r="Y2240" s="78" t="s">
        <v>2980</v>
      </c>
      <c r="Z2240" s="77" t="str">
        <f>HYPERLINK("https://twitter.com/scottolling/status/1620916221322600448")</f>
        <v>https://twitter.com/scottolling/status/1620916221322600448</v>
      </c>
      <c r="AC2240" s="78" t="s">
        <v>4045</v>
      </c>
      <c r="AD2240" s="78" t="s">
        <v>4570</v>
      </c>
      <c r="AE2240" t="b">
        <v>0</v>
      </c>
      <c r="AF2240">
        <v>0</v>
      </c>
      <c r="AG2240" s="78" t="s">
        <v>4739</v>
      </c>
      <c r="AH2240" t="b">
        <v>0</v>
      </c>
      <c r="AI2240" t="s">
        <v>4829</v>
      </c>
      <c r="AK2240" s="78" t="s">
        <v>4640</v>
      </c>
      <c r="AL2240" t="b">
        <v>0</v>
      </c>
      <c r="AM2240">
        <v>0</v>
      </c>
      <c r="AN2240" s="78" t="s">
        <v>4640</v>
      </c>
      <c r="AO2240" s="78" t="s">
        <v>4851</v>
      </c>
      <c r="AP2240" t="b">
        <v>0</v>
      </c>
      <c r="AQ2240" s="78" t="s">
        <v>4570</v>
      </c>
      <c r="AR2240" t="s">
        <v>179</v>
      </c>
      <c r="AS2240">
        <v>0</v>
      </c>
      <c r="AT2240">
        <v>0</v>
      </c>
    </row>
    <row r="2241" spans="1:46" x14ac:dyDescent="0.45">
      <c r="A2241" s="62" t="s">
        <v>760</v>
      </c>
      <c r="B2241" s="62" t="s">
        <v>1358</v>
      </c>
      <c r="C2241" s="63"/>
      <c r="D2241" s="64"/>
      <c r="E2241" s="65"/>
      <c r="F2241" s="66"/>
      <c r="G2241" s="63"/>
      <c r="H2241" s="67"/>
      <c r="I2241" s="68"/>
      <c r="J2241" s="68"/>
      <c r="K2241" s="32"/>
      <c r="L2241" s="75"/>
      <c r="M2241" s="75"/>
      <c r="N2241" s="70"/>
      <c r="O2241" t="s">
        <v>1567</v>
      </c>
      <c r="P2241" s="76">
        <v>44958.948101851849</v>
      </c>
      <c r="Q2241" t="s">
        <v>1939</v>
      </c>
      <c r="V2241" s="77" t="str">
        <f>HYPERLINK("https://pbs.twimg.com/profile_images/524325054612393984/UiyOfEkD_normal.jpeg")</f>
        <v>https://pbs.twimg.com/profile_images/524325054612393984/UiyOfEkD_normal.jpeg</v>
      </c>
      <c r="W2241" s="76">
        <v>44958.948101851849</v>
      </c>
      <c r="X2241" s="80">
        <v>44958</v>
      </c>
      <c r="Y2241" s="78" t="s">
        <v>2980</v>
      </c>
      <c r="Z2241" s="77" t="str">
        <f>HYPERLINK("https://twitter.com/scottolling/status/1620916221322600448")</f>
        <v>https://twitter.com/scottolling/status/1620916221322600448</v>
      </c>
      <c r="AC2241" s="78" t="s">
        <v>4045</v>
      </c>
      <c r="AD2241" s="78" t="s">
        <v>4570</v>
      </c>
      <c r="AE2241" t="b">
        <v>0</v>
      </c>
      <c r="AF2241">
        <v>0</v>
      </c>
      <c r="AG2241" s="78" t="s">
        <v>4739</v>
      </c>
      <c r="AH2241" t="b">
        <v>0</v>
      </c>
      <c r="AI2241" t="s">
        <v>4829</v>
      </c>
      <c r="AK2241" s="78" t="s">
        <v>4640</v>
      </c>
      <c r="AL2241" t="b">
        <v>0</v>
      </c>
      <c r="AM2241">
        <v>0</v>
      </c>
      <c r="AN2241" s="78" t="s">
        <v>4640</v>
      </c>
      <c r="AO2241" s="78" t="s">
        <v>4851</v>
      </c>
      <c r="AP2241" t="b">
        <v>0</v>
      </c>
      <c r="AQ2241" s="78" t="s">
        <v>4570</v>
      </c>
      <c r="AR2241" t="s">
        <v>179</v>
      </c>
      <c r="AS2241">
        <v>0</v>
      </c>
      <c r="AT2241">
        <v>0</v>
      </c>
    </row>
    <row r="2242" spans="1:46" x14ac:dyDescent="0.45">
      <c r="A2242" s="62" t="s">
        <v>760</v>
      </c>
      <c r="B2242" s="62" t="s">
        <v>1181</v>
      </c>
      <c r="C2242" s="63"/>
      <c r="D2242" s="64"/>
      <c r="E2242" s="65"/>
      <c r="F2242" s="66"/>
      <c r="G2242" s="63"/>
      <c r="H2242" s="67"/>
      <c r="I2242" s="68"/>
      <c r="J2242" s="68"/>
      <c r="K2242" s="32"/>
      <c r="L2242" s="75"/>
      <c r="M2242" s="75"/>
      <c r="N2242" s="70"/>
      <c r="O2242" t="s">
        <v>1568</v>
      </c>
      <c r="P2242" s="76">
        <v>44958.948101851849</v>
      </c>
      <c r="Q2242" t="s">
        <v>1939</v>
      </c>
      <c r="V2242" s="77" t="str">
        <f>HYPERLINK("https://pbs.twimg.com/profile_images/524325054612393984/UiyOfEkD_normal.jpeg")</f>
        <v>https://pbs.twimg.com/profile_images/524325054612393984/UiyOfEkD_normal.jpeg</v>
      </c>
      <c r="W2242" s="76">
        <v>44958.948101851849</v>
      </c>
      <c r="X2242" s="80">
        <v>44958</v>
      </c>
      <c r="Y2242" s="78" t="s">
        <v>2980</v>
      </c>
      <c r="Z2242" s="77" t="str">
        <f>HYPERLINK("https://twitter.com/scottolling/status/1620916221322600448")</f>
        <v>https://twitter.com/scottolling/status/1620916221322600448</v>
      </c>
      <c r="AC2242" s="78" t="s">
        <v>4045</v>
      </c>
      <c r="AD2242" s="78" t="s">
        <v>4570</v>
      </c>
      <c r="AE2242" t="b">
        <v>0</v>
      </c>
      <c r="AF2242">
        <v>0</v>
      </c>
      <c r="AG2242" s="78" t="s">
        <v>4739</v>
      </c>
      <c r="AH2242" t="b">
        <v>0</v>
      </c>
      <c r="AI2242" t="s">
        <v>4829</v>
      </c>
      <c r="AK2242" s="78" t="s">
        <v>4640</v>
      </c>
      <c r="AL2242" t="b">
        <v>0</v>
      </c>
      <c r="AM2242">
        <v>0</v>
      </c>
      <c r="AN2242" s="78" t="s">
        <v>4640</v>
      </c>
      <c r="AO2242" s="78" t="s">
        <v>4851</v>
      </c>
      <c r="AP2242" t="b">
        <v>0</v>
      </c>
      <c r="AQ2242" s="78" t="s">
        <v>4570</v>
      </c>
      <c r="AR2242" t="s">
        <v>179</v>
      </c>
      <c r="AS2242">
        <v>0</v>
      </c>
      <c r="AT2242">
        <v>0</v>
      </c>
    </row>
    <row r="2243" spans="1:46" x14ac:dyDescent="0.45">
      <c r="A2243" s="62" t="s">
        <v>760</v>
      </c>
      <c r="B2243" s="62" t="s">
        <v>242</v>
      </c>
      <c r="C2243" s="63"/>
      <c r="D2243" s="64"/>
      <c r="E2243" s="65"/>
      <c r="F2243" s="66"/>
      <c r="G2243" s="63"/>
      <c r="H2243" s="67"/>
      <c r="I2243" s="68"/>
      <c r="J2243" s="68"/>
      <c r="K2243" s="32"/>
      <c r="L2243" s="75"/>
      <c r="M2243" s="75"/>
      <c r="N2243" s="70"/>
      <c r="O2243" t="s">
        <v>1568</v>
      </c>
      <c r="P2243" s="76">
        <v>44958.948101851849</v>
      </c>
      <c r="Q2243" t="s">
        <v>1939</v>
      </c>
      <c r="V2243" s="77" t="str">
        <f>HYPERLINK("https://pbs.twimg.com/profile_images/524325054612393984/UiyOfEkD_normal.jpeg")</f>
        <v>https://pbs.twimg.com/profile_images/524325054612393984/UiyOfEkD_normal.jpeg</v>
      </c>
      <c r="W2243" s="76">
        <v>44958.948101851849</v>
      </c>
      <c r="X2243" s="80">
        <v>44958</v>
      </c>
      <c r="Y2243" s="78" t="s">
        <v>2980</v>
      </c>
      <c r="Z2243" s="77" t="str">
        <f>HYPERLINK("https://twitter.com/scottolling/status/1620916221322600448")</f>
        <v>https://twitter.com/scottolling/status/1620916221322600448</v>
      </c>
      <c r="AC2243" s="78" t="s">
        <v>4045</v>
      </c>
      <c r="AD2243" s="78" t="s">
        <v>4570</v>
      </c>
      <c r="AE2243" t="b">
        <v>0</v>
      </c>
      <c r="AF2243">
        <v>0</v>
      </c>
      <c r="AG2243" s="78" t="s">
        <v>4739</v>
      </c>
      <c r="AH2243" t="b">
        <v>0</v>
      </c>
      <c r="AI2243" t="s">
        <v>4829</v>
      </c>
      <c r="AK2243" s="78" t="s">
        <v>4640</v>
      </c>
      <c r="AL2243" t="b">
        <v>0</v>
      </c>
      <c r="AM2243">
        <v>0</v>
      </c>
      <c r="AN2243" s="78" t="s">
        <v>4640</v>
      </c>
      <c r="AO2243" s="78" t="s">
        <v>4851</v>
      </c>
      <c r="AP2243" t="b">
        <v>0</v>
      </c>
      <c r="AQ2243" s="78" t="s">
        <v>4570</v>
      </c>
      <c r="AR2243" t="s">
        <v>179</v>
      </c>
      <c r="AS2243">
        <v>0</v>
      </c>
      <c r="AT2243">
        <v>0</v>
      </c>
    </row>
    <row r="2244" spans="1:46" x14ac:dyDescent="0.45">
      <c r="A2244" s="62" t="s">
        <v>762</v>
      </c>
      <c r="B2244" s="62" t="s">
        <v>1230</v>
      </c>
      <c r="C2244" s="63"/>
      <c r="D2244" s="64"/>
      <c r="E2244" s="65"/>
      <c r="F2244" s="66"/>
      <c r="G2244" s="63"/>
      <c r="H2244" s="67"/>
      <c r="I2244" s="68"/>
      <c r="J2244" s="68"/>
      <c r="K2244" s="32"/>
      <c r="L2244" s="75"/>
      <c r="M2244" s="75"/>
      <c r="N2244" s="70"/>
      <c r="O2244" t="s">
        <v>1568</v>
      </c>
      <c r="P2244" s="76">
        <v>44958.948692129627</v>
      </c>
      <c r="Q2244" t="s">
        <v>1941</v>
      </c>
      <c r="V2244" s="77" t="str">
        <f>HYPERLINK("https://pbs.twimg.com/profile_images/1613942340372107267/rsG5V_8H_normal.jpg")</f>
        <v>https://pbs.twimg.com/profile_images/1613942340372107267/rsG5V_8H_normal.jpg</v>
      </c>
      <c r="W2244" s="76">
        <v>44958.948692129627</v>
      </c>
      <c r="X2244" s="80">
        <v>44958</v>
      </c>
      <c r="Y2244" s="78" t="s">
        <v>2982</v>
      </c>
      <c r="Z2244" s="77" t="str">
        <f>HYPERLINK("https://twitter.com/deadestpet/status/1620916432308420608")</f>
        <v>https://twitter.com/deadestpet/status/1620916432308420608</v>
      </c>
      <c r="AC2244" s="78" t="s">
        <v>4047</v>
      </c>
      <c r="AD2244" s="78" t="s">
        <v>4473</v>
      </c>
      <c r="AE2244" t="b">
        <v>0</v>
      </c>
      <c r="AF2244">
        <v>0</v>
      </c>
      <c r="AG2244" s="78" t="s">
        <v>4639</v>
      </c>
      <c r="AH2244" t="b">
        <v>0</v>
      </c>
      <c r="AI2244" t="s">
        <v>4829</v>
      </c>
      <c r="AK2244" s="78" t="s">
        <v>4640</v>
      </c>
      <c r="AL2244" t="b">
        <v>0</v>
      </c>
      <c r="AM2244">
        <v>0</v>
      </c>
      <c r="AN2244" s="78" t="s">
        <v>4640</v>
      </c>
      <c r="AO2244" s="78" t="s">
        <v>4849</v>
      </c>
      <c r="AP2244" t="b">
        <v>0</v>
      </c>
      <c r="AQ2244" s="78" t="s">
        <v>4473</v>
      </c>
      <c r="AR2244" t="s">
        <v>179</v>
      </c>
      <c r="AS2244">
        <v>0</v>
      </c>
      <c r="AT2244">
        <v>0</v>
      </c>
    </row>
    <row r="2245" spans="1:46" x14ac:dyDescent="0.45">
      <c r="A2245" s="62" t="s">
        <v>762</v>
      </c>
      <c r="B2245" s="62" t="s">
        <v>242</v>
      </c>
      <c r="C2245" s="63"/>
      <c r="D2245" s="64"/>
      <c r="E2245" s="65"/>
      <c r="F2245" s="66"/>
      <c r="G2245" s="63"/>
      <c r="H2245" s="67"/>
      <c r="I2245" s="68"/>
      <c r="J2245" s="68"/>
      <c r="K2245" s="32"/>
      <c r="L2245" s="75"/>
      <c r="M2245" s="75"/>
      <c r="N2245" s="70"/>
      <c r="O2245" t="s">
        <v>1567</v>
      </c>
      <c r="P2245" s="76">
        <v>44958.948692129627</v>
      </c>
      <c r="Q2245" t="s">
        <v>1941</v>
      </c>
      <c r="V2245" s="77" t="str">
        <f>HYPERLINK("https://pbs.twimg.com/profile_images/1613942340372107267/rsG5V_8H_normal.jpg")</f>
        <v>https://pbs.twimg.com/profile_images/1613942340372107267/rsG5V_8H_normal.jpg</v>
      </c>
      <c r="W2245" s="76">
        <v>44958.948692129627</v>
      </c>
      <c r="X2245" s="80">
        <v>44958</v>
      </c>
      <c r="Y2245" s="78" t="s">
        <v>2982</v>
      </c>
      <c r="Z2245" s="77" t="str">
        <f>HYPERLINK("https://twitter.com/deadestpet/status/1620916432308420608")</f>
        <v>https://twitter.com/deadestpet/status/1620916432308420608</v>
      </c>
      <c r="AC2245" s="78" t="s">
        <v>4047</v>
      </c>
      <c r="AD2245" s="78" t="s">
        <v>4473</v>
      </c>
      <c r="AE2245" t="b">
        <v>0</v>
      </c>
      <c r="AF2245">
        <v>0</v>
      </c>
      <c r="AG2245" s="78" t="s">
        <v>4639</v>
      </c>
      <c r="AH2245" t="b">
        <v>0</v>
      </c>
      <c r="AI2245" t="s">
        <v>4829</v>
      </c>
      <c r="AK2245" s="78" t="s">
        <v>4640</v>
      </c>
      <c r="AL2245" t="b">
        <v>0</v>
      </c>
      <c r="AM2245">
        <v>0</v>
      </c>
      <c r="AN2245" s="78" t="s">
        <v>4640</v>
      </c>
      <c r="AO2245" s="78" t="s">
        <v>4849</v>
      </c>
      <c r="AP2245" t="b">
        <v>0</v>
      </c>
      <c r="AQ2245" s="78" t="s">
        <v>4473</v>
      </c>
      <c r="AR2245" t="s">
        <v>179</v>
      </c>
      <c r="AS2245">
        <v>0</v>
      </c>
      <c r="AT2245">
        <v>0</v>
      </c>
    </row>
    <row r="2246" spans="1:46" x14ac:dyDescent="0.45">
      <c r="A2246" s="62" t="s">
        <v>763</v>
      </c>
      <c r="B2246" s="62" t="s">
        <v>1361</v>
      </c>
      <c r="C2246" s="63"/>
      <c r="D2246" s="64"/>
      <c r="E2246" s="65"/>
      <c r="F2246" s="66"/>
      <c r="G2246" s="63"/>
      <c r="H2246" s="67"/>
      <c r="I2246" s="68"/>
      <c r="J2246" s="68"/>
      <c r="K2246" s="32"/>
      <c r="L2246" s="75"/>
      <c r="M2246" s="75"/>
      <c r="N2246" s="70"/>
      <c r="O2246" t="s">
        <v>1568</v>
      </c>
      <c r="P2246" s="76">
        <v>44958.949143518519</v>
      </c>
      <c r="Q2246" t="s">
        <v>1942</v>
      </c>
      <c r="V2246" s="77" t="str">
        <f>HYPERLINK("https://pbs.twimg.com/profile_images/1512184140745035783/gaUOHArA_normal.jpg")</f>
        <v>https://pbs.twimg.com/profile_images/1512184140745035783/gaUOHArA_normal.jpg</v>
      </c>
      <c r="W2246" s="76">
        <v>44958.949143518519</v>
      </c>
      <c r="X2246" s="80">
        <v>44958</v>
      </c>
      <c r="Y2246" s="78" t="s">
        <v>2983</v>
      </c>
      <c r="Z2246" s="77" t="str">
        <f>HYPERLINK("https://twitter.com/lashartim/status/1620916595605340161")</f>
        <v>https://twitter.com/lashartim/status/1620916595605340161</v>
      </c>
      <c r="AC2246" s="78" t="s">
        <v>4048</v>
      </c>
      <c r="AD2246" s="78" t="s">
        <v>4571</v>
      </c>
      <c r="AE2246" t="b">
        <v>0</v>
      </c>
      <c r="AF2246">
        <v>0</v>
      </c>
      <c r="AG2246" s="78" t="s">
        <v>4740</v>
      </c>
      <c r="AH2246" t="b">
        <v>0</v>
      </c>
      <c r="AI2246" t="s">
        <v>4829</v>
      </c>
      <c r="AK2246" s="78" t="s">
        <v>4640</v>
      </c>
      <c r="AL2246" t="b">
        <v>0</v>
      </c>
      <c r="AM2246">
        <v>0</v>
      </c>
      <c r="AN2246" s="78" t="s">
        <v>4640</v>
      </c>
      <c r="AO2246" s="78" t="s">
        <v>4849</v>
      </c>
      <c r="AP2246" t="b">
        <v>0</v>
      </c>
      <c r="AQ2246" s="78" t="s">
        <v>4571</v>
      </c>
      <c r="AR2246" t="s">
        <v>179</v>
      </c>
      <c r="AS2246">
        <v>0</v>
      </c>
      <c r="AT2246">
        <v>0</v>
      </c>
    </row>
    <row r="2247" spans="1:46" x14ac:dyDescent="0.45">
      <c r="A2247" s="62" t="s">
        <v>763</v>
      </c>
      <c r="B2247" s="62" t="s">
        <v>1362</v>
      </c>
      <c r="C2247" s="63"/>
      <c r="D2247" s="64"/>
      <c r="E2247" s="65"/>
      <c r="F2247" s="66"/>
      <c r="G2247" s="63"/>
      <c r="H2247" s="67"/>
      <c r="I2247" s="68"/>
      <c r="J2247" s="68"/>
      <c r="K2247" s="32"/>
      <c r="L2247" s="75"/>
      <c r="M2247" s="75"/>
      <c r="N2247" s="70"/>
      <c r="O2247" t="s">
        <v>1567</v>
      </c>
      <c r="P2247" s="76">
        <v>44958.949143518519</v>
      </c>
      <c r="Q2247" t="s">
        <v>1942</v>
      </c>
      <c r="V2247" s="77" t="str">
        <f>HYPERLINK("https://pbs.twimg.com/profile_images/1512184140745035783/gaUOHArA_normal.jpg")</f>
        <v>https://pbs.twimg.com/profile_images/1512184140745035783/gaUOHArA_normal.jpg</v>
      </c>
      <c r="W2247" s="76">
        <v>44958.949143518519</v>
      </c>
      <c r="X2247" s="80">
        <v>44958</v>
      </c>
      <c r="Y2247" s="78" t="s">
        <v>2983</v>
      </c>
      <c r="Z2247" s="77" t="str">
        <f>HYPERLINK("https://twitter.com/lashartim/status/1620916595605340161")</f>
        <v>https://twitter.com/lashartim/status/1620916595605340161</v>
      </c>
      <c r="AC2247" s="78" t="s">
        <v>4048</v>
      </c>
      <c r="AD2247" s="78" t="s">
        <v>4571</v>
      </c>
      <c r="AE2247" t="b">
        <v>0</v>
      </c>
      <c r="AF2247">
        <v>0</v>
      </c>
      <c r="AG2247" s="78" t="s">
        <v>4740</v>
      </c>
      <c r="AH2247" t="b">
        <v>0</v>
      </c>
      <c r="AI2247" t="s">
        <v>4829</v>
      </c>
      <c r="AK2247" s="78" t="s">
        <v>4640</v>
      </c>
      <c r="AL2247" t="b">
        <v>0</v>
      </c>
      <c r="AM2247">
        <v>0</v>
      </c>
      <c r="AN2247" s="78" t="s">
        <v>4640</v>
      </c>
      <c r="AO2247" s="78" t="s">
        <v>4849</v>
      </c>
      <c r="AP2247" t="b">
        <v>0</v>
      </c>
      <c r="AQ2247" s="78" t="s">
        <v>4571</v>
      </c>
      <c r="AR2247" t="s">
        <v>179</v>
      </c>
      <c r="AS2247">
        <v>0</v>
      </c>
      <c r="AT2247">
        <v>0</v>
      </c>
    </row>
    <row r="2248" spans="1:46" x14ac:dyDescent="0.45">
      <c r="A2248" s="62" t="s">
        <v>763</v>
      </c>
      <c r="B2248" s="62" t="s">
        <v>242</v>
      </c>
      <c r="C2248" s="63"/>
      <c r="D2248" s="64"/>
      <c r="E2248" s="65"/>
      <c r="F2248" s="66"/>
      <c r="G2248" s="63"/>
      <c r="H2248" s="67"/>
      <c r="I2248" s="68"/>
      <c r="J2248" s="68"/>
      <c r="K2248" s="32"/>
      <c r="L2248" s="75"/>
      <c r="M2248" s="75"/>
      <c r="N2248" s="70"/>
      <c r="O2248" t="s">
        <v>1568</v>
      </c>
      <c r="P2248" s="76">
        <v>44958.949143518519</v>
      </c>
      <c r="Q2248" t="s">
        <v>1942</v>
      </c>
      <c r="V2248" s="77" t="str">
        <f>HYPERLINK("https://pbs.twimg.com/profile_images/1512184140745035783/gaUOHArA_normal.jpg")</f>
        <v>https://pbs.twimg.com/profile_images/1512184140745035783/gaUOHArA_normal.jpg</v>
      </c>
      <c r="W2248" s="76">
        <v>44958.949143518519</v>
      </c>
      <c r="X2248" s="80">
        <v>44958</v>
      </c>
      <c r="Y2248" s="78" t="s">
        <v>2983</v>
      </c>
      <c r="Z2248" s="77" t="str">
        <f>HYPERLINK("https://twitter.com/lashartim/status/1620916595605340161")</f>
        <v>https://twitter.com/lashartim/status/1620916595605340161</v>
      </c>
      <c r="AC2248" s="78" t="s">
        <v>4048</v>
      </c>
      <c r="AD2248" s="78" t="s">
        <v>4571</v>
      </c>
      <c r="AE2248" t="b">
        <v>0</v>
      </c>
      <c r="AF2248">
        <v>0</v>
      </c>
      <c r="AG2248" s="78" t="s">
        <v>4740</v>
      </c>
      <c r="AH2248" t="b">
        <v>0</v>
      </c>
      <c r="AI2248" t="s">
        <v>4829</v>
      </c>
      <c r="AK2248" s="78" t="s">
        <v>4640</v>
      </c>
      <c r="AL2248" t="b">
        <v>0</v>
      </c>
      <c r="AM2248">
        <v>0</v>
      </c>
      <c r="AN2248" s="78" t="s">
        <v>4640</v>
      </c>
      <c r="AO2248" s="78" t="s">
        <v>4849</v>
      </c>
      <c r="AP2248" t="b">
        <v>0</v>
      </c>
      <c r="AQ2248" s="78" t="s">
        <v>4571</v>
      </c>
      <c r="AR2248" t="s">
        <v>179</v>
      </c>
      <c r="AS2248">
        <v>0</v>
      </c>
      <c r="AT2248">
        <v>0</v>
      </c>
    </row>
    <row r="2249" spans="1:46" x14ac:dyDescent="0.45">
      <c r="A2249" s="62" t="s">
        <v>764</v>
      </c>
      <c r="B2249" s="62" t="s">
        <v>242</v>
      </c>
      <c r="C2249" s="63"/>
      <c r="D2249" s="64"/>
      <c r="E2249" s="65"/>
      <c r="F2249" s="66"/>
      <c r="G2249" s="63"/>
      <c r="H2249" s="67"/>
      <c r="I2249" s="68"/>
      <c r="J2249" s="68"/>
      <c r="K2249" s="32"/>
      <c r="L2249" s="75"/>
      <c r="M2249" s="75"/>
      <c r="N2249" s="70"/>
      <c r="O2249" t="s">
        <v>1570</v>
      </c>
      <c r="P2249" s="76">
        <v>44958.949537037035</v>
      </c>
      <c r="Q2249" t="s">
        <v>1928</v>
      </c>
      <c r="U2249" s="77" t="str">
        <f>HYPERLINK("https://pbs.twimg.com/media/Fn6jrXTWAAEsrco.jpg")</f>
        <v>https://pbs.twimg.com/media/Fn6jrXTWAAEsrco.jpg</v>
      </c>
      <c r="V2249" s="77" t="str">
        <f>HYPERLINK("https://pbs.twimg.com/media/Fn6jrXTWAAEsrco.jpg")</f>
        <v>https://pbs.twimg.com/media/Fn6jrXTWAAEsrco.jpg</v>
      </c>
      <c r="W2249" s="76">
        <v>44958.949537037035</v>
      </c>
      <c r="X2249" s="80">
        <v>44958</v>
      </c>
      <c r="Y2249" s="78" t="s">
        <v>2984</v>
      </c>
      <c r="Z2249" s="77" t="str">
        <f>HYPERLINK("https://twitter.com/younagh2000/status/1620916738241220609")</f>
        <v>https://twitter.com/younagh2000/status/1620916738241220609</v>
      </c>
      <c r="AC2249" s="78" t="s">
        <v>4049</v>
      </c>
      <c r="AE2249" t="b">
        <v>0</v>
      </c>
      <c r="AF2249">
        <v>0</v>
      </c>
      <c r="AG2249" s="78" t="s">
        <v>4640</v>
      </c>
      <c r="AH2249" t="b">
        <v>0</v>
      </c>
      <c r="AI2249" t="s">
        <v>4829</v>
      </c>
      <c r="AK2249" s="78" t="s">
        <v>4640</v>
      </c>
      <c r="AL2249" t="b">
        <v>0</v>
      </c>
      <c r="AM2249">
        <v>8</v>
      </c>
      <c r="AN2249" s="78" t="s">
        <v>4420</v>
      </c>
      <c r="AO2249" s="78" t="s">
        <v>4850</v>
      </c>
      <c r="AP2249" t="b">
        <v>0</v>
      </c>
      <c r="AQ2249" s="78" t="s">
        <v>4420</v>
      </c>
      <c r="AR2249" t="s">
        <v>179</v>
      </c>
      <c r="AS2249">
        <v>0</v>
      </c>
      <c r="AT2249">
        <v>0</v>
      </c>
    </row>
    <row r="2250" spans="1:46" x14ac:dyDescent="0.45">
      <c r="A2250" s="62" t="s">
        <v>764</v>
      </c>
      <c r="B2250" s="62" t="s">
        <v>1046</v>
      </c>
      <c r="C2250" s="63"/>
      <c r="D2250" s="64"/>
      <c r="E2250" s="65"/>
      <c r="F2250" s="66"/>
      <c r="G2250" s="63"/>
      <c r="H2250" s="67"/>
      <c r="I2250" s="68"/>
      <c r="J2250" s="68"/>
      <c r="K2250" s="32"/>
      <c r="L2250" s="75"/>
      <c r="M2250" s="75"/>
      <c r="N2250" s="70"/>
      <c r="O2250" t="s">
        <v>1569</v>
      </c>
      <c r="P2250" s="76">
        <v>44958.949537037035</v>
      </c>
      <c r="Q2250" t="s">
        <v>1928</v>
      </c>
      <c r="U2250" s="77" t="str">
        <f>HYPERLINK("https://pbs.twimg.com/media/Fn6jrXTWAAEsrco.jpg")</f>
        <v>https://pbs.twimg.com/media/Fn6jrXTWAAEsrco.jpg</v>
      </c>
      <c r="V2250" s="77" t="str">
        <f>HYPERLINK("https://pbs.twimg.com/media/Fn6jrXTWAAEsrco.jpg")</f>
        <v>https://pbs.twimg.com/media/Fn6jrXTWAAEsrco.jpg</v>
      </c>
      <c r="W2250" s="76">
        <v>44958.949537037035</v>
      </c>
      <c r="X2250" s="80">
        <v>44958</v>
      </c>
      <c r="Y2250" s="78" t="s">
        <v>2984</v>
      </c>
      <c r="Z2250" s="77" t="str">
        <f>HYPERLINK("https://twitter.com/younagh2000/status/1620916738241220609")</f>
        <v>https://twitter.com/younagh2000/status/1620916738241220609</v>
      </c>
      <c r="AC2250" s="78" t="s">
        <v>4049</v>
      </c>
      <c r="AE2250" t="b">
        <v>0</v>
      </c>
      <c r="AF2250">
        <v>0</v>
      </c>
      <c r="AG2250" s="78" t="s">
        <v>4640</v>
      </c>
      <c r="AH2250" t="b">
        <v>0</v>
      </c>
      <c r="AI2250" t="s">
        <v>4829</v>
      </c>
      <c r="AK2250" s="78" t="s">
        <v>4640</v>
      </c>
      <c r="AL2250" t="b">
        <v>0</v>
      </c>
      <c r="AM2250">
        <v>8</v>
      </c>
      <c r="AN2250" s="78" t="s">
        <v>4420</v>
      </c>
      <c r="AO2250" s="78" t="s">
        <v>4850</v>
      </c>
      <c r="AP2250" t="b">
        <v>0</v>
      </c>
      <c r="AQ2250" s="78" t="s">
        <v>4420</v>
      </c>
      <c r="AR2250" t="s">
        <v>179</v>
      </c>
      <c r="AS2250">
        <v>0</v>
      </c>
      <c r="AT2250">
        <v>0</v>
      </c>
    </row>
    <row r="2251" spans="1:46" x14ac:dyDescent="0.45">
      <c r="A2251" s="62" t="s">
        <v>764</v>
      </c>
      <c r="B2251" s="62" t="s">
        <v>242</v>
      </c>
      <c r="C2251" s="63"/>
      <c r="D2251" s="64"/>
      <c r="E2251" s="65"/>
      <c r="F2251" s="66"/>
      <c r="G2251" s="63"/>
      <c r="H2251" s="67"/>
      <c r="I2251" s="68"/>
      <c r="J2251" s="68"/>
      <c r="K2251" s="32"/>
      <c r="L2251" s="75"/>
      <c r="M2251" s="75"/>
      <c r="N2251" s="70"/>
      <c r="O2251" t="s">
        <v>1568</v>
      </c>
      <c r="P2251" s="76">
        <v>44958.950069444443</v>
      </c>
      <c r="Q2251" t="s">
        <v>1943</v>
      </c>
      <c r="V2251" s="77" t="str">
        <f>HYPERLINK("https://pbs.twimg.com/profile_images/1601136369945874433/DwPnTpTc_normal.jpg")</f>
        <v>https://pbs.twimg.com/profile_images/1601136369945874433/DwPnTpTc_normal.jpg</v>
      </c>
      <c r="W2251" s="76">
        <v>44958.950069444443</v>
      </c>
      <c r="X2251" s="80">
        <v>44958</v>
      </c>
      <c r="Y2251" s="78" t="s">
        <v>2985</v>
      </c>
      <c r="Z2251" s="77" t="str">
        <f>HYPERLINK("https://twitter.com/younagh2000/status/1620916931795750912")</f>
        <v>https://twitter.com/younagh2000/status/1620916931795750912</v>
      </c>
      <c r="AC2251" s="78" t="s">
        <v>4050</v>
      </c>
      <c r="AD2251" s="78" t="s">
        <v>4420</v>
      </c>
      <c r="AE2251" t="b">
        <v>0</v>
      </c>
      <c r="AF2251">
        <v>0</v>
      </c>
      <c r="AG2251" s="78" t="s">
        <v>4737</v>
      </c>
      <c r="AH2251" t="b">
        <v>0</v>
      </c>
      <c r="AI2251" t="s">
        <v>4829</v>
      </c>
      <c r="AK2251" s="78" t="s">
        <v>4640</v>
      </c>
      <c r="AL2251" t="b">
        <v>0</v>
      </c>
      <c r="AM2251">
        <v>0</v>
      </c>
      <c r="AN2251" s="78" t="s">
        <v>4640</v>
      </c>
      <c r="AO2251" s="78" t="s">
        <v>4850</v>
      </c>
      <c r="AP2251" t="b">
        <v>0</v>
      </c>
      <c r="AQ2251" s="78" t="s">
        <v>4420</v>
      </c>
      <c r="AR2251" t="s">
        <v>179</v>
      </c>
      <c r="AS2251">
        <v>0</v>
      </c>
      <c r="AT2251">
        <v>0</v>
      </c>
    </row>
    <row r="2252" spans="1:46" x14ac:dyDescent="0.45">
      <c r="A2252" s="62" t="s">
        <v>764</v>
      </c>
      <c r="B2252" s="62" t="s">
        <v>1046</v>
      </c>
      <c r="C2252" s="63"/>
      <c r="D2252" s="64"/>
      <c r="E2252" s="65"/>
      <c r="F2252" s="66"/>
      <c r="G2252" s="63"/>
      <c r="H2252" s="67"/>
      <c r="I2252" s="68"/>
      <c r="J2252" s="68"/>
      <c r="K2252" s="32"/>
      <c r="L2252" s="75"/>
      <c r="M2252" s="75"/>
      <c r="N2252" s="70"/>
      <c r="O2252" t="s">
        <v>1567</v>
      </c>
      <c r="P2252" s="76">
        <v>44958.950069444443</v>
      </c>
      <c r="Q2252" t="s">
        <v>1943</v>
      </c>
      <c r="V2252" s="77" t="str">
        <f>HYPERLINK("https://pbs.twimg.com/profile_images/1601136369945874433/DwPnTpTc_normal.jpg")</f>
        <v>https://pbs.twimg.com/profile_images/1601136369945874433/DwPnTpTc_normal.jpg</v>
      </c>
      <c r="W2252" s="76">
        <v>44958.950069444443</v>
      </c>
      <c r="X2252" s="80">
        <v>44958</v>
      </c>
      <c r="Y2252" s="78" t="s">
        <v>2985</v>
      </c>
      <c r="Z2252" s="77" t="str">
        <f>HYPERLINK("https://twitter.com/younagh2000/status/1620916931795750912")</f>
        <v>https://twitter.com/younagh2000/status/1620916931795750912</v>
      </c>
      <c r="AC2252" s="78" t="s">
        <v>4050</v>
      </c>
      <c r="AD2252" s="78" t="s">
        <v>4420</v>
      </c>
      <c r="AE2252" t="b">
        <v>0</v>
      </c>
      <c r="AF2252">
        <v>0</v>
      </c>
      <c r="AG2252" s="78" t="s">
        <v>4737</v>
      </c>
      <c r="AH2252" t="b">
        <v>0</v>
      </c>
      <c r="AI2252" t="s">
        <v>4829</v>
      </c>
      <c r="AK2252" s="78" t="s">
        <v>4640</v>
      </c>
      <c r="AL2252" t="b">
        <v>0</v>
      </c>
      <c r="AM2252">
        <v>0</v>
      </c>
      <c r="AN2252" s="78" t="s">
        <v>4640</v>
      </c>
      <c r="AO2252" s="78" t="s">
        <v>4850</v>
      </c>
      <c r="AP2252" t="b">
        <v>0</v>
      </c>
      <c r="AQ2252" s="78" t="s">
        <v>4420</v>
      </c>
      <c r="AR2252" t="s">
        <v>179</v>
      </c>
      <c r="AS2252">
        <v>0</v>
      </c>
      <c r="AT2252">
        <v>0</v>
      </c>
    </row>
    <row r="2253" spans="1:46" x14ac:dyDescent="0.45">
      <c r="A2253" s="62" t="s">
        <v>767</v>
      </c>
      <c r="B2253" s="62" t="s">
        <v>1230</v>
      </c>
      <c r="C2253" s="63"/>
      <c r="D2253" s="64"/>
      <c r="E2253" s="65"/>
      <c r="F2253" s="66"/>
      <c r="G2253" s="63"/>
      <c r="H2253" s="67"/>
      <c r="I2253" s="68"/>
      <c r="J2253" s="68"/>
      <c r="K2253" s="32"/>
      <c r="L2253" s="75"/>
      <c r="M2253" s="75"/>
      <c r="N2253" s="70"/>
      <c r="O2253" t="s">
        <v>1568</v>
      </c>
      <c r="P2253" s="76">
        <v>44958.952476851853</v>
      </c>
      <c r="Q2253" t="s">
        <v>1944</v>
      </c>
      <c r="V2253" s="77" t="str">
        <f>HYPERLINK("https://pbs.twimg.com/profile_images/1615872331913609216/KJqLEYG-_normal.jpg")</f>
        <v>https://pbs.twimg.com/profile_images/1615872331913609216/KJqLEYG-_normal.jpg</v>
      </c>
      <c r="W2253" s="76">
        <v>44958.952476851853</v>
      </c>
      <c r="X2253" s="80">
        <v>44958</v>
      </c>
      <c r="Y2253" s="78" t="s">
        <v>2988</v>
      </c>
      <c r="Z2253" s="77" t="str">
        <f>HYPERLINK("https://twitter.com/haydenj05329340/status/1620917805779664896")</f>
        <v>https://twitter.com/haydenj05329340/status/1620917805779664896</v>
      </c>
      <c r="AC2253" s="78" t="s">
        <v>4053</v>
      </c>
      <c r="AD2253" s="78" t="s">
        <v>4473</v>
      </c>
      <c r="AE2253" t="b">
        <v>0</v>
      </c>
      <c r="AF2253">
        <v>0</v>
      </c>
      <c r="AG2253" s="78" t="s">
        <v>4639</v>
      </c>
      <c r="AH2253" t="b">
        <v>0</v>
      </c>
      <c r="AI2253" t="s">
        <v>4829</v>
      </c>
      <c r="AK2253" s="78" t="s">
        <v>4640</v>
      </c>
      <c r="AL2253" t="b">
        <v>0</v>
      </c>
      <c r="AM2253">
        <v>0</v>
      </c>
      <c r="AN2253" s="78" t="s">
        <v>4640</v>
      </c>
      <c r="AO2253" s="78" t="s">
        <v>4850</v>
      </c>
      <c r="AP2253" t="b">
        <v>0</v>
      </c>
      <c r="AQ2253" s="78" t="s">
        <v>4473</v>
      </c>
      <c r="AR2253" t="s">
        <v>179</v>
      </c>
      <c r="AS2253">
        <v>0</v>
      </c>
      <c r="AT2253">
        <v>0</v>
      </c>
    </row>
    <row r="2254" spans="1:46" x14ac:dyDescent="0.45">
      <c r="A2254" s="62" t="s">
        <v>767</v>
      </c>
      <c r="B2254" s="62" t="s">
        <v>242</v>
      </c>
      <c r="C2254" s="63"/>
      <c r="D2254" s="64"/>
      <c r="E2254" s="65"/>
      <c r="F2254" s="66"/>
      <c r="G2254" s="63"/>
      <c r="H2254" s="67"/>
      <c r="I2254" s="68"/>
      <c r="J2254" s="68"/>
      <c r="K2254" s="32"/>
      <c r="L2254" s="75"/>
      <c r="M2254" s="75"/>
      <c r="N2254" s="70"/>
      <c r="O2254" t="s">
        <v>1567</v>
      </c>
      <c r="P2254" s="76">
        <v>44958.952476851853</v>
      </c>
      <c r="Q2254" t="s">
        <v>1944</v>
      </c>
      <c r="V2254" s="77" t="str">
        <f>HYPERLINK("https://pbs.twimg.com/profile_images/1615872331913609216/KJqLEYG-_normal.jpg")</f>
        <v>https://pbs.twimg.com/profile_images/1615872331913609216/KJqLEYG-_normal.jpg</v>
      </c>
      <c r="W2254" s="76">
        <v>44958.952476851853</v>
      </c>
      <c r="X2254" s="80">
        <v>44958</v>
      </c>
      <c r="Y2254" s="78" t="s">
        <v>2988</v>
      </c>
      <c r="Z2254" s="77" t="str">
        <f>HYPERLINK("https://twitter.com/haydenj05329340/status/1620917805779664896")</f>
        <v>https://twitter.com/haydenj05329340/status/1620917805779664896</v>
      </c>
      <c r="AC2254" s="78" t="s">
        <v>4053</v>
      </c>
      <c r="AD2254" s="78" t="s">
        <v>4473</v>
      </c>
      <c r="AE2254" t="b">
        <v>0</v>
      </c>
      <c r="AF2254">
        <v>0</v>
      </c>
      <c r="AG2254" s="78" t="s">
        <v>4639</v>
      </c>
      <c r="AH2254" t="b">
        <v>0</v>
      </c>
      <c r="AI2254" t="s">
        <v>4829</v>
      </c>
      <c r="AK2254" s="78" t="s">
        <v>4640</v>
      </c>
      <c r="AL2254" t="b">
        <v>0</v>
      </c>
      <c r="AM2254">
        <v>0</v>
      </c>
      <c r="AN2254" s="78" t="s">
        <v>4640</v>
      </c>
      <c r="AO2254" s="78" t="s">
        <v>4850</v>
      </c>
      <c r="AP2254" t="b">
        <v>0</v>
      </c>
      <c r="AQ2254" s="78" t="s">
        <v>4473</v>
      </c>
      <c r="AR2254" t="s">
        <v>179</v>
      </c>
      <c r="AS2254">
        <v>0</v>
      </c>
      <c r="AT2254">
        <v>0</v>
      </c>
    </row>
    <row r="2255" spans="1:46" x14ac:dyDescent="0.45">
      <c r="A2255" s="62" t="s">
        <v>768</v>
      </c>
      <c r="B2255" s="62" t="s">
        <v>1363</v>
      </c>
      <c r="C2255" s="63"/>
      <c r="D2255" s="64"/>
      <c r="E2255" s="65"/>
      <c r="F2255" s="66"/>
      <c r="G2255" s="63"/>
      <c r="H2255" s="67"/>
      <c r="I2255" s="68"/>
      <c r="J2255" s="68"/>
      <c r="K2255" s="32"/>
      <c r="L2255" s="75"/>
      <c r="M2255" s="75"/>
      <c r="N2255" s="70"/>
      <c r="O2255" t="s">
        <v>1568</v>
      </c>
      <c r="P2255" s="76">
        <v>44958.868460648147</v>
      </c>
      <c r="Q2255" t="s">
        <v>1945</v>
      </c>
      <c r="V2255" s="77" t="str">
        <f>HYPERLINK("https://pbs.twimg.com/profile_images/1614087608308465666/uZDS5n0U_normal.jpg")</f>
        <v>https://pbs.twimg.com/profile_images/1614087608308465666/uZDS5n0U_normal.jpg</v>
      </c>
      <c r="W2255" s="76">
        <v>44958.868460648147</v>
      </c>
      <c r="X2255" s="80">
        <v>44958</v>
      </c>
      <c r="Y2255" s="78" t="s">
        <v>2989</v>
      </c>
      <c r="Z2255" s="77" t="str">
        <f>HYPERLINK("https://twitter.com/the_kelvinator_/status/1620887356558708736")</f>
        <v>https://twitter.com/the_kelvinator_/status/1620887356558708736</v>
      </c>
      <c r="AC2255" s="78" t="s">
        <v>4054</v>
      </c>
      <c r="AD2255" s="78" t="s">
        <v>4572</v>
      </c>
      <c r="AE2255" t="b">
        <v>0</v>
      </c>
      <c r="AF2255">
        <v>0</v>
      </c>
      <c r="AG2255" s="78" t="s">
        <v>4639</v>
      </c>
      <c r="AH2255" t="b">
        <v>0</v>
      </c>
      <c r="AI2255" t="s">
        <v>4829</v>
      </c>
      <c r="AK2255" s="78" t="s">
        <v>4640</v>
      </c>
      <c r="AL2255" t="b">
        <v>0</v>
      </c>
      <c r="AM2255">
        <v>0</v>
      </c>
      <c r="AN2255" s="78" t="s">
        <v>4640</v>
      </c>
      <c r="AO2255" s="78" t="s">
        <v>4849</v>
      </c>
      <c r="AP2255" t="b">
        <v>0</v>
      </c>
      <c r="AQ2255" s="78" t="s">
        <v>4572</v>
      </c>
      <c r="AR2255" t="s">
        <v>179</v>
      </c>
      <c r="AS2255">
        <v>0</v>
      </c>
      <c r="AT2255">
        <v>0</v>
      </c>
    </row>
    <row r="2256" spans="1:46" x14ac:dyDescent="0.45">
      <c r="A2256" s="62" t="s">
        <v>768</v>
      </c>
      <c r="B2256" s="62" t="s">
        <v>1046</v>
      </c>
      <c r="C2256" s="63"/>
      <c r="D2256" s="64"/>
      <c r="E2256" s="65"/>
      <c r="F2256" s="66"/>
      <c r="G2256" s="63"/>
      <c r="H2256" s="67"/>
      <c r="I2256" s="68"/>
      <c r="J2256" s="68"/>
      <c r="K2256" s="32"/>
      <c r="L2256" s="75"/>
      <c r="M2256" s="75"/>
      <c r="N2256" s="70"/>
      <c r="O2256" t="s">
        <v>1568</v>
      </c>
      <c r="P2256" s="76">
        <v>44958.868460648147</v>
      </c>
      <c r="Q2256" t="s">
        <v>1945</v>
      </c>
      <c r="V2256" s="77" t="str">
        <f>HYPERLINK("https://pbs.twimg.com/profile_images/1614087608308465666/uZDS5n0U_normal.jpg")</f>
        <v>https://pbs.twimg.com/profile_images/1614087608308465666/uZDS5n0U_normal.jpg</v>
      </c>
      <c r="W2256" s="76">
        <v>44958.868460648147</v>
      </c>
      <c r="X2256" s="80">
        <v>44958</v>
      </c>
      <c r="Y2256" s="78" t="s">
        <v>2989</v>
      </c>
      <c r="Z2256" s="77" t="str">
        <f>HYPERLINK("https://twitter.com/the_kelvinator_/status/1620887356558708736")</f>
        <v>https://twitter.com/the_kelvinator_/status/1620887356558708736</v>
      </c>
      <c r="AC2256" s="78" t="s">
        <v>4054</v>
      </c>
      <c r="AD2256" s="78" t="s">
        <v>4572</v>
      </c>
      <c r="AE2256" t="b">
        <v>0</v>
      </c>
      <c r="AF2256">
        <v>0</v>
      </c>
      <c r="AG2256" s="78" t="s">
        <v>4639</v>
      </c>
      <c r="AH2256" t="b">
        <v>0</v>
      </c>
      <c r="AI2256" t="s">
        <v>4829</v>
      </c>
      <c r="AK2256" s="78" t="s">
        <v>4640</v>
      </c>
      <c r="AL2256" t="b">
        <v>0</v>
      </c>
      <c r="AM2256">
        <v>0</v>
      </c>
      <c r="AN2256" s="78" t="s">
        <v>4640</v>
      </c>
      <c r="AO2256" s="78" t="s">
        <v>4849</v>
      </c>
      <c r="AP2256" t="b">
        <v>0</v>
      </c>
      <c r="AQ2256" s="78" t="s">
        <v>4572</v>
      </c>
      <c r="AR2256" t="s">
        <v>179</v>
      </c>
      <c r="AS2256">
        <v>0</v>
      </c>
      <c r="AT2256">
        <v>0</v>
      </c>
    </row>
    <row r="2257" spans="1:46" x14ac:dyDescent="0.45">
      <c r="A2257" s="62" t="s">
        <v>768</v>
      </c>
      <c r="B2257" s="62" t="s">
        <v>242</v>
      </c>
      <c r="C2257" s="63"/>
      <c r="D2257" s="64"/>
      <c r="E2257" s="65"/>
      <c r="F2257" s="66"/>
      <c r="G2257" s="63"/>
      <c r="H2257" s="67"/>
      <c r="I2257" s="68"/>
      <c r="J2257" s="68"/>
      <c r="K2257" s="32"/>
      <c r="L2257" s="75"/>
      <c r="M2257" s="75"/>
      <c r="N2257" s="70"/>
      <c r="O2257" t="s">
        <v>1567</v>
      </c>
      <c r="P2257" s="76">
        <v>44958.868460648147</v>
      </c>
      <c r="Q2257" t="s">
        <v>1945</v>
      </c>
      <c r="V2257" s="77" t="str">
        <f>HYPERLINK("https://pbs.twimg.com/profile_images/1614087608308465666/uZDS5n0U_normal.jpg")</f>
        <v>https://pbs.twimg.com/profile_images/1614087608308465666/uZDS5n0U_normal.jpg</v>
      </c>
      <c r="W2257" s="76">
        <v>44958.868460648147</v>
      </c>
      <c r="X2257" s="80">
        <v>44958</v>
      </c>
      <c r="Y2257" s="78" t="s">
        <v>2989</v>
      </c>
      <c r="Z2257" s="77" t="str">
        <f>HYPERLINK("https://twitter.com/the_kelvinator_/status/1620887356558708736")</f>
        <v>https://twitter.com/the_kelvinator_/status/1620887356558708736</v>
      </c>
      <c r="AC2257" s="78" t="s">
        <v>4054</v>
      </c>
      <c r="AD2257" s="78" t="s">
        <v>4572</v>
      </c>
      <c r="AE2257" t="b">
        <v>0</v>
      </c>
      <c r="AF2257">
        <v>0</v>
      </c>
      <c r="AG2257" s="78" t="s">
        <v>4639</v>
      </c>
      <c r="AH2257" t="b">
        <v>0</v>
      </c>
      <c r="AI2257" t="s">
        <v>4829</v>
      </c>
      <c r="AK2257" s="78" t="s">
        <v>4640</v>
      </c>
      <c r="AL2257" t="b">
        <v>0</v>
      </c>
      <c r="AM2257">
        <v>0</v>
      </c>
      <c r="AN2257" s="78" t="s">
        <v>4640</v>
      </c>
      <c r="AO2257" s="78" t="s">
        <v>4849</v>
      </c>
      <c r="AP2257" t="b">
        <v>0</v>
      </c>
      <c r="AQ2257" s="78" t="s">
        <v>4572</v>
      </c>
      <c r="AR2257" t="s">
        <v>179</v>
      </c>
      <c r="AS2257">
        <v>0</v>
      </c>
      <c r="AT2257">
        <v>0</v>
      </c>
    </row>
    <row r="2258" spans="1:46" x14ac:dyDescent="0.45">
      <c r="A2258" s="62" t="s">
        <v>769</v>
      </c>
      <c r="B2258" s="62" t="s">
        <v>1265</v>
      </c>
      <c r="C2258" s="63"/>
      <c r="D2258" s="64"/>
      <c r="E2258" s="65"/>
      <c r="F2258" s="66"/>
      <c r="G2258" s="63"/>
      <c r="H2258" s="67"/>
      <c r="I2258" s="68"/>
      <c r="J2258" s="68"/>
      <c r="K2258" s="32"/>
      <c r="L2258" s="75"/>
      <c r="M2258" s="75"/>
      <c r="N2258" s="70"/>
      <c r="O2258" t="s">
        <v>1568</v>
      </c>
      <c r="P2258" s="76">
        <v>44958.953738425924</v>
      </c>
      <c r="Q2258" t="s">
        <v>1947</v>
      </c>
      <c r="U2258" s="77" t="str">
        <f>HYPERLINK("https://pbs.twimg.com/ext_tw_video_thumb/1620918068535869441/pu/img/NS9RQpRahYeEuXJF.jpg")</f>
        <v>https://pbs.twimg.com/ext_tw_video_thumb/1620918068535869441/pu/img/NS9RQpRahYeEuXJF.jpg</v>
      </c>
      <c r="V2258" s="77" t="str">
        <f>HYPERLINK("https://pbs.twimg.com/ext_tw_video_thumb/1620918068535869441/pu/img/NS9RQpRahYeEuXJF.jpg")</f>
        <v>https://pbs.twimg.com/ext_tw_video_thumb/1620918068535869441/pu/img/NS9RQpRahYeEuXJF.jpg</v>
      </c>
      <c r="W2258" s="76">
        <v>44958.953738425924</v>
      </c>
      <c r="X2258" s="80">
        <v>44958</v>
      </c>
      <c r="Y2258" s="78" t="s">
        <v>2991</v>
      </c>
      <c r="Z2258" s="77" t="str">
        <f>HYPERLINK("https://twitter.com/fortnitemidas95/status/1620918262446825473")</f>
        <v>https://twitter.com/fortnitemidas95/status/1620918262446825473</v>
      </c>
      <c r="AC2258" s="78" t="s">
        <v>4056</v>
      </c>
      <c r="AE2258" t="b">
        <v>0</v>
      </c>
      <c r="AF2258">
        <v>0</v>
      </c>
      <c r="AG2258" s="78" t="s">
        <v>4741</v>
      </c>
      <c r="AH2258" t="b">
        <v>0</v>
      </c>
      <c r="AI2258" t="s">
        <v>4829</v>
      </c>
      <c r="AK2258" s="78" t="s">
        <v>4640</v>
      </c>
      <c r="AL2258" t="b">
        <v>0</v>
      </c>
      <c r="AM2258">
        <v>0</v>
      </c>
      <c r="AN2258" s="78" t="s">
        <v>4640</v>
      </c>
      <c r="AO2258" s="78" t="s">
        <v>4851</v>
      </c>
      <c r="AP2258" t="b">
        <v>0</v>
      </c>
      <c r="AQ2258" s="78" t="s">
        <v>4056</v>
      </c>
      <c r="AR2258" t="s">
        <v>179</v>
      </c>
      <c r="AS2258">
        <v>0</v>
      </c>
      <c r="AT2258">
        <v>0</v>
      </c>
    </row>
    <row r="2259" spans="1:46" x14ac:dyDescent="0.45">
      <c r="A2259" s="62" t="s">
        <v>769</v>
      </c>
      <c r="B2259" s="62" t="s">
        <v>242</v>
      </c>
      <c r="C2259" s="63"/>
      <c r="D2259" s="64"/>
      <c r="E2259" s="65"/>
      <c r="F2259" s="66"/>
      <c r="G2259" s="63"/>
      <c r="H2259" s="67"/>
      <c r="I2259" s="68"/>
      <c r="J2259" s="68"/>
      <c r="K2259" s="32"/>
      <c r="L2259" s="75"/>
      <c r="M2259" s="75"/>
      <c r="N2259" s="70"/>
      <c r="O2259" t="s">
        <v>1568</v>
      </c>
      <c r="P2259" s="76">
        <v>44958.953738425924</v>
      </c>
      <c r="Q2259" t="s">
        <v>1947</v>
      </c>
      <c r="U2259" s="77" t="str">
        <f>HYPERLINK("https://pbs.twimg.com/ext_tw_video_thumb/1620918068535869441/pu/img/NS9RQpRahYeEuXJF.jpg")</f>
        <v>https://pbs.twimg.com/ext_tw_video_thumb/1620918068535869441/pu/img/NS9RQpRahYeEuXJF.jpg</v>
      </c>
      <c r="V2259" s="77" t="str">
        <f>HYPERLINK("https://pbs.twimg.com/ext_tw_video_thumb/1620918068535869441/pu/img/NS9RQpRahYeEuXJF.jpg")</f>
        <v>https://pbs.twimg.com/ext_tw_video_thumb/1620918068535869441/pu/img/NS9RQpRahYeEuXJF.jpg</v>
      </c>
      <c r="W2259" s="76">
        <v>44958.953738425924</v>
      </c>
      <c r="X2259" s="80">
        <v>44958</v>
      </c>
      <c r="Y2259" s="78" t="s">
        <v>2991</v>
      </c>
      <c r="Z2259" s="77" t="str">
        <f>HYPERLINK("https://twitter.com/fortnitemidas95/status/1620918262446825473")</f>
        <v>https://twitter.com/fortnitemidas95/status/1620918262446825473</v>
      </c>
      <c r="AC2259" s="78" t="s">
        <v>4056</v>
      </c>
      <c r="AE2259" t="b">
        <v>0</v>
      </c>
      <c r="AF2259">
        <v>0</v>
      </c>
      <c r="AG2259" s="78" t="s">
        <v>4741</v>
      </c>
      <c r="AH2259" t="b">
        <v>0</v>
      </c>
      <c r="AI2259" t="s">
        <v>4829</v>
      </c>
      <c r="AK2259" s="78" t="s">
        <v>4640</v>
      </c>
      <c r="AL2259" t="b">
        <v>0</v>
      </c>
      <c r="AM2259">
        <v>0</v>
      </c>
      <c r="AN2259" s="78" t="s">
        <v>4640</v>
      </c>
      <c r="AO2259" s="78" t="s">
        <v>4851</v>
      </c>
      <c r="AP2259" t="b">
        <v>0</v>
      </c>
      <c r="AQ2259" s="78" t="s">
        <v>4056</v>
      </c>
      <c r="AR2259" t="s">
        <v>179</v>
      </c>
      <c r="AS2259">
        <v>0</v>
      </c>
      <c r="AT2259">
        <v>0</v>
      </c>
    </row>
    <row r="2260" spans="1:46" x14ac:dyDescent="0.45">
      <c r="A2260" s="62" t="s">
        <v>769</v>
      </c>
      <c r="B2260" s="62" t="s">
        <v>1364</v>
      </c>
      <c r="C2260" s="63"/>
      <c r="D2260" s="64"/>
      <c r="E2260" s="65"/>
      <c r="F2260" s="66"/>
      <c r="G2260" s="63"/>
      <c r="H2260" s="67"/>
      <c r="I2260" s="68"/>
      <c r="J2260" s="68"/>
      <c r="K2260" s="32"/>
      <c r="L2260" s="75"/>
      <c r="M2260" s="75"/>
      <c r="N2260" s="70"/>
      <c r="O2260" t="s">
        <v>1567</v>
      </c>
      <c r="P2260" s="76">
        <v>44958.953738425924</v>
      </c>
      <c r="Q2260" t="s">
        <v>1947</v>
      </c>
      <c r="U2260" s="77" t="str">
        <f>HYPERLINK("https://pbs.twimg.com/ext_tw_video_thumb/1620918068535869441/pu/img/NS9RQpRahYeEuXJF.jpg")</f>
        <v>https://pbs.twimg.com/ext_tw_video_thumb/1620918068535869441/pu/img/NS9RQpRahYeEuXJF.jpg</v>
      </c>
      <c r="V2260" s="77" t="str">
        <f>HYPERLINK("https://pbs.twimg.com/ext_tw_video_thumb/1620918068535869441/pu/img/NS9RQpRahYeEuXJF.jpg")</f>
        <v>https://pbs.twimg.com/ext_tw_video_thumb/1620918068535869441/pu/img/NS9RQpRahYeEuXJF.jpg</v>
      </c>
      <c r="W2260" s="76">
        <v>44958.953738425924</v>
      </c>
      <c r="X2260" s="80">
        <v>44958</v>
      </c>
      <c r="Y2260" s="78" t="s">
        <v>2991</v>
      </c>
      <c r="Z2260" s="77" t="str">
        <f>HYPERLINK("https://twitter.com/fortnitemidas95/status/1620918262446825473")</f>
        <v>https://twitter.com/fortnitemidas95/status/1620918262446825473</v>
      </c>
      <c r="AC2260" s="78" t="s">
        <v>4056</v>
      </c>
      <c r="AE2260" t="b">
        <v>0</v>
      </c>
      <c r="AF2260">
        <v>0</v>
      </c>
      <c r="AG2260" s="78" t="s">
        <v>4741</v>
      </c>
      <c r="AH2260" t="b">
        <v>0</v>
      </c>
      <c r="AI2260" t="s">
        <v>4829</v>
      </c>
      <c r="AK2260" s="78" t="s">
        <v>4640</v>
      </c>
      <c r="AL2260" t="b">
        <v>0</v>
      </c>
      <c r="AM2260">
        <v>0</v>
      </c>
      <c r="AN2260" s="78" t="s">
        <v>4640</v>
      </c>
      <c r="AO2260" s="78" t="s">
        <v>4851</v>
      </c>
      <c r="AP2260" t="b">
        <v>0</v>
      </c>
      <c r="AQ2260" s="78" t="s">
        <v>4056</v>
      </c>
      <c r="AR2260" t="s">
        <v>179</v>
      </c>
      <c r="AS2260">
        <v>0</v>
      </c>
      <c r="AT2260">
        <v>0</v>
      </c>
    </row>
    <row r="2261" spans="1:46" x14ac:dyDescent="0.45">
      <c r="A2261" s="62" t="s">
        <v>774</v>
      </c>
      <c r="B2261" s="62" t="s">
        <v>242</v>
      </c>
      <c r="C2261" s="63"/>
      <c r="D2261" s="64"/>
      <c r="E2261" s="65"/>
      <c r="F2261" s="66"/>
      <c r="G2261" s="63"/>
      <c r="H2261" s="67"/>
      <c r="I2261" s="68"/>
      <c r="J2261" s="68"/>
      <c r="K2261" s="32"/>
      <c r="L2261" s="75"/>
      <c r="M2261" s="75"/>
      <c r="N2261" s="70"/>
      <c r="O2261" t="s">
        <v>1568</v>
      </c>
      <c r="P2261" s="76">
        <v>44958.959166666667</v>
      </c>
      <c r="Q2261" t="s">
        <v>1951</v>
      </c>
      <c r="V2261" s="77" t="str">
        <f>HYPERLINK("https://pbs.twimg.com/profile_images/1619799450980851718/soujw55s_normal.jpg")</f>
        <v>https://pbs.twimg.com/profile_images/1619799450980851718/soujw55s_normal.jpg</v>
      </c>
      <c r="W2261" s="76">
        <v>44958.959166666667</v>
      </c>
      <c r="X2261" s="80">
        <v>44958</v>
      </c>
      <c r="Y2261" s="78" t="s">
        <v>2996</v>
      </c>
      <c r="Z2261" s="77" t="str">
        <f>HYPERLINK("https://twitter.com/rmexico11/status/1620920229051375616")</f>
        <v>https://twitter.com/rmexico11/status/1620920229051375616</v>
      </c>
      <c r="AC2261" s="78" t="s">
        <v>4061</v>
      </c>
      <c r="AD2261" s="78" t="s">
        <v>4573</v>
      </c>
      <c r="AE2261" t="b">
        <v>0</v>
      </c>
      <c r="AF2261">
        <v>0</v>
      </c>
      <c r="AG2261" s="78" t="s">
        <v>4655</v>
      </c>
      <c r="AH2261" t="b">
        <v>0</v>
      </c>
      <c r="AI2261" t="s">
        <v>4829</v>
      </c>
      <c r="AK2261" s="78" t="s">
        <v>4640</v>
      </c>
      <c r="AL2261" t="b">
        <v>0</v>
      </c>
      <c r="AM2261">
        <v>0</v>
      </c>
      <c r="AN2261" s="78" t="s">
        <v>4640</v>
      </c>
      <c r="AO2261" s="78" t="s">
        <v>4849</v>
      </c>
      <c r="AP2261" t="b">
        <v>0</v>
      </c>
      <c r="AQ2261" s="78" t="s">
        <v>4573</v>
      </c>
      <c r="AR2261" t="s">
        <v>179</v>
      </c>
      <c r="AS2261">
        <v>0</v>
      </c>
      <c r="AT2261">
        <v>0</v>
      </c>
    </row>
    <row r="2262" spans="1:46" x14ac:dyDescent="0.45">
      <c r="A2262" s="62" t="s">
        <v>774</v>
      </c>
      <c r="B2262" s="62" t="s">
        <v>1151</v>
      </c>
      <c r="C2262" s="63"/>
      <c r="D2262" s="64"/>
      <c r="E2262" s="65"/>
      <c r="F2262" s="66"/>
      <c r="G2262" s="63"/>
      <c r="H2262" s="67"/>
      <c r="I2262" s="68"/>
      <c r="J2262" s="68"/>
      <c r="K2262" s="32"/>
      <c r="L2262" s="75"/>
      <c r="M2262" s="75"/>
      <c r="N2262" s="70"/>
      <c r="O2262" t="s">
        <v>1567</v>
      </c>
      <c r="P2262" s="76">
        <v>44958.959166666667</v>
      </c>
      <c r="Q2262" t="s">
        <v>1951</v>
      </c>
      <c r="V2262" s="77" t="str">
        <f>HYPERLINK("https://pbs.twimg.com/profile_images/1619799450980851718/soujw55s_normal.jpg")</f>
        <v>https://pbs.twimg.com/profile_images/1619799450980851718/soujw55s_normal.jpg</v>
      </c>
      <c r="W2262" s="76">
        <v>44958.959166666667</v>
      </c>
      <c r="X2262" s="80">
        <v>44958</v>
      </c>
      <c r="Y2262" s="78" t="s">
        <v>2996</v>
      </c>
      <c r="Z2262" s="77" t="str">
        <f>HYPERLINK("https://twitter.com/rmexico11/status/1620920229051375616")</f>
        <v>https://twitter.com/rmexico11/status/1620920229051375616</v>
      </c>
      <c r="AC2262" s="78" t="s">
        <v>4061</v>
      </c>
      <c r="AD2262" s="78" t="s">
        <v>4573</v>
      </c>
      <c r="AE2262" t="b">
        <v>0</v>
      </c>
      <c r="AF2262">
        <v>0</v>
      </c>
      <c r="AG2262" s="78" t="s">
        <v>4655</v>
      </c>
      <c r="AH2262" t="b">
        <v>0</v>
      </c>
      <c r="AI2262" t="s">
        <v>4829</v>
      </c>
      <c r="AK2262" s="78" t="s">
        <v>4640</v>
      </c>
      <c r="AL2262" t="b">
        <v>0</v>
      </c>
      <c r="AM2262">
        <v>0</v>
      </c>
      <c r="AN2262" s="78" t="s">
        <v>4640</v>
      </c>
      <c r="AO2262" s="78" t="s">
        <v>4849</v>
      </c>
      <c r="AP2262" t="b">
        <v>0</v>
      </c>
      <c r="AQ2262" s="78" t="s">
        <v>4573</v>
      </c>
      <c r="AR2262" t="s">
        <v>179</v>
      </c>
      <c r="AS2262">
        <v>0</v>
      </c>
      <c r="AT2262">
        <v>0</v>
      </c>
    </row>
    <row r="2263" spans="1:46" x14ac:dyDescent="0.45">
      <c r="A2263" s="62" t="s">
        <v>777</v>
      </c>
      <c r="B2263" s="62" t="s">
        <v>1313</v>
      </c>
      <c r="C2263" s="63"/>
      <c r="D2263" s="64"/>
      <c r="E2263" s="65"/>
      <c r="F2263" s="66"/>
      <c r="G2263" s="63"/>
      <c r="H2263" s="67"/>
      <c r="I2263" s="68"/>
      <c r="J2263" s="68"/>
      <c r="K2263" s="32"/>
      <c r="L2263" s="75"/>
      <c r="M2263" s="75"/>
      <c r="N2263" s="70"/>
      <c r="O2263" t="s">
        <v>1570</v>
      </c>
      <c r="P2263" s="76">
        <v>44958.960405092592</v>
      </c>
      <c r="Q2263" t="s">
        <v>1832</v>
      </c>
      <c r="V2263" s="77" t="str">
        <f>HYPERLINK("https://pbs.twimg.com/profile_images/1609024028735324160/Hl1f8PNn_normal.jpg")</f>
        <v>https://pbs.twimg.com/profile_images/1609024028735324160/Hl1f8PNn_normal.jpg</v>
      </c>
      <c r="W2263" s="76">
        <v>44958.960405092592</v>
      </c>
      <c r="X2263" s="80">
        <v>44958</v>
      </c>
      <c r="Y2263" s="78" t="s">
        <v>2999</v>
      </c>
      <c r="Z2263" s="77" t="str">
        <f>HYPERLINK("https://twitter.com/giras0ul/status/1620920678097747969")</f>
        <v>https://twitter.com/giras0ul/status/1620920678097747969</v>
      </c>
      <c r="AC2263" s="78" t="s">
        <v>4064</v>
      </c>
      <c r="AE2263" t="b">
        <v>0</v>
      </c>
      <c r="AF2263">
        <v>0</v>
      </c>
      <c r="AG2263" s="78" t="s">
        <v>4640</v>
      </c>
      <c r="AH2263" t="b">
        <v>0</v>
      </c>
      <c r="AI2263" t="s">
        <v>4829</v>
      </c>
      <c r="AK2263" s="78" t="s">
        <v>4640</v>
      </c>
      <c r="AL2263" t="b">
        <v>0</v>
      </c>
      <c r="AM2263">
        <v>4</v>
      </c>
      <c r="AN2263" s="78" t="s">
        <v>4063</v>
      </c>
      <c r="AO2263" s="78" t="s">
        <v>4849</v>
      </c>
      <c r="AP2263" t="b">
        <v>0</v>
      </c>
      <c r="AQ2263" s="78" t="s">
        <v>4063</v>
      </c>
      <c r="AR2263" t="s">
        <v>179</v>
      </c>
      <c r="AS2263">
        <v>0</v>
      </c>
      <c r="AT2263">
        <v>0</v>
      </c>
    </row>
    <row r="2264" spans="1:46" x14ac:dyDescent="0.45">
      <c r="A2264" s="62" t="s">
        <v>777</v>
      </c>
      <c r="B2264" s="62" t="s">
        <v>776</v>
      </c>
      <c r="C2264" s="63"/>
      <c r="D2264" s="64"/>
      <c r="E2264" s="65"/>
      <c r="F2264" s="66"/>
      <c r="G2264" s="63"/>
      <c r="H2264" s="67"/>
      <c r="I2264" s="68"/>
      <c r="J2264" s="68"/>
      <c r="K2264" s="32"/>
      <c r="L2264" s="75"/>
      <c r="M2264" s="75"/>
      <c r="N2264" s="70"/>
      <c r="O2264" t="s">
        <v>1569</v>
      </c>
      <c r="P2264" s="76">
        <v>44958.960405092592</v>
      </c>
      <c r="Q2264" t="s">
        <v>1832</v>
      </c>
      <c r="V2264" s="77" t="str">
        <f>HYPERLINK("https://pbs.twimg.com/profile_images/1609024028735324160/Hl1f8PNn_normal.jpg")</f>
        <v>https://pbs.twimg.com/profile_images/1609024028735324160/Hl1f8PNn_normal.jpg</v>
      </c>
      <c r="W2264" s="76">
        <v>44958.960405092592</v>
      </c>
      <c r="X2264" s="80">
        <v>44958</v>
      </c>
      <c r="Y2264" s="78" t="s">
        <v>2999</v>
      </c>
      <c r="Z2264" s="77" t="str">
        <f>HYPERLINK("https://twitter.com/giras0ul/status/1620920678097747969")</f>
        <v>https://twitter.com/giras0ul/status/1620920678097747969</v>
      </c>
      <c r="AC2264" s="78" t="s">
        <v>4064</v>
      </c>
      <c r="AE2264" t="b">
        <v>0</v>
      </c>
      <c r="AF2264">
        <v>0</v>
      </c>
      <c r="AG2264" s="78" t="s">
        <v>4640</v>
      </c>
      <c r="AH2264" t="b">
        <v>0</v>
      </c>
      <c r="AI2264" t="s">
        <v>4829</v>
      </c>
      <c r="AK2264" s="78" t="s">
        <v>4640</v>
      </c>
      <c r="AL2264" t="b">
        <v>0</v>
      </c>
      <c r="AM2264">
        <v>4</v>
      </c>
      <c r="AN2264" s="78" t="s">
        <v>4063</v>
      </c>
      <c r="AO2264" s="78" t="s">
        <v>4849</v>
      </c>
      <c r="AP2264" t="b">
        <v>0</v>
      </c>
      <c r="AQ2264" s="78" t="s">
        <v>4063</v>
      </c>
      <c r="AR2264" t="s">
        <v>179</v>
      </c>
      <c r="AS2264">
        <v>0</v>
      </c>
      <c r="AT2264">
        <v>0</v>
      </c>
    </row>
    <row r="2265" spans="1:46" x14ac:dyDescent="0.45">
      <c r="A2265" s="62" t="s">
        <v>777</v>
      </c>
      <c r="B2265" s="62" t="s">
        <v>242</v>
      </c>
      <c r="C2265" s="63"/>
      <c r="D2265" s="64"/>
      <c r="E2265" s="65"/>
      <c r="F2265" s="66"/>
      <c r="G2265" s="63"/>
      <c r="H2265" s="67"/>
      <c r="I2265" s="68"/>
      <c r="J2265" s="68"/>
      <c r="K2265" s="32"/>
      <c r="L2265" s="75"/>
      <c r="M2265" s="75"/>
      <c r="N2265" s="70"/>
      <c r="O2265" t="s">
        <v>1570</v>
      </c>
      <c r="P2265" s="76">
        <v>44958.960405092592</v>
      </c>
      <c r="Q2265" t="s">
        <v>1832</v>
      </c>
      <c r="V2265" s="77" t="str">
        <f>HYPERLINK("https://pbs.twimg.com/profile_images/1609024028735324160/Hl1f8PNn_normal.jpg")</f>
        <v>https://pbs.twimg.com/profile_images/1609024028735324160/Hl1f8PNn_normal.jpg</v>
      </c>
      <c r="W2265" s="76">
        <v>44958.960405092592</v>
      </c>
      <c r="X2265" s="80">
        <v>44958</v>
      </c>
      <c r="Y2265" s="78" t="s">
        <v>2999</v>
      </c>
      <c r="Z2265" s="77" t="str">
        <f>HYPERLINK("https://twitter.com/giras0ul/status/1620920678097747969")</f>
        <v>https://twitter.com/giras0ul/status/1620920678097747969</v>
      </c>
      <c r="AC2265" s="78" t="s">
        <v>4064</v>
      </c>
      <c r="AE2265" t="b">
        <v>0</v>
      </c>
      <c r="AF2265">
        <v>0</v>
      </c>
      <c r="AG2265" s="78" t="s">
        <v>4640</v>
      </c>
      <c r="AH2265" t="b">
        <v>0</v>
      </c>
      <c r="AI2265" t="s">
        <v>4829</v>
      </c>
      <c r="AK2265" s="78" t="s">
        <v>4640</v>
      </c>
      <c r="AL2265" t="b">
        <v>0</v>
      </c>
      <c r="AM2265">
        <v>4</v>
      </c>
      <c r="AN2265" s="78" t="s">
        <v>4063</v>
      </c>
      <c r="AO2265" s="78" t="s">
        <v>4849</v>
      </c>
      <c r="AP2265" t="b">
        <v>0</v>
      </c>
      <c r="AQ2265" s="78" t="s">
        <v>4063</v>
      </c>
      <c r="AR2265" t="s">
        <v>179</v>
      </c>
      <c r="AS2265">
        <v>0</v>
      </c>
      <c r="AT2265">
        <v>0</v>
      </c>
    </row>
    <row r="2266" spans="1:46" x14ac:dyDescent="0.45">
      <c r="A2266" s="62" t="s">
        <v>784</v>
      </c>
      <c r="B2266" s="62" t="s">
        <v>1230</v>
      </c>
      <c r="C2266" s="63"/>
      <c r="D2266" s="64"/>
      <c r="E2266" s="65"/>
      <c r="F2266" s="66"/>
      <c r="G2266" s="63"/>
      <c r="H2266" s="67"/>
      <c r="I2266" s="68"/>
      <c r="J2266" s="68"/>
      <c r="K2266" s="32"/>
      <c r="L2266" s="75"/>
      <c r="M2266" s="75"/>
      <c r="N2266" s="70"/>
      <c r="O2266" t="s">
        <v>1570</v>
      </c>
      <c r="P2266" s="76">
        <v>44958.970833333333</v>
      </c>
      <c r="Q2266" t="s">
        <v>1693</v>
      </c>
      <c r="V2266" s="77" t="str">
        <f>HYPERLINK("https://pbs.twimg.com/profile_images/1609522227376181249/VZlQasoK_normal.jpg")</f>
        <v>https://pbs.twimg.com/profile_images/1609522227376181249/VZlQasoK_normal.jpg</v>
      </c>
      <c r="W2266" s="76">
        <v>44958.970833333333</v>
      </c>
      <c r="X2266" s="80">
        <v>44958</v>
      </c>
      <c r="Y2266" s="78" t="s">
        <v>3006</v>
      </c>
      <c r="Z2266" s="77" t="str">
        <f>HYPERLINK("https://twitter.com/mileyknows/status/1620924455278231553")</f>
        <v>https://twitter.com/mileyknows/status/1620924455278231553</v>
      </c>
      <c r="AC2266" s="78" t="s">
        <v>4071</v>
      </c>
      <c r="AE2266" t="b">
        <v>0</v>
      </c>
      <c r="AF2266">
        <v>0</v>
      </c>
      <c r="AG2266" s="78" t="s">
        <v>4640</v>
      </c>
      <c r="AH2266" t="b">
        <v>0</v>
      </c>
      <c r="AI2266" t="s">
        <v>4829</v>
      </c>
      <c r="AK2266" s="78" t="s">
        <v>4640</v>
      </c>
      <c r="AL2266" t="b">
        <v>0</v>
      </c>
      <c r="AM2266">
        <v>162</v>
      </c>
      <c r="AN2266" s="78" t="s">
        <v>4473</v>
      </c>
      <c r="AO2266" s="78" t="s">
        <v>4850</v>
      </c>
      <c r="AP2266" t="b">
        <v>0</v>
      </c>
      <c r="AQ2266" s="78" t="s">
        <v>4473</v>
      </c>
      <c r="AR2266" t="s">
        <v>179</v>
      </c>
      <c r="AS2266">
        <v>0</v>
      </c>
      <c r="AT2266">
        <v>0</v>
      </c>
    </row>
    <row r="2267" spans="1:46" x14ac:dyDescent="0.45">
      <c r="A2267" s="62" t="s">
        <v>784</v>
      </c>
      <c r="B2267" s="62" t="s">
        <v>242</v>
      </c>
      <c r="C2267" s="63"/>
      <c r="D2267" s="64"/>
      <c r="E2267" s="65"/>
      <c r="F2267" s="66"/>
      <c r="G2267" s="63"/>
      <c r="H2267" s="67"/>
      <c r="I2267" s="68"/>
      <c r="J2267" s="68"/>
      <c r="K2267" s="32"/>
      <c r="L2267" s="75"/>
      <c r="M2267" s="75"/>
      <c r="N2267" s="70"/>
      <c r="O2267" t="s">
        <v>1569</v>
      </c>
      <c r="P2267" s="76">
        <v>44958.970833333333</v>
      </c>
      <c r="Q2267" t="s">
        <v>1693</v>
      </c>
      <c r="V2267" s="77" t="str">
        <f>HYPERLINK("https://pbs.twimg.com/profile_images/1609522227376181249/VZlQasoK_normal.jpg")</f>
        <v>https://pbs.twimg.com/profile_images/1609522227376181249/VZlQasoK_normal.jpg</v>
      </c>
      <c r="W2267" s="76">
        <v>44958.970833333333</v>
      </c>
      <c r="X2267" s="80">
        <v>44958</v>
      </c>
      <c r="Y2267" s="78" t="s">
        <v>3006</v>
      </c>
      <c r="Z2267" s="77" t="str">
        <f>HYPERLINK("https://twitter.com/mileyknows/status/1620924455278231553")</f>
        <v>https://twitter.com/mileyknows/status/1620924455278231553</v>
      </c>
      <c r="AC2267" s="78" t="s">
        <v>4071</v>
      </c>
      <c r="AE2267" t="b">
        <v>0</v>
      </c>
      <c r="AF2267">
        <v>0</v>
      </c>
      <c r="AG2267" s="78" t="s">
        <v>4640</v>
      </c>
      <c r="AH2267" t="b">
        <v>0</v>
      </c>
      <c r="AI2267" t="s">
        <v>4829</v>
      </c>
      <c r="AK2267" s="78" t="s">
        <v>4640</v>
      </c>
      <c r="AL2267" t="b">
        <v>0</v>
      </c>
      <c r="AM2267">
        <v>162</v>
      </c>
      <c r="AN2267" s="78" t="s">
        <v>4473</v>
      </c>
      <c r="AO2267" s="78" t="s">
        <v>4850</v>
      </c>
      <c r="AP2267" t="b">
        <v>0</v>
      </c>
      <c r="AQ2267" s="78" t="s">
        <v>4473</v>
      </c>
      <c r="AR2267" t="s">
        <v>179</v>
      </c>
      <c r="AS2267">
        <v>0</v>
      </c>
      <c r="AT2267">
        <v>0</v>
      </c>
    </row>
    <row r="2268" spans="1:46" x14ac:dyDescent="0.45">
      <c r="A2268" s="62" t="s">
        <v>787</v>
      </c>
      <c r="B2268" s="62" t="s">
        <v>242</v>
      </c>
      <c r="C2268" s="63"/>
      <c r="D2268" s="64"/>
      <c r="E2268" s="65"/>
      <c r="F2268" s="66"/>
      <c r="G2268" s="63"/>
      <c r="H2268" s="67"/>
      <c r="I2268" s="68"/>
      <c r="J2268" s="68"/>
      <c r="K2268" s="32"/>
      <c r="L2268" s="75"/>
      <c r="M2268" s="75"/>
      <c r="N2268" s="70"/>
      <c r="O2268" t="s">
        <v>1567</v>
      </c>
      <c r="P2268" s="76">
        <v>44958.97246527778</v>
      </c>
      <c r="Q2268" t="s">
        <v>1960</v>
      </c>
      <c r="V2268" s="77" t="str">
        <f>HYPERLINK("https://pbs.twimg.com/profile_images/637809153101201411/XxB7-v7L_normal.jpg")</f>
        <v>https://pbs.twimg.com/profile_images/637809153101201411/XxB7-v7L_normal.jpg</v>
      </c>
      <c r="W2268" s="76">
        <v>44958.97246527778</v>
      </c>
      <c r="X2268" s="80">
        <v>44958</v>
      </c>
      <c r="Y2268" s="78" t="s">
        <v>3009</v>
      </c>
      <c r="Z2268" s="77" t="str">
        <f>HYPERLINK("https://twitter.com/94hoo/status/1620925047937589248")</f>
        <v>https://twitter.com/94hoo/status/1620925047937589248</v>
      </c>
      <c r="AC2268" s="78" t="s">
        <v>4074</v>
      </c>
      <c r="AE2268" t="b">
        <v>0</v>
      </c>
      <c r="AF2268">
        <v>0</v>
      </c>
      <c r="AG2268" s="78" t="s">
        <v>4639</v>
      </c>
      <c r="AH2268" t="b">
        <v>0</v>
      </c>
      <c r="AI2268" t="s">
        <v>4829</v>
      </c>
      <c r="AK2268" s="78" t="s">
        <v>4640</v>
      </c>
      <c r="AL2268" t="b">
        <v>0</v>
      </c>
      <c r="AM2268">
        <v>0</v>
      </c>
      <c r="AN2268" s="78" t="s">
        <v>4640</v>
      </c>
      <c r="AO2268" s="78" t="s">
        <v>4849</v>
      </c>
      <c r="AP2268" t="b">
        <v>0</v>
      </c>
      <c r="AQ2268" s="78" t="s">
        <v>4074</v>
      </c>
      <c r="AR2268" t="s">
        <v>179</v>
      </c>
      <c r="AS2268">
        <v>0</v>
      </c>
      <c r="AT2268">
        <v>0</v>
      </c>
    </row>
    <row r="2269" spans="1:46" x14ac:dyDescent="0.45">
      <c r="A2269" s="62" t="s">
        <v>789</v>
      </c>
      <c r="B2269" s="62" t="s">
        <v>1369</v>
      </c>
      <c r="C2269" s="63"/>
      <c r="D2269" s="64"/>
      <c r="E2269" s="65"/>
      <c r="F2269" s="66"/>
      <c r="G2269" s="63"/>
      <c r="H2269" s="67"/>
      <c r="I2269" s="68"/>
      <c r="J2269" s="68"/>
      <c r="K2269" s="32"/>
      <c r="L2269" s="75"/>
      <c r="M2269" s="75"/>
      <c r="N2269" s="70"/>
      <c r="O2269" t="s">
        <v>1570</v>
      </c>
      <c r="P2269" s="76">
        <v>44958.972997685189</v>
      </c>
      <c r="Q2269" t="s">
        <v>1961</v>
      </c>
      <c r="V2269" s="77" t="str">
        <f>HYPERLINK("https://pbs.twimg.com/profile_images/1124772096062644224/M__G53Pt_normal.jpg")</f>
        <v>https://pbs.twimg.com/profile_images/1124772096062644224/M__G53Pt_normal.jpg</v>
      </c>
      <c r="W2269" s="76">
        <v>44958.972997685189</v>
      </c>
      <c r="X2269" s="80">
        <v>44958</v>
      </c>
      <c r="Y2269" s="78" t="s">
        <v>3011</v>
      </c>
      <c r="Z2269" s="77" t="str">
        <f>HYPERLINK("https://twitter.com/jparker_cisd/status/1620925239587930115")</f>
        <v>https://twitter.com/jparker_cisd/status/1620925239587930115</v>
      </c>
      <c r="AC2269" s="78" t="s">
        <v>4076</v>
      </c>
      <c r="AE2269" t="b">
        <v>0</v>
      </c>
      <c r="AF2269">
        <v>0</v>
      </c>
      <c r="AG2269" s="78" t="s">
        <v>4640</v>
      </c>
      <c r="AH2269" t="b">
        <v>0</v>
      </c>
      <c r="AI2269" t="s">
        <v>4829</v>
      </c>
      <c r="AK2269" s="78" t="s">
        <v>4640</v>
      </c>
      <c r="AL2269" t="b">
        <v>0</v>
      </c>
      <c r="AM2269">
        <v>1</v>
      </c>
      <c r="AN2269" s="78" t="s">
        <v>4075</v>
      </c>
      <c r="AO2269" s="78" t="s">
        <v>4850</v>
      </c>
      <c r="AP2269" t="b">
        <v>0</v>
      </c>
      <c r="AQ2269" s="78" t="s">
        <v>4075</v>
      </c>
      <c r="AR2269" t="s">
        <v>179</v>
      </c>
      <c r="AS2269">
        <v>0</v>
      </c>
      <c r="AT2269">
        <v>0</v>
      </c>
    </row>
    <row r="2270" spans="1:46" x14ac:dyDescent="0.45">
      <c r="A2270" s="62" t="s">
        <v>789</v>
      </c>
      <c r="B2270" s="62" t="s">
        <v>1370</v>
      </c>
      <c r="C2270" s="63"/>
      <c r="D2270" s="64"/>
      <c r="E2270" s="65"/>
      <c r="F2270" s="66"/>
      <c r="G2270" s="63"/>
      <c r="H2270" s="67"/>
      <c r="I2270" s="68"/>
      <c r="J2270" s="68"/>
      <c r="K2270" s="32"/>
      <c r="L2270" s="75"/>
      <c r="M2270" s="75"/>
      <c r="N2270" s="70"/>
      <c r="O2270" t="s">
        <v>1570</v>
      </c>
      <c r="P2270" s="76">
        <v>44958.972997685189</v>
      </c>
      <c r="Q2270" t="s">
        <v>1961</v>
      </c>
      <c r="V2270" s="77" t="str">
        <f>HYPERLINK("https://pbs.twimg.com/profile_images/1124772096062644224/M__G53Pt_normal.jpg")</f>
        <v>https://pbs.twimg.com/profile_images/1124772096062644224/M__G53Pt_normal.jpg</v>
      </c>
      <c r="W2270" s="76">
        <v>44958.972997685189</v>
      </c>
      <c r="X2270" s="80">
        <v>44958</v>
      </c>
      <c r="Y2270" s="78" t="s">
        <v>3011</v>
      </c>
      <c r="Z2270" s="77" t="str">
        <f>HYPERLINK("https://twitter.com/jparker_cisd/status/1620925239587930115")</f>
        <v>https://twitter.com/jparker_cisd/status/1620925239587930115</v>
      </c>
      <c r="AC2270" s="78" t="s">
        <v>4076</v>
      </c>
      <c r="AE2270" t="b">
        <v>0</v>
      </c>
      <c r="AF2270">
        <v>0</v>
      </c>
      <c r="AG2270" s="78" t="s">
        <v>4640</v>
      </c>
      <c r="AH2270" t="b">
        <v>0</v>
      </c>
      <c r="AI2270" t="s">
        <v>4829</v>
      </c>
      <c r="AK2270" s="78" t="s">
        <v>4640</v>
      </c>
      <c r="AL2270" t="b">
        <v>0</v>
      </c>
      <c r="AM2270">
        <v>1</v>
      </c>
      <c r="AN2270" s="78" t="s">
        <v>4075</v>
      </c>
      <c r="AO2270" s="78" t="s">
        <v>4850</v>
      </c>
      <c r="AP2270" t="b">
        <v>0</v>
      </c>
      <c r="AQ2270" s="78" t="s">
        <v>4075</v>
      </c>
      <c r="AR2270" t="s">
        <v>179</v>
      </c>
      <c r="AS2270">
        <v>0</v>
      </c>
      <c r="AT2270">
        <v>0</v>
      </c>
    </row>
    <row r="2271" spans="1:46" x14ac:dyDescent="0.45">
      <c r="A2271" s="62" t="s">
        <v>789</v>
      </c>
      <c r="B2271" s="62" t="s">
        <v>1371</v>
      </c>
      <c r="C2271" s="63"/>
      <c r="D2271" s="64"/>
      <c r="E2271" s="65"/>
      <c r="F2271" s="66"/>
      <c r="G2271" s="63"/>
      <c r="H2271" s="67"/>
      <c r="I2271" s="68"/>
      <c r="J2271" s="68"/>
      <c r="K2271" s="32"/>
      <c r="L2271" s="75"/>
      <c r="M2271" s="75"/>
      <c r="N2271" s="70"/>
      <c r="O2271" t="s">
        <v>1570</v>
      </c>
      <c r="P2271" s="76">
        <v>44958.972997685189</v>
      </c>
      <c r="Q2271" t="s">
        <v>1961</v>
      </c>
      <c r="V2271" s="77" t="str">
        <f>HYPERLINK("https://pbs.twimg.com/profile_images/1124772096062644224/M__G53Pt_normal.jpg")</f>
        <v>https://pbs.twimg.com/profile_images/1124772096062644224/M__G53Pt_normal.jpg</v>
      </c>
      <c r="W2271" s="76">
        <v>44958.972997685189</v>
      </c>
      <c r="X2271" s="80">
        <v>44958</v>
      </c>
      <c r="Y2271" s="78" t="s">
        <v>3011</v>
      </c>
      <c r="Z2271" s="77" t="str">
        <f>HYPERLINK("https://twitter.com/jparker_cisd/status/1620925239587930115")</f>
        <v>https://twitter.com/jparker_cisd/status/1620925239587930115</v>
      </c>
      <c r="AC2271" s="78" t="s">
        <v>4076</v>
      </c>
      <c r="AE2271" t="b">
        <v>0</v>
      </c>
      <c r="AF2271">
        <v>0</v>
      </c>
      <c r="AG2271" s="78" t="s">
        <v>4640</v>
      </c>
      <c r="AH2271" t="b">
        <v>0</v>
      </c>
      <c r="AI2271" t="s">
        <v>4829</v>
      </c>
      <c r="AK2271" s="78" t="s">
        <v>4640</v>
      </c>
      <c r="AL2271" t="b">
        <v>0</v>
      </c>
      <c r="AM2271">
        <v>1</v>
      </c>
      <c r="AN2271" s="78" t="s">
        <v>4075</v>
      </c>
      <c r="AO2271" s="78" t="s">
        <v>4850</v>
      </c>
      <c r="AP2271" t="b">
        <v>0</v>
      </c>
      <c r="AQ2271" s="78" t="s">
        <v>4075</v>
      </c>
      <c r="AR2271" t="s">
        <v>179</v>
      </c>
      <c r="AS2271">
        <v>0</v>
      </c>
      <c r="AT2271">
        <v>0</v>
      </c>
    </row>
    <row r="2272" spans="1:46" x14ac:dyDescent="0.45">
      <c r="A2272" s="62" t="s">
        <v>789</v>
      </c>
      <c r="B2272" s="62" t="s">
        <v>1372</v>
      </c>
      <c r="C2272" s="63"/>
      <c r="D2272" s="64"/>
      <c r="E2272" s="65"/>
      <c r="F2272" s="66"/>
      <c r="G2272" s="63"/>
      <c r="H2272" s="67"/>
      <c r="I2272" s="68"/>
      <c r="J2272" s="68"/>
      <c r="K2272" s="32"/>
      <c r="L2272" s="75"/>
      <c r="M2272" s="75"/>
      <c r="N2272" s="70"/>
      <c r="O2272" t="s">
        <v>1570</v>
      </c>
      <c r="P2272" s="76">
        <v>44958.972997685189</v>
      </c>
      <c r="Q2272" t="s">
        <v>1961</v>
      </c>
      <c r="V2272" s="77" t="str">
        <f>HYPERLINK("https://pbs.twimg.com/profile_images/1124772096062644224/M__G53Pt_normal.jpg")</f>
        <v>https://pbs.twimg.com/profile_images/1124772096062644224/M__G53Pt_normal.jpg</v>
      </c>
      <c r="W2272" s="76">
        <v>44958.972997685189</v>
      </c>
      <c r="X2272" s="80">
        <v>44958</v>
      </c>
      <c r="Y2272" s="78" t="s">
        <v>3011</v>
      </c>
      <c r="Z2272" s="77" t="str">
        <f>HYPERLINK("https://twitter.com/jparker_cisd/status/1620925239587930115")</f>
        <v>https://twitter.com/jparker_cisd/status/1620925239587930115</v>
      </c>
      <c r="AC2272" s="78" t="s">
        <v>4076</v>
      </c>
      <c r="AE2272" t="b">
        <v>0</v>
      </c>
      <c r="AF2272">
        <v>0</v>
      </c>
      <c r="AG2272" s="78" t="s">
        <v>4640</v>
      </c>
      <c r="AH2272" t="b">
        <v>0</v>
      </c>
      <c r="AI2272" t="s">
        <v>4829</v>
      </c>
      <c r="AK2272" s="78" t="s">
        <v>4640</v>
      </c>
      <c r="AL2272" t="b">
        <v>0</v>
      </c>
      <c r="AM2272">
        <v>1</v>
      </c>
      <c r="AN2272" s="78" t="s">
        <v>4075</v>
      </c>
      <c r="AO2272" s="78" t="s">
        <v>4850</v>
      </c>
      <c r="AP2272" t="b">
        <v>0</v>
      </c>
      <c r="AQ2272" s="78" t="s">
        <v>4075</v>
      </c>
      <c r="AR2272" t="s">
        <v>179</v>
      </c>
      <c r="AS2272">
        <v>0</v>
      </c>
      <c r="AT2272">
        <v>0</v>
      </c>
    </row>
    <row r="2273" spans="1:54" x14ac:dyDescent="0.45">
      <c r="A2273" s="62" t="s">
        <v>789</v>
      </c>
      <c r="B2273" s="62" t="s">
        <v>1373</v>
      </c>
      <c r="C2273" s="63"/>
      <c r="D2273" s="64"/>
      <c r="E2273" s="65"/>
      <c r="F2273" s="66"/>
      <c r="G2273" s="63"/>
      <c r="H2273" s="67"/>
      <c r="I2273" s="68"/>
      <c r="J2273" s="68"/>
      <c r="K2273" s="32"/>
      <c r="L2273" s="75"/>
      <c r="M2273" s="75"/>
      <c r="N2273" s="70"/>
      <c r="O2273" t="s">
        <v>1570</v>
      </c>
      <c r="P2273" s="76">
        <v>44958.972997685189</v>
      </c>
      <c r="Q2273" t="s">
        <v>1961</v>
      </c>
      <c r="V2273" s="77" t="str">
        <f>HYPERLINK("https://pbs.twimg.com/profile_images/1124772096062644224/M__G53Pt_normal.jpg")</f>
        <v>https://pbs.twimg.com/profile_images/1124772096062644224/M__G53Pt_normal.jpg</v>
      </c>
      <c r="W2273" s="76">
        <v>44958.972997685189</v>
      </c>
      <c r="X2273" s="80">
        <v>44958</v>
      </c>
      <c r="Y2273" s="78" t="s">
        <v>3011</v>
      </c>
      <c r="Z2273" s="77" t="str">
        <f>HYPERLINK("https://twitter.com/jparker_cisd/status/1620925239587930115")</f>
        <v>https://twitter.com/jparker_cisd/status/1620925239587930115</v>
      </c>
      <c r="AC2273" s="78" t="s">
        <v>4076</v>
      </c>
      <c r="AE2273" t="b">
        <v>0</v>
      </c>
      <c r="AF2273">
        <v>0</v>
      </c>
      <c r="AG2273" s="78" t="s">
        <v>4640</v>
      </c>
      <c r="AH2273" t="b">
        <v>0</v>
      </c>
      <c r="AI2273" t="s">
        <v>4829</v>
      </c>
      <c r="AK2273" s="78" t="s">
        <v>4640</v>
      </c>
      <c r="AL2273" t="b">
        <v>0</v>
      </c>
      <c r="AM2273">
        <v>1</v>
      </c>
      <c r="AN2273" s="78" t="s">
        <v>4075</v>
      </c>
      <c r="AO2273" s="78" t="s">
        <v>4850</v>
      </c>
      <c r="AP2273" t="b">
        <v>0</v>
      </c>
      <c r="AQ2273" s="78" t="s">
        <v>4075</v>
      </c>
      <c r="AR2273" t="s">
        <v>179</v>
      </c>
      <c r="AS2273">
        <v>0</v>
      </c>
      <c r="AT2273">
        <v>0</v>
      </c>
    </row>
    <row r="2274" spans="1:54" x14ac:dyDescent="0.45">
      <c r="A2274" s="62" t="s">
        <v>789</v>
      </c>
      <c r="B2274" s="62" t="s">
        <v>1374</v>
      </c>
      <c r="C2274" s="63"/>
      <c r="D2274" s="64"/>
      <c r="E2274" s="65"/>
      <c r="F2274" s="66"/>
      <c r="G2274" s="63"/>
      <c r="H2274" s="67"/>
      <c r="I2274" s="68"/>
      <c r="J2274" s="68"/>
      <c r="K2274" s="32"/>
      <c r="L2274" s="75"/>
      <c r="M2274" s="75"/>
      <c r="N2274" s="70"/>
      <c r="O2274" t="s">
        <v>1567</v>
      </c>
      <c r="P2274" s="76">
        <v>44958.972997685189</v>
      </c>
      <c r="Q2274" t="s">
        <v>1961</v>
      </c>
      <c r="V2274" s="77" t="str">
        <f>HYPERLINK("https://pbs.twimg.com/profile_images/1124772096062644224/M__G53Pt_normal.jpg")</f>
        <v>https://pbs.twimg.com/profile_images/1124772096062644224/M__G53Pt_normal.jpg</v>
      </c>
      <c r="W2274" s="76">
        <v>44958.972997685189</v>
      </c>
      <c r="X2274" s="80">
        <v>44958</v>
      </c>
      <c r="Y2274" s="78" t="s">
        <v>3011</v>
      </c>
      <c r="Z2274" s="77" t="str">
        <f>HYPERLINK("https://twitter.com/jparker_cisd/status/1620925239587930115")</f>
        <v>https://twitter.com/jparker_cisd/status/1620925239587930115</v>
      </c>
      <c r="AC2274" s="78" t="s">
        <v>4076</v>
      </c>
      <c r="AE2274" t="b">
        <v>0</v>
      </c>
      <c r="AF2274">
        <v>0</v>
      </c>
      <c r="AG2274" s="78" t="s">
        <v>4640</v>
      </c>
      <c r="AH2274" t="b">
        <v>0</v>
      </c>
      <c r="AI2274" t="s">
        <v>4829</v>
      </c>
      <c r="AK2274" s="78" t="s">
        <v>4640</v>
      </c>
      <c r="AL2274" t="b">
        <v>0</v>
      </c>
      <c r="AM2274">
        <v>1</v>
      </c>
      <c r="AN2274" s="78" t="s">
        <v>4075</v>
      </c>
      <c r="AO2274" s="78" t="s">
        <v>4850</v>
      </c>
      <c r="AP2274" t="b">
        <v>0</v>
      </c>
      <c r="AQ2274" s="78" t="s">
        <v>4075</v>
      </c>
      <c r="AR2274" t="s">
        <v>179</v>
      </c>
      <c r="AS2274">
        <v>0</v>
      </c>
      <c r="AT2274">
        <v>0</v>
      </c>
    </row>
    <row r="2275" spans="1:54" x14ac:dyDescent="0.45">
      <c r="A2275" s="62" t="s">
        <v>789</v>
      </c>
      <c r="B2275" s="62" t="s">
        <v>242</v>
      </c>
      <c r="C2275" s="63"/>
      <c r="D2275" s="64"/>
      <c r="E2275" s="65"/>
      <c r="F2275" s="66"/>
      <c r="G2275" s="63"/>
      <c r="H2275" s="67"/>
      <c r="I2275" s="68"/>
      <c r="J2275" s="68"/>
      <c r="K2275" s="32"/>
      <c r="L2275" s="75"/>
      <c r="M2275" s="75"/>
      <c r="N2275" s="70"/>
      <c r="O2275" t="s">
        <v>1570</v>
      </c>
      <c r="P2275" s="76">
        <v>44958.972997685189</v>
      </c>
      <c r="Q2275" t="s">
        <v>1961</v>
      </c>
      <c r="V2275" s="77" t="str">
        <f>HYPERLINK("https://pbs.twimg.com/profile_images/1124772096062644224/M__G53Pt_normal.jpg")</f>
        <v>https://pbs.twimg.com/profile_images/1124772096062644224/M__G53Pt_normal.jpg</v>
      </c>
      <c r="W2275" s="76">
        <v>44958.972997685189</v>
      </c>
      <c r="X2275" s="80">
        <v>44958</v>
      </c>
      <c r="Y2275" s="78" t="s">
        <v>3011</v>
      </c>
      <c r="Z2275" s="77" t="str">
        <f>HYPERLINK("https://twitter.com/jparker_cisd/status/1620925239587930115")</f>
        <v>https://twitter.com/jparker_cisd/status/1620925239587930115</v>
      </c>
      <c r="AC2275" s="78" t="s">
        <v>4076</v>
      </c>
      <c r="AE2275" t="b">
        <v>0</v>
      </c>
      <c r="AF2275">
        <v>0</v>
      </c>
      <c r="AG2275" s="78" t="s">
        <v>4640</v>
      </c>
      <c r="AH2275" t="b">
        <v>0</v>
      </c>
      <c r="AI2275" t="s">
        <v>4829</v>
      </c>
      <c r="AK2275" s="78" t="s">
        <v>4640</v>
      </c>
      <c r="AL2275" t="b">
        <v>0</v>
      </c>
      <c r="AM2275">
        <v>1</v>
      </c>
      <c r="AN2275" s="78" t="s">
        <v>4075</v>
      </c>
      <c r="AO2275" s="78" t="s">
        <v>4850</v>
      </c>
      <c r="AP2275" t="b">
        <v>0</v>
      </c>
      <c r="AQ2275" s="78" t="s">
        <v>4075</v>
      </c>
      <c r="AR2275" t="s">
        <v>179</v>
      </c>
      <c r="AS2275">
        <v>0</v>
      </c>
      <c r="AT2275">
        <v>0</v>
      </c>
    </row>
    <row r="2276" spans="1:54" x14ac:dyDescent="0.45">
      <c r="A2276" s="62" t="s">
        <v>789</v>
      </c>
      <c r="B2276" s="62" t="s">
        <v>830</v>
      </c>
      <c r="C2276" s="63"/>
      <c r="D2276" s="64"/>
      <c r="E2276" s="65"/>
      <c r="F2276" s="66"/>
      <c r="G2276" s="63"/>
      <c r="H2276" s="67"/>
      <c r="I2276" s="68"/>
      <c r="J2276" s="68"/>
      <c r="K2276" s="32"/>
      <c r="L2276" s="75"/>
      <c r="M2276" s="75"/>
      <c r="N2276" s="70"/>
      <c r="O2276" t="s">
        <v>1570</v>
      </c>
      <c r="P2276" s="76">
        <v>44958.972997685189</v>
      </c>
      <c r="Q2276" t="s">
        <v>1961</v>
      </c>
      <c r="V2276" s="77" t="str">
        <f>HYPERLINK("https://pbs.twimg.com/profile_images/1124772096062644224/M__G53Pt_normal.jpg")</f>
        <v>https://pbs.twimg.com/profile_images/1124772096062644224/M__G53Pt_normal.jpg</v>
      </c>
      <c r="W2276" s="76">
        <v>44958.972997685189</v>
      </c>
      <c r="X2276" s="80">
        <v>44958</v>
      </c>
      <c r="Y2276" s="78" t="s">
        <v>3011</v>
      </c>
      <c r="Z2276" s="77" t="str">
        <f>HYPERLINK("https://twitter.com/jparker_cisd/status/1620925239587930115")</f>
        <v>https://twitter.com/jparker_cisd/status/1620925239587930115</v>
      </c>
      <c r="AC2276" s="78" t="s">
        <v>4076</v>
      </c>
      <c r="AE2276" t="b">
        <v>0</v>
      </c>
      <c r="AF2276">
        <v>0</v>
      </c>
      <c r="AG2276" s="78" t="s">
        <v>4640</v>
      </c>
      <c r="AH2276" t="b">
        <v>0</v>
      </c>
      <c r="AI2276" t="s">
        <v>4829</v>
      </c>
      <c r="AK2276" s="78" t="s">
        <v>4640</v>
      </c>
      <c r="AL2276" t="b">
        <v>0</v>
      </c>
      <c r="AM2276">
        <v>1</v>
      </c>
      <c r="AN2276" s="78" t="s">
        <v>4075</v>
      </c>
      <c r="AO2276" s="78" t="s">
        <v>4850</v>
      </c>
      <c r="AP2276" t="b">
        <v>0</v>
      </c>
      <c r="AQ2276" s="78" t="s">
        <v>4075</v>
      </c>
      <c r="AR2276" t="s">
        <v>179</v>
      </c>
      <c r="AS2276">
        <v>0</v>
      </c>
      <c r="AT2276">
        <v>0</v>
      </c>
    </row>
    <row r="2277" spans="1:54" x14ac:dyDescent="0.45">
      <c r="A2277" s="62" t="s">
        <v>789</v>
      </c>
      <c r="B2277" s="62" t="s">
        <v>788</v>
      </c>
      <c r="C2277" s="63"/>
      <c r="D2277" s="64"/>
      <c r="E2277" s="65"/>
      <c r="F2277" s="66"/>
      <c r="G2277" s="63"/>
      <c r="H2277" s="67"/>
      <c r="I2277" s="68"/>
      <c r="J2277" s="68"/>
      <c r="K2277" s="32"/>
      <c r="L2277" s="75"/>
      <c r="M2277" s="75"/>
      <c r="N2277" s="70"/>
      <c r="O2277" t="s">
        <v>1569</v>
      </c>
      <c r="P2277" s="76">
        <v>44958.972997685189</v>
      </c>
      <c r="Q2277" t="s">
        <v>1961</v>
      </c>
      <c r="V2277" s="77" t="str">
        <f>HYPERLINK("https://pbs.twimg.com/profile_images/1124772096062644224/M__G53Pt_normal.jpg")</f>
        <v>https://pbs.twimg.com/profile_images/1124772096062644224/M__G53Pt_normal.jpg</v>
      </c>
      <c r="W2277" s="76">
        <v>44958.972997685189</v>
      </c>
      <c r="X2277" s="80">
        <v>44958</v>
      </c>
      <c r="Y2277" s="78" t="s">
        <v>3011</v>
      </c>
      <c r="Z2277" s="77" t="str">
        <f>HYPERLINK("https://twitter.com/jparker_cisd/status/1620925239587930115")</f>
        <v>https://twitter.com/jparker_cisd/status/1620925239587930115</v>
      </c>
      <c r="AC2277" s="78" t="s">
        <v>4076</v>
      </c>
      <c r="AE2277" t="b">
        <v>0</v>
      </c>
      <c r="AF2277">
        <v>0</v>
      </c>
      <c r="AG2277" s="78" t="s">
        <v>4640</v>
      </c>
      <c r="AH2277" t="b">
        <v>0</v>
      </c>
      <c r="AI2277" t="s">
        <v>4829</v>
      </c>
      <c r="AK2277" s="78" t="s">
        <v>4640</v>
      </c>
      <c r="AL2277" t="b">
        <v>0</v>
      </c>
      <c r="AM2277">
        <v>1</v>
      </c>
      <c r="AN2277" s="78" t="s">
        <v>4075</v>
      </c>
      <c r="AO2277" s="78" t="s">
        <v>4850</v>
      </c>
      <c r="AP2277" t="b">
        <v>0</v>
      </c>
      <c r="AQ2277" s="78" t="s">
        <v>4075</v>
      </c>
      <c r="AR2277" t="s">
        <v>179</v>
      </c>
      <c r="AS2277">
        <v>0</v>
      </c>
      <c r="AT2277">
        <v>0</v>
      </c>
    </row>
    <row r="2278" spans="1:54" x14ac:dyDescent="0.45">
      <c r="A2278" s="62" t="s">
        <v>790</v>
      </c>
      <c r="B2278" s="62" t="s">
        <v>1230</v>
      </c>
      <c r="C2278" s="63"/>
      <c r="D2278" s="64"/>
      <c r="E2278" s="65"/>
      <c r="F2278" s="66"/>
      <c r="G2278" s="63"/>
      <c r="H2278" s="67"/>
      <c r="I2278" s="68"/>
      <c r="J2278" s="68"/>
      <c r="K2278" s="32"/>
      <c r="L2278" s="75"/>
      <c r="M2278" s="75"/>
      <c r="N2278" s="70"/>
      <c r="O2278" t="s">
        <v>1570</v>
      </c>
      <c r="P2278" s="76">
        <v>44958.973067129627</v>
      </c>
      <c r="Q2278" t="s">
        <v>1693</v>
      </c>
      <c r="V2278" s="77" t="str">
        <f>HYPERLINK("https://pbs.twimg.com/profile_images/1614746877345374211/TKHisNHk_normal.jpg")</f>
        <v>https://pbs.twimg.com/profile_images/1614746877345374211/TKHisNHk_normal.jpg</v>
      </c>
      <c r="W2278" s="76">
        <v>44958.973067129627</v>
      </c>
      <c r="X2278" s="80">
        <v>44958</v>
      </c>
      <c r="Y2278" s="78" t="s">
        <v>3012</v>
      </c>
      <c r="Z2278" s="77" t="str">
        <f>HYPERLINK("https://twitter.com/calitaylorrr/status/1620925266120802306")</f>
        <v>https://twitter.com/calitaylorrr/status/1620925266120802306</v>
      </c>
      <c r="AC2278" s="78" t="s">
        <v>4077</v>
      </c>
      <c r="AE2278" t="b">
        <v>0</v>
      </c>
      <c r="AF2278">
        <v>0</v>
      </c>
      <c r="AG2278" s="78" t="s">
        <v>4640</v>
      </c>
      <c r="AH2278" t="b">
        <v>0</v>
      </c>
      <c r="AI2278" t="s">
        <v>4829</v>
      </c>
      <c r="AK2278" s="78" t="s">
        <v>4640</v>
      </c>
      <c r="AL2278" t="b">
        <v>0</v>
      </c>
      <c r="AM2278">
        <v>162</v>
      </c>
      <c r="AN2278" s="78" t="s">
        <v>4473</v>
      </c>
      <c r="AO2278" s="78" t="s">
        <v>4849</v>
      </c>
      <c r="AP2278" t="b">
        <v>0</v>
      </c>
      <c r="AQ2278" s="78" t="s">
        <v>4473</v>
      </c>
      <c r="AR2278" t="s">
        <v>179</v>
      </c>
      <c r="AS2278">
        <v>0</v>
      </c>
      <c r="AT2278">
        <v>0</v>
      </c>
    </row>
    <row r="2279" spans="1:54" x14ac:dyDescent="0.45">
      <c r="A2279" s="62" t="s">
        <v>790</v>
      </c>
      <c r="B2279" s="62" t="s">
        <v>242</v>
      </c>
      <c r="C2279" s="63"/>
      <c r="D2279" s="64"/>
      <c r="E2279" s="65"/>
      <c r="F2279" s="66"/>
      <c r="G2279" s="63"/>
      <c r="H2279" s="67"/>
      <c r="I2279" s="68"/>
      <c r="J2279" s="68"/>
      <c r="K2279" s="32"/>
      <c r="L2279" s="75"/>
      <c r="M2279" s="75"/>
      <c r="N2279" s="70"/>
      <c r="O2279" t="s">
        <v>1569</v>
      </c>
      <c r="P2279" s="76">
        <v>44958.973067129627</v>
      </c>
      <c r="Q2279" t="s">
        <v>1693</v>
      </c>
      <c r="V2279" s="77" t="str">
        <f>HYPERLINK("https://pbs.twimg.com/profile_images/1614746877345374211/TKHisNHk_normal.jpg")</f>
        <v>https://pbs.twimg.com/profile_images/1614746877345374211/TKHisNHk_normal.jpg</v>
      </c>
      <c r="W2279" s="76">
        <v>44958.973067129627</v>
      </c>
      <c r="X2279" s="80">
        <v>44958</v>
      </c>
      <c r="Y2279" s="78" t="s">
        <v>3012</v>
      </c>
      <c r="Z2279" s="77" t="str">
        <f>HYPERLINK("https://twitter.com/calitaylorrr/status/1620925266120802306")</f>
        <v>https://twitter.com/calitaylorrr/status/1620925266120802306</v>
      </c>
      <c r="AC2279" s="78" t="s">
        <v>4077</v>
      </c>
      <c r="AE2279" t="b">
        <v>0</v>
      </c>
      <c r="AF2279">
        <v>0</v>
      </c>
      <c r="AG2279" s="78" t="s">
        <v>4640</v>
      </c>
      <c r="AH2279" t="b">
        <v>0</v>
      </c>
      <c r="AI2279" t="s">
        <v>4829</v>
      </c>
      <c r="AK2279" s="78" t="s">
        <v>4640</v>
      </c>
      <c r="AL2279" t="b">
        <v>0</v>
      </c>
      <c r="AM2279">
        <v>162</v>
      </c>
      <c r="AN2279" s="78" t="s">
        <v>4473</v>
      </c>
      <c r="AO2279" s="78" t="s">
        <v>4849</v>
      </c>
      <c r="AP2279" t="b">
        <v>0</v>
      </c>
      <c r="AQ2279" s="78" t="s">
        <v>4473</v>
      </c>
      <c r="AR2279" t="s">
        <v>179</v>
      </c>
      <c r="AS2279">
        <v>0</v>
      </c>
      <c r="AT2279">
        <v>0</v>
      </c>
    </row>
    <row r="2280" spans="1:54" x14ac:dyDescent="0.45">
      <c r="A2280" s="62" t="s">
        <v>791</v>
      </c>
      <c r="B2280" s="62" t="s">
        <v>1230</v>
      </c>
      <c r="C2280" s="63"/>
      <c r="D2280" s="64"/>
      <c r="E2280" s="65"/>
      <c r="F2280" s="66"/>
      <c r="G2280" s="63"/>
      <c r="H2280" s="67"/>
      <c r="I2280" s="68"/>
      <c r="J2280" s="68"/>
      <c r="K2280" s="32"/>
      <c r="L2280" s="75"/>
      <c r="M2280" s="75"/>
      <c r="N2280" s="70"/>
      <c r="O2280" t="s">
        <v>1570</v>
      </c>
      <c r="P2280" s="76">
        <v>44958.973495370374</v>
      </c>
      <c r="Q2280" t="s">
        <v>1693</v>
      </c>
      <c r="V2280" s="77" t="str">
        <f>HYPERLINK("https://pbs.twimg.com/profile_images/1613681370802409472/uyR6RleG_normal.jpg")</f>
        <v>https://pbs.twimg.com/profile_images/1613681370802409472/uyR6RleG_normal.jpg</v>
      </c>
      <c r="W2280" s="76">
        <v>44958.973495370374</v>
      </c>
      <c r="X2280" s="80">
        <v>44958</v>
      </c>
      <c r="Y2280" s="78" t="s">
        <v>3013</v>
      </c>
      <c r="Z2280" s="77" t="str">
        <f>HYPERLINK("https://twitter.com/mileycyrusmus23/status/1620925422526672898")</f>
        <v>https://twitter.com/mileycyrusmus23/status/1620925422526672898</v>
      </c>
      <c r="AC2280" s="78" t="s">
        <v>4078</v>
      </c>
      <c r="AE2280" t="b">
        <v>0</v>
      </c>
      <c r="AF2280">
        <v>0</v>
      </c>
      <c r="AG2280" s="78" t="s">
        <v>4640</v>
      </c>
      <c r="AH2280" t="b">
        <v>0</v>
      </c>
      <c r="AI2280" t="s">
        <v>4829</v>
      </c>
      <c r="AK2280" s="78" t="s">
        <v>4640</v>
      </c>
      <c r="AL2280" t="b">
        <v>0</v>
      </c>
      <c r="AM2280">
        <v>162</v>
      </c>
      <c r="AN2280" s="78" t="s">
        <v>4473</v>
      </c>
      <c r="AO2280" s="78" t="s">
        <v>4849</v>
      </c>
      <c r="AP2280" t="b">
        <v>0</v>
      </c>
      <c r="AQ2280" s="78" t="s">
        <v>4473</v>
      </c>
      <c r="AR2280" t="s">
        <v>179</v>
      </c>
      <c r="AS2280">
        <v>0</v>
      </c>
      <c r="AT2280">
        <v>0</v>
      </c>
    </row>
    <row r="2281" spans="1:54" x14ac:dyDescent="0.45">
      <c r="A2281" s="62" t="s">
        <v>791</v>
      </c>
      <c r="B2281" s="62" t="s">
        <v>242</v>
      </c>
      <c r="C2281" s="63"/>
      <c r="D2281" s="64"/>
      <c r="E2281" s="65"/>
      <c r="F2281" s="66"/>
      <c r="G2281" s="63"/>
      <c r="H2281" s="67"/>
      <c r="I2281" s="68"/>
      <c r="J2281" s="68"/>
      <c r="K2281" s="32"/>
      <c r="L2281" s="75"/>
      <c r="M2281" s="75"/>
      <c r="N2281" s="70"/>
      <c r="O2281" t="s">
        <v>1569</v>
      </c>
      <c r="P2281" s="76">
        <v>44958.973495370374</v>
      </c>
      <c r="Q2281" t="s">
        <v>1693</v>
      </c>
      <c r="V2281" s="77" t="str">
        <f>HYPERLINK("https://pbs.twimg.com/profile_images/1613681370802409472/uyR6RleG_normal.jpg")</f>
        <v>https://pbs.twimg.com/profile_images/1613681370802409472/uyR6RleG_normal.jpg</v>
      </c>
      <c r="W2281" s="76">
        <v>44958.973495370374</v>
      </c>
      <c r="X2281" s="80">
        <v>44958</v>
      </c>
      <c r="Y2281" s="78" t="s">
        <v>3013</v>
      </c>
      <c r="Z2281" s="77" t="str">
        <f>HYPERLINK("https://twitter.com/mileycyrusmus23/status/1620925422526672898")</f>
        <v>https://twitter.com/mileycyrusmus23/status/1620925422526672898</v>
      </c>
      <c r="AC2281" s="78" t="s">
        <v>4078</v>
      </c>
      <c r="AE2281" t="b">
        <v>0</v>
      </c>
      <c r="AF2281">
        <v>0</v>
      </c>
      <c r="AG2281" s="78" t="s">
        <v>4640</v>
      </c>
      <c r="AH2281" t="b">
        <v>0</v>
      </c>
      <c r="AI2281" t="s">
        <v>4829</v>
      </c>
      <c r="AK2281" s="78" t="s">
        <v>4640</v>
      </c>
      <c r="AL2281" t="b">
        <v>0</v>
      </c>
      <c r="AM2281">
        <v>162</v>
      </c>
      <c r="AN2281" s="78" t="s">
        <v>4473</v>
      </c>
      <c r="AO2281" s="78" t="s">
        <v>4849</v>
      </c>
      <c r="AP2281" t="b">
        <v>0</v>
      </c>
      <c r="AQ2281" s="78" t="s">
        <v>4473</v>
      </c>
      <c r="AR2281" t="s">
        <v>179</v>
      </c>
      <c r="AS2281">
        <v>0</v>
      </c>
      <c r="AT2281">
        <v>0</v>
      </c>
    </row>
    <row r="2282" spans="1:54" x14ac:dyDescent="0.45">
      <c r="A2282" s="62" t="s">
        <v>793</v>
      </c>
      <c r="B2282" s="62" t="s">
        <v>1156</v>
      </c>
      <c r="C2282" s="63"/>
      <c r="D2282" s="64"/>
      <c r="E2282" s="65"/>
      <c r="F2282" s="66"/>
      <c r="G2282" s="63"/>
      <c r="H2282" s="67"/>
      <c r="I2282" s="68"/>
      <c r="J2282" s="68"/>
      <c r="K2282" s="32"/>
      <c r="L2282" s="75"/>
      <c r="M2282" s="75"/>
      <c r="N2282" s="70"/>
      <c r="O2282" t="s">
        <v>1568</v>
      </c>
      <c r="P2282" s="76">
        <v>44958.97515046296</v>
      </c>
      <c r="Q2282" t="s">
        <v>1963</v>
      </c>
      <c r="V2282" s="77" t="str">
        <f>HYPERLINK("https://pbs.twimg.com/profile_images/1607517284360241153/VcKb77q1_normal.jpg")</f>
        <v>https://pbs.twimg.com/profile_images/1607517284360241153/VcKb77q1_normal.jpg</v>
      </c>
      <c r="W2282" s="76">
        <v>44958.97515046296</v>
      </c>
      <c r="X2282" s="80">
        <v>44958</v>
      </c>
      <c r="Y2282" s="78" t="s">
        <v>3015</v>
      </c>
      <c r="Z2282" s="77" t="str">
        <f>HYPERLINK("https://twitter.com/darcevader66/status/1620926022257623042")</f>
        <v>https://twitter.com/darcevader66/status/1620926022257623042</v>
      </c>
      <c r="AC2282" s="78" t="s">
        <v>4080</v>
      </c>
      <c r="AE2282" t="b">
        <v>0</v>
      </c>
      <c r="AF2282">
        <v>0</v>
      </c>
      <c r="AG2282" s="78" t="s">
        <v>4640</v>
      </c>
      <c r="AH2282" t="b">
        <v>0</v>
      </c>
      <c r="AI2282" t="s">
        <v>4829</v>
      </c>
      <c r="AK2282" s="78" t="s">
        <v>4640</v>
      </c>
      <c r="AL2282" t="b">
        <v>0</v>
      </c>
      <c r="AM2282">
        <v>0</v>
      </c>
      <c r="AN2282" s="78" t="s">
        <v>4640</v>
      </c>
      <c r="AO2282" s="78" t="s">
        <v>4850</v>
      </c>
      <c r="AP2282" t="b">
        <v>0</v>
      </c>
      <c r="AQ2282" s="78" t="s">
        <v>4080</v>
      </c>
      <c r="AR2282" t="s">
        <v>179</v>
      </c>
      <c r="AS2282">
        <v>0</v>
      </c>
      <c r="AT2282">
        <v>0</v>
      </c>
      <c r="AU2282" t="s">
        <v>4887</v>
      </c>
      <c r="AV2282" t="s">
        <v>4899</v>
      </c>
      <c r="AW2282" t="s">
        <v>4901</v>
      </c>
      <c r="AX2282" t="s">
        <v>4916</v>
      </c>
      <c r="AY2282" t="s">
        <v>4941</v>
      </c>
      <c r="AZ2282" t="s">
        <v>4966</v>
      </c>
      <c r="BA2282" t="s">
        <v>4975</v>
      </c>
      <c r="BB2282" s="77" t="str">
        <f>HYPERLINK("https://api.twitter.com/1.1/geo/id/01b9eb2c198acccb.json")</f>
        <v>https://api.twitter.com/1.1/geo/id/01b9eb2c198acccb.json</v>
      </c>
    </row>
    <row r="2283" spans="1:54" x14ac:dyDescent="0.45">
      <c r="A2283" s="62" t="s">
        <v>793</v>
      </c>
      <c r="B2283" s="62" t="s">
        <v>1375</v>
      </c>
      <c r="C2283" s="63"/>
      <c r="D2283" s="64"/>
      <c r="E2283" s="65"/>
      <c r="F2283" s="66"/>
      <c r="G2283" s="63"/>
      <c r="H2283" s="67"/>
      <c r="I2283" s="68"/>
      <c r="J2283" s="68"/>
      <c r="K2283" s="32"/>
      <c r="L2283" s="75"/>
      <c r="M2283" s="75"/>
      <c r="N2283" s="70"/>
      <c r="O2283" t="s">
        <v>1568</v>
      </c>
      <c r="P2283" s="76">
        <v>44958.97515046296</v>
      </c>
      <c r="Q2283" t="s">
        <v>1963</v>
      </c>
      <c r="V2283" s="77" t="str">
        <f>HYPERLINK("https://pbs.twimg.com/profile_images/1607517284360241153/VcKb77q1_normal.jpg")</f>
        <v>https://pbs.twimg.com/profile_images/1607517284360241153/VcKb77q1_normal.jpg</v>
      </c>
      <c r="W2283" s="76">
        <v>44958.97515046296</v>
      </c>
      <c r="X2283" s="80">
        <v>44958</v>
      </c>
      <c r="Y2283" s="78" t="s">
        <v>3015</v>
      </c>
      <c r="Z2283" s="77" t="str">
        <f>HYPERLINK("https://twitter.com/darcevader66/status/1620926022257623042")</f>
        <v>https://twitter.com/darcevader66/status/1620926022257623042</v>
      </c>
      <c r="AC2283" s="78" t="s">
        <v>4080</v>
      </c>
      <c r="AE2283" t="b">
        <v>0</v>
      </c>
      <c r="AF2283">
        <v>0</v>
      </c>
      <c r="AG2283" s="78" t="s">
        <v>4640</v>
      </c>
      <c r="AH2283" t="b">
        <v>0</v>
      </c>
      <c r="AI2283" t="s">
        <v>4829</v>
      </c>
      <c r="AK2283" s="78" t="s">
        <v>4640</v>
      </c>
      <c r="AL2283" t="b">
        <v>0</v>
      </c>
      <c r="AM2283">
        <v>0</v>
      </c>
      <c r="AN2283" s="78" t="s">
        <v>4640</v>
      </c>
      <c r="AO2283" s="78" t="s">
        <v>4850</v>
      </c>
      <c r="AP2283" t="b">
        <v>0</v>
      </c>
      <c r="AQ2283" s="78" t="s">
        <v>4080</v>
      </c>
      <c r="AR2283" t="s">
        <v>179</v>
      </c>
      <c r="AS2283">
        <v>0</v>
      </c>
      <c r="AT2283">
        <v>0</v>
      </c>
      <c r="AU2283" t="s">
        <v>4887</v>
      </c>
      <c r="AV2283" t="s">
        <v>4899</v>
      </c>
      <c r="AW2283" t="s">
        <v>4901</v>
      </c>
      <c r="AX2283" t="s">
        <v>4916</v>
      </c>
      <c r="AY2283" t="s">
        <v>4941</v>
      </c>
      <c r="AZ2283" t="s">
        <v>4966</v>
      </c>
      <c r="BA2283" t="s">
        <v>4975</v>
      </c>
      <c r="BB2283" s="77" t="str">
        <f>HYPERLINK("https://api.twitter.com/1.1/geo/id/01b9eb2c198acccb.json")</f>
        <v>https://api.twitter.com/1.1/geo/id/01b9eb2c198acccb.json</v>
      </c>
    </row>
    <row r="2284" spans="1:54" x14ac:dyDescent="0.45">
      <c r="A2284" s="62" t="s">
        <v>793</v>
      </c>
      <c r="B2284" s="62" t="s">
        <v>1157</v>
      </c>
      <c r="C2284" s="63"/>
      <c r="D2284" s="64"/>
      <c r="E2284" s="65"/>
      <c r="F2284" s="66"/>
      <c r="G2284" s="63"/>
      <c r="H2284" s="67"/>
      <c r="I2284" s="68"/>
      <c r="J2284" s="68"/>
      <c r="K2284" s="32"/>
      <c r="L2284" s="75"/>
      <c r="M2284" s="75"/>
      <c r="N2284" s="70"/>
      <c r="O2284" t="s">
        <v>1568</v>
      </c>
      <c r="P2284" s="76">
        <v>44958.97515046296</v>
      </c>
      <c r="Q2284" t="s">
        <v>1963</v>
      </c>
      <c r="V2284" s="77" t="str">
        <f>HYPERLINK("https://pbs.twimg.com/profile_images/1607517284360241153/VcKb77q1_normal.jpg")</f>
        <v>https://pbs.twimg.com/profile_images/1607517284360241153/VcKb77q1_normal.jpg</v>
      </c>
      <c r="W2284" s="76">
        <v>44958.97515046296</v>
      </c>
      <c r="X2284" s="80">
        <v>44958</v>
      </c>
      <c r="Y2284" s="78" t="s">
        <v>3015</v>
      </c>
      <c r="Z2284" s="77" t="str">
        <f>HYPERLINK("https://twitter.com/darcevader66/status/1620926022257623042")</f>
        <v>https://twitter.com/darcevader66/status/1620926022257623042</v>
      </c>
      <c r="AC2284" s="78" t="s">
        <v>4080</v>
      </c>
      <c r="AE2284" t="b">
        <v>0</v>
      </c>
      <c r="AF2284">
        <v>0</v>
      </c>
      <c r="AG2284" s="78" t="s">
        <v>4640</v>
      </c>
      <c r="AH2284" t="b">
        <v>0</v>
      </c>
      <c r="AI2284" t="s">
        <v>4829</v>
      </c>
      <c r="AK2284" s="78" t="s">
        <v>4640</v>
      </c>
      <c r="AL2284" t="b">
        <v>0</v>
      </c>
      <c r="AM2284">
        <v>0</v>
      </c>
      <c r="AN2284" s="78" t="s">
        <v>4640</v>
      </c>
      <c r="AO2284" s="78" t="s">
        <v>4850</v>
      </c>
      <c r="AP2284" t="b">
        <v>0</v>
      </c>
      <c r="AQ2284" s="78" t="s">
        <v>4080</v>
      </c>
      <c r="AR2284" t="s">
        <v>179</v>
      </c>
      <c r="AS2284">
        <v>0</v>
      </c>
      <c r="AT2284">
        <v>0</v>
      </c>
      <c r="AU2284" t="s">
        <v>4887</v>
      </c>
      <c r="AV2284" t="s">
        <v>4899</v>
      </c>
      <c r="AW2284" t="s">
        <v>4901</v>
      </c>
      <c r="AX2284" t="s">
        <v>4916</v>
      </c>
      <c r="AY2284" t="s">
        <v>4941</v>
      </c>
      <c r="AZ2284" t="s">
        <v>4966</v>
      </c>
      <c r="BA2284" t="s">
        <v>4975</v>
      </c>
      <c r="BB2284" s="77" t="str">
        <f>HYPERLINK("https://api.twitter.com/1.1/geo/id/01b9eb2c198acccb.json")</f>
        <v>https://api.twitter.com/1.1/geo/id/01b9eb2c198acccb.json</v>
      </c>
    </row>
    <row r="2285" spans="1:54" x14ac:dyDescent="0.45">
      <c r="A2285" s="62" t="s">
        <v>793</v>
      </c>
      <c r="B2285" s="62" t="s">
        <v>242</v>
      </c>
      <c r="C2285" s="63"/>
      <c r="D2285" s="64"/>
      <c r="E2285" s="65"/>
      <c r="F2285" s="66"/>
      <c r="G2285" s="63"/>
      <c r="H2285" s="67"/>
      <c r="I2285" s="68"/>
      <c r="J2285" s="68"/>
      <c r="K2285" s="32"/>
      <c r="L2285" s="75"/>
      <c r="M2285" s="75"/>
      <c r="N2285" s="70"/>
      <c r="O2285" t="s">
        <v>1568</v>
      </c>
      <c r="P2285" s="76">
        <v>44958.97515046296</v>
      </c>
      <c r="Q2285" t="s">
        <v>1963</v>
      </c>
      <c r="V2285" s="77" t="str">
        <f>HYPERLINK("https://pbs.twimg.com/profile_images/1607517284360241153/VcKb77q1_normal.jpg")</f>
        <v>https://pbs.twimg.com/profile_images/1607517284360241153/VcKb77q1_normal.jpg</v>
      </c>
      <c r="W2285" s="76">
        <v>44958.97515046296</v>
      </c>
      <c r="X2285" s="80">
        <v>44958</v>
      </c>
      <c r="Y2285" s="78" t="s">
        <v>3015</v>
      </c>
      <c r="Z2285" s="77" t="str">
        <f>HYPERLINK("https://twitter.com/darcevader66/status/1620926022257623042")</f>
        <v>https://twitter.com/darcevader66/status/1620926022257623042</v>
      </c>
      <c r="AC2285" s="78" t="s">
        <v>4080</v>
      </c>
      <c r="AE2285" t="b">
        <v>0</v>
      </c>
      <c r="AF2285">
        <v>0</v>
      </c>
      <c r="AG2285" s="78" t="s">
        <v>4640</v>
      </c>
      <c r="AH2285" t="b">
        <v>0</v>
      </c>
      <c r="AI2285" t="s">
        <v>4829</v>
      </c>
      <c r="AK2285" s="78" t="s">
        <v>4640</v>
      </c>
      <c r="AL2285" t="b">
        <v>0</v>
      </c>
      <c r="AM2285">
        <v>0</v>
      </c>
      <c r="AN2285" s="78" t="s">
        <v>4640</v>
      </c>
      <c r="AO2285" s="78" t="s">
        <v>4850</v>
      </c>
      <c r="AP2285" t="b">
        <v>0</v>
      </c>
      <c r="AQ2285" s="78" t="s">
        <v>4080</v>
      </c>
      <c r="AR2285" t="s">
        <v>179</v>
      </c>
      <c r="AS2285">
        <v>0</v>
      </c>
      <c r="AT2285">
        <v>0</v>
      </c>
      <c r="AU2285" t="s">
        <v>4887</v>
      </c>
      <c r="AV2285" t="s">
        <v>4899</v>
      </c>
      <c r="AW2285" t="s">
        <v>4901</v>
      </c>
      <c r="AX2285" t="s">
        <v>4916</v>
      </c>
      <c r="AY2285" t="s">
        <v>4941</v>
      </c>
      <c r="AZ2285" t="s">
        <v>4966</v>
      </c>
      <c r="BA2285" t="s">
        <v>4975</v>
      </c>
      <c r="BB2285" s="77" t="str">
        <f>HYPERLINK("https://api.twitter.com/1.1/geo/id/01b9eb2c198acccb.json")</f>
        <v>https://api.twitter.com/1.1/geo/id/01b9eb2c198acccb.json</v>
      </c>
    </row>
    <row r="2286" spans="1:54" x14ac:dyDescent="0.45">
      <c r="A2286" s="62" t="s">
        <v>794</v>
      </c>
      <c r="B2286" s="62" t="s">
        <v>242</v>
      </c>
      <c r="C2286" s="63"/>
      <c r="D2286" s="64"/>
      <c r="E2286" s="65"/>
      <c r="F2286" s="66"/>
      <c r="G2286" s="63"/>
      <c r="H2286" s="67"/>
      <c r="I2286" s="68"/>
      <c r="J2286" s="68"/>
      <c r="K2286" s="32"/>
      <c r="L2286" s="75"/>
      <c r="M2286" s="75"/>
      <c r="N2286" s="70"/>
      <c r="O2286" t="s">
        <v>1568</v>
      </c>
      <c r="P2286" s="76">
        <v>44958.975937499999</v>
      </c>
      <c r="Q2286" t="s">
        <v>1964</v>
      </c>
      <c r="V2286" s="77" t="str">
        <f>HYPERLINK("https://pbs.twimg.com/profile_images/1497077482754691074/cj3foqfA_normal.jpg")</f>
        <v>https://pbs.twimg.com/profile_images/1497077482754691074/cj3foqfA_normal.jpg</v>
      </c>
      <c r="W2286" s="76">
        <v>44958.975937499999</v>
      </c>
      <c r="X2286" s="80">
        <v>44958</v>
      </c>
      <c r="Y2286" s="78" t="s">
        <v>3016</v>
      </c>
      <c r="Z2286" s="77" t="str">
        <f>HYPERLINK("https://twitter.com/king_voudon/status/1620926306534973440")</f>
        <v>https://twitter.com/king_voudon/status/1620926306534973440</v>
      </c>
      <c r="AC2286" s="78" t="s">
        <v>4081</v>
      </c>
      <c r="AE2286" t="b">
        <v>0</v>
      </c>
      <c r="AF2286">
        <v>0</v>
      </c>
      <c r="AG2286" s="78" t="s">
        <v>4640</v>
      </c>
      <c r="AH2286" t="b">
        <v>0</v>
      </c>
      <c r="AI2286" t="s">
        <v>4829</v>
      </c>
      <c r="AK2286" s="78" t="s">
        <v>4640</v>
      </c>
      <c r="AL2286" t="b">
        <v>0</v>
      </c>
      <c r="AM2286">
        <v>0</v>
      </c>
      <c r="AN2286" s="78" t="s">
        <v>4640</v>
      </c>
      <c r="AO2286" s="78" t="s">
        <v>4849</v>
      </c>
      <c r="AP2286" t="b">
        <v>0</v>
      </c>
      <c r="AQ2286" s="78" t="s">
        <v>4081</v>
      </c>
      <c r="AR2286" t="s">
        <v>179</v>
      </c>
      <c r="AS2286">
        <v>0</v>
      </c>
      <c r="AT2286">
        <v>0</v>
      </c>
    </row>
    <row r="2287" spans="1:54" x14ac:dyDescent="0.45">
      <c r="A2287" s="62" t="s">
        <v>796</v>
      </c>
      <c r="B2287" s="62" t="s">
        <v>1376</v>
      </c>
      <c r="C2287" s="63"/>
      <c r="D2287" s="64"/>
      <c r="E2287" s="65"/>
      <c r="F2287" s="66"/>
      <c r="G2287" s="63"/>
      <c r="H2287" s="67"/>
      <c r="I2287" s="68"/>
      <c r="J2287" s="68"/>
      <c r="K2287" s="32"/>
      <c r="L2287" s="75"/>
      <c r="M2287" s="75"/>
      <c r="N2287" s="70"/>
      <c r="O2287" t="s">
        <v>1568</v>
      </c>
      <c r="P2287" s="76">
        <v>44958.950694444444</v>
      </c>
      <c r="Q2287" t="s">
        <v>1966</v>
      </c>
      <c r="V2287" s="77" t="str">
        <f>HYPERLINK("https://pbs.twimg.com/profile_images/1620926801311670272/F_uSEtz2_normal.jpg")</f>
        <v>https://pbs.twimg.com/profile_images/1620926801311670272/F_uSEtz2_normal.jpg</v>
      </c>
      <c r="W2287" s="76">
        <v>44958.950694444444</v>
      </c>
      <c r="X2287" s="80">
        <v>44958</v>
      </c>
      <c r="Y2287" s="78" t="s">
        <v>3018</v>
      </c>
      <c r="Z2287" s="77" t="str">
        <f>HYPERLINK("https://twitter.com/juugya1/status/1620917159323918337")</f>
        <v>https://twitter.com/juugya1/status/1620917159323918337</v>
      </c>
      <c r="AC2287" s="78" t="s">
        <v>4083</v>
      </c>
      <c r="AD2287" s="78" t="s">
        <v>4579</v>
      </c>
      <c r="AE2287" t="b">
        <v>0</v>
      </c>
      <c r="AF2287">
        <v>0</v>
      </c>
      <c r="AG2287" s="78" t="s">
        <v>4748</v>
      </c>
      <c r="AH2287" t="b">
        <v>0</v>
      </c>
      <c r="AI2287" t="s">
        <v>4829</v>
      </c>
      <c r="AK2287" s="78" t="s">
        <v>4640</v>
      </c>
      <c r="AL2287" t="b">
        <v>0</v>
      </c>
      <c r="AM2287">
        <v>0</v>
      </c>
      <c r="AN2287" s="78" t="s">
        <v>4640</v>
      </c>
      <c r="AO2287" s="78" t="s">
        <v>4849</v>
      </c>
      <c r="AP2287" t="b">
        <v>0</v>
      </c>
      <c r="AQ2287" s="78" t="s">
        <v>4579</v>
      </c>
      <c r="AR2287" t="s">
        <v>179</v>
      </c>
      <c r="AS2287">
        <v>0</v>
      </c>
      <c r="AT2287">
        <v>0</v>
      </c>
    </row>
    <row r="2288" spans="1:54" x14ac:dyDescent="0.45">
      <c r="A2288" s="62" t="s">
        <v>798</v>
      </c>
      <c r="B2288" s="62" t="s">
        <v>1377</v>
      </c>
      <c r="C2288" s="63"/>
      <c r="D2288" s="64"/>
      <c r="E2288" s="65"/>
      <c r="F2288" s="66"/>
      <c r="G2288" s="63"/>
      <c r="H2288" s="67"/>
      <c r="I2288" s="68"/>
      <c r="J2288" s="68"/>
      <c r="K2288" s="32"/>
      <c r="L2288" s="75"/>
      <c r="M2288" s="75"/>
      <c r="N2288" s="70"/>
      <c r="O2288" t="s">
        <v>1568</v>
      </c>
      <c r="P2288" s="76">
        <v>44958.97929398148</v>
      </c>
      <c r="Q2288" t="s">
        <v>1968</v>
      </c>
      <c r="V2288" s="77" t="str">
        <f>HYPERLINK("https://pbs.twimg.com/profile_images/1613022584831971328/YU9O8hUY_normal.jpg")</f>
        <v>https://pbs.twimg.com/profile_images/1613022584831971328/YU9O8hUY_normal.jpg</v>
      </c>
      <c r="W2288" s="76">
        <v>44958.97929398148</v>
      </c>
      <c r="X2288" s="80">
        <v>44958</v>
      </c>
      <c r="Y2288" s="78" t="s">
        <v>3020</v>
      </c>
      <c r="Z2288" s="77" t="str">
        <f>HYPERLINK("https://twitter.com/ecclesi41663287/status/1620927521553534976")</f>
        <v>https://twitter.com/ecclesi41663287/status/1620927521553534976</v>
      </c>
      <c r="AC2288" s="78" t="s">
        <v>4085</v>
      </c>
      <c r="AD2288" s="78" t="s">
        <v>4580</v>
      </c>
      <c r="AE2288" t="b">
        <v>0</v>
      </c>
      <c r="AF2288">
        <v>0</v>
      </c>
      <c r="AG2288" s="78" t="s">
        <v>4749</v>
      </c>
      <c r="AH2288" t="b">
        <v>0</v>
      </c>
      <c r="AI2288" t="s">
        <v>4829</v>
      </c>
      <c r="AK2288" s="78" t="s">
        <v>4640</v>
      </c>
      <c r="AL2288" t="b">
        <v>0</v>
      </c>
      <c r="AM2288">
        <v>0</v>
      </c>
      <c r="AN2288" s="78" t="s">
        <v>4640</v>
      </c>
      <c r="AO2288" s="78" t="s">
        <v>4849</v>
      </c>
      <c r="AP2288" t="b">
        <v>0</v>
      </c>
      <c r="AQ2288" s="78" t="s">
        <v>4580</v>
      </c>
      <c r="AR2288" t="s">
        <v>179</v>
      </c>
      <c r="AS2288">
        <v>0</v>
      </c>
      <c r="AT2288">
        <v>0</v>
      </c>
    </row>
    <row r="2289" spans="1:46" x14ac:dyDescent="0.45">
      <c r="A2289" s="62" t="s">
        <v>798</v>
      </c>
      <c r="B2289" s="62" t="s">
        <v>1378</v>
      </c>
      <c r="C2289" s="63"/>
      <c r="D2289" s="64"/>
      <c r="E2289" s="65"/>
      <c r="F2289" s="66"/>
      <c r="G2289" s="63"/>
      <c r="H2289" s="67"/>
      <c r="I2289" s="68"/>
      <c r="J2289" s="68"/>
      <c r="K2289" s="32"/>
      <c r="L2289" s="75"/>
      <c r="M2289" s="75"/>
      <c r="N2289" s="70"/>
      <c r="O2289" t="s">
        <v>1568</v>
      </c>
      <c r="P2289" s="76">
        <v>44958.97929398148</v>
      </c>
      <c r="Q2289" t="s">
        <v>1968</v>
      </c>
      <c r="V2289" s="77" t="str">
        <f>HYPERLINK("https://pbs.twimg.com/profile_images/1613022584831971328/YU9O8hUY_normal.jpg")</f>
        <v>https://pbs.twimg.com/profile_images/1613022584831971328/YU9O8hUY_normal.jpg</v>
      </c>
      <c r="W2289" s="76">
        <v>44958.97929398148</v>
      </c>
      <c r="X2289" s="80">
        <v>44958</v>
      </c>
      <c r="Y2289" s="78" t="s">
        <v>3020</v>
      </c>
      <c r="Z2289" s="77" t="str">
        <f>HYPERLINK("https://twitter.com/ecclesi41663287/status/1620927521553534976")</f>
        <v>https://twitter.com/ecclesi41663287/status/1620927521553534976</v>
      </c>
      <c r="AC2289" s="78" t="s">
        <v>4085</v>
      </c>
      <c r="AD2289" s="78" t="s">
        <v>4580</v>
      </c>
      <c r="AE2289" t="b">
        <v>0</v>
      </c>
      <c r="AF2289">
        <v>0</v>
      </c>
      <c r="AG2289" s="78" t="s">
        <v>4749</v>
      </c>
      <c r="AH2289" t="b">
        <v>0</v>
      </c>
      <c r="AI2289" t="s">
        <v>4829</v>
      </c>
      <c r="AK2289" s="78" t="s">
        <v>4640</v>
      </c>
      <c r="AL2289" t="b">
        <v>0</v>
      </c>
      <c r="AM2289">
        <v>0</v>
      </c>
      <c r="AN2289" s="78" t="s">
        <v>4640</v>
      </c>
      <c r="AO2289" s="78" t="s">
        <v>4849</v>
      </c>
      <c r="AP2289" t="b">
        <v>0</v>
      </c>
      <c r="AQ2289" s="78" t="s">
        <v>4580</v>
      </c>
      <c r="AR2289" t="s">
        <v>179</v>
      </c>
      <c r="AS2289">
        <v>0</v>
      </c>
      <c r="AT2289">
        <v>0</v>
      </c>
    </row>
    <row r="2290" spans="1:46" x14ac:dyDescent="0.45">
      <c r="A2290" s="62" t="s">
        <v>796</v>
      </c>
      <c r="B2290" s="62" t="s">
        <v>1379</v>
      </c>
      <c r="C2290" s="63"/>
      <c r="D2290" s="64"/>
      <c r="E2290" s="65"/>
      <c r="F2290" s="66"/>
      <c r="G2290" s="63"/>
      <c r="H2290" s="67"/>
      <c r="I2290" s="68"/>
      <c r="J2290" s="68"/>
      <c r="K2290" s="32"/>
      <c r="L2290" s="75"/>
      <c r="M2290" s="75"/>
      <c r="N2290" s="70"/>
      <c r="O2290" t="s">
        <v>1570</v>
      </c>
      <c r="P2290" s="76">
        <v>44958.95045138889</v>
      </c>
      <c r="Q2290" t="s">
        <v>1969</v>
      </c>
      <c r="V2290" s="77" t="str">
        <f>HYPERLINK("https://pbs.twimg.com/profile_images/1620926801311670272/F_uSEtz2_normal.jpg")</f>
        <v>https://pbs.twimg.com/profile_images/1620926801311670272/F_uSEtz2_normal.jpg</v>
      </c>
      <c r="W2290" s="76">
        <v>44958.95045138889</v>
      </c>
      <c r="X2290" s="80">
        <v>44958</v>
      </c>
      <c r="Y2290" s="78" t="s">
        <v>3021</v>
      </c>
      <c r="Z2290" s="77" t="str">
        <f>HYPERLINK("https://twitter.com/juugya1/status/1620917070052610049")</f>
        <v>https://twitter.com/juugya1/status/1620917070052610049</v>
      </c>
      <c r="AC2290" s="78" t="s">
        <v>4086</v>
      </c>
      <c r="AE2290" t="b">
        <v>0</v>
      </c>
      <c r="AF2290">
        <v>0</v>
      </c>
      <c r="AG2290" s="78" t="s">
        <v>4640</v>
      </c>
      <c r="AH2290" t="b">
        <v>0</v>
      </c>
      <c r="AI2290" t="s">
        <v>4829</v>
      </c>
      <c r="AK2290" s="78" t="s">
        <v>4640</v>
      </c>
      <c r="AL2290" t="b">
        <v>0</v>
      </c>
      <c r="AM2290">
        <v>1</v>
      </c>
      <c r="AN2290" s="78" t="s">
        <v>4088</v>
      </c>
      <c r="AO2290" s="78" t="s">
        <v>4849</v>
      </c>
      <c r="AP2290" t="b">
        <v>0</v>
      </c>
      <c r="AQ2290" s="78" t="s">
        <v>4088</v>
      </c>
      <c r="AR2290" t="s">
        <v>179</v>
      </c>
      <c r="AS2290">
        <v>0</v>
      </c>
      <c r="AT2290">
        <v>0</v>
      </c>
    </row>
    <row r="2291" spans="1:46" x14ac:dyDescent="0.45">
      <c r="A2291" s="62" t="s">
        <v>796</v>
      </c>
      <c r="B2291" s="62" t="s">
        <v>1379</v>
      </c>
      <c r="C2291" s="63"/>
      <c r="D2291" s="64"/>
      <c r="E2291" s="65"/>
      <c r="F2291" s="66"/>
      <c r="G2291" s="63"/>
      <c r="H2291" s="67"/>
      <c r="I2291" s="68"/>
      <c r="J2291" s="68"/>
      <c r="K2291" s="32"/>
      <c r="L2291" s="75"/>
      <c r="M2291" s="75"/>
      <c r="N2291" s="70"/>
      <c r="O2291" t="s">
        <v>1568</v>
      </c>
      <c r="P2291" s="76">
        <v>44958.950694444444</v>
      </c>
      <c r="Q2291" t="s">
        <v>1966</v>
      </c>
      <c r="V2291" s="77" t="str">
        <f>HYPERLINK("https://pbs.twimg.com/profile_images/1620926801311670272/F_uSEtz2_normal.jpg")</f>
        <v>https://pbs.twimg.com/profile_images/1620926801311670272/F_uSEtz2_normal.jpg</v>
      </c>
      <c r="W2291" s="76">
        <v>44958.950694444444</v>
      </c>
      <c r="X2291" s="80">
        <v>44958</v>
      </c>
      <c r="Y2291" s="78" t="s">
        <v>3018</v>
      </c>
      <c r="Z2291" s="77" t="str">
        <f>HYPERLINK("https://twitter.com/juugya1/status/1620917159323918337")</f>
        <v>https://twitter.com/juugya1/status/1620917159323918337</v>
      </c>
      <c r="AC2291" s="78" t="s">
        <v>4083</v>
      </c>
      <c r="AD2291" s="78" t="s">
        <v>4579</v>
      </c>
      <c r="AE2291" t="b">
        <v>0</v>
      </c>
      <c r="AF2291">
        <v>0</v>
      </c>
      <c r="AG2291" s="78" t="s">
        <v>4748</v>
      </c>
      <c r="AH2291" t="b">
        <v>0</v>
      </c>
      <c r="AI2291" t="s">
        <v>4829</v>
      </c>
      <c r="AK2291" s="78" t="s">
        <v>4640</v>
      </c>
      <c r="AL2291" t="b">
        <v>0</v>
      </c>
      <c r="AM2291">
        <v>0</v>
      </c>
      <c r="AN2291" s="78" t="s">
        <v>4640</v>
      </c>
      <c r="AO2291" s="78" t="s">
        <v>4849</v>
      </c>
      <c r="AP2291" t="b">
        <v>0</v>
      </c>
      <c r="AQ2291" s="78" t="s">
        <v>4579</v>
      </c>
      <c r="AR2291" t="s">
        <v>179</v>
      </c>
      <c r="AS2291">
        <v>0</v>
      </c>
      <c r="AT2291">
        <v>0</v>
      </c>
    </row>
    <row r="2292" spans="1:46" x14ac:dyDescent="0.45">
      <c r="A2292" s="62" t="s">
        <v>796</v>
      </c>
      <c r="B2292" s="62" t="s">
        <v>1379</v>
      </c>
      <c r="C2292" s="63"/>
      <c r="D2292" s="64"/>
      <c r="E2292" s="65"/>
      <c r="F2292" s="66"/>
      <c r="G2292" s="63"/>
      <c r="H2292" s="67"/>
      <c r="I2292" s="68"/>
      <c r="J2292" s="68"/>
      <c r="K2292" s="32"/>
      <c r="L2292" s="75"/>
      <c r="M2292" s="75"/>
      <c r="N2292" s="70"/>
      <c r="O2292" t="s">
        <v>1568</v>
      </c>
      <c r="P2292" s="76">
        <v>44958.978101851855</v>
      </c>
      <c r="Q2292" t="s">
        <v>1970</v>
      </c>
      <c r="V2292" s="77" t="str">
        <f>HYPERLINK("https://pbs.twimg.com/profile_images/1620926801311670272/F_uSEtz2_normal.jpg")</f>
        <v>https://pbs.twimg.com/profile_images/1620926801311670272/F_uSEtz2_normal.jpg</v>
      </c>
      <c r="W2292" s="76">
        <v>44958.978101851855</v>
      </c>
      <c r="X2292" s="80">
        <v>44958</v>
      </c>
      <c r="Y2292" s="78" t="s">
        <v>3022</v>
      </c>
      <c r="Z2292" s="77" t="str">
        <f>HYPERLINK("https://twitter.com/juugya1/status/1620927088890118144")</f>
        <v>https://twitter.com/juugya1/status/1620927088890118144</v>
      </c>
      <c r="AC2292" s="78" t="s">
        <v>4087</v>
      </c>
      <c r="AD2292" s="78" t="s">
        <v>4088</v>
      </c>
      <c r="AE2292" t="b">
        <v>0</v>
      </c>
      <c r="AF2292">
        <v>0</v>
      </c>
      <c r="AG2292" s="78" t="s">
        <v>4749</v>
      </c>
      <c r="AH2292" t="b">
        <v>0</v>
      </c>
      <c r="AI2292" t="s">
        <v>4829</v>
      </c>
      <c r="AK2292" s="78" t="s">
        <v>4640</v>
      </c>
      <c r="AL2292" t="b">
        <v>0</v>
      </c>
      <c r="AM2292">
        <v>0</v>
      </c>
      <c r="AN2292" s="78" t="s">
        <v>4640</v>
      </c>
      <c r="AO2292" s="78" t="s">
        <v>4849</v>
      </c>
      <c r="AP2292" t="b">
        <v>0</v>
      </c>
      <c r="AQ2292" s="78" t="s">
        <v>4088</v>
      </c>
      <c r="AR2292" t="s">
        <v>179</v>
      </c>
      <c r="AS2292">
        <v>0</v>
      </c>
      <c r="AT2292">
        <v>0</v>
      </c>
    </row>
    <row r="2293" spans="1:46" x14ac:dyDescent="0.45">
      <c r="A2293" s="62" t="s">
        <v>798</v>
      </c>
      <c r="B2293" s="62" t="s">
        <v>1379</v>
      </c>
      <c r="C2293" s="63"/>
      <c r="D2293" s="64"/>
      <c r="E2293" s="65"/>
      <c r="F2293" s="66"/>
      <c r="G2293" s="63"/>
      <c r="H2293" s="67"/>
      <c r="I2293" s="68"/>
      <c r="J2293" s="68"/>
      <c r="K2293" s="32"/>
      <c r="L2293" s="75"/>
      <c r="M2293" s="75"/>
      <c r="N2293" s="70"/>
      <c r="O2293" t="s">
        <v>1568</v>
      </c>
      <c r="P2293" s="76">
        <v>44958.97929398148</v>
      </c>
      <c r="Q2293" t="s">
        <v>1968</v>
      </c>
      <c r="V2293" s="77" t="str">
        <f>HYPERLINK("https://pbs.twimg.com/profile_images/1613022584831971328/YU9O8hUY_normal.jpg")</f>
        <v>https://pbs.twimg.com/profile_images/1613022584831971328/YU9O8hUY_normal.jpg</v>
      </c>
      <c r="W2293" s="76">
        <v>44958.97929398148</v>
      </c>
      <c r="X2293" s="80">
        <v>44958</v>
      </c>
      <c r="Y2293" s="78" t="s">
        <v>3020</v>
      </c>
      <c r="Z2293" s="77" t="str">
        <f>HYPERLINK("https://twitter.com/ecclesi41663287/status/1620927521553534976")</f>
        <v>https://twitter.com/ecclesi41663287/status/1620927521553534976</v>
      </c>
      <c r="AC2293" s="78" t="s">
        <v>4085</v>
      </c>
      <c r="AD2293" s="78" t="s">
        <v>4580</v>
      </c>
      <c r="AE2293" t="b">
        <v>0</v>
      </c>
      <c r="AF2293">
        <v>0</v>
      </c>
      <c r="AG2293" s="78" t="s">
        <v>4749</v>
      </c>
      <c r="AH2293" t="b">
        <v>0</v>
      </c>
      <c r="AI2293" t="s">
        <v>4829</v>
      </c>
      <c r="AK2293" s="78" t="s">
        <v>4640</v>
      </c>
      <c r="AL2293" t="b">
        <v>0</v>
      </c>
      <c r="AM2293">
        <v>0</v>
      </c>
      <c r="AN2293" s="78" t="s">
        <v>4640</v>
      </c>
      <c r="AO2293" s="78" t="s">
        <v>4849</v>
      </c>
      <c r="AP2293" t="b">
        <v>0</v>
      </c>
      <c r="AQ2293" s="78" t="s">
        <v>4580</v>
      </c>
      <c r="AR2293" t="s">
        <v>179</v>
      </c>
      <c r="AS2293">
        <v>0</v>
      </c>
      <c r="AT2293">
        <v>0</v>
      </c>
    </row>
    <row r="2294" spans="1:46" x14ac:dyDescent="0.45">
      <c r="A2294" s="62" t="s">
        <v>796</v>
      </c>
      <c r="B2294" s="62" t="s">
        <v>1380</v>
      </c>
      <c r="C2294" s="63"/>
      <c r="D2294" s="64"/>
      <c r="E2294" s="65"/>
      <c r="F2294" s="66"/>
      <c r="G2294" s="63"/>
      <c r="H2294" s="67"/>
      <c r="I2294" s="68"/>
      <c r="J2294" s="68"/>
      <c r="K2294" s="32"/>
      <c r="L2294" s="75"/>
      <c r="M2294" s="75"/>
      <c r="N2294" s="70"/>
      <c r="O2294" t="s">
        <v>1570</v>
      </c>
      <c r="P2294" s="76">
        <v>44958.95045138889</v>
      </c>
      <c r="Q2294" t="s">
        <v>1969</v>
      </c>
      <c r="V2294" s="77" t="str">
        <f>HYPERLINK("https://pbs.twimg.com/profile_images/1620926801311670272/F_uSEtz2_normal.jpg")</f>
        <v>https://pbs.twimg.com/profile_images/1620926801311670272/F_uSEtz2_normal.jpg</v>
      </c>
      <c r="W2294" s="76">
        <v>44958.95045138889</v>
      </c>
      <c r="X2294" s="80">
        <v>44958</v>
      </c>
      <c r="Y2294" s="78" t="s">
        <v>3021</v>
      </c>
      <c r="Z2294" s="77" t="str">
        <f>HYPERLINK("https://twitter.com/juugya1/status/1620917070052610049")</f>
        <v>https://twitter.com/juugya1/status/1620917070052610049</v>
      </c>
      <c r="AC2294" s="78" t="s">
        <v>4086</v>
      </c>
      <c r="AE2294" t="b">
        <v>0</v>
      </c>
      <c r="AF2294">
        <v>0</v>
      </c>
      <c r="AG2294" s="78" t="s">
        <v>4640</v>
      </c>
      <c r="AH2294" t="b">
        <v>0</v>
      </c>
      <c r="AI2294" t="s">
        <v>4829</v>
      </c>
      <c r="AK2294" s="78" t="s">
        <v>4640</v>
      </c>
      <c r="AL2294" t="b">
        <v>0</v>
      </c>
      <c r="AM2294">
        <v>1</v>
      </c>
      <c r="AN2294" s="78" t="s">
        <v>4088</v>
      </c>
      <c r="AO2294" s="78" t="s">
        <v>4849</v>
      </c>
      <c r="AP2294" t="b">
        <v>0</v>
      </c>
      <c r="AQ2294" s="78" t="s">
        <v>4088</v>
      </c>
      <c r="AR2294" t="s">
        <v>179</v>
      </c>
      <c r="AS2294">
        <v>0</v>
      </c>
      <c r="AT2294">
        <v>0</v>
      </c>
    </row>
    <row r="2295" spans="1:46" x14ac:dyDescent="0.45">
      <c r="A2295" s="62" t="s">
        <v>796</v>
      </c>
      <c r="B2295" s="62" t="s">
        <v>1380</v>
      </c>
      <c r="C2295" s="63"/>
      <c r="D2295" s="64"/>
      <c r="E2295" s="65"/>
      <c r="F2295" s="66"/>
      <c r="G2295" s="63"/>
      <c r="H2295" s="67"/>
      <c r="I2295" s="68"/>
      <c r="J2295" s="68"/>
      <c r="K2295" s="32"/>
      <c r="L2295" s="75"/>
      <c r="M2295" s="75"/>
      <c r="N2295" s="70"/>
      <c r="O2295" t="s">
        <v>1568</v>
      </c>
      <c r="P2295" s="76">
        <v>44958.950694444444</v>
      </c>
      <c r="Q2295" t="s">
        <v>1966</v>
      </c>
      <c r="V2295" s="77" t="str">
        <f>HYPERLINK("https://pbs.twimg.com/profile_images/1620926801311670272/F_uSEtz2_normal.jpg")</f>
        <v>https://pbs.twimg.com/profile_images/1620926801311670272/F_uSEtz2_normal.jpg</v>
      </c>
      <c r="W2295" s="76">
        <v>44958.950694444444</v>
      </c>
      <c r="X2295" s="80">
        <v>44958</v>
      </c>
      <c r="Y2295" s="78" t="s">
        <v>3018</v>
      </c>
      <c r="Z2295" s="77" t="str">
        <f>HYPERLINK("https://twitter.com/juugya1/status/1620917159323918337")</f>
        <v>https://twitter.com/juugya1/status/1620917159323918337</v>
      </c>
      <c r="AC2295" s="78" t="s">
        <v>4083</v>
      </c>
      <c r="AD2295" s="78" t="s">
        <v>4579</v>
      </c>
      <c r="AE2295" t="b">
        <v>0</v>
      </c>
      <c r="AF2295">
        <v>0</v>
      </c>
      <c r="AG2295" s="78" t="s">
        <v>4748</v>
      </c>
      <c r="AH2295" t="b">
        <v>0</v>
      </c>
      <c r="AI2295" t="s">
        <v>4829</v>
      </c>
      <c r="AK2295" s="78" t="s">
        <v>4640</v>
      </c>
      <c r="AL2295" t="b">
        <v>0</v>
      </c>
      <c r="AM2295">
        <v>0</v>
      </c>
      <c r="AN2295" s="78" t="s">
        <v>4640</v>
      </c>
      <c r="AO2295" s="78" t="s">
        <v>4849</v>
      </c>
      <c r="AP2295" t="b">
        <v>0</v>
      </c>
      <c r="AQ2295" s="78" t="s">
        <v>4579</v>
      </c>
      <c r="AR2295" t="s">
        <v>179</v>
      </c>
      <c r="AS2295">
        <v>0</v>
      </c>
      <c r="AT2295">
        <v>0</v>
      </c>
    </row>
    <row r="2296" spans="1:46" x14ac:dyDescent="0.45">
      <c r="A2296" s="62" t="s">
        <v>796</v>
      </c>
      <c r="B2296" s="62" t="s">
        <v>1380</v>
      </c>
      <c r="C2296" s="63"/>
      <c r="D2296" s="64"/>
      <c r="E2296" s="65"/>
      <c r="F2296" s="66"/>
      <c r="G2296" s="63"/>
      <c r="H2296" s="67"/>
      <c r="I2296" s="68"/>
      <c r="J2296" s="68"/>
      <c r="K2296" s="32"/>
      <c r="L2296" s="75"/>
      <c r="M2296" s="75"/>
      <c r="N2296" s="70"/>
      <c r="O2296" t="s">
        <v>1568</v>
      </c>
      <c r="P2296" s="76">
        <v>44958.978101851855</v>
      </c>
      <c r="Q2296" t="s">
        <v>1970</v>
      </c>
      <c r="V2296" s="77" t="str">
        <f>HYPERLINK("https://pbs.twimg.com/profile_images/1620926801311670272/F_uSEtz2_normal.jpg")</f>
        <v>https://pbs.twimg.com/profile_images/1620926801311670272/F_uSEtz2_normal.jpg</v>
      </c>
      <c r="W2296" s="76">
        <v>44958.978101851855</v>
      </c>
      <c r="X2296" s="80">
        <v>44958</v>
      </c>
      <c r="Y2296" s="78" t="s">
        <v>3022</v>
      </c>
      <c r="Z2296" s="77" t="str">
        <f>HYPERLINK("https://twitter.com/juugya1/status/1620927088890118144")</f>
        <v>https://twitter.com/juugya1/status/1620927088890118144</v>
      </c>
      <c r="AC2296" s="78" t="s">
        <v>4087</v>
      </c>
      <c r="AD2296" s="78" t="s">
        <v>4088</v>
      </c>
      <c r="AE2296" t="b">
        <v>0</v>
      </c>
      <c r="AF2296">
        <v>0</v>
      </c>
      <c r="AG2296" s="78" t="s">
        <v>4749</v>
      </c>
      <c r="AH2296" t="b">
        <v>0</v>
      </c>
      <c r="AI2296" t="s">
        <v>4829</v>
      </c>
      <c r="AK2296" s="78" t="s">
        <v>4640</v>
      </c>
      <c r="AL2296" t="b">
        <v>0</v>
      </c>
      <c r="AM2296">
        <v>0</v>
      </c>
      <c r="AN2296" s="78" t="s">
        <v>4640</v>
      </c>
      <c r="AO2296" s="78" t="s">
        <v>4849</v>
      </c>
      <c r="AP2296" t="b">
        <v>0</v>
      </c>
      <c r="AQ2296" s="78" t="s">
        <v>4088</v>
      </c>
      <c r="AR2296" t="s">
        <v>179</v>
      </c>
      <c r="AS2296">
        <v>0</v>
      </c>
      <c r="AT2296">
        <v>0</v>
      </c>
    </row>
    <row r="2297" spans="1:46" x14ac:dyDescent="0.45">
      <c r="A2297" s="62" t="s">
        <v>798</v>
      </c>
      <c r="B2297" s="62" t="s">
        <v>1380</v>
      </c>
      <c r="C2297" s="63"/>
      <c r="D2297" s="64"/>
      <c r="E2297" s="65"/>
      <c r="F2297" s="66"/>
      <c r="G2297" s="63"/>
      <c r="H2297" s="67"/>
      <c r="I2297" s="68"/>
      <c r="J2297" s="68"/>
      <c r="K2297" s="32"/>
      <c r="L2297" s="75"/>
      <c r="M2297" s="75"/>
      <c r="N2297" s="70"/>
      <c r="O2297" t="s">
        <v>1568</v>
      </c>
      <c r="P2297" s="76">
        <v>44958.97929398148</v>
      </c>
      <c r="Q2297" t="s">
        <v>1968</v>
      </c>
      <c r="V2297" s="77" t="str">
        <f>HYPERLINK("https://pbs.twimg.com/profile_images/1613022584831971328/YU9O8hUY_normal.jpg")</f>
        <v>https://pbs.twimg.com/profile_images/1613022584831971328/YU9O8hUY_normal.jpg</v>
      </c>
      <c r="W2297" s="76">
        <v>44958.97929398148</v>
      </c>
      <c r="X2297" s="80">
        <v>44958</v>
      </c>
      <c r="Y2297" s="78" t="s">
        <v>3020</v>
      </c>
      <c r="Z2297" s="77" t="str">
        <f>HYPERLINK("https://twitter.com/ecclesi41663287/status/1620927521553534976")</f>
        <v>https://twitter.com/ecclesi41663287/status/1620927521553534976</v>
      </c>
      <c r="AC2297" s="78" t="s">
        <v>4085</v>
      </c>
      <c r="AD2297" s="78" t="s">
        <v>4580</v>
      </c>
      <c r="AE2297" t="b">
        <v>0</v>
      </c>
      <c r="AF2297">
        <v>0</v>
      </c>
      <c r="AG2297" s="78" t="s">
        <v>4749</v>
      </c>
      <c r="AH2297" t="b">
        <v>0</v>
      </c>
      <c r="AI2297" t="s">
        <v>4829</v>
      </c>
      <c r="AK2297" s="78" t="s">
        <v>4640</v>
      </c>
      <c r="AL2297" t="b">
        <v>0</v>
      </c>
      <c r="AM2297">
        <v>0</v>
      </c>
      <c r="AN2297" s="78" t="s">
        <v>4640</v>
      </c>
      <c r="AO2297" s="78" t="s">
        <v>4849</v>
      </c>
      <c r="AP2297" t="b">
        <v>0</v>
      </c>
      <c r="AQ2297" s="78" t="s">
        <v>4580</v>
      </c>
      <c r="AR2297" t="s">
        <v>179</v>
      </c>
      <c r="AS2297">
        <v>0</v>
      </c>
      <c r="AT2297">
        <v>0</v>
      </c>
    </row>
    <row r="2298" spans="1:46" x14ac:dyDescent="0.45">
      <c r="A2298" s="62" t="s">
        <v>796</v>
      </c>
      <c r="B2298" s="62" t="s">
        <v>1381</v>
      </c>
      <c r="C2298" s="63"/>
      <c r="D2298" s="64"/>
      <c r="E2298" s="65"/>
      <c r="F2298" s="66"/>
      <c r="G2298" s="63"/>
      <c r="H2298" s="67"/>
      <c r="I2298" s="68"/>
      <c r="J2298" s="68"/>
      <c r="K2298" s="32"/>
      <c r="L2298" s="75"/>
      <c r="M2298" s="75"/>
      <c r="N2298" s="70"/>
      <c r="O2298" t="s">
        <v>1570</v>
      </c>
      <c r="P2298" s="76">
        <v>44958.95045138889</v>
      </c>
      <c r="Q2298" t="s">
        <v>1969</v>
      </c>
      <c r="V2298" s="77" t="str">
        <f>HYPERLINK("https://pbs.twimg.com/profile_images/1620926801311670272/F_uSEtz2_normal.jpg")</f>
        <v>https://pbs.twimg.com/profile_images/1620926801311670272/F_uSEtz2_normal.jpg</v>
      </c>
      <c r="W2298" s="76">
        <v>44958.95045138889</v>
      </c>
      <c r="X2298" s="80">
        <v>44958</v>
      </c>
      <c r="Y2298" s="78" t="s">
        <v>3021</v>
      </c>
      <c r="Z2298" s="77" t="str">
        <f>HYPERLINK("https://twitter.com/juugya1/status/1620917070052610049")</f>
        <v>https://twitter.com/juugya1/status/1620917070052610049</v>
      </c>
      <c r="AC2298" s="78" t="s">
        <v>4086</v>
      </c>
      <c r="AE2298" t="b">
        <v>0</v>
      </c>
      <c r="AF2298">
        <v>0</v>
      </c>
      <c r="AG2298" s="78" t="s">
        <v>4640</v>
      </c>
      <c r="AH2298" t="b">
        <v>0</v>
      </c>
      <c r="AI2298" t="s">
        <v>4829</v>
      </c>
      <c r="AK2298" s="78" t="s">
        <v>4640</v>
      </c>
      <c r="AL2298" t="b">
        <v>0</v>
      </c>
      <c r="AM2298">
        <v>1</v>
      </c>
      <c r="AN2298" s="78" t="s">
        <v>4088</v>
      </c>
      <c r="AO2298" s="78" t="s">
        <v>4849</v>
      </c>
      <c r="AP2298" t="b">
        <v>0</v>
      </c>
      <c r="AQ2298" s="78" t="s">
        <v>4088</v>
      </c>
      <c r="AR2298" t="s">
        <v>179</v>
      </c>
      <c r="AS2298">
        <v>0</v>
      </c>
      <c r="AT2298">
        <v>0</v>
      </c>
    </row>
    <row r="2299" spans="1:46" x14ac:dyDescent="0.45">
      <c r="A2299" s="62" t="s">
        <v>796</v>
      </c>
      <c r="B2299" s="62" t="s">
        <v>1381</v>
      </c>
      <c r="C2299" s="63"/>
      <c r="D2299" s="64"/>
      <c r="E2299" s="65"/>
      <c r="F2299" s="66"/>
      <c r="G2299" s="63"/>
      <c r="H2299" s="67"/>
      <c r="I2299" s="68"/>
      <c r="J2299" s="68"/>
      <c r="K2299" s="32"/>
      <c r="L2299" s="75"/>
      <c r="M2299" s="75"/>
      <c r="N2299" s="70"/>
      <c r="O2299" t="s">
        <v>1568</v>
      </c>
      <c r="P2299" s="76">
        <v>44958.950694444444</v>
      </c>
      <c r="Q2299" t="s">
        <v>1966</v>
      </c>
      <c r="V2299" s="77" t="str">
        <f>HYPERLINK("https://pbs.twimg.com/profile_images/1620926801311670272/F_uSEtz2_normal.jpg")</f>
        <v>https://pbs.twimg.com/profile_images/1620926801311670272/F_uSEtz2_normal.jpg</v>
      </c>
      <c r="W2299" s="76">
        <v>44958.950694444444</v>
      </c>
      <c r="X2299" s="80">
        <v>44958</v>
      </c>
      <c r="Y2299" s="78" t="s">
        <v>3018</v>
      </c>
      <c r="Z2299" s="77" t="str">
        <f>HYPERLINK("https://twitter.com/juugya1/status/1620917159323918337")</f>
        <v>https://twitter.com/juugya1/status/1620917159323918337</v>
      </c>
      <c r="AC2299" s="78" t="s">
        <v>4083</v>
      </c>
      <c r="AD2299" s="78" t="s">
        <v>4579</v>
      </c>
      <c r="AE2299" t="b">
        <v>0</v>
      </c>
      <c r="AF2299">
        <v>0</v>
      </c>
      <c r="AG2299" s="78" t="s">
        <v>4748</v>
      </c>
      <c r="AH2299" t="b">
        <v>0</v>
      </c>
      <c r="AI2299" t="s">
        <v>4829</v>
      </c>
      <c r="AK2299" s="78" t="s">
        <v>4640</v>
      </c>
      <c r="AL2299" t="b">
        <v>0</v>
      </c>
      <c r="AM2299">
        <v>0</v>
      </c>
      <c r="AN2299" s="78" t="s">
        <v>4640</v>
      </c>
      <c r="AO2299" s="78" t="s">
        <v>4849</v>
      </c>
      <c r="AP2299" t="b">
        <v>0</v>
      </c>
      <c r="AQ2299" s="78" t="s">
        <v>4579</v>
      </c>
      <c r="AR2299" t="s">
        <v>179</v>
      </c>
      <c r="AS2299">
        <v>0</v>
      </c>
      <c r="AT2299">
        <v>0</v>
      </c>
    </row>
    <row r="2300" spans="1:46" x14ac:dyDescent="0.45">
      <c r="A2300" s="62" t="s">
        <v>796</v>
      </c>
      <c r="B2300" s="62" t="s">
        <v>1381</v>
      </c>
      <c r="C2300" s="63"/>
      <c r="D2300" s="64"/>
      <c r="E2300" s="65"/>
      <c r="F2300" s="66"/>
      <c r="G2300" s="63"/>
      <c r="H2300" s="67"/>
      <c r="I2300" s="68"/>
      <c r="J2300" s="68"/>
      <c r="K2300" s="32"/>
      <c r="L2300" s="75"/>
      <c r="M2300" s="75"/>
      <c r="N2300" s="70"/>
      <c r="O2300" t="s">
        <v>1568</v>
      </c>
      <c r="P2300" s="76">
        <v>44958.978101851855</v>
      </c>
      <c r="Q2300" t="s">
        <v>1970</v>
      </c>
      <c r="V2300" s="77" t="str">
        <f>HYPERLINK("https://pbs.twimg.com/profile_images/1620926801311670272/F_uSEtz2_normal.jpg")</f>
        <v>https://pbs.twimg.com/profile_images/1620926801311670272/F_uSEtz2_normal.jpg</v>
      </c>
      <c r="W2300" s="76">
        <v>44958.978101851855</v>
      </c>
      <c r="X2300" s="80">
        <v>44958</v>
      </c>
      <c r="Y2300" s="78" t="s">
        <v>3022</v>
      </c>
      <c r="Z2300" s="77" t="str">
        <f>HYPERLINK("https://twitter.com/juugya1/status/1620927088890118144")</f>
        <v>https://twitter.com/juugya1/status/1620927088890118144</v>
      </c>
      <c r="AC2300" s="78" t="s">
        <v>4087</v>
      </c>
      <c r="AD2300" s="78" t="s">
        <v>4088</v>
      </c>
      <c r="AE2300" t="b">
        <v>0</v>
      </c>
      <c r="AF2300">
        <v>0</v>
      </c>
      <c r="AG2300" s="78" t="s">
        <v>4749</v>
      </c>
      <c r="AH2300" t="b">
        <v>0</v>
      </c>
      <c r="AI2300" t="s">
        <v>4829</v>
      </c>
      <c r="AK2300" s="78" t="s">
        <v>4640</v>
      </c>
      <c r="AL2300" t="b">
        <v>0</v>
      </c>
      <c r="AM2300">
        <v>0</v>
      </c>
      <c r="AN2300" s="78" t="s">
        <v>4640</v>
      </c>
      <c r="AO2300" s="78" t="s">
        <v>4849</v>
      </c>
      <c r="AP2300" t="b">
        <v>0</v>
      </c>
      <c r="AQ2300" s="78" t="s">
        <v>4088</v>
      </c>
      <c r="AR2300" t="s">
        <v>179</v>
      </c>
      <c r="AS2300">
        <v>0</v>
      </c>
      <c r="AT2300">
        <v>0</v>
      </c>
    </row>
    <row r="2301" spans="1:46" x14ac:dyDescent="0.45">
      <c r="A2301" s="62" t="s">
        <v>798</v>
      </c>
      <c r="B2301" s="62" t="s">
        <v>1381</v>
      </c>
      <c r="C2301" s="63"/>
      <c r="D2301" s="64"/>
      <c r="E2301" s="65"/>
      <c r="F2301" s="66"/>
      <c r="G2301" s="63"/>
      <c r="H2301" s="67"/>
      <c r="I2301" s="68"/>
      <c r="J2301" s="68"/>
      <c r="K2301" s="32"/>
      <c r="L2301" s="75"/>
      <c r="M2301" s="75"/>
      <c r="N2301" s="70"/>
      <c r="O2301" t="s">
        <v>1568</v>
      </c>
      <c r="P2301" s="76">
        <v>44958.97929398148</v>
      </c>
      <c r="Q2301" t="s">
        <v>1968</v>
      </c>
      <c r="V2301" s="77" t="str">
        <f>HYPERLINK("https://pbs.twimg.com/profile_images/1613022584831971328/YU9O8hUY_normal.jpg")</f>
        <v>https://pbs.twimg.com/profile_images/1613022584831971328/YU9O8hUY_normal.jpg</v>
      </c>
      <c r="W2301" s="76">
        <v>44958.97929398148</v>
      </c>
      <c r="X2301" s="80">
        <v>44958</v>
      </c>
      <c r="Y2301" s="78" t="s">
        <v>3020</v>
      </c>
      <c r="Z2301" s="77" t="str">
        <f>HYPERLINK("https://twitter.com/ecclesi41663287/status/1620927521553534976")</f>
        <v>https://twitter.com/ecclesi41663287/status/1620927521553534976</v>
      </c>
      <c r="AC2301" s="78" t="s">
        <v>4085</v>
      </c>
      <c r="AD2301" s="78" t="s">
        <v>4580</v>
      </c>
      <c r="AE2301" t="b">
        <v>0</v>
      </c>
      <c r="AF2301">
        <v>0</v>
      </c>
      <c r="AG2301" s="78" t="s">
        <v>4749</v>
      </c>
      <c r="AH2301" t="b">
        <v>0</v>
      </c>
      <c r="AI2301" t="s">
        <v>4829</v>
      </c>
      <c r="AK2301" s="78" t="s">
        <v>4640</v>
      </c>
      <c r="AL2301" t="b">
        <v>0</v>
      </c>
      <c r="AM2301">
        <v>0</v>
      </c>
      <c r="AN2301" s="78" t="s">
        <v>4640</v>
      </c>
      <c r="AO2301" s="78" t="s">
        <v>4849</v>
      </c>
      <c r="AP2301" t="b">
        <v>0</v>
      </c>
      <c r="AQ2301" s="78" t="s">
        <v>4580</v>
      </c>
      <c r="AR2301" t="s">
        <v>179</v>
      </c>
      <c r="AS2301">
        <v>0</v>
      </c>
      <c r="AT2301">
        <v>0</v>
      </c>
    </row>
    <row r="2302" spans="1:46" x14ac:dyDescent="0.45">
      <c r="A2302" s="62" t="s">
        <v>796</v>
      </c>
      <c r="B2302" s="62" t="s">
        <v>1382</v>
      </c>
      <c r="C2302" s="63"/>
      <c r="D2302" s="64"/>
      <c r="E2302" s="65"/>
      <c r="F2302" s="66"/>
      <c r="G2302" s="63"/>
      <c r="H2302" s="67"/>
      <c r="I2302" s="68"/>
      <c r="J2302" s="68"/>
      <c r="K2302" s="32"/>
      <c r="L2302" s="75"/>
      <c r="M2302" s="75"/>
      <c r="N2302" s="70"/>
      <c r="O2302" t="s">
        <v>1570</v>
      </c>
      <c r="P2302" s="76">
        <v>44958.95045138889</v>
      </c>
      <c r="Q2302" t="s">
        <v>1969</v>
      </c>
      <c r="V2302" s="77" t="str">
        <f>HYPERLINK("https://pbs.twimg.com/profile_images/1620926801311670272/F_uSEtz2_normal.jpg")</f>
        <v>https://pbs.twimg.com/profile_images/1620926801311670272/F_uSEtz2_normal.jpg</v>
      </c>
      <c r="W2302" s="76">
        <v>44958.95045138889</v>
      </c>
      <c r="X2302" s="80">
        <v>44958</v>
      </c>
      <c r="Y2302" s="78" t="s">
        <v>3021</v>
      </c>
      <c r="Z2302" s="77" t="str">
        <f>HYPERLINK("https://twitter.com/juugya1/status/1620917070052610049")</f>
        <v>https://twitter.com/juugya1/status/1620917070052610049</v>
      </c>
      <c r="AC2302" s="78" t="s">
        <v>4086</v>
      </c>
      <c r="AE2302" t="b">
        <v>0</v>
      </c>
      <c r="AF2302">
        <v>0</v>
      </c>
      <c r="AG2302" s="78" t="s">
        <v>4640</v>
      </c>
      <c r="AH2302" t="b">
        <v>0</v>
      </c>
      <c r="AI2302" t="s">
        <v>4829</v>
      </c>
      <c r="AK2302" s="78" t="s">
        <v>4640</v>
      </c>
      <c r="AL2302" t="b">
        <v>0</v>
      </c>
      <c r="AM2302">
        <v>1</v>
      </c>
      <c r="AN2302" s="78" t="s">
        <v>4088</v>
      </c>
      <c r="AO2302" s="78" t="s">
        <v>4849</v>
      </c>
      <c r="AP2302" t="b">
        <v>0</v>
      </c>
      <c r="AQ2302" s="78" t="s">
        <v>4088</v>
      </c>
      <c r="AR2302" t="s">
        <v>179</v>
      </c>
      <c r="AS2302">
        <v>0</v>
      </c>
      <c r="AT2302">
        <v>0</v>
      </c>
    </row>
    <row r="2303" spans="1:46" x14ac:dyDescent="0.45">
      <c r="A2303" s="62" t="s">
        <v>796</v>
      </c>
      <c r="B2303" s="62" t="s">
        <v>1382</v>
      </c>
      <c r="C2303" s="63"/>
      <c r="D2303" s="64"/>
      <c r="E2303" s="65"/>
      <c r="F2303" s="66"/>
      <c r="G2303" s="63"/>
      <c r="H2303" s="67"/>
      <c r="I2303" s="68"/>
      <c r="J2303" s="68"/>
      <c r="K2303" s="32"/>
      <c r="L2303" s="75"/>
      <c r="M2303" s="75"/>
      <c r="N2303" s="70"/>
      <c r="O2303" t="s">
        <v>1568</v>
      </c>
      <c r="P2303" s="76">
        <v>44958.950694444444</v>
      </c>
      <c r="Q2303" t="s">
        <v>1966</v>
      </c>
      <c r="V2303" s="77" t="str">
        <f>HYPERLINK("https://pbs.twimg.com/profile_images/1620926801311670272/F_uSEtz2_normal.jpg")</f>
        <v>https://pbs.twimg.com/profile_images/1620926801311670272/F_uSEtz2_normal.jpg</v>
      </c>
      <c r="W2303" s="76">
        <v>44958.950694444444</v>
      </c>
      <c r="X2303" s="80">
        <v>44958</v>
      </c>
      <c r="Y2303" s="78" t="s">
        <v>3018</v>
      </c>
      <c r="Z2303" s="77" t="str">
        <f>HYPERLINK("https://twitter.com/juugya1/status/1620917159323918337")</f>
        <v>https://twitter.com/juugya1/status/1620917159323918337</v>
      </c>
      <c r="AC2303" s="78" t="s">
        <v>4083</v>
      </c>
      <c r="AD2303" s="78" t="s">
        <v>4579</v>
      </c>
      <c r="AE2303" t="b">
        <v>0</v>
      </c>
      <c r="AF2303">
        <v>0</v>
      </c>
      <c r="AG2303" s="78" t="s">
        <v>4748</v>
      </c>
      <c r="AH2303" t="b">
        <v>0</v>
      </c>
      <c r="AI2303" t="s">
        <v>4829</v>
      </c>
      <c r="AK2303" s="78" t="s">
        <v>4640</v>
      </c>
      <c r="AL2303" t="b">
        <v>0</v>
      </c>
      <c r="AM2303">
        <v>0</v>
      </c>
      <c r="AN2303" s="78" t="s">
        <v>4640</v>
      </c>
      <c r="AO2303" s="78" t="s">
        <v>4849</v>
      </c>
      <c r="AP2303" t="b">
        <v>0</v>
      </c>
      <c r="AQ2303" s="78" t="s">
        <v>4579</v>
      </c>
      <c r="AR2303" t="s">
        <v>179</v>
      </c>
      <c r="AS2303">
        <v>0</v>
      </c>
      <c r="AT2303">
        <v>0</v>
      </c>
    </row>
    <row r="2304" spans="1:46" x14ac:dyDescent="0.45">
      <c r="A2304" s="62" t="s">
        <v>796</v>
      </c>
      <c r="B2304" s="62" t="s">
        <v>1382</v>
      </c>
      <c r="C2304" s="63"/>
      <c r="D2304" s="64"/>
      <c r="E2304" s="65"/>
      <c r="F2304" s="66"/>
      <c r="G2304" s="63"/>
      <c r="H2304" s="67"/>
      <c r="I2304" s="68"/>
      <c r="J2304" s="68"/>
      <c r="K2304" s="32"/>
      <c r="L2304" s="75"/>
      <c r="M2304" s="75"/>
      <c r="N2304" s="70"/>
      <c r="O2304" t="s">
        <v>1568</v>
      </c>
      <c r="P2304" s="76">
        <v>44958.978101851855</v>
      </c>
      <c r="Q2304" t="s">
        <v>1970</v>
      </c>
      <c r="V2304" s="77" t="str">
        <f>HYPERLINK("https://pbs.twimg.com/profile_images/1620926801311670272/F_uSEtz2_normal.jpg")</f>
        <v>https://pbs.twimg.com/profile_images/1620926801311670272/F_uSEtz2_normal.jpg</v>
      </c>
      <c r="W2304" s="76">
        <v>44958.978101851855</v>
      </c>
      <c r="X2304" s="80">
        <v>44958</v>
      </c>
      <c r="Y2304" s="78" t="s">
        <v>3022</v>
      </c>
      <c r="Z2304" s="77" t="str">
        <f>HYPERLINK("https://twitter.com/juugya1/status/1620927088890118144")</f>
        <v>https://twitter.com/juugya1/status/1620927088890118144</v>
      </c>
      <c r="AC2304" s="78" t="s">
        <v>4087</v>
      </c>
      <c r="AD2304" s="78" t="s">
        <v>4088</v>
      </c>
      <c r="AE2304" t="b">
        <v>0</v>
      </c>
      <c r="AF2304">
        <v>0</v>
      </c>
      <c r="AG2304" s="78" t="s">
        <v>4749</v>
      </c>
      <c r="AH2304" t="b">
        <v>0</v>
      </c>
      <c r="AI2304" t="s">
        <v>4829</v>
      </c>
      <c r="AK2304" s="78" t="s">
        <v>4640</v>
      </c>
      <c r="AL2304" t="b">
        <v>0</v>
      </c>
      <c r="AM2304">
        <v>0</v>
      </c>
      <c r="AN2304" s="78" t="s">
        <v>4640</v>
      </c>
      <c r="AO2304" s="78" t="s">
        <v>4849</v>
      </c>
      <c r="AP2304" t="b">
        <v>0</v>
      </c>
      <c r="AQ2304" s="78" t="s">
        <v>4088</v>
      </c>
      <c r="AR2304" t="s">
        <v>179</v>
      </c>
      <c r="AS2304">
        <v>0</v>
      </c>
      <c r="AT2304">
        <v>0</v>
      </c>
    </row>
    <row r="2305" spans="1:46" x14ac:dyDescent="0.45">
      <c r="A2305" s="62" t="s">
        <v>798</v>
      </c>
      <c r="B2305" s="62" t="s">
        <v>1382</v>
      </c>
      <c r="C2305" s="63"/>
      <c r="D2305" s="64"/>
      <c r="E2305" s="65"/>
      <c r="F2305" s="66"/>
      <c r="G2305" s="63"/>
      <c r="H2305" s="67"/>
      <c r="I2305" s="68"/>
      <c r="J2305" s="68"/>
      <c r="K2305" s="32"/>
      <c r="L2305" s="75"/>
      <c r="M2305" s="75"/>
      <c r="N2305" s="70"/>
      <c r="O2305" t="s">
        <v>1568</v>
      </c>
      <c r="P2305" s="76">
        <v>44958.97929398148</v>
      </c>
      <c r="Q2305" t="s">
        <v>1968</v>
      </c>
      <c r="V2305" s="77" t="str">
        <f>HYPERLINK("https://pbs.twimg.com/profile_images/1613022584831971328/YU9O8hUY_normal.jpg")</f>
        <v>https://pbs.twimg.com/profile_images/1613022584831971328/YU9O8hUY_normal.jpg</v>
      </c>
      <c r="W2305" s="76">
        <v>44958.97929398148</v>
      </c>
      <c r="X2305" s="80">
        <v>44958</v>
      </c>
      <c r="Y2305" s="78" t="s">
        <v>3020</v>
      </c>
      <c r="Z2305" s="77" t="str">
        <f>HYPERLINK("https://twitter.com/ecclesi41663287/status/1620927521553534976")</f>
        <v>https://twitter.com/ecclesi41663287/status/1620927521553534976</v>
      </c>
      <c r="AC2305" s="78" t="s">
        <v>4085</v>
      </c>
      <c r="AD2305" s="78" t="s">
        <v>4580</v>
      </c>
      <c r="AE2305" t="b">
        <v>0</v>
      </c>
      <c r="AF2305">
        <v>0</v>
      </c>
      <c r="AG2305" s="78" t="s">
        <v>4749</v>
      </c>
      <c r="AH2305" t="b">
        <v>0</v>
      </c>
      <c r="AI2305" t="s">
        <v>4829</v>
      </c>
      <c r="AK2305" s="78" t="s">
        <v>4640</v>
      </c>
      <c r="AL2305" t="b">
        <v>0</v>
      </c>
      <c r="AM2305">
        <v>0</v>
      </c>
      <c r="AN2305" s="78" t="s">
        <v>4640</v>
      </c>
      <c r="AO2305" s="78" t="s">
        <v>4849</v>
      </c>
      <c r="AP2305" t="b">
        <v>0</v>
      </c>
      <c r="AQ2305" s="78" t="s">
        <v>4580</v>
      </c>
      <c r="AR2305" t="s">
        <v>179</v>
      </c>
      <c r="AS2305">
        <v>0</v>
      </c>
      <c r="AT2305">
        <v>0</v>
      </c>
    </row>
    <row r="2306" spans="1:46" x14ac:dyDescent="0.45">
      <c r="A2306" s="62" t="s">
        <v>796</v>
      </c>
      <c r="B2306" s="62" t="s">
        <v>1247</v>
      </c>
      <c r="C2306" s="63"/>
      <c r="D2306" s="64"/>
      <c r="E2306" s="65"/>
      <c r="F2306" s="66"/>
      <c r="G2306" s="63"/>
      <c r="H2306" s="67"/>
      <c r="I2306" s="68"/>
      <c r="J2306" s="68"/>
      <c r="K2306" s="32"/>
      <c r="L2306" s="75"/>
      <c r="M2306" s="75"/>
      <c r="N2306" s="70"/>
      <c r="O2306" t="s">
        <v>1570</v>
      </c>
      <c r="P2306" s="76">
        <v>44958.95045138889</v>
      </c>
      <c r="Q2306" t="s">
        <v>1969</v>
      </c>
      <c r="V2306" s="77" t="str">
        <f>HYPERLINK("https://pbs.twimg.com/profile_images/1620926801311670272/F_uSEtz2_normal.jpg")</f>
        <v>https://pbs.twimg.com/profile_images/1620926801311670272/F_uSEtz2_normal.jpg</v>
      </c>
      <c r="W2306" s="76">
        <v>44958.95045138889</v>
      </c>
      <c r="X2306" s="80">
        <v>44958</v>
      </c>
      <c r="Y2306" s="78" t="s">
        <v>3021</v>
      </c>
      <c r="Z2306" s="77" t="str">
        <f>HYPERLINK("https://twitter.com/juugya1/status/1620917070052610049")</f>
        <v>https://twitter.com/juugya1/status/1620917070052610049</v>
      </c>
      <c r="AC2306" s="78" t="s">
        <v>4086</v>
      </c>
      <c r="AE2306" t="b">
        <v>0</v>
      </c>
      <c r="AF2306">
        <v>0</v>
      </c>
      <c r="AG2306" s="78" t="s">
        <v>4640</v>
      </c>
      <c r="AH2306" t="b">
        <v>0</v>
      </c>
      <c r="AI2306" t="s">
        <v>4829</v>
      </c>
      <c r="AK2306" s="78" t="s">
        <v>4640</v>
      </c>
      <c r="AL2306" t="b">
        <v>0</v>
      </c>
      <c r="AM2306">
        <v>1</v>
      </c>
      <c r="AN2306" s="78" t="s">
        <v>4088</v>
      </c>
      <c r="AO2306" s="78" t="s">
        <v>4849</v>
      </c>
      <c r="AP2306" t="b">
        <v>0</v>
      </c>
      <c r="AQ2306" s="78" t="s">
        <v>4088</v>
      </c>
      <c r="AR2306" t="s">
        <v>179</v>
      </c>
      <c r="AS2306">
        <v>0</v>
      </c>
      <c r="AT2306">
        <v>0</v>
      </c>
    </row>
    <row r="2307" spans="1:46" x14ac:dyDescent="0.45">
      <c r="A2307" s="62" t="s">
        <v>796</v>
      </c>
      <c r="B2307" s="62" t="s">
        <v>242</v>
      </c>
      <c r="C2307" s="63"/>
      <c r="D2307" s="64"/>
      <c r="E2307" s="65"/>
      <c r="F2307" s="66"/>
      <c r="G2307" s="63"/>
      <c r="H2307" s="67"/>
      <c r="I2307" s="68"/>
      <c r="J2307" s="68"/>
      <c r="K2307" s="32"/>
      <c r="L2307" s="75"/>
      <c r="M2307" s="75"/>
      <c r="N2307" s="70"/>
      <c r="O2307" t="s">
        <v>1570</v>
      </c>
      <c r="P2307" s="76">
        <v>44958.95045138889</v>
      </c>
      <c r="Q2307" t="s">
        <v>1969</v>
      </c>
      <c r="V2307" s="77" t="str">
        <f>HYPERLINK("https://pbs.twimg.com/profile_images/1620926801311670272/F_uSEtz2_normal.jpg")</f>
        <v>https://pbs.twimg.com/profile_images/1620926801311670272/F_uSEtz2_normal.jpg</v>
      </c>
      <c r="W2307" s="76">
        <v>44958.95045138889</v>
      </c>
      <c r="X2307" s="80">
        <v>44958</v>
      </c>
      <c r="Y2307" s="78" t="s">
        <v>3021</v>
      </c>
      <c r="Z2307" s="77" t="str">
        <f>HYPERLINK("https://twitter.com/juugya1/status/1620917070052610049")</f>
        <v>https://twitter.com/juugya1/status/1620917070052610049</v>
      </c>
      <c r="AC2307" s="78" t="s">
        <v>4086</v>
      </c>
      <c r="AE2307" t="b">
        <v>0</v>
      </c>
      <c r="AF2307">
        <v>0</v>
      </c>
      <c r="AG2307" s="78" t="s">
        <v>4640</v>
      </c>
      <c r="AH2307" t="b">
        <v>0</v>
      </c>
      <c r="AI2307" t="s">
        <v>4829</v>
      </c>
      <c r="AK2307" s="78" t="s">
        <v>4640</v>
      </c>
      <c r="AL2307" t="b">
        <v>0</v>
      </c>
      <c r="AM2307">
        <v>1</v>
      </c>
      <c r="AN2307" s="78" t="s">
        <v>4088</v>
      </c>
      <c r="AO2307" s="78" t="s">
        <v>4849</v>
      </c>
      <c r="AP2307" t="b">
        <v>0</v>
      </c>
      <c r="AQ2307" s="78" t="s">
        <v>4088</v>
      </c>
      <c r="AR2307" t="s">
        <v>179</v>
      </c>
      <c r="AS2307">
        <v>0</v>
      </c>
      <c r="AT2307">
        <v>0</v>
      </c>
    </row>
    <row r="2308" spans="1:46" x14ac:dyDescent="0.45">
      <c r="A2308" s="62" t="s">
        <v>796</v>
      </c>
      <c r="B2308" s="62" t="s">
        <v>1383</v>
      </c>
      <c r="C2308" s="63"/>
      <c r="D2308" s="64"/>
      <c r="E2308" s="65"/>
      <c r="F2308" s="66"/>
      <c r="G2308" s="63"/>
      <c r="H2308" s="67"/>
      <c r="I2308" s="68"/>
      <c r="J2308" s="68"/>
      <c r="K2308" s="32"/>
      <c r="L2308" s="75"/>
      <c r="M2308" s="75"/>
      <c r="N2308" s="70"/>
      <c r="O2308" t="s">
        <v>1570</v>
      </c>
      <c r="P2308" s="76">
        <v>44958.95045138889</v>
      </c>
      <c r="Q2308" t="s">
        <v>1969</v>
      </c>
      <c r="V2308" s="77" t="str">
        <f>HYPERLINK("https://pbs.twimg.com/profile_images/1620926801311670272/F_uSEtz2_normal.jpg")</f>
        <v>https://pbs.twimg.com/profile_images/1620926801311670272/F_uSEtz2_normal.jpg</v>
      </c>
      <c r="W2308" s="76">
        <v>44958.95045138889</v>
      </c>
      <c r="X2308" s="80">
        <v>44958</v>
      </c>
      <c r="Y2308" s="78" t="s">
        <v>3021</v>
      </c>
      <c r="Z2308" s="77" t="str">
        <f>HYPERLINK("https://twitter.com/juugya1/status/1620917070052610049")</f>
        <v>https://twitter.com/juugya1/status/1620917070052610049</v>
      </c>
      <c r="AC2308" s="78" t="s">
        <v>4086</v>
      </c>
      <c r="AE2308" t="b">
        <v>0</v>
      </c>
      <c r="AF2308">
        <v>0</v>
      </c>
      <c r="AG2308" s="78" t="s">
        <v>4640</v>
      </c>
      <c r="AH2308" t="b">
        <v>0</v>
      </c>
      <c r="AI2308" t="s">
        <v>4829</v>
      </c>
      <c r="AK2308" s="78" t="s">
        <v>4640</v>
      </c>
      <c r="AL2308" t="b">
        <v>0</v>
      </c>
      <c r="AM2308">
        <v>1</v>
      </c>
      <c r="AN2308" s="78" t="s">
        <v>4088</v>
      </c>
      <c r="AO2308" s="78" t="s">
        <v>4849</v>
      </c>
      <c r="AP2308" t="b">
        <v>0</v>
      </c>
      <c r="AQ2308" s="78" t="s">
        <v>4088</v>
      </c>
      <c r="AR2308" t="s">
        <v>179</v>
      </c>
      <c r="AS2308">
        <v>0</v>
      </c>
      <c r="AT2308">
        <v>0</v>
      </c>
    </row>
    <row r="2309" spans="1:46" x14ac:dyDescent="0.45">
      <c r="A2309" s="62" t="s">
        <v>796</v>
      </c>
      <c r="B2309" s="62" t="s">
        <v>798</v>
      </c>
      <c r="C2309" s="63"/>
      <c r="D2309" s="64"/>
      <c r="E2309" s="65"/>
      <c r="F2309" s="66"/>
      <c r="G2309" s="63"/>
      <c r="H2309" s="67"/>
      <c r="I2309" s="68"/>
      <c r="J2309" s="68"/>
      <c r="K2309" s="32"/>
      <c r="L2309" s="75"/>
      <c r="M2309" s="75"/>
      <c r="N2309" s="70"/>
      <c r="O2309" t="s">
        <v>1569</v>
      </c>
      <c r="P2309" s="76">
        <v>44958.95045138889</v>
      </c>
      <c r="Q2309" t="s">
        <v>1969</v>
      </c>
      <c r="V2309" s="77" t="str">
        <f>HYPERLINK("https://pbs.twimg.com/profile_images/1620926801311670272/F_uSEtz2_normal.jpg")</f>
        <v>https://pbs.twimg.com/profile_images/1620926801311670272/F_uSEtz2_normal.jpg</v>
      </c>
      <c r="W2309" s="76">
        <v>44958.95045138889</v>
      </c>
      <c r="X2309" s="80">
        <v>44958</v>
      </c>
      <c r="Y2309" s="78" t="s">
        <v>3021</v>
      </c>
      <c r="Z2309" s="77" t="str">
        <f>HYPERLINK("https://twitter.com/juugya1/status/1620917070052610049")</f>
        <v>https://twitter.com/juugya1/status/1620917070052610049</v>
      </c>
      <c r="AC2309" s="78" t="s">
        <v>4086</v>
      </c>
      <c r="AE2309" t="b">
        <v>0</v>
      </c>
      <c r="AF2309">
        <v>0</v>
      </c>
      <c r="AG2309" s="78" t="s">
        <v>4640</v>
      </c>
      <c r="AH2309" t="b">
        <v>0</v>
      </c>
      <c r="AI2309" t="s">
        <v>4829</v>
      </c>
      <c r="AK2309" s="78" t="s">
        <v>4640</v>
      </c>
      <c r="AL2309" t="b">
        <v>0</v>
      </c>
      <c r="AM2309">
        <v>1</v>
      </c>
      <c r="AN2309" s="78" t="s">
        <v>4088</v>
      </c>
      <c r="AO2309" s="78" t="s">
        <v>4849</v>
      </c>
      <c r="AP2309" t="b">
        <v>0</v>
      </c>
      <c r="AQ2309" s="78" t="s">
        <v>4088</v>
      </c>
      <c r="AR2309" t="s">
        <v>179</v>
      </c>
      <c r="AS2309">
        <v>0</v>
      </c>
      <c r="AT2309">
        <v>0</v>
      </c>
    </row>
    <row r="2310" spans="1:46" x14ac:dyDescent="0.45">
      <c r="A2310" s="62" t="s">
        <v>796</v>
      </c>
      <c r="B2310" s="62" t="s">
        <v>1247</v>
      </c>
      <c r="C2310" s="63"/>
      <c r="D2310" s="64"/>
      <c r="E2310" s="65"/>
      <c r="F2310" s="66"/>
      <c r="G2310" s="63"/>
      <c r="H2310" s="67"/>
      <c r="I2310" s="68"/>
      <c r="J2310" s="68"/>
      <c r="K2310" s="32"/>
      <c r="L2310" s="75"/>
      <c r="M2310" s="75"/>
      <c r="N2310" s="70"/>
      <c r="O2310" t="s">
        <v>1568</v>
      </c>
      <c r="P2310" s="76">
        <v>44958.950694444444</v>
      </c>
      <c r="Q2310" t="s">
        <v>1966</v>
      </c>
      <c r="V2310" s="77" t="str">
        <f>HYPERLINK("https://pbs.twimg.com/profile_images/1620926801311670272/F_uSEtz2_normal.jpg")</f>
        <v>https://pbs.twimg.com/profile_images/1620926801311670272/F_uSEtz2_normal.jpg</v>
      </c>
      <c r="W2310" s="76">
        <v>44958.950694444444</v>
      </c>
      <c r="X2310" s="80">
        <v>44958</v>
      </c>
      <c r="Y2310" s="78" t="s">
        <v>3018</v>
      </c>
      <c r="Z2310" s="77" t="str">
        <f>HYPERLINK("https://twitter.com/juugya1/status/1620917159323918337")</f>
        <v>https://twitter.com/juugya1/status/1620917159323918337</v>
      </c>
      <c r="AC2310" s="78" t="s">
        <v>4083</v>
      </c>
      <c r="AD2310" s="78" t="s">
        <v>4579</v>
      </c>
      <c r="AE2310" t="b">
        <v>0</v>
      </c>
      <c r="AF2310">
        <v>0</v>
      </c>
      <c r="AG2310" s="78" t="s">
        <v>4748</v>
      </c>
      <c r="AH2310" t="b">
        <v>0</v>
      </c>
      <c r="AI2310" t="s">
        <v>4829</v>
      </c>
      <c r="AK2310" s="78" t="s">
        <v>4640</v>
      </c>
      <c r="AL2310" t="b">
        <v>0</v>
      </c>
      <c r="AM2310">
        <v>0</v>
      </c>
      <c r="AN2310" s="78" t="s">
        <v>4640</v>
      </c>
      <c r="AO2310" s="78" t="s">
        <v>4849</v>
      </c>
      <c r="AP2310" t="b">
        <v>0</v>
      </c>
      <c r="AQ2310" s="78" t="s">
        <v>4579</v>
      </c>
      <c r="AR2310" t="s">
        <v>179</v>
      </c>
      <c r="AS2310">
        <v>0</v>
      </c>
      <c r="AT2310">
        <v>0</v>
      </c>
    </row>
    <row r="2311" spans="1:46" x14ac:dyDescent="0.45">
      <c r="A2311" s="62" t="s">
        <v>796</v>
      </c>
      <c r="B2311" s="62" t="s">
        <v>242</v>
      </c>
      <c r="C2311" s="63"/>
      <c r="D2311" s="64"/>
      <c r="E2311" s="65"/>
      <c r="F2311" s="66"/>
      <c r="G2311" s="63"/>
      <c r="H2311" s="67"/>
      <c r="I2311" s="68"/>
      <c r="J2311" s="68"/>
      <c r="K2311" s="32"/>
      <c r="L2311" s="75"/>
      <c r="M2311" s="75"/>
      <c r="N2311" s="70"/>
      <c r="O2311" t="s">
        <v>1568</v>
      </c>
      <c r="P2311" s="76">
        <v>44958.950694444444</v>
      </c>
      <c r="Q2311" t="s">
        <v>1966</v>
      </c>
      <c r="V2311" s="77" t="str">
        <f>HYPERLINK("https://pbs.twimg.com/profile_images/1620926801311670272/F_uSEtz2_normal.jpg")</f>
        <v>https://pbs.twimg.com/profile_images/1620926801311670272/F_uSEtz2_normal.jpg</v>
      </c>
      <c r="W2311" s="76">
        <v>44958.950694444444</v>
      </c>
      <c r="X2311" s="80">
        <v>44958</v>
      </c>
      <c r="Y2311" s="78" t="s">
        <v>3018</v>
      </c>
      <c r="Z2311" s="77" t="str">
        <f>HYPERLINK("https://twitter.com/juugya1/status/1620917159323918337")</f>
        <v>https://twitter.com/juugya1/status/1620917159323918337</v>
      </c>
      <c r="AC2311" s="78" t="s">
        <v>4083</v>
      </c>
      <c r="AD2311" s="78" t="s">
        <v>4579</v>
      </c>
      <c r="AE2311" t="b">
        <v>0</v>
      </c>
      <c r="AF2311">
        <v>0</v>
      </c>
      <c r="AG2311" s="78" t="s">
        <v>4748</v>
      </c>
      <c r="AH2311" t="b">
        <v>0</v>
      </c>
      <c r="AI2311" t="s">
        <v>4829</v>
      </c>
      <c r="AK2311" s="78" t="s">
        <v>4640</v>
      </c>
      <c r="AL2311" t="b">
        <v>0</v>
      </c>
      <c r="AM2311">
        <v>0</v>
      </c>
      <c r="AN2311" s="78" t="s">
        <v>4640</v>
      </c>
      <c r="AO2311" s="78" t="s">
        <v>4849</v>
      </c>
      <c r="AP2311" t="b">
        <v>0</v>
      </c>
      <c r="AQ2311" s="78" t="s">
        <v>4579</v>
      </c>
      <c r="AR2311" t="s">
        <v>179</v>
      </c>
      <c r="AS2311">
        <v>0</v>
      </c>
      <c r="AT2311">
        <v>0</v>
      </c>
    </row>
    <row r="2312" spans="1:46" x14ac:dyDescent="0.45">
      <c r="A2312" s="62" t="s">
        <v>796</v>
      </c>
      <c r="B2312" s="62" t="s">
        <v>1383</v>
      </c>
      <c r="C2312" s="63"/>
      <c r="D2312" s="64"/>
      <c r="E2312" s="65"/>
      <c r="F2312" s="66"/>
      <c r="G2312" s="63"/>
      <c r="H2312" s="67"/>
      <c r="I2312" s="68"/>
      <c r="J2312" s="68"/>
      <c r="K2312" s="32"/>
      <c r="L2312" s="75"/>
      <c r="M2312" s="75"/>
      <c r="N2312" s="70"/>
      <c r="O2312" t="s">
        <v>1568</v>
      </c>
      <c r="P2312" s="76">
        <v>44958.950694444444</v>
      </c>
      <c r="Q2312" t="s">
        <v>1966</v>
      </c>
      <c r="V2312" s="77" t="str">
        <f>HYPERLINK("https://pbs.twimg.com/profile_images/1620926801311670272/F_uSEtz2_normal.jpg")</f>
        <v>https://pbs.twimg.com/profile_images/1620926801311670272/F_uSEtz2_normal.jpg</v>
      </c>
      <c r="W2312" s="76">
        <v>44958.950694444444</v>
      </c>
      <c r="X2312" s="80">
        <v>44958</v>
      </c>
      <c r="Y2312" s="78" t="s">
        <v>3018</v>
      </c>
      <c r="Z2312" s="77" t="str">
        <f>HYPERLINK("https://twitter.com/juugya1/status/1620917159323918337")</f>
        <v>https://twitter.com/juugya1/status/1620917159323918337</v>
      </c>
      <c r="AC2312" s="78" t="s">
        <v>4083</v>
      </c>
      <c r="AD2312" s="78" t="s">
        <v>4579</v>
      </c>
      <c r="AE2312" t="b">
        <v>0</v>
      </c>
      <c r="AF2312">
        <v>0</v>
      </c>
      <c r="AG2312" s="78" t="s">
        <v>4748</v>
      </c>
      <c r="AH2312" t="b">
        <v>0</v>
      </c>
      <c r="AI2312" t="s">
        <v>4829</v>
      </c>
      <c r="AK2312" s="78" t="s">
        <v>4640</v>
      </c>
      <c r="AL2312" t="b">
        <v>0</v>
      </c>
      <c r="AM2312">
        <v>0</v>
      </c>
      <c r="AN2312" s="78" t="s">
        <v>4640</v>
      </c>
      <c r="AO2312" s="78" t="s">
        <v>4849</v>
      </c>
      <c r="AP2312" t="b">
        <v>0</v>
      </c>
      <c r="AQ2312" s="78" t="s">
        <v>4579</v>
      </c>
      <c r="AR2312" t="s">
        <v>179</v>
      </c>
      <c r="AS2312">
        <v>0</v>
      </c>
      <c r="AT2312">
        <v>0</v>
      </c>
    </row>
    <row r="2313" spans="1:46" x14ac:dyDescent="0.45">
      <c r="A2313" s="62" t="s">
        <v>796</v>
      </c>
      <c r="B2313" s="62" t="s">
        <v>1384</v>
      </c>
      <c r="C2313" s="63"/>
      <c r="D2313" s="64"/>
      <c r="E2313" s="65"/>
      <c r="F2313" s="66"/>
      <c r="G2313" s="63"/>
      <c r="H2313" s="67"/>
      <c r="I2313" s="68"/>
      <c r="J2313" s="68"/>
      <c r="K2313" s="32"/>
      <c r="L2313" s="75"/>
      <c r="M2313" s="75"/>
      <c r="N2313" s="70"/>
      <c r="O2313" t="s">
        <v>1567</v>
      </c>
      <c r="P2313" s="76">
        <v>44958.950694444444</v>
      </c>
      <c r="Q2313" t="s">
        <v>1966</v>
      </c>
      <c r="V2313" s="77" t="str">
        <f>HYPERLINK("https://pbs.twimg.com/profile_images/1620926801311670272/F_uSEtz2_normal.jpg")</f>
        <v>https://pbs.twimg.com/profile_images/1620926801311670272/F_uSEtz2_normal.jpg</v>
      </c>
      <c r="W2313" s="76">
        <v>44958.950694444444</v>
      </c>
      <c r="X2313" s="80">
        <v>44958</v>
      </c>
      <c r="Y2313" s="78" t="s">
        <v>3018</v>
      </c>
      <c r="Z2313" s="77" t="str">
        <f>HYPERLINK("https://twitter.com/juugya1/status/1620917159323918337")</f>
        <v>https://twitter.com/juugya1/status/1620917159323918337</v>
      </c>
      <c r="AC2313" s="78" t="s">
        <v>4083</v>
      </c>
      <c r="AD2313" s="78" t="s">
        <v>4579</v>
      </c>
      <c r="AE2313" t="b">
        <v>0</v>
      </c>
      <c r="AF2313">
        <v>0</v>
      </c>
      <c r="AG2313" s="78" t="s">
        <v>4748</v>
      </c>
      <c r="AH2313" t="b">
        <v>0</v>
      </c>
      <c r="AI2313" t="s">
        <v>4829</v>
      </c>
      <c r="AK2313" s="78" t="s">
        <v>4640</v>
      </c>
      <c r="AL2313" t="b">
        <v>0</v>
      </c>
      <c r="AM2313">
        <v>0</v>
      </c>
      <c r="AN2313" s="78" t="s">
        <v>4640</v>
      </c>
      <c r="AO2313" s="78" t="s">
        <v>4849</v>
      </c>
      <c r="AP2313" t="b">
        <v>0</v>
      </c>
      <c r="AQ2313" s="78" t="s">
        <v>4579</v>
      </c>
      <c r="AR2313" t="s">
        <v>179</v>
      </c>
      <c r="AS2313">
        <v>0</v>
      </c>
      <c r="AT2313">
        <v>0</v>
      </c>
    </row>
    <row r="2314" spans="1:46" x14ac:dyDescent="0.45">
      <c r="A2314" s="62" t="s">
        <v>796</v>
      </c>
      <c r="B2314" s="62" t="s">
        <v>1247</v>
      </c>
      <c r="C2314" s="63"/>
      <c r="D2314" s="64"/>
      <c r="E2314" s="65"/>
      <c r="F2314" s="66"/>
      <c r="G2314" s="63"/>
      <c r="H2314" s="67"/>
      <c r="I2314" s="68"/>
      <c r="J2314" s="68"/>
      <c r="K2314" s="32"/>
      <c r="L2314" s="75"/>
      <c r="M2314" s="75"/>
      <c r="N2314" s="70"/>
      <c r="O2314" t="s">
        <v>1568</v>
      </c>
      <c r="P2314" s="76">
        <v>44958.978101851855</v>
      </c>
      <c r="Q2314" t="s">
        <v>1970</v>
      </c>
      <c r="V2314" s="77" t="str">
        <f>HYPERLINK("https://pbs.twimg.com/profile_images/1620926801311670272/F_uSEtz2_normal.jpg")</f>
        <v>https://pbs.twimg.com/profile_images/1620926801311670272/F_uSEtz2_normal.jpg</v>
      </c>
      <c r="W2314" s="76">
        <v>44958.978101851855</v>
      </c>
      <c r="X2314" s="80">
        <v>44958</v>
      </c>
      <c r="Y2314" s="78" t="s">
        <v>3022</v>
      </c>
      <c r="Z2314" s="77" t="str">
        <f>HYPERLINK("https://twitter.com/juugya1/status/1620927088890118144")</f>
        <v>https://twitter.com/juugya1/status/1620927088890118144</v>
      </c>
      <c r="AC2314" s="78" t="s">
        <v>4087</v>
      </c>
      <c r="AD2314" s="78" t="s">
        <v>4088</v>
      </c>
      <c r="AE2314" t="b">
        <v>0</v>
      </c>
      <c r="AF2314">
        <v>0</v>
      </c>
      <c r="AG2314" s="78" t="s">
        <v>4749</v>
      </c>
      <c r="AH2314" t="b">
        <v>0</v>
      </c>
      <c r="AI2314" t="s">
        <v>4829</v>
      </c>
      <c r="AK2314" s="78" t="s">
        <v>4640</v>
      </c>
      <c r="AL2314" t="b">
        <v>0</v>
      </c>
      <c r="AM2314">
        <v>0</v>
      </c>
      <c r="AN2314" s="78" t="s">
        <v>4640</v>
      </c>
      <c r="AO2314" s="78" t="s">
        <v>4849</v>
      </c>
      <c r="AP2314" t="b">
        <v>0</v>
      </c>
      <c r="AQ2314" s="78" t="s">
        <v>4088</v>
      </c>
      <c r="AR2314" t="s">
        <v>179</v>
      </c>
      <c r="AS2314">
        <v>0</v>
      </c>
      <c r="AT2314">
        <v>0</v>
      </c>
    </row>
    <row r="2315" spans="1:46" x14ac:dyDescent="0.45">
      <c r="A2315" s="62" t="s">
        <v>796</v>
      </c>
      <c r="B2315" s="62" t="s">
        <v>242</v>
      </c>
      <c r="C2315" s="63"/>
      <c r="D2315" s="64"/>
      <c r="E2315" s="65"/>
      <c r="F2315" s="66"/>
      <c r="G2315" s="63"/>
      <c r="H2315" s="67"/>
      <c r="I2315" s="68"/>
      <c r="J2315" s="68"/>
      <c r="K2315" s="32"/>
      <c r="L2315" s="75"/>
      <c r="M2315" s="75"/>
      <c r="N2315" s="70"/>
      <c r="O2315" t="s">
        <v>1568</v>
      </c>
      <c r="P2315" s="76">
        <v>44958.978101851855</v>
      </c>
      <c r="Q2315" t="s">
        <v>1970</v>
      </c>
      <c r="V2315" s="77" t="str">
        <f>HYPERLINK("https://pbs.twimg.com/profile_images/1620926801311670272/F_uSEtz2_normal.jpg")</f>
        <v>https://pbs.twimg.com/profile_images/1620926801311670272/F_uSEtz2_normal.jpg</v>
      </c>
      <c r="W2315" s="76">
        <v>44958.978101851855</v>
      </c>
      <c r="X2315" s="80">
        <v>44958</v>
      </c>
      <c r="Y2315" s="78" t="s">
        <v>3022</v>
      </c>
      <c r="Z2315" s="77" t="str">
        <f>HYPERLINK("https://twitter.com/juugya1/status/1620927088890118144")</f>
        <v>https://twitter.com/juugya1/status/1620927088890118144</v>
      </c>
      <c r="AC2315" s="78" t="s">
        <v>4087</v>
      </c>
      <c r="AD2315" s="78" t="s">
        <v>4088</v>
      </c>
      <c r="AE2315" t="b">
        <v>0</v>
      </c>
      <c r="AF2315">
        <v>0</v>
      </c>
      <c r="AG2315" s="78" t="s">
        <v>4749</v>
      </c>
      <c r="AH2315" t="b">
        <v>0</v>
      </c>
      <c r="AI2315" t="s">
        <v>4829</v>
      </c>
      <c r="AK2315" s="78" t="s">
        <v>4640</v>
      </c>
      <c r="AL2315" t="b">
        <v>0</v>
      </c>
      <c r="AM2315">
        <v>0</v>
      </c>
      <c r="AN2315" s="78" t="s">
        <v>4640</v>
      </c>
      <c r="AO2315" s="78" t="s">
        <v>4849</v>
      </c>
      <c r="AP2315" t="b">
        <v>0</v>
      </c>
      <c r="AQ2315" s="78" t="s">
        <v>4088</v>
      </c>
      <c r="AR2315" t="s">
        <v>179</v>
      </c>
      <c r="AS2315">
        <v>0</v>
      </c>
      <c r="AT2315">
        <v>0</v>
      </c>
    </row>
    <row r="2316" spans="1:46" x14ac:dyDescent="0.45">
      <c r="A2316" s="62" t="s">
        <v>796</v>
      </c>
      <c r="B2316" s="62" t="s">
        <v>1383</v>
      </c>
      <c r="C2316" s="63"/>
      <c r="D2316" s="64"/>
      <c r="E2316" s="65"/>
      <c r="F2316" s="66"/>
      <c r="G2316" s="63"/>
      <c r="H2316" s="67"/>
      <c r="I2316" s="68"/>
      <c r="J2316" s="68"/>
      <c r="K2316" s="32"/>
      <c r="L2316" s="75"/>
      <c r="M2316" s="75"/>
      <c r="N2316" s="70"/>
      <c r="O2316" t="s">
        <v>1568</v>
      </c>
      <c r="P2316" s="76">
        <v>44958.978101851855</v>
      </c>
      <c r="Q2316" t="s">
        <v>1970</v>
      </c>
      <c r="V2316" s="77" t="str">
        <f>HYPERLINK("https://pbs.twimg.com/profile_images/1620926801311670272/F_uSEtz2_normal.jpg")</f>
        <v>https://pbs.twimg.com/profile_images/1620926801311670272/F_uSEtz2_normal.jpg</v>
      </c>
      <c r="W2316" s="76">
        <v>44958.978101851855</v>
      </c>
      <c r="X2316" s="80">
        <v>44958</v>
      </c>
      <c r="Y2316" s="78" t="s">
        <v>3022</v>
      </c>
      <c r="Z2316" s="77" t="str">
        <f>HYPERLINK("https://twitter.com/juugya1/status/1620927088890118144")</f>
        <v>https://twitter.com/juugya1/status/1620927088890118144</v>
      </c>
      <c r="AC2316" s="78" t="s">
        <v>4087</v>
      </c>
      <c r="AD2316" s="78" t="s">
        <v>4088</v>
      </c>
      <c r="AE2316" t="b">
        <v>0</v>
      </c>
      <c r="AF2316">
        <v>0</v>
      </c>
      <c r="AG2316" s="78" t="s">
        <v>4749</v>
      </c>
      <c r="AH2316" t="b">
        <v>0</v>
      </c>
      <c r="AI2316" t="s">
        <v>4829</v>
      </c>
      <c r="AK2316" s="78" t="s">
        <v>4640</v>
      </c>
      <c r="AL2316" t="b">
        <v>0</v>
      </c>
      <c r="AM2316">
        <v>0</v>
      </c>
      <c r="AN2316" s="78" t="s">
        <v>4640</v>
      </c>
      <c r="AO2316" s="78" t="s">
        <v>4849</v>
      </c>
      <c r="AP2316" t="b">
        <v>0</v>
      </c>
      <c r="AQ2316" s="78" t="s">
        <v>4088</v>
      </c>
      <c r="AR2316" t="s">
        <v>179</v>
      </c>
      <c r="AS2316">
        <v>0</v>
      </c>
      <c r="AT2316">
        <v>0</v>
      </c>
    </row>
    <row r="2317" spans="1:46" x14ac:dyDescent="0.45">
      <c r="A2317" s="62" t="s">
        <v>796</v>
      </c>
      <c r="B2317" s="62" t="s">
        <v>798</v>
      </c>
      <c r="C2317" s="63"/>
      <c r="D2317" s="64"/>
      <c r="E2317" s="65"/>
      <c r="F2317" s="66"/>
      <c r="G2317" s="63"/>
      <c r="H2317" s="67"/>
      <c r="I2317" s="68"/>
      <c r="J2317" s="68"/>
      <c r="K2317" s="32"/>
      <c r="L2317" s="75"/>
      <c r="M2317" s="75"/>
      <c r="N2317" s="70"/>
      <c r="O2317" t="s">
        <v>1567</v>
      </c>
      <c r="P2317" s="76">
        <v>44958.978101851855</v>
      </c>
      <c r="Q2317" t="s">
        <v>1970</v>
      </c>
      <c r="V2317" s="77" t="str">
        <f>HYPERLINK("https://pbs.twimg.com/profile_images/1620926801311670272/F_uSEtz2_normal.jpg")</f>
        <v>https://pbs.twimg.com/profile_images/1620926801311670272/F_uSEtz2_normal.jpg</v>
      </c>
      <c r="W2317" s="76">
        <v>44958.978101851855</v>
      </c>
      <c r="X2317" s="80">
        <v>44958</v>
      </c>
      <c r="Y2317" s="78" t="s">
        <v>3022</v>
      </c>
      <c r="Z2317" s="77" t="str">
        <f>HYPERLINK("https://twitter.com/juugya1/status/1620927088890118144")</f>
        <v>https://twitter.com/juugya1/status/1620927088890118144</v>
      </c>
      <c r="AC2317" s="78" t="s">
        <v>4087</v>
      </c>
      <c r="AD2317" s="78" t="s">
        <v>4088</v>
      </c>
      <c r="AE2317" t="b">
        <v>0</v>
      </c>
      <c r="AF2317">
        <v>0</v>
      </c>
      <c r="AG2317" s="78" t="s">
        <v>4749</v>
      </c>
      <c r="AH2317" t="b">
        <v>0</v>
      </c>
      <c r="AI2317" t="s">
        <v>4829</v>
      </c>
      <c r="AK2317" s="78" t="s">
        <v>4640</v>
      </c>
      <c r="AL2317" t="b">
        <v>0</v>
      </c>
      <c r="AM2317">
        <v>0</v>
      </c>
      <c r="AN2317" s="78" t="s">
        <v>4640</v>
      </c>
      <c r="AO2317" s="78" t="s">
        <v>4849</v>
      </c>
      <c r="AP2317" t="b">
        <v>0</v>
      </c>
      <c r="AQ2317" s="78" t="s">
        <v>4088</v>
      </c>
      <c r="AR2317" t="s">
        <v>179</v>
      </c>
      <c r="AS2317">
        <v>0</v>
      </c>
      <c r="AT2317">
        <v>0</v>
      </c>
    </row>
    <row r="2318" spans="1:46" x14ac:dyDescent="0.45">
      <c r="A2318" s="62" t="s">
        <v>798</v>
      </c>
      <c r="B2318" s="62" t="s">
        <v>796</v>
      </c>
      <c r="C2318" s="63"/>
      <c r="D2318" s="64"/>
      <c r="E2318" s="65"/>
      <c r="F2318" s="66"/>
      <c r="G2318" s="63"/>
      <c r="H2318" s="67"/>
      <c r="I2318" s="68"/>
      <c r="J2318" s="68"/>
      <c r="K2318" s="32"/>
      <c r="L2318" s="75"/>
      <c r="M2318" s="75"/>
      <c r="N2318" s="70"/>
      <c r="O2318" t="s">
        <v>1568</v>
      </c>
      <c r="P2318" s="76">
        <v>44958.97929398148</v>
      </c>
      <c r="Q2318" t="s">
        <v>1968</v>
      </c>
      <c r="V2318" s="77" t="str">
        <f>HYPERLINK("https://pbs.twimg.com/profile_images/1613022584831971328/YU9O8hUY_normal.jpg")</f>
        <v>https://pbs.twimg.com/profile_images/1613022584831971328/YU9O8hUY_normal.jpg</v>
      </c>
      <c r="W2318" s="76">
        <v>44958.97929398148</v>
      </c>
      <c r="X2318" s="80">
        <v>44958</v>
      </c>
      <c r="Y2318" s="78" t="s">
        <v>3020</v>
      </c>
      <c r="Z2318" s="77" t="str">
        <f>HYPERLINK("https://twitter.com/ecclesi41663287/status/1620927521553534976")</f>
        <v>https://twitter.com/ecclesi41663287/status/1620927521553534976</v>
      </c>
      <c r="AC2318" s="78" t="s">
        <v>4085</v>
      </c>
      <c r="AD2318" s="78" t="s">
        <v>4580</v>
      </c>
      <c r="AE2318" t="b">
        <v>0</v>
      </c>
      <c r="AF2318">
        <v>0</v>
      </c>
      <c r="AG2318" s="78" t="s">
        <v>4749</v>
      </c>
      <c r="AH2318" t="b">
        <v>0</v>
      </c>
      <c r="AI2318" t="s">
        <v>4829</v>
      </c>
      <c r="AK2318" s="78" t="s">
        <v>4640</v>
      </c>
      <c r="AL2318" t="b">
        <v>0</v>
      </c>
      <c r="AM2318">
        <v>0</v>
      </c>
      <c r="AN2318" s="78" t="s">
        <v>4640</v>
      </c>
      <c r="AO2318" s="78" t="s">
        <v>4849</v>
      </c>
      <c r="AP2318" t="b">
        <v>0</v>
      </c>
      <c r="AQ2318" s="78" t="s">
        <v>4580</v>
      </c>
      <c r="AR2318" t="s">
        <v>179</v>
      </c>
      <c r="AS2318">
        <v>0</v>
      </c>
      <c r="AT2318">
        <v>0</v>
      </c>
    </row>
    <row r="2319" spans="1:46" x14ac:dyDescent="0.45">
      <c r="A2319" s="62" t="s">
        <v>798</v>
      </c>
      <c r="B2319" s="62" t="s">
        <v>1384</v>
      </c>
      <c r="C2319" s="63"/>
      <c r="D2319" s="64"/>
      <c r="E2319" s="65"/>
      <c r="F2319" s="66"/>
      <c r="G2319" s="63"/>
      <c r="H2319" s="67"/>
      <c r="I2319" s="68"/>
      <c r="J2319" s="68"/>
      <c r="K2319" s="32"/>
      <c r="L2319" s="75"/>
      <c r="M2319" s="75"/>
      <c r="N2319" s="70"/>
      <c r="O2319" t="s">
        <v>1567</v>
      </c>
      <c r="P2319" s="76">
        <v>44958.97929398148</v>
      </c>
      <c r="Q2319" t="s">
        <v>1968</v>
      </c>
      <c r="V2319" s="77" t="str">
        <f>HYPERLINK("https://pbs.twimg.com/profile_images/1613022584831971328/YU9O8hUY_normal.jpg")</f>
        <v>https://pbs.twimg.com/profile_images/1613022584831971328/YU9O8hUY_normal.jpg</v>
      </c>
      <c r="W2319" s="76">
        <v>44958.97929398148</v>
      </c>
      <c r="X2319" s="80">
        <v>44958</v>
      </c>
      <c r="Y2319" s="78" t="s">
        <v>3020</v>
      </c>
      <c r="Z2319" s="77" t="str">
        <f>HYPERLINK("https://twitter.com/ecclesi41663287/status/1620927521553534976")</f>
        <v>https://twitter.com/ecclesi41663287/status/1620927521553534976</v>
      </c>
      <c r="AC2319" s="78" t="s">
        <v>4085</v>
      </c>
      <c r="AD2319" s="78" t="s">
        <v>4580</v>
      </c>
      <c r="AE2319" t="b">
        <v>0</v>
      </c>
      <c r="AF2319">
        <v>0</v>
      </c>
      <c r="AG2319" s="78" t="s">
        <v>4749</v>
      </c>
      <c r="AH2319" t="b">
        <v>0</v>
      </c>
      <c r="AI2319" t="s">
        <v>4829</v>
      </c>
      <c r="AK2319" s="78" t="s">
        <v>4640</v>
      </c>
      <c r="AL2319" t="b">
        <v>0</v>
      </c>
      <c r="AM2319">
        <v>0</v>
      </c>
      <c r="AN2319" s="78" t="s">
        <v>4640</v>
      </c>
      <c r="AO2319" s="78" t="s">
        <v>4849</v>
      </c>
      <c r="AP2319" t="b">
        <v>0</v>
      </c>
      <c r="AQ2319" s="78" t="s">
        <v>4580</v>
      </c>
      <c r="AR2319" t="s">
        <v>179</v>
      </c>
      <c r="AS2319">
        <v>0</v>
      </c>
      <c r="AT2319">
        <v>0</v>
      </c>
    </row>
    <row r="2320" spans="1:46" x14ac:dyDescent="0.45">
      <c r="A2320" s="62" t="s">
        <v>798</v>
      </c>
      <c r="B2320" s="62" t="s">
        <v>1247</v>
      </c>
      <c r="C2320" s="63"/>
      <c r="D2320" s="64"/>
      <c r="E2320" s="65"/>
      <c r="F2320" s="66"/>
      <c r="G2320" s="63"/>
      <c r="H2320" s="67"/>
      <c r="I2320" s="68"/>
      <c r="J2320" s="68"/>
      <c r="K2320" s="32"/>
      <c r="L2320" s="75"/>
      <c r="M2320" s="75"/>
      <c r="N2320" s="70"/>
      <c r="O2320" t="s">
        <v>1568</v>
      </c>
      <c r="P2320" s="76">
        <v>44958.97929398148</v>
      </c>
      <c r="Q2320" t="s">
        <v>1968</v>
      </c>
      <c r="V2320" s="77" t="str">
        <f>HYPERLINK("https://pbs.twimg.com/profile_images/1613022584831971328/YU9O8hUY_normal.jpg")</f>
        <v>https://pbs.twimg.com/profile_images/1613022584831971328/YU9O8hUY_normal.jpg</v>
      </c>
      <c r="W2320" s="76">
        <v>44958.97929398148</v>
      </c>
      <c r="X2320" s="80">
        <v>44958</v>
      </c>
      <c r="Y2320" s="78" t="s">
        <v>3020</v>
      </c>
      <c r="Z2320" s="77" t="str">
        <f>HYPERLINK("https://twitter.com/ecclesi41663287/status/1620927521553534976")</f>
        <v>https://twitter.com/ecclesi41663287/status/1620927521553534976</v>
      </c>
      <c r="AC2320" s="78" t="s">
        <v>4085</v>
      </c>
      <c r="AD2320" s="78" t="s">
        <v>4580</v>
      </c>
      <c r="AE2320" t="b">
        <v>0</v>
      </c>
      <c r="AF2320">
        <v>0</v>
      </c>
      <c r="AG2320" s="78" t="s">
        <v>4749</v>
      </c>
      <c r="AH2320" t="b">
        <v>0</v>
      </c>
      <c r="AI2320" t="s">
        <v>4829</v>
      </c>
      <c r="AK2320" s="78" t="s">
        <v>4640</v>
      </c>
      <c r="AL2320" t="b">
        <v>0</v>
      </c>
      <c r="AM2320">
        <v>0</v>
      </c>
      <c r="AN2320" s="78" t="s">
        <v>4640</v>
      </c>
      <c r="AO2320" s="78" t="s">
        <v>4849</v>
      </c>
      <c r="AP2320" t="b">
        <v>0</v>
      </c>
      <c r="AQ2320" s="78" t="s">
        <v>4580</v>
      </c>
      <c r="AR2320" t="s">
        <v>179</v>
      </c>
      <c r="AS2320">
        <v>0</v>
      </c>
      <c r="AT2320">
        <v>0</v>
      </c>
    </row>
    <row r="2321" spans="1:54" x14ac:dyDescent="0.45">
      <c r="A2321" s="62" t="s">
        <v>798</v>
      </c>
      <c r="B2321" s="62" t="s">
        <v>242</v>
      </c>
      <c r="C2321" s="63"/>
      <c r="D2321" s="64"/>
      <c r="E2321" s="65"/>
      <c r="F2321" s="66"/>
      <c r="G2321" s="63"/>
      <c r="H2321" s="67"/>
      <c r="I2321" s="68"/>
      <c r="J2321" s="68"/>
      <c r="K2321" s="32"/>
      <c r="L2321" s="75"/>
      <c r="M2321" s="75"/>
      <c r="N2321" s="70"/>
      <c r="O2321" t="s">
        <v>1568</v>
      </c>
      <c r="P2321" s="76">
        <v>44958.97929398148</v>
      </c>
      <c r="Q2321" t="s">
        <v>1968</v>
      </c>
      <c r="V2321" s="77" t="str">
        <f>HYPERLINK("https://pbs.twimg.com/profile_images/1613022584831971328/YU9O8hUY_normal.jpg")</f>
        <v>https://pbs.twimg.com/profile_images/1613022584831971328/YU9O8hUY_normal.jpg</v>
      </c>
      <c r="W2321" s="76">
        <v>44958.97929398148</v>
      </c>
      <c r="X2321" s="80">
        <v>44958</v>
      </c>
      <c r="Y2321" s="78" t="s">
        <v>3020</v>
      </c>
      <c r="Z2321" s="77" t="str">
        <f>HYPERLINK("https://twitter.com/ecclesi41663287/status/1620927521553534976")</f>
        <v>https://twitter.com/ecclesi41663287/status/1620927521553534976</v>
      </c>
      <c r="AC2321" s="78" t="s">
        <v>4085</v>
      </c>
      <c r="AD2321" s="78" t="s">
        <v>4580</v>
      </c>
      <c r="AE2321" t="b">
        <v>0</v>
      </c>
      <c r="AF2321">
        <v>0</v>
      </c>
      <c r="AG2321" s="78" t="s">
        <v>4749</v>
      </c>
      <c r="AH2321" t="b">
        <v>0</v>
      </c>
      <c r="AI2321" t="s">
        <v>4829</v>
      </c>
      <c r="AK2321" s="78" t="s">
        <v>4640</v>
      </c>
      <c r="AL2321" t="b">
        <v>0</v>
      </c>
      <c r="AM2321">
        <v>0</v>
      </c>
      <c r="AN2321" s="78" t="s">
        <v>4640</v>
      </c>
      <c r="AO2321" s="78" t="s">
        <v>4849</v>
      </c>
      <c r="AP2321" t="b">
        <v>0</v>
      </c>
      <c r="AQ2321" s="78" t="s">
        <v>4580</v>
      </c>
      <c r="AR2321" t="s">
        <v>179</v>
      </c>
      <c r="AS2321">
        <v>0</v>
      </c>
      <c r="AT2321">
        <v>0</v>
      </c>
    </row>
    <row r="2322" spans="1:54" x14ac:dyDescent="0.45">
      <c r="A2322" s="62" t="s">
        <v>798</v>
      </c>
      <c r="B2322" s="62" t="s">
        <v>1383</v>
      </c>
      <c r="C2322" s="63"/>
      <c r="D2322" s="64"/>
      <c r="E2322" s="65"/>
      <c r="F2322" s="66"/>
      <c r="G2322" s="63"/>
      <c r="H2322" s="67"/>
      <c r="I2322" s="68"/>
      <c r="J2322" s="68"/>
      <c r="K2322" s="32"/>
      <c r="L2322" s="75"/>
      <c r="M2322" s="75"/>
      <c r="N2322" s="70"/>
      <c r="O2322" t="s">
        <v>1568</v>
      </c>
      <c r="P2322" s="76">
        <v>44958.97929398148</v>
      </c>
      <c r="Q2322" t="s">
        <v>1968</v>
      </c>
      <c r="V2322" s="77" t="str">
        <f>HYPERLINK("https://pbs.twimg.com/profile_images/1613022584831971328/YU9O8hUY_normal.jpg")</f>
        <v>https://pbs.twimg.com/profile_images/1613022584831971328/YU9O8hUY_normal.jpg</v>
      </c>
      <c r="W2322" s="76">
        <v>44958.97929398148</v>
      </c>
      <c r="X2322" s="80">
        <v>44958</v>
      </c>
      <c r="Y2322" s="78" t="s">
        <v>3020</v>
      </c>
      <c r="Z2322" s="77" t="str">
        <f>HYPERLINK("https://twitter.com/ecclesi41663287/status/1620927521553534976")</f>
        <v>https://twitter.com/ecclesi41663287/status/1620927521553534976</v>
      </c>
      <c r="AC2322" s="78" t="s">
        <v>4085</v>
      </c>
      <c r="AD2322" s="78" t="s">
        <v>4580</v>
      </c>
      <c r="AE2322" t="b">
        <v>0</v>
      </c>
      <c r="AF2322">
        <v>0</v>
      </c>
      <c r="AG2322" s="78" t="s">
        <v>4749</v>
      </c>
      <c r="AH2322" t="b">
        <v>0</v>
      </c>
      <c r="AI2322" t="s">
        <v>4829</v>
      </c>
      <c r="AK2322" s="78" t="s">
        <v>4640</v>
      </c>
      <c r="AL2322" t="b">
        <v>0</v>
      </c>
      <c r="AM2322">
        <v>0</v>
      </c>
      <c r="AN2322" s="78" t="s">
        <v>4640</v>
      </c>
      <c r="AO2322" s="78" t="s">
        <v>4849</v>
      </c>
      <c r="AP2322" t="b">
        <v>0</v>
      </c>
      <c r="AQ2322" s="78" t="s">
        <v>4580</v>
      </c>
      <c r="AR2322" t="s">
        <v>179</v>
      </c>
      <c r="AS2322">
        <v>0</v>
      </c>
      <c r="AT2322">
        <v>0</v>
      </c>
    </row>
    <row r="2323" spans="1:54" x14ac:dyDescent="0.45">
      <c r="A2323" s="62" t="s">
        <v>799</v>
      </c>
      <c r="B2323" s="62" t="s">
        <v>1230</v>
      </c>
      <c r="C2323" s="63"/>
      <c r="D2323" s="64"/>
      <c r="E2323" s="65"/>
      <c r="F2323" s="66"/>
      <c r="G2323" s="63"/>
      <c r="H2323" s="67"/>
      <c r="I2323" s="68"/>
      <c r="J2323" s="68"/>
      <c r="K2323" s="32"/>
      <c r="L2323" s="75"/>
      <c r="M2323" s="75"/>
      <c r="N2323" s="70"/>
      <c r="O2323" t="s">
        <v>1570</v>
      </c>
      <c r="P2323" s="76">
        <v>44958.979328703703</v>
      </c>
      <c r="Q2323" t="s">
        <v>1693</v>
      </c>
      <c r="V2323" s="77" t="str">
        <f>HYPERLINK("https://pbs.twimg.com/profile_images/1331936506324406279/n9oc0HI5_normal.jpg")</f>
        <v>https://pbs.twimg.com/profile_images/1331936506324406279/n9oc0HI5_normal.jpg</v>
      </c>
      <c r="W2323" s="76">
        <v>44958.979328703703</v>
      </c>
      <c r="X2323" s="80">
        <v>44958</v>
      </c>
      <c r="Y2323" s="78" t="s">
        <v>3024</v>
      </c>
      <c r="Z2323" s="77" t="str">
        <f>HYPERLINK("https://twitter.com/mileymorphia/status/1620927534673313793")</f>
        <v>https://twitter.com/mileymorphia/status/1620927534673313793</v>
      </c>
      <c r="AC2323" s="78" t="s">
        <v>4089</v>
      </c>
      <c r="AE2323" t="b">
        <v>0</v>
      </c>
      <c r="AF2323">
        <v>0</v>
      </c>
      <c r="AG2323" s="78" t="s">
        <v>4640</v>
      </c>
      <c r="AH2323" t="b">
        <v>0</v>
      </c>
      <c r="AI2323" t="s">
        <v>4829</v>
      </c>
      <c r="AK2323" s="78" t="s">
        <v>4640</v>
      </c>
      <c r="AL2323" t="b">
        <v>0</v>
      </c>
      <c r="AM2323">
        <v>162</v>
      </c>
      <c r="AN2323" s="78" t="s">
        <v>4473</v>
      </c>
      <c r="AO2323" s="78" t="s">
        <v>4849</v>
      </c>
      <c r="AP2323" t="b">
        <v>0</v>
      </c>
      <c r="AQ2323" s="78" t="s">
        <v>4473</v>
      </c>
      <c r="AR2323" t="s">
        <v>179</v>
      </c>
      <c r="AS2323">
        <v>0</v>
      </c>
      <c r="AT2323">
        <v>0</v>
      </c>
    </row>
    <row r="2324" spans="1:54" x14ac:dyDescent="0.45">
      <c r="A2324" s="62" t="s">
        <v>799</v>
      </c>
      <c r="B2324" s="62" t="s">
        <v>242</v>
      </c>
      <c r="C2324" s="63"/>
      <c r="D2324" s="64"/>
      <c r="E2324" s="65"/>
      <c r="F2324" s="66"/>
      <c r="G2324" s="63"/>
      <c r="H2324" s="67"/>
      <c r="I2324" s="68"/>
      <c r="J2324" s="68"/>
      <c r="K2324" s="32"/>
      <c r="L2324" s="75"/>
      <c r="M2324" s="75"/>
      <c r="N2324" s="70"/>
      <c r="O2324" t="s">
        <v>1569</v>
      </c>
      <c r="P2324" s="76">
        <v>44958.979328703703</v>
      </c>
      <c r="Q2324" t="s">
        <v>1693</v>
      </c>
      <c r="V2324" s="77" t="str">
        <f>HYPERLINK("https://pbs.twimg.com/profile_images/1331936506324406279/n9oc0HI5_normal.jpg")</f>
        <v>https://pbs.twimg.com/profile_images/1331936506324406279/n9oc0HI5_normal.jpg</v>
      </c>
      <c r="W2324" s="76">
        <v>44958.979328703703</v>
      </c>
      <c r="X2324" s="80">
        <v>44958</v>
      </c>
      <c r="Y2324" s="78" t="s">
        <v>3024</v>
      </c>
      <c r="Z2324" s="77" t="str">
        <f>HYPERLINK("https://twitter.com/mileymorphia/status/1620927534673313793")</f>
        <v>https://twitter.com/mileymorphia/status/1620927534673313793</v>
      </c>
      <c r="AC2324" s="78" t="s">
        <v>4089</v>
      </c>
      <c r="AE2324" t="b">
        <v>0</v>
      </c>
      <c r="AF2324">
        <v>0</v>
      </c>
      <c r="AG2324" s="78" t="s">
        <v>4640</v>
      </c>
      <c r="AH2324" t="b">
        <v>0</v>
      </c>
      <c r="AI2324" t="s">
        <v>4829</v>
      </c>
      <c r="AK2324" s="78" t="s">
        <v>4640</v>
      </c>
      <c r="AL2324" t="b">
        <v>0</v>
      </c>
      <c r="AM2324">
        <v>162</v>
      </c>
      <c r="AN2324" s="78" t="s">
        <v>4473</v>
      </c>
      <c r="AO2324" s="78" t="s">
        <v>4849</v>
      </c>
      <c r="AP2324" t="b">
        <v>0</v>
      </c>
      <c r="AQ2324" s="78" t="s">
        <v>4473</v>
      </c>
      <c r="AR2324" t="s">
        <v>179</v>
      </c>
      <c r="AS2324">
        <v>0</v>
      </c>
      <c r="AT2324">
        <v>0</v>
      </c>
    </row>
    <row r="2325" spans="1:54" x14ac:dyDescent="0.45">
      <c r="A2325" s="62" t="s">
        <v>805</v>
      </c>
      <c r="B2325" s="62" t="s">
        <v>804</v>
      </c>
      <c r="C2325" s="63"/>
      <c r="D2325" s="64"/>
      <c r="E2325" s="65"/>
      <c r="F2325" s="66"/>
      <c r="G2325" s="63"/>
      <c r="H2325" s="67"/>
      <c r="I2325" s="68"/>
      <c r="J2325" s="68"/>
      <c r="K2325" s="32"/>
      <c r="L2325" s="75"/>
      <c r="M2325" s="75"/>
      <c r="N2325" s="70"/>
      <c r="O2325" t="s">
        <v>1567</v>
      </c>
      <c r="P2325" s="76">
        <v>44958.982025462959</v>
      </c>
      <c r="Q2325" t="s">
        <v>1973</v>
      </c>
      <c r="V2325" s="77" t="str">
        <f>HYPERLINK("https://pbs.twimg.com/profile_images/1621003427902881792/XbMMqwbK_normal.jpg")</f>
        <v>https://pbs.twimg.com/profile_images/1621003427902881792/XbMMqwbK_normal.jpg</v>
      </c>
      <c r="W2325" s="76">
        <v>44958.982025462959</v>
      </c>
      <c r="X2325" s="80">
        <v>44958</v>
      </c>
      <c r="Y2325" s="78" t="s">
        <v>3030</v>
      </c>
      <c r="Z2325" s="77" t="str">
        <f>HYPERLINK("https://twitter.com/amala_flamvell/status/1620928510943690753")</f>
        <v>https://twitter.com/amala_flamvell/status/1620928510943690753</v>
      </c>
      <c r="AC2325" s="78" t="s">
        <v>4095</v>
      </c>
      <c r="AD2325" s="78" t="s">
        <v>4094</v>
      </c>
      <c r="AE2325" t="b">
        <v>0</v>
      </c>
      <c r="AF2325">
        <v>0</v>
      </c>
      <c r="AG2325" s="78" t="s">
        <v>4751</v>
      </c>
      <c r="AH2325" t="b">
        <v>0</v>
      </c>
      <c r="AI2325" t="s">
        <v>4829</v>
      </c>
      <c r="AK2325" s="78" t="s">
        <v>4640</v>
      </c>
      <c r="AL2325" t="b">
        <v>0</v>
      </c>
      <c r="AM2325">
        <v>0</v>
      </c>
      <c r="AN2325" s="78" t="s">
        <v>4640</v>
      </c>
      <c r="AO2325" s="78" t="s">
        <v>4851</v>
      </c>
      <c r="AP2325" t="b">
        <v>0</v>
      </c>
      <c r="AQ2325" s="78" t="s">
        <v>4094</v>
      </c>
      <c r="AR2325" t="s">
        <v>179</v>
      </c>
      <c r="AS2325">
        <v>0</v>
      </c>
      <c r="AT2325">
        <v>0</v>
      </c>
    </row>
    <row r="2326" spans="1:54" x14ac:dyDescent="0.45">
      <c r="A2326" s="62" t="s">
        <v>805</v>
      </c>
      <c r="B2326" s="62" t="s">
        <v>242</v>
      </c>
      <c r="C2326" s="63"/>
      <c r="D2326" s="64"/>
      <c r="E2326" s="65"/>
      <c r="F2326" s="66"/>
      <c r="G2326" s="63"/>
      <c r="H2326" s="67"/>
      <c r="I2326" s="68"/>
      <c r="J2326" s="68"/>
      <c r="K2326" s="32"/>
      <c r="L2326" s="75"/>
      <c r="M2326" s="75"/>
      <c r="N2326" s="70"/>
      <c r="O2326" t="s">
        <v>1568</v>
      </c>
      <c r="P2326" s="76">
        <v>44958.982025462959</v>
      </c>
      <c r="Q2326" t="s">
        <v>1973</v>
      </c>
      <c r="V2326" s="77" t="str">
        <f>HYPERLINK("https://pbs.twimg.com/profile_images/1621003427902881792/XbMMqwbK_normal.jpg")</f>
        <v>https://pbs.twimg.com/profile_images/1621003427902881792/XbMMqwbK_normal.jpg</v>
      </c>
      <c r="W2326" s="76">
        <v>44958.982025462959</v>
      </c>
      <c r="X2326" s="80">
        <v>44958</v>
      </c>
      <c r="Y2326" s="78" t="s">
        <v>3030</v>
      </c>
      <c r="Z2326" s="77" t="str">
        <f>HYPERLINK("https://twitter.com/amala_flamvell/status/1620928510943690753")</f>
        <v>https://twitter.com/amala_flamvell/status/1620928510943690753</v>
      </c>
      <c r="AC2326" s="78" t="s">
        <v>4095</v>
      </c>
      <c r="AD2326" s="78" t="s">
        <v>4094</v>
      </c>
      <c r="AE2326" t="b">
        <v>0</v>
      </c>
      <c r="AF2326">
        <v>0</v>
      </c>
      <c r="AG2326" s="78" t="s">
        <v>4751</v>
      </c>
      <c r="AH2326" t="b">
        <v>0</v>
      </c>
      <c r="AI2326" t="s">
        <v>4829</v>
      </c>
      <c r="AK2326" s="78" t="s">
        <v>4640</v>
      </c>
      <c r="AL2326" t="b">
        <v>0</v>
      </c>
      <c r="AM2326">
        <v>0</v>
      </c>
      <c r="AN2326" s="78" t="s">
        <v>4640</v>
      </c>
      <c r="AO2326" s="78" t="s">
        <v>4851</v>
      </c>
      <c r="AP2326" t="b">
        <v>0</v>
      </c>
      <c r="AQ2326" s="78" t="s">
        <v>4094</v>
      </c>
      <c r="AR2326" t="s">
        <v>179</v>
      </c>
      <c r="AS2326">
        <v>0</v>
      </c>
      <c r="AT2326">
        <v>0</v>
      </c>
    </row>
    <row r="2327" spans="1:54" x14ac:dyDescent="0.45">
      <c r="A2327" s="62" t="s">
        <v>807</v>
      </c>
      <c r="B2327" s="62" t="s">
        <v>1386</v>
      </c>
      <c r="C2327" s="63"/>
      <c r="D2327" s="64"/>
      <c r="E2327" s="65"/>
      <c r="F2327" s="66"/>
      <c r="G2327" s="63"/>
      <c r="H2327" s="67"/>
      <c r="I2327" s="68"/>
      <c r="J2327" s="68"/>
      <c r="K2327" s="32"/>
      <c r="L2327" s="75"/>
      <c r="M2327" s="75"/>
      <c r="N2327" s="70"/>
      <c r="O2327" t="s">
        <v>1567</v>
      </c>
      <c r="P2327" s="76">
        <v>44958.982118055559</v>
      </c>
      <c r="Q2327" t="s">
        <v>1976</v>
      </c>
      <c r="V2327" s="77" t="str">
        <f>HYPERLINK("https://pbs.twimg.com/profile_images/1097508718223257600/W9XlJBRj_normal.jpg")</f>
        <v>https://pbs.twimg.com/profile_images/1097508718223257600/W9XlJBRj_normal.jpg</v>
      </c>
      <c r="W2327" s="76">
        <v>44958.982118055559</v>
      </c>
      <c r="X2327" s="80">
        <v>44958</v>
      </c>
      <c r="Y2327" s="78" t="s">
        <v>3033</v>
      </c>
      <c r="Z2327" s="77" t="str">
        <f>HYPERLINK("https://twitter.com/sebrango_9/status/1620928546234302465")</f>
        <v>https://twitter.com/sebrango_9/status/1620928546234302465</v>
      </c>
      <c r="AC2327" s="78" t="s">
        <v>4098</v>
      </c>
      <c r="AD2327" s="78" t="s">
        <v>4582</v>
      </c>
      <c r="AE2327" t="b">
        <v>0</v>
      </c>
      <c r="AF2327">
        <v>0</v>
      </c>
      <c r="AG2327" s="78" t="s">
        <v>4752</v>
      </c>
      <c r="AH2327" t="b">
        <v>0</v>
      </c>
      <c r="AI2327" t="s">
        <v>4829</v>
      </c>
      <c r="AK2327" s="78" t="s">
        <v>4640</v>
      </c>
      <c r="AL2327" t="b">
        <v>0</v>
      </c>
      <c r="AM2327">
        <v>0</v>
      </c>
      <c r="AN2327" s="78" t="s">
        <v>4640</v>
      </c>
      <c r="AO2327" s="78" t="s">
        <v>4849</v>
      </c>
      <c r="AP2327" t="b">
        <v>0</v>
      </c>
      <c r="AQ2327" s="78" t="s">
        <v>4582</v>
      </c>
      <c r="AR2327" t="s">
        <v>179</v>
      </c>
      <c r="AS2327">
        <v>0</v>
      </c>
      <c r="AT2327">
        <v>0</v>
      </c>
    </row>
    <row r="2328" spans="1:54" x14ac:dyDescent="0.45">
      <c r="A2328" s="62" t="s">
        <v>807</v>
      </c>
      <c r="B2328" s="62" t="s">
        <v>242</v>
      </c>
      <c r="C2328" s="63"/>
      <c r="D2328" s="64"/>
      <c r="E2328" s="65"/>
      <c r="F2328" s="66"/>
      <c r="G2328" s="63"/>
      <c r="H2328" s="67"/>
      <c r="I2328" s="68"/>
      <c r="J2328" s="68"/>
      <c r="K2328" s="32"/>
      <c r="L2328" s="75"/>
      <c r="M2328" s="75"/>
      <c r="N2328" s="70"/>
      <c r="O2328" t="s">
        <v>1568</v>
      </c>
      <c r="P2328" s="76">
        <v>44958.982118055559</v>
      </c>
      <c r="Q2328" t="s">
        <v>1976</v>
      </c>
      <c r="V2328" s="77" t="str">
        <f>HYPERLINK("https://pbs.twimg.com/profile_images/1097508718223257600/W9XlJBRj_normal.jpg")</f>
        <v>https://pbs.twimg.com/profile_images/1097508718223257600/W9XlJBRj_normal.jpg</v>
      </c>
      <c r="W2328" s="76">
        <v>44958.982118055559</v>
      </c>
      <c r="X2328" s="80">
        <v>44958</v>
      </c>
      <c r="Y2328" s="78" t="s">
        <v>3033</v>
      </c>
      <c r="Z2328" s="77" t="str">
        <f>HYPERLINK("https://twitter.com/sebrango_9/status/1620928546234302465")</f>
        <v>https://twitter.com/sebrango_9/status/1620928546234302465</v>
      </c>
      <c r="AC2328" s="78" t="s">
        <v>4098</v>
      </c>
      <c r="AD2328" s="78" t="s">
        <v>4582</v>
      </c>
      <c r="AE2328" t="b">
        <v>0</v>
      </c>
      <c r="AF2328">
        <v>0</v>
      </c>
      <c r="AG2328" s="78" t="s">
        <v>4752</v>
      </c>
      <c r="AH2328" t="b">
        <v>0</v>
      </c>
      <c r="AI2328" t="s">
        <v>4829</v>
      </c>
      <c r="AK2328" s="78" t="s">
        <v>4640</v>
      </c>
      <c r="AL2328" t="b">
        <v>0</v>
      </c>
      <c r="AM2328">
        <v>0</v>
      </c>
      <c r="AN2328" s="78" t="s">
        <v>4640</v>
      </c>
      <c r="AO2328" s="78" t="s">
        <v>4849</v>
      </c>
      <c r="AP2328" t="b">
        <v>0</v>
      </c>
      <c r="AQ2328" s="78" t="s">
        <v>4582</v>
      </c>
      <c r="AR2328" t="s">
        <v>179</v>
      </c>
      <c r="AS2328">
        <v>0</v>
      </c>
      <c r="AT2328">
        <v>0</v>
      </c>
    </row>
    <row r="2329" spans="1:54" x14ac:dyDescent="0.45">
      <c r="A2329" s="62" t="s">
        <v>809</v>
      </c>
      <c r="B2329" s="62" t="s">
        <v>242</v>
      </c>
      <c r="C2329" s="63"/>
      <c r="D2329" s="64"/>
      <c r="E2329" s="65"/>
      <c r="F2329" s="66"/>
      <c r="G2329" s="63"/>
      <c r="H2329" s="67"/>
      <c r="I2329" s="68"/>
      <c r="J2329" s="68"/>
      <c r="K2329" s="32"/>
      <c r="L2329" s="75"/>
      <c r="M2329" s="75"/>
      <c r="N2329" s="70"/>
      <c r="O2329" t="s">
        <v>1568</v>
      </c>
      <c r="P2329" s="76">
        <v>44958.984375</v>
      </c>
      <c r="Q2329" t="s">
        <v>1978</v>
      </c>
      <c r="V2329" s="77" t="str">
        <f>HYPERLINK("https://pbs.twimg.com/profile_images/1404350433032871940/3zssWYdu_normal.jpg")</f>
        <v>https://pbs.twimg.com/profile_images/1404350433032871940/3zssWYdu_normal.jpg</v>
      </c>
      <c r="W2329" s="76">
        <v>44958.984375</v>
      </c>
      <c r="X2329" s="80">
        <v>44958</v>
      </c>
      <c r="Y2329" s="78" t="s">
        <v>3035</v>
      </c>
      <c r="Z2329" s="77" t="str">
        <f>HYPERLINK("https://twitter.com/keyannasposts/status/1620929365851934720")</f>
        <v>https://twitter.com/keyannasposts/status/1620929365851934720</v>
      </c>
      <c r="AC2329" s="78" t="s">
        <v>4100</v>
      </c>
      <c r="AE2329" t="b">
        <v>0</v>
      </c>
      <c r="AF2329">
        <v>0</v>
      </c>
      <c r="AG2329" s="78" t="s">
        <v>4640</v>
      </c>
      <c r="AH2329" t="b">
        <v>0</v>
      </c>
      <c r="AI2329" t="s">
        <v>4829</v>
      </c>
      <c r="AK2329" s="78" t="s">
        <v>4640</v>
      </c>
      <c r="AL2329" t="b">
        <v>0</v>
      </c>
      <c r="AM2329">
        <v>0</v>
      </c>
      <c r="AN2329" s="78" t="s">
        <v>4640</v>
      </c>
      <c r="AO2329" s="78" t="s">
        <v>4849</v>
      </c>
      <c r="AP2329" t="b">
        <v>0</v>
      </c>
      <c r="AQ2329" s="78" t="s">
        <v>4100</v>
      </c>
      <c r="AR2329" t="s">
        <v>179</v>
      </c>
      <c r="AS2329">
        <v>0</v>
      </c>
      <c r="AT2329">
        <v>0</v>
      </c>
    </row>
    <row r="2330" spans="1:54" x14ac:dyDescent="0.45">
      <c r="A2330" s="62" t="s">
        <v>811</v>
      </c>
      <c r="B2330" s="62" t="s">
        <v>1389</v>
      </c>
      <c r="C2330" s="63"/>
      <c r="D2330" s="64"/>
      <c r="E2330" s="65"/>
      <c r="F2330" s="66"/>
      <c r="G2330" s="63"/>
      <c r="H2330" s="67"/>
      <c r="I2330" s="68"/>
      <c r="J2330" s="68"/>
      <c r="K2330" s="32"/>
      <c r="L2330" s="75"/>
      <c r="M2330" s="75"/>
      <c r="N2330" s="70"/>
      <c r="O2330" t="s">
        <v>1568</v>
      </c>
      <c r="P2330" s="76">
        <v>44958.880127314813</v>
      </c>
      <c r="Q2330" t="s">
        <v>1980</v>
      </c>
      <c r="U2330" s="77" t="str">
        <f>HYPERLINK("https://pbs.twimg.com/tweet_video_thumb/Fn6QS8wXoAgQavV.jpg")</f>
        <v>https://pbs.twimg.com/tweet_video_thumb/Fn6QS8wXoAgQavV.jpg</v>
      </c>
      <c r="V2330" s="77" t="str">
        <f>HYPERLINK("https://pbs.twimg.com/tweet_video_thumb/Fn6QS8wXoAgQavV.jpg")</f>
        <v>https://pbs.twimg.com/tweet_video_thumb/Fn6QS8wXoAgQavV.jpg</v>
      </c>
      <c r="W2330" s="76">
        <v>44958.880127314813</v>
      </c>
      <c r="X2330" s="80">
        <v>44958</v>
      </c>
      <c r="Y2330" s="78" t="s">
        <v>3037</v>
      </c>
      <c r="Z2330" s="77" t="str">
        <f>HYPERLINK("https://twitter.com/donrull/status/1620891584345808896")</f>
        <v>https://twitter.com/donrull/status/1620891584345808896</v>
      </c>
      <c r="AC2330" s="78" t="s">
        <v>4102</v>
      </c>
      <c r="AE2330" t="b">
        <v>0</v>
      </c>
      <c r="AF2330">
        <v>0</v>
      </c>
      <c r="AG2330" s="78" t="s">
        <v>4639</v>
      </c>
      <c r="AH2330" t="b">
        <v>0</v>
      </c>
      <c r="AI2330" t="s">
        <v>4829</v>
      </c>
      <c r="AK2330" s="78" t="s">
        <v>4640</v>
      </c>
      <c r="AL2330" t="b">
        <v>0</v>
      </c>
      <c r="AM2330">
        <v>0</v>
      </c>
      <c r="AN2330" s="78" t="s">
        <v>4640</v>
      </c>
      <c r="AO2330" s="78" t="s">
        <v>4850</v>
      </c>
      <c r="AP2330" t="b">
        <v>0</v>
      </c>
      <c r="AQ2330" s="78" t="s">
        <v>4102</v>
      </c>
      <c r="AR2330" t="s">
        <v>179</v>
      </c>
      <c r="AS2330">
        <v>0</v>
      </c>
      <c r="AT2330">
        <v>0</v>
      </c>
      <c r="AU2330" t="s">
        <v>4888</v>
      </c>
      <c r="AV2330" t="s">
        <v>4899</v>
      </c>
      <c r="AW2330" t="s">
        <v>4901</v>
      </c>
      <c r="AX2330" t="s">
        <v>4917</v>
      </c>
      <c r="AY2330" t="s">
        <v>4942</v>
      </c>
      <c r="AZ2330" t="s">
        <v>4967</v>
      </c>
      <c r="BA2330" t="s">
        <v>4976</v>
      </c>
      <c r="BB2330" s="77" t="str">
        <f>HYPERLINK("https://api.twitter.com/1.1/geo/id/4ec01c9dbc693497.json")</f>
        <v>https://api.twitter.com/1.1/geo/id/4ec01c9dbc693497.json</v>
      </c>
    </row>
    <row r="2331" spans="1:54" x14ac:dyDescent="0.45">
      <c r="A2331" s="62" t="s">
        <v>811</v>
      </c>
      <c r="B2331" s="62" t="s">
        <v>1200</v>
      </c>
      <c r="C2331" s="63"/>
      <c r="D2331" s="64"/>
      <c r="E2331" s="65"/>
      <c r="F2331" s="66"/>
      <c r="G2331" s="63"/>
      <c r="H2331" s="67"/>
      <c r="I2331" s="68"/>
      <c r="J2331" s="68"/>
      <c r="K2331" s="32"/>
      <c r="L2331" s="75"/>
      <c r="M2331" s="75"/>
      <c r="N2331" s="70"/>
      <c r="O2331" t="s">
        <v>1568</v>
      </c>
      <c r="P2331" s="76">
        <v>44958.785509259258</v>
      </c>
      <c r="Q2331" t="s">
        <v>1982</v>
      </c>
      <c r="U2331" s="77" t="str">
        <f>HYPERLINK("https://pbs.twimg.com/media/Fn5xH25WQAE3LrQ.jpg")</f>
        <v>https://pbs.twimg.com/media/Fn5xH25WQAE3LrQ.jpg</v>
      </c>
      <c r="V2331" s="77" t="str">
        <f>HYPERLINK("https://pbs.twimg.com/media/Fn5xH25WQAE3LrQ.jpg")</f>
        <v>https://pbs.twimg.com/media/Fn5xH25WQAE3LrQ.jpg</v>
      </c>
      <c r="W2331" s="76">
        <v>44958.785509259258</v>
      </c>
      <c r="X2331" s="80">
        <v>44958</v>
      </c>
      <c r="Y2331" s="78" t="s">
        <v>3039</v>
      </c>
      <c r="Z2331" s="77" t="str">
        <f>HYPERLINK("https://twitter.com/donrull/status/1620857299689668609")</f>
        <v>https://twitter.com/donrull/status/1620857299689668609</v>
      </c>
      <c r="AC2331" s="78" t="s">
        <v>4104</v>
      </c>
      <c r="AE2331" t="b">
        <v>0</v>
      </c>
      <c r="AF2331">
        <v>0</v>
      </c>
      <c r="AG2331" s="78" t="s">
        <v>4640</v>
      </c>
      <c r="AH2331" t="b">
        <v>0</v>
      </c>
      <c r="AI2331" t="s">
        <v>4829</v>
      </c>
      <c r="AK2331" s="78" t="s">
        <v>4640</v>
      </c>
      <c r="AL2331" t="b">
        <v>0</v>
      </c>
      <c r="AM2331">
        <v>0</v>
      </c>
      <c r="AN2331" s="78" t="s">
        <v>4640</v>
      </c>
      <c r="AO2331" s="78" t="s">
        <v>4850</v>
      </c>
      <c r="AP2331" t="b">
        <v>0</v>
      </c>
      <c r="AQ2331" s="78" t="s">
        <v>4104</v>
      </c>
      <c r="AR2331" t="s">
        <v>179</v>
      </c>
      <c r="AS2331">
        <v>0</v>
      </c>
      <c r="AT2331">
        <v>0</v>
      </c>
      <c r="AU2331" t="s">
        <v>4888</v>
      </c>
      <c r="AV2331" t="s">
        <v>4899</v>
      </c>
      <c r="AW2331" t="s">
        <v>4901</v>
      </c>
      <c r="AX2331" t="s">
        <v>4917</v>
      </c>
      <c r="AY2331" t="s">
        <v>4942</v>
      </c>
      <c r="AZ2331" t="s">
        <v>4967</v>
      </c>
      <c r="BA2331" t="s">
        <v>4976</v>
      </c>
      <c r="BB2331" s="77" t="str">
        <f>HYPERLINK("https://api.twitter.com/1.1/geo/id/4ec01c9dbc693497.json")</f>
        <v>https://api.twitter.com/1.1/geo/id/4ec01c9dbc693497.json</v>
      </c>
    </row>
    <row r="2332" spans="1:54" x14ac:dyDescent="0.45">
      <c r="A2332" s="62" t="s">
        <v>811</v>
      </c>
      <c r="B2332" s="62" t="s">
        <v>242</v>
      </c>
      <c r="C2332" s="63"/>
      <c r="D2332" s="64"/>
      <c r="E2332" s="65"/>
      <c r="F2332" s="66"/>
      <c r="G2332" s="63"/>
      <c r="H2332" s="67"/>
      <c r="I2332" s="68"/>
      <c r="J2332" s="68"/>
      <c r="K2332" s="32"/>
      <c r="L2332" s="75"/>
      <c r="M2332" s="75"/>
      <c r="N2332" s="70"/>
      <c r="O2332" t="s">
        <v>1568</v>
      </c>
      <c r="P2332" s="76">
        <v>44958.785509259258</v>
      </c>
      <c r="Q2332" t="s">
        <v>1982</v>
      </c>
      <c r="U2332" s="77" t="str">
        <f>HYPERLINK("https://pbs.twimg.com/media/Fn5xH25WQAE3LrQ.jpg")</f>
        <v>https://pbs.twimg.com/media/Fn5xH25WQAE3LrQ.jpg</v>
      </c>
      <c r="V2332" s="77" t="str">
        <f>HYPERLINK("https://pbs.twimg.com/media/Fn5xH25WQAE3LrQ.jpg")</f>
        <v>https://pbs.twimg.com/media/Fn5xH25WQAE3LrQ.jpg</v>
      </c>
      <c r="W2332" s="76">
        <v>44958.785509259258</v>
      </c>
      <c r="X2332" s="80">
        <v>44958</v>
      </c>
      <c r="Y2332" s="78" t="s">
        <v>3039</v>
      </c>
      <c r="Z2332" s="77" t="str">
        <f>HYPERLINK("https://twitter.com/donrull/status/1620857299689668609")</f>
        <v>https://twitter.com/donrull/status/1620857299689668609</v>
      </c>
      <c r="AC2332" s="78" t="s">
        <v>4104</v>
      </c>
      <c r="AE2332" t="b">
        <v>0</v>
      </c>
      <c r="AF2332">
        <v>0</v>
      </c>
      <c r="AG2332" s="78" t="s">
        <v>4640</v>
      </c>
      <c r="AH2332" t="b">
        <v>0</v>
      </c>
      <c r="AI2332" t="s">
        <v>4829</v>
      </c>
      <c r="AK2332" s="78" t="s">
        <v>4640</v>
      </c>
      <c r="AL2332" t="b">
        <v>0</v>
      </c>
      <c r="AM2332">
        <v>0</v>
      </c>
      <c r="AN2332" s="78" t="s">
        <v>4640</v>
      </c>
      <c r="AO2332" s="78" t="s">
        <v>4850</v>
      </c>
      <c r="AP2332" t="b">
        <v>0</v>
      </c>
      <c r="AQ2332" s="78" t="s">
        <v>4104</v>
      </c>
      <c r="AR2332" t="s">
        <v>179</v>
      </c>
      <c r="AS2332">
        <v>0</v>
      </c>
      <c r="AT2332">
        <v>0</v>
      </c>
      <c r="AU2332" t="s">
        <v>4888</v>
      </c>
      <c r="AV2332" t="s">
        <v>4899</v>
      </c>
      <c r="AW2332" t="s">
        <v>4901</v>
      </c>
      <c r="AX2332" t="s">
        <v>4917</v>
      </c>
      <c r="AY2332" t="s">
        <v>4942</v>
      </c>
      <c r="AZ2332" t="s">
        <v>4967</v>
      </c>
      <c r="BA2332" t="s">
        <v>4976</v>
      </c>
      <c r="BB2332" s="77" t="str">
        <f>HYPERLINK("https://api.twitter.com/1.1/geo/id/4ec01c9dbc693497.json")</f>
        <v>https://api.twitter.com/1.1/geo/id/4ec01c9dbc693497.json</v>
      </c>
    </row>
    <row r="2333" spans="1:54" x14ac:dyDescent="0.45">
      <c r="A2333" s="62" t="s">
        <v>811</v>
      </c>
      <c r="B2333" s="62" t="s">
        <v>1200</v>
      </c>
      <c r="C2333" s="63"/>
      <c r="D2333" s="64"/>
      <c r="E2333" s="65"/>
      <c r="F2333" s="66"/>
      <c r="G2333" s="63"/>
      <c r="H2333" s="67"/>
      <c r="I2333" s="68"/>
      <c r="J2333" s="68"/>
      <c r="K2333" s="32"/>
      <c r="L2333" s="75"/>
      <c r="M2333" s="75"/>
      <c r="N2333" s="70"/>
      <c r="O2333" t="s">
        <v>1568</v>
      </c>
      <c r="P2333" s="76">
        <v>44958.786122685182</v>
      </c>
      <c r="Q2333" t="s">
        <v>1983</v>
      </c>
      <c r="U2333" s="77" t="str">
        <f>HYPERLINK("https://pbs.twimg.com/media/Fn5xUgBWABkn4CX.jpg")</f>
        <v>https://pbs.twimg.com/media/Fn5xUgBWABkn4CX.jpg</v>
      </c>
      <c r="V2333" s="77" t="str">
        <f>HYPERLINK("https://pbs.twimg.com/media/Fn5xUgBWABkn4CX.jpg")</f>
        <v>https://pbs.twimg.com/media/Fn5xUgBWABkn4CX.jpg</v>
      </c>
      <c r="W2333" s="76">
        <v>44958.786122685182</v>
      </c>
      <c r="X2333" s="80">
        <v>44958</v>
      </c>
      <c r="Y2333" s="78" t="s">
        <v>3040</v>
      </c>
      <c r="Z2333" s="77" t="str">
        <f>HYPERLINK("https://twitter.com/donrull/status/1620857517927702529")</f>
        <v>https://twitter.com/donrull/status/1620857517927702529</v>
      </c>
      <c r="AC2333" s="78" t="s">
        <v>4105</v>
      </c>
      <c r="AE2333" t="b">
        <v>0</v>
      </c>
      <c r="AF2333">
        <v>0</v>
      </c>
      <c r="AG2333" s="78" t="s">
        <v>4640</v>
      </c>
      <c r="AH2333" t="b">
        <v>0</v>
      </c>
      <c r="AI2333" t="s">
        <v>4829</v>
      </c>
      <c r="AK2333" s="78" t="s">
        <v>4640</v>
      </c>
      <c r="AL2333" t="b">
        <v>0</v>
      </c>
      <c r="AM2333">
        <v>0</v>
      </c>
      <c r="AN2333" s="78" t="s">
        <v>4640</v>
      </c>
      <c r="AO2333" s="78" t="s">
        <v>4850</v>
      </c>
      <c r="AP2333" t="b">
        <v>0</v>
      </c>
      <c r="AQ2333" s="78" t="s">
        <v>4105</v>
      </c>
      <c r="AR2333" t="s">
        <v>179</v>
      </c>
      <c r="AS2333">
        <v>0</v>
      </c>
      <c r="AT2333">
        <v>0</v>
      </c>
      <c r="AU2333" t="s">
        <v>4888</v>
      </c>
      <c r="AV2333" t="s">
        <v>4899</v>
      </c>
      <c r="AW2333" t="s">
        <v>4901</v>
      </c>
      <c r="AX2333" t="s">
        <v>4917</v>
      </c>
      <c r="AY2333" t="s">
        <v>4942</v>
      </c>
      <c r="AZ2333" t="s">
        <v>4967</v>
      </c>
      <c r="BA2333" t="s">
        <v>4976</v>
      </c>
      <c r="BB2333" s="77" t="str">
        <f>HYPERLINK("https://api.twitter.com/1.1/geo/id/4ec01c9dbc693497.json")</f>
        <v>https://api.twitter.com/1.1/geo/id/4ec01c9dbc693497.json</v>
      </c>
    </row>
    <row r="2334" spans="1:54" x14ac:dyDescent="0.45">
      <c r="A2334" s="62" t="s">
        <v>811</v>
      </c>
      <c r="B2334" s="62" t="s">
        <v>242</v>
      </c>
      <c r="C2334" s="63"/>
      <c r="D2334" s="64"/>
      <c r="E2334" s="65"/>
      <c r="F2334" s="66"/>
      <c r="G2334" s="63"/>
      <c r="H2334" s="67"/>
      <c r="I2334" s="68"/>
      <c r="J2334" s="68"/>
      <c r="K2334" s="32"/>
      <c r="L2334" s="75"/>
      <c r="M2334" s="75"/>
      <c r="N2334" s="70"/>
      <c r="O2334" t="s">
        <v>1568</v>
      </c>
      <c r="P2334" s="76">
        <v>44958.786122685182</v>
      </c>
      <c r="Q2334" t="s">
        <v>1983</v>
      </c>
      <c r="U2334" s="77" t="str">
        <f>HYPERLINK("https://pbs.twimg.com/media/Fn5xUgBWABkn4CX.jpg")</f>
        <v>https://pbs.twimg.com/media/Fn5xUgBWABkn4CX.jpg</v>
      </c>
      <c r="V2334" s="77" t="str">
        <f>HYPERLINK("https://pbs.twimg.com/media/Fn5xUgBWABkn4CX.jpg")</f>
        <v>https://pbs.twimg.com/media/Fn5xUgBWABkn4CX.jpg</v>
      </c>
      <c r="W2334" s="76">
        <v>44958.786122685182</v>
      </c>
      <c r="X2334" s="80">
        <v>44958</v>
      </c>
      <c r="Y2334" s="78" t="s">
        <v>3040</v>
      </c>
      <c r="Z2334" s="77" t="str">
        <f>HYPERLINK("https://twitter.com/donrull/status/1620857517927702529")</f>
        <v>https://twitter.com/donrull/status/1620857517927702529</v>
      </c>
      <c r="AC2334" s="78" t="s">
        <v>4105</v>
      </c>
      <c r="AE2334" t="b">
        <v>0</v>
      </c>
      <c r="AF2334">
        <v>0</v>
      </c>
      <c r="AG2334" s="78" t="s">
        <v>4640</v>
      </c>
      <c r="AH2334" t="b">
        <v>0</v>
      </c>
      <c r="AI2334" t="s">
        <v>4829</v>
      </c>
      <c r="AK2334" s="78" t="s">
        <v>4640</v>
      </c>
      <c r="AL2334" t="b">
        <v>0</v>
      </c>
      <c r="AM2334">
        <v>0</v>
      </c>
      <c r="AN2334" s="78" t="s">
        <v>4640</v>
      </c>
      <c r="AO2334" s="78" t="s">
        <v>4850</v>
      </c>
      <c r="AP2334" t="b">
        <v>0</v>
      </c>
      <c r="AQ2334" s="78" t="s">
        <v>4105</v>
      </c>
      <c r="AR2334" t="s">
        <v>179</v>
      </c>
      <c r="AS2334">
        <v>0</v>
      </c>
      <c r="AT2334">
        <v>0</v>
      </c>
      <c r="AU2334" t="s">
        <v>4888</v>
      </c>
      <c r="AV2334" t="s">
        <v>4899</v>
      </c>
      <c r="AW2334" t="s">
        <v>4901</v>
      </c>
      <c r="AX2334" t="s">
        <v>4917</v>
      </c>
      <c r="AY2334" t="s">
        <v>4942</v>
      </c>
      <c r="AZ2334" t="s">
        <v>4967</v>
      </c>
      <c r="BA2334" t="s">
        <v>4976</v>
      </c>
      <c r="BB2334" s="77" t="str">
        <f>HYPERLINK("https://api.twitter.com/1.1/geo/id/4ec01c9dbc693497.json")</f>
        <v>https://api.twitter.com/1.1/geo/id/4ec01c9dbc693497.json</v>
      </c>
    </row>
    <row r="2335" spans="1:54" x14ac:dyDescent="0.45">
      <c r="A2335" s="62" t="s">
        <v>811</v>
      </c>
      <c r="B2335" s="62" t="s">
        <v>1200</v>
      </c>
      <c r="C2335" s="63"/>
      <c r="D2335" s="64"/>
      <c r="E2335" s="65"/>
      <c r="F2335" s="66"/>
      <c r="G2335" s="63"/>
      <c r="H2335" s="67"/>
      <c r="I2335" s="68"/>
      <c r="J2335" s="68"/>
      <c r="K2335" s="32"/>
      <c r="L2335" s="75"/>
      <c r="M2335" s="75"/>
      <c r="N2335" s="70"/>
      <c r="O2335" t="s">
        <v>1568</v>
      </c>
      <c r="P2335" s="76">
        <v>44958.863530092596</v>
      </c>
      <c r="Q2335" t="s">
        <v>1984</v>
      </c>
      <c r="U2335" s="77" t="str">
        <f>HYPERLINK("https://pbs.twimg.com/media/Fn6K1dkXoAcKRrm.jpg")</f>
        <v>https://pbs.twimg.com/media/Fn6K1dkXoAcKRrm.jpg</v>
      </c>
      <c r="V2335" s="77" t="str">
        <f>HYPERLINK("https://pbs.twimg.com/media/Fn6K1dkXoAcKRrm.jpg")</f>
        <v>https://pbs.twimg.com/media/Fn6K1dkXoAcKRrm.jpg</v>
      </c>
      <c r="W2335" s="76">
        <v>44958.863530092596</v>
      </c>
      <c r="X2335" s="80">
        <v>44958</v>
      </c>
      <c r="Y2335" s="78" t="s">
        <v>3041</v>
      </c>
      <c r="Z2335" s="77" t="str">
        <f>HYPERLINK("https://twitter.com/donrull/status/1620885571467096064")</f>
        <v>https://twitter.com/donrull/status/1620885571467096064</v>
      </c>
      <c r="AC2335" s="78" t="s">
        <v>4106</v>
      </c>
      <c r="AE2335" t="b">
        <v>0</v>
      </c>
      <c r="AF2335">
        <v>0</v>
      </c>
      <c r="AG2335" s="78" t="s">
        <v>4639</v>
      </c>
      <c r="AH2335" t="b">
        <v>0</v>
      </c>
      <c r="AI2335" t="s">
        <v>4829</v>
      </c>
      <c r="AK2335" s="78" t="s">
        <v>4640</v>
      </c>
      <c r="AL2335" t="b">
        <v>0</v>
      </c>
      <c r="AM2335">
        <v>0</v>
      </c>
      <c r="AN2335" s="78" t="s">
        <v>4640</v>
      </c>
      <c r="AO2335" s="78" t="s">
        <v>4850</v>
      </c>
      <c r="AP2335" t="b">
        <v>0</v>
      </c>
      <c r="AQ2335" s="78" t="s">
        <v>4106</v>
      </c>
      <c r="AR2335" t="s">
        <v>179</v>
      </c>
      <c r="AS2335">
        <v>0</v>
      </c>
      <c r="AT2335">
        <v>0</v>
      </c>
      <c r="AU2335" t="s">
        <v>4888</v>
      </c>
      <c r="AV2335" t="s">
        <v>4899</v>
      </c>
      <c r="AW2335" t="s">
        <v>4901</v>
      </c>
      <c r="AX2335" t="s">
        <v>4917</v>
      </c>
      <c r="AY2335" t="s">
        <v>4942</v>
      </c>
      <c r="AZ2335" t="s">
        <v>4967</v>
      </c>
      <c r="BA2335" t="s">
        <v>4976</v>
      </c>
      <c r="BB2335" s="77" t="str">
        <f>HYPERLINK("https://api.twitter.com/1.1/geo/id/4ec01c9dbc693497.json")</f>
        <v>https://api.twitter.com/1.1/geo/id/4ec01c9dbc693497.json</v>
      </c>
    </row>
    <row r="2336" spans="1:54" x14ac:dyDescent="0.45">
      <c r="A2336" s="62" t="s">
        <v>811</v>
      </c>
      <c r="B2336" s="62" t="s">
        <v>242</v>
      </c>
      <c r="C2336" s="63"/>
      <c r="D2336" s="64"/>
      <c r="E2336" s="65"/>
      <c r="F2336" s="66"/>
      <c r="G2336" s="63"/>
      <c r="H2336" s="67"/>
      <c r="I2336" s="68"/>
      <c r="J2336" s="68"/>
      <c r="K2336" s="32"/>
      <c r="L2336" s="75"/>
      <c r="M2336" s="75"/>
      <c r="N2336" s="70"/>
      <c r="O2336" t="s">
        <v>1567</v>
      </c>
      <c r="P2336" s="76">
        <v>44958.863530092596</v>
      </c>
      <c r="Q2336" t="s">
        <v>1984</v>
      </c>
      <c r="U2336" s="77" t="str">
        <f>HYPERLINK("https://pbs.twimg.com/media/Fn6K1dkXoAcKRrm.jpg")</f>
        <v>https://pbs.twimg.com/media/Fn6K1dkXoAcKRrm.jpg</v>
      </c>
      <c r="V2336" s="77" t="str">
        <f>HYPERLINK("https://pbs.twimg.com/media/Fn6K1dkXoAcKRrm.jpg")</f>
        <v>https://pbs.twimg.com/media/Fn6K1dkXoAcKRrm.jpg</v>
      </c>
      <c r="W2336" s="76">
        <v>44958.863530092596</v>
      </c>
      <c r="X2336" s="80">
        <v>44958</v>
      </c>
      <c r="Y2336" s="78" t="s">
        <v>3041</v>
      </c>
      <c r="Z2336" s="77" t="str">
        <f>HYPERLINK("https://twitter.com/donrull/status/1620885571467096064")</f>
        <v>https://twitter.com/donrull/status/1620885571467096064</v>
      </c>
      <c r="AC2336" s="78" t="s">
        <v>4106</v>
      </c>
      <c r="AE2336" t="b">
        <v>0</v>
      </c>
      <c r="AF2336">
        <v>0</v>
      </c>
      <c r="AG2336" s="78" t="s">
        <v>4639</v>
      </c>
      <c r="AH2336" t="b">
        <v>0</v>
      </c>
      <c r="AI2336" t="s">
        <v>4829</v>
      </c>
      <c r="AK2336" s="78" t="s">
        <v>4640</v>
      </c>
      <c r="AL2336" t="b">
        <v>0</v>
      </c>
      <c r="AM2336">
        <v>0</v>
      </c>
      <c r="AN2336" s="78" t="s">
        <v>4640</v>
      </c>
      <c r="AO2336" s="78" t="s">
        <v>4850</v>
      </c>
      <c r="AP2336" t="b">
        <v>0</v>
      </c>
      <c r="AQ2336" s="78" t="s">
        <v>4106</v>
      </c>
      <c r="AR2336" t="s">
        <v>179</v>
      </c>
      <c r="AS2336">
        <v>0</v>
      </c>
      <c r="AT2336">
        <v>0</v>
      </c>
      <c r="AU2336" t="s">
        <v>4888</v>
      </c>
      <c r="AV2336" t="s">
        <v>4899</v>
      </c>
      <c r="AW2336" t="s">
        <v>4901</v>
      </c>
      <c r="AX2336" t="s">
        <v>4917</v>
      </c>
      <c r="AY2336" t="s">
        <v>4942</v>
      </c>
      <c r="AZ2336" t="s">
        <v>4967</v>
      </c>
      <c r="BA2336" t="s">
        <v>4976</v>
      </c>
      <c r="BB2336" s="77" t="str">
        <f>HYPERLINK("https://api.twitter.com/1.1/geo/id/4ec01c9dbc693497.json")</f>
        <v>https://api.twitter.com/1.1/geo/id/4ec01c9dbc693497.json</v>
      </c>
    </row>
    <row r="2337" spans="1:54" x14ac:dyDescent="0.45">
      <c r="A2337" s="62" t="s">
        <v>811</v>
      </c>
      <c r="B2337" s="62" t="s">
        <v>1163</v>
      </c>
      <c r="C2337" s="63"/>
      <c r="D2337" s="64"/>
      <c r="E2337" s="65"/>
      <c r="F2337" s="66"/>
      <c r="G2337" s="63"/>
      <c r="H2337" s="67"/>
      <c r="I2337" s="68"/>
      <c r="J2337" s="68"/>
      <c r="K2337" s="32"/>
      <c r="L2337" s="75"/>
      <c r="M2337" s="75"/>
      <c r="N2337" s="70"/>
      <c r="O2337" t="s">
        <v>1568</v>
      </c>
      <c r="P2337" s="76">
        <v>44958.880127314813</v>
      </c>
      <c r="Q2337" t="s">
        <v>1980</v>
      </c>
      <c r="U2337" s="77" t="str">
        <f>HYPERLINK("https://pbs.twimg.com/tweet_video_thumb/Fn6QS8wXoAgQavV.jpg")</f>
        <v>https://pbs.twimg.com/tweet_video_thumb/Fn6QS8wXoAgQavV.jpg</v>
      </c>
      <c r="V2337" s="77" t="str">
        <f>HYPERLINK("https://pbs.twimg.com/tweet_video_thumb/Fn6QS8wXoAgQavV.jpg")</f>
        <v>https://pbs.twimg.com/tweet_video_thumb/Fn6QS8wXoAgQavV.jpg</v>
      </c>
      <c r="W2337" s="76">
        <v>44958.880127314813</v>
      </c>
      <c r="X2337" s="80">
        <v>44958</v>
      </c>
      <c r="Y2337" s="78" t="s">
        <v>3037</v>
      </c>
      <c r="Z2337" s="77" t="str">
        <f>HYPERLINK("https://twitter.com/donrull/status/1620891584345808896")</f>
        <v>https://twitter.com/donrull/status/1620891584345808896</v>
      </c>
      <c r="AC2337" s="78" t="s">
        <v>4102</v>
      </c>
      <c r="AE2337" t="b">
        <v>0</v>
      </c>
      <c r="AF2337">
        <v>0</v>
      </c>
      <c r="AG2337" s="78" t="s">
        <v>4639</v>
      </c>
      <c r="AH2337" t="b">
        <v>0</v>
      </c>
      <c r="AI2337" t="s">
        <v>4829</v>
      </c>
      <c r="AK2337" s="78" t="s">
        <v>4640</v>
      </c>
      <c r="AL2337" t="b">
        <v>0</v>
      </c>
      <c r="AM2337">
        <v>0</v>
      </c>
      <c r="AN2337" s="78" t="s">
        <v>4640</v>
      </c>
      <c r="AO2337" s="78" t="s">
        <v>4850</v>
      </c>
      <c r="AP2337" t="b">
        <v>0</v>
      </c>
      <c r="AQ2337" s="78" t="s">
        <v>4102</v>
      </c>
      <c r="AR2337" t="s">
        <v>179</v>
      </c>
      <c r="AS2337">
        <v>0</v>
      </c>
      <c r="AT2337">
        <v>0</v>
      </c>
      <c r="AU2337" t="s">
        <v>4888</v>
      </c>
      <c r="AV2337" t="s">
        <v>4899</v>
      </c>
      <c r="AW2337" t="s">
        <v>4901</v>
      </c>
      <c r="AX2337" t="s">
        <v>4917</v>
      </c>
      <c r="AY2337" t="s">
        <v>4942</v>
      </c>
      <c r="AZ2337" t="s">
        <v>4967</v>
      </c>
      <c r="BA2337" t="s">
        <v>4976</v>
      </c>
      <c r="BB2337" s="77" t="str">
        <f>HYPERLINK("https://api.twitter.com/1.1/geo/id/4ec01c9dbc693497.json")</f>
        <v>https://api.twitter.com/1.1/geo/id/4ec01c9dbc693497.json</v>
      </c>
    </row>
    <row r="2338" spans="1:54" x14ac:dyDescent="0.45">
      <c r="A2338" s="62" t="s">
        <v>811</v>
      </c>
      <c r="B2338" s="62" t="s">
        <v>1200</v>
      </c>
      <c r="C2338" s="63"/>
      <c r="D2338" s="64"/>
      <c r="E2338" s="65"/>
      <c r="F2338" s="66"/>
      <c r="G2338" s="63"/>
      <c r="H2338" s="67"/>
      <c r="I2338" s="68"/>
      <c r="J2338" s="68"/>
      <c r="K2338" s="32"/>
      <c r="L2338" s="75"/>
      <c r="M2338" s="75"/>
      <c r="N2338" s="70"/>
      <c r="O2338" t="s">
        <v>1568</v>
      </c>
      <c r="P2338" s="76">
        <v>44958.880127314813</v>
      </c>
      <c r="Q2338" t="s">
        <v>1980</v>
      </c>
      <c r="U2338" s="77" t="str">
        <f>HYPERLINK("https://pbs.twimg.com/tweet_video_thumb/Fn6QS8wXoAgQavV.jpg")</f>
        <v>https://pbs.twimg.com/tweet_video_thumb/Fn6QS8wXoAgQavV.jpg</v>
      </c>
      <c r="V2338" s="77" t="str">
        <f>HYPERLINK("https://pbs.twimg.com/tweet_video_thumb/Fn6QS8wXoAgQavV.jpg")</f>
        <v>https://pbs.twimg.com/tweet_video_thumb/Fn6QS8wXoAgQavV.jpg</v>
      </c>
      <c r="W2338" s="76">
        <v>44958.880127314813</v>
      </c>
      <c r="X2338" s="80">
        <v>44958</v>
      </c>
      <c r="Y2338" s="78" t="s">
        <v>3037</v>
      </c>
      <c r="Z2338" s="77" t="str">
        <f>HYPERLINK("https://twitter.com/donrull/status/1620891584345808896")</f>
        <v>https://twitter.com/donrull/status/1620891584345808896</v>
      </c>
      <c r="AC2338" s="78" t="s">
        <v>4102</v>
      </c>
      <c r="AE2338" t="b">
        <v>0</v>
      </c>
      <c r="AF2338">
        <v>0</v>
      </c>
      <c r="AG2338" s="78" t="s">
        <v>4639</v>
      </c>
      <c r="AH2338" t="b">
        <v>0</v>
      </c>
      <c r="AI2338" t="s">
        <v>4829</v>
      </c>
      <c r="AK2338" s="78" t="s">
        <v>4640</v>
      </c>
      <c r="AL2338" t="b">
        <v>0</v>
      </c>
      <c r="AM2338">
        <v>0</v>
      </c>
      <c r="AN2338" s="78" t="s">
        <v>4640</v>
      </c>
      <c r="AO2338" s="78" t="s">
        <v>4850</v>
      </c>
      <c r="AP2338" t="b">
        <v>0</v>
      </c>
      <c r="AQ2338" s="78" t="s">
        <v>4102</v>
      </c>
      <c r="AR2338" t="s">
        <v>179</v>
      </c>
      <c r="AS2338">
        <v>0</v>
      </c>
      <c r="AT2338">
        <v>0</v>
      </c>
      <c r="AU2338" t="s">
        <v>4888</v>
      </c>
      <c r="AV2338" t="s">
        <v>4899</v>
      </c>
      <c r="AW2338" t="s">
        <v>4901</v>
      </c>
      <c r="AX2338" t="s">
        <v>4917</v>
      </c>
      <c r="AY2338" t="s">
        <v>4942</v>
      </c>
      <c r="AZ2338" t="s">
        <v>4967</v>
      </c>
      <c r="BA2338" t="s">
        <v>4976</v>
      </c>
      <c r="BB2338" s="77" t="str">
        <f>HYPERLINK("https://api.twitter.com/1.1/geo/id/4ec01c9dbc693497.json")</f>
        <v>https://api.twitter.com/1.1/geo/id/4ec01c9dbc693497.json</v>
      </c>
    </row>
    <row r="2339" spans="1:54" x14ac:dyDescent="0.45">
      <c r="A2339" s="62" t="s">
        <v>811</v>
      </c>
      <c r="B2339" s="62" t="s">
        <v>242</v>
      </c>
      <c r="C2339" s="63"/>
      <c r="D2339" s="64"/>
      <c r="E2339" s="65"/>
      <c r="F2339" s="66"/>
      <c r="G2339" s="63"/>
      <c r="H2339" s="67"/>
      <c r="I2339" s="68"/>
      <c r="J2339" s="68"/>
      <c r="K2339" s="32"/>
      <c r="L2339" s="75"/>
      <c r="M2339" s="75"/>
      <c r="N2339" s="70"/>
      <c r="O2339" t="s">
        <v>1567</v>
      </c>
      <c r="P2339" s="76">
        <v>44958.880127314813</v>
      </c>
      <c r="Q2339" t="s">
        <v>1980</v>
      </c>
      <c r="U2339" s="77" t="str">
        <f>HYPERLINK("https://pbs.twimg.com/tweet_video_thumb/Fn6QS8wXoAgQavV.jpg")</f>
        <v>https://pbs.twimg.com/tweet_video_thumb/Fn6QS8wXoAgQavV.jpg</v>
      </c>
      <c r="V2339" s="77" t="str">
        <f>HYPERLINK("https://pbs.twimg.com/tweet_video_thumb/Fn6QS8wXoAgQavV.jpg")</f>
        <v>https://pbs.twimg.com/tweet_video_thumb/Fn6QS8wXoAgQavV.jpg</v>
      </c>
      <c r="W2339" s="76">
        <v>44958.880127314813</v>
      </c>
      <c r="X2339" s="80">
        <v>44958</v>
      </c>
      <c r="Y2339" s="78" t="s">
        <v>3037</v>
      </c>
      <c r="Z2339" s="77" t="str">
        <f>HYPERLINK("https://twitter.com/donrull/status/1620891584345808896")</f>
        <v>https://twitter.com/donrull/status/1620891584345808896</v>
      </c>
      <c r="AC2339" s="78" t="s">
        <v>4102</v>
      </c>
      <c r="AE2339" t="b">
        <v>0</v>
      </c>
      <c r="AF2339">
        <v>0</v>
      </c>
      <c r="AG2339" s="78" t="s">
        <v>4639</v>
      </c>
      <c r="AH2339" t="b">
        <v>0</v>
      </c>
      <c r="AI2339" t="s">
        <v>4829</v>
      </c>
      <c r="AK2339" s="78" t="s">
        <v>4640</v>
      </c>
      <c r="AL2339" t="b">
        <v>0</v>
      </c>
      <c r="AM2339">
        <v>0</v>
      </c>
      <c r="AN2339" s="78" t="s">
        <v>4640</v>
      </c>
      <c r="AO2339" s="78" t="s">
        <v>4850</v>
      </c>
      <c r="AP2339" t="b">
        <v>0</v>
      </c>
      <c r="AQ2339" s="78" t="s">
        <v>4102</v>
      </c>
      <c r="AR2339" t="s">
        <v>179</v>
      </c>
      <c r="AS2339">
        <v>0</v>
      </c>
      <c r="AT2339">
        <v>0</v>
      </c>
      <c r="AU2339" t="s">
        <v>4888</v>
      </c>
      <c r="AV2339" t="s">
        <v>4899</v>
      </c>
      <c r="AW2339" t="s">
        <v>4901</v>
      </c>
      <c r="AX2339" t="s">
        <v>4917</v>
      </c>
      <c r="AY2339" t="s">
        <v>4942</v>
      </c>
      <c r="AZ2339" t="s">
        <v>4967</v>
      </c>
      <c r="BA2339" t="s">
        <v>4976</v>
      </c>
      <c r="BB2339" s="77" t="str">
        <f>HYPERLINK("https://api.twitter.com/1.1/geo/id/4ec01c9dbc693497.json")</f>
        <v>https://api.twitter.com/1.1/geo/id/4ec01c9dbc693497.json</v>
      </c>
    </row>
    <row r="2340" spans="1:54" x14ac:dyDescent="0.45">
      <c r="A2340" s="62" t="s">
        <v>811</v>
      </c>
      <c r="B2340" s="62" t="s">
        <v>242</v>
      </c>
      <c r="C2340" s="63"/>
      <c r="D2340" s="64"/>
      <c r="E2340" s="65"/>
      <c r="F2340" s="66"/>
      <c r="G2340" s="63"/>
      <c r="H2340" s="67"/>
      <c r="I2340" s="68"/>
      <c r="J2340" s="68"/>
      <c r="K2340" s="32"/>
      <c r="L2340" s="75"/>
      <c r="M2340" s="75"/>
      <c r="N2340" s="70"/>
      <c r="O2340" t="s">
        <v>1568</v>
      </c>
      <c r="P2340" s="76">
        <v>44958.917002314818</v>
      </c>
      <c r="Q2340" t="s">
        <v>1985</v>
      </c>
      <c r="U2340" s="77" t="str">
        <f>HYPERLINK("https://pbs.twimg.com/tweet_video_thumb/Fn6cdG0WIAAAmmt.jpg")</f>
        <v>https://pbs.twimg.com/tweet_video_thumb/Fn6cdG0WIAAAmmt.jpg</v>
      </c>
      <c r="V2340" s="77" t="str">
        <f>HYPERLINK("https://pbs.twimg.com/tweet_video_thumb/Fn6cdG0WIAAAmmt.jpg")</f>
        <v>https://pbs.twimg.com/tweet_video_thumb/Fn6cdG0WIAAAmmt.jpg</v>
      </c>
      <c r="W2340" s="76">
        <v>44958.917002314818</v>
      </c>
      <c r="X2340" s="80">
        <v>44958</v>
      </c>
      <c r="Y2340" s="78" t="s">
        <v>3042</v>
      </c>
      <c r="Z2340" s="77" t="str">
        <f>HYPERLINK("https://twitter.com/donrull/status/1620904949155774469")</f>
        <v>https://twitter.com/donrull/status/1620904949155774469</v>
      </c>
      <c r="AC2340" s="78" t="s">
        <v>4107</v>
      </c>
      <c r="AE2340" t="b">
        <v>0</v>
      </c>
      <c r="AF2340">
        <v>0</v>
      </c>
      <c r="AG2340" s="78" t="s">
        <v>4640</v>
      </c>
      <c r="AH2340" t="b">
        <v>0</v>
      </c>
      <c r="AI2340" t="s">
        <v>4829</v>
      </c>
      <c r="AK2340" s="78" t="s">
        <v>4640</v>
      </c>
      <c r="AL2340" t="b">
        <v>0</v>
      </c>
      <c r="AM2340">
        <v>0</v>
      </c>
      <c r="AN2340" s="78" t="s">
        <v>4640</v>
      </c>
      <c r="AO2340" s="78" t="s">
        <v>4850</v>
      </c>
      <c r="AP2340" t="b">
        <v>0</v>
      </c>
      <c r="AQ2340" s="78" t="s">
        <v>4107</v>
      </c>
      <c r="AR2340" t="s">
        <v>179</v>
      </c>
      <c r="AS2340">
        <v>0</v>
      </c>
      <c r="AT2340">
        <v>0</v>
      </c>
      <c r="AU2340" t="s">
        <v>4888</v>
      </c>
      <c r="AV2340" t="s">
        <v>4899</v>
      </c>
      <c r="AW2340" t="s">
        <v>4901</v>
      </c>
      <c r="AX2340" t="s">
        <v>4917</v>
      </c>
      <c r="AY2340" t="s">
        <v>4942</v>
      </c>
      <c r="AZ2340" t="s">
        <v>4967</v>
      </c>
      <c r="BA2340" t="s">
        <v>4976</v>
      </c>
      <c r="BB2340" s="77" t="str">
        <f>HYPERLINK("https://api.twitter.com/1.1/geo/id/4ec01c9dbc693497.json")</f>
        <v>https://api.twitter.com/1.1/geo/id/4ec01c9dbc693497.json</v>
      </c>
    </row>
    <row r="2341" spans="1:54" x14ac:dyDescent="0.45">
      <c r="A2341" s="62" t="s">
        <v>811</v>
      </c>
      <c r="B2341" s="62" t="s">
        <v>1200</v>
      </c>
      <c r="C2341" s="63"/>
      <c r="D2341" s="64"/>
      <c r="E2341" s="65"/>
      <c r="F2341" s="66"/>
      <c r="G2341" s="63"/>
      <c r="H2341" s="67"/>
      <c r="I2341" s="68"/>
      <c r="J2341" s="68"/>
      <c r="K2341" s="32"/>
      <c r="L2341" s="75"/>
      <c r="M2341" s="75"/>
      <c r="N2341" s="70"/>
      <c r="O2341" t="s">
        <v>1568</v>
      </c>
      <c r="P2341" s="76">
        <v>44958.92596064815</v>
      </c>
      <c r="Q2341" t="s">
        <v>1986</v>
      </c>
      <c r="U2341" s="77" t="str">
        <f>HYPERLINK("https://pbs.twimg.com/tweet_video_thumb/Fn6faENWQAEzdSL.jpg")</f>
        <v>https://pbs.twimg.com/tweet_video_thumb/Fn6faENWQAEzdSL.jpg</v>
      </c>
      <c r="V2341" s="77" t="str">
        <f>HYPERLINK("https://pbs.twimg.com/tweet_video_thumb/Fn6faENWQAEzdSL.jpg")</f>
        <v>https://pbs.twimg.com/tweet_video_thumb/Fn6faENWQAEzdSL.jpg</v>
      </c>
      <c r="W2341" s="76">
        <v>44958.92596064815</v>
      </c>
      <c r="X2341" s="80">
        <v>44958</v>
      </c>
      <c r="Y2341" s="78" t="s">
        <v>3043</v>
      </c>
      <c r="Z2341" s="77" t="str">
        <f>HYPERLINK("https://twitter.com/donrull/status/1620908197463871488")</f>
        <v>https://twitter.com/donrull/status/1620908197463871488</v>
      </c>
      <c r="AC2341" s="78" t="s">
        <v>4108</v>
      </c>
      <c r="AE2341" t="b">
        <v>0</v>
      </c>
      <c r="AF2341">
        <v>0</v>
      </c>
      <c r="AG2341" s="78" t="s">
        <v>4639</v>
      </c>
      <c r="AH2341" t="b">
        <v>0</v>
      </c>
      <c r="AI2341" t="s">
        <v>4829</v>
      </c>
      <c r="AK2341" s="78" t="s">
        <v>4640</v>
      </c>
      <c r="AL2341" t="b">
        <v>0</v>
      </c>
      <c r="AM2341">
        <v>0</v>
      </c>
      <c r="AN2341" s="78" t="s">
        <v>4640</v>
      </c>
      <c r="AO2341" s="78" t="s">
        <v>4850</v>
      </c>
      <c r="AP2341" t="b">
        <v>0</v>
      </c>
      <c r="AQ2341" s="78" t="s">
        <v>4108</v>
      </c>
      <c r="AR2341" t="s">
        <v>179</v>
      </c>
      <c r="AS2341">
        <v>0</v>
      </c>
      <c r="AT2341">
        <v>0</v>
      </c>
      <c r="AU2341" t="s">
        <v>4888</v>
      </c>
      <c r="AV2341" t="s">
        <v>4899</v>
      </c>
      <c r="AW2341" t="s">
        <v>4901</v>
      </c>
      <c r="AX2341" t="s">
        <v>4917</v>
      </c>
      <c r="AY2341" t="s">
        <v>4942</v>
      </c>
      <c r="AZ2341" t="s">
        <v>4967</v>
      </c>
      <c r="BA2341" t="s">
        <v>4976</v>
      </c>
      <c r="BB2341" s="77" t="str">
        <f>HYPERLINK("https://api.twitter.com/1.1/geo/id/4ec01c9dbc693497.json")</f>
        <v>https://api.twitter.com/1.1/geo/id/4ec01c9dbc693497.json</v>
      </c>
    </row>
    <row r="2342" spans="1:54" x14ac:dyDescent="0.45">
      <c r="A2342" s="62" t="s">
        <v>811</v>
      </c>
      <c r="B2342" s="62" t="s">
        <v>242</v>
      </c>
      <c r="C2342" s="63"/>
      <c r="D2342" s="64"/>
      <c r="E2342" s="65"/>
      <c r="F2342" s="66"/>
      <c r="G2342" s="63"/>
      <c r="H2342" s="67"/>
      <c r="I2342" s="68"/>
      <c r="J2342" s="68"/>
      <c r="K2342" s="32"/>
      <c r="L2342" s="75"/>
      <c r="M2342" s="75"/>
      <c r="N2342" s="70"/>
      <c r="O2342" t="s">
        <v>1567</v>
      </c>
      <c r="P2342" s="76">
        <v>44958.92596064815</v>
      </c>
      <c r="Q2342" t="s">
        <v>1986</v>
      </c>
      <c r="U2342" s="77" t="str">
        <f>HYPERLINK("https://pbs.twimg.com/tweet_video_thumb/Fn6faENWQAEzdSL.jpg")</f>
        <v>https://pbs.twimg.com/tweet_video_thumb/Fn6faENWQAEzdSL.jpg</v>
      </c>
      <c r="V2342" s="77" t="str">
        <f>HYPERLINK("https://pbs.twimg.com/tweet_video_thumb/Fn6faENWQAEzdSL.jpg")</f>
        <v>https://pbs.twimg.com/tweet_video_thumb/Fn6faENWQAEzdSL.jpg</v>
      </c>
      <c r="W2342" s="76">
        <v>44958.92596064815</v>
      </c>
      <c r="X2342" s="80">
        <v>44958</v>
      </c>
      <c r="Y2342" s="78" t="s">
        <v>3043</v>
      </c>
      <c r="Z2342" s="77" t="str">
        <f>HYPERLINK("https://twitter.com/donrull/status/1620908197463871488")</f>
        <v>https://twitter.com/donrull/status/1620908197463871488</v>
      </c>
      <c r="AC2342" s="78" t="s">
        <v>4108</v>
      </c>
      <c r="AE2342" t="b">
        <v>0</v>
      </c>
      <c r="AF2342">
        <v>0</v>
      </c>
      <c r="AG2342" s="78" t="s">
        <v>4639</v>
      </c>
      <c r="AH2342" t="b">
        <v>0</v>
      </c>
      <c r="AI2342" t="s">
        <v>4829</v>
      </c>
      <c r="AK2342" s="78" t="s">
        <v>4640</v>
      </c>
      <c r="AL2342" t="b">
        <v>0</v>
      </c>
      <c r="AM2342">
        <v>0</v>
      </c>
      <c r="AN2342" s="78" t="s">
        <v>4640</v>
      </c>
      <c r="AO2342" s="78" t="s">
        <v>4850</v>
      </c>
      <c r="AP2342" t="b">
        <v>0</v>
      </c>
      <c r="AQ2342" s="78" t="s">
        <v>4108</v>
      </c>
      <c r="AR2342" t="s">
        <v>179</v>
      </c>
      <c r="AS2342">
        <v>0</v>
      </c>
      <c r="AT2342">
        <v>0</v>
      </c>
      <c r="AU2342" t="s">
        <v>4888</v>
      </c>
      <c r="AV2342" t="s">
        <v>4899</v>
      </c>
      <c r="AW2342" t="s">
        <v>4901</v>
      </c>
      <c r="AX2342" t="s">
        <v>4917</v>
      </c>
      <c r="AY2342" t="s">
        <v>4942</v>
      </c>
      <c r="AZ2342" t="s">
        <v>4967</v>
      </c>
      <c r="BA2342" t="s">
        <v>4976</v>
      </c>
      <c r="BB2342" s="77" t="str">
        <f>HYPERLINK("https://api.twitter.com/1.1/geo/id/4ec01c9dbc693497.json")</f>
        <v>https://api.twitter.com/1.1/geo/id/4ec01c9dbc693497.json</v>
      </c>
    </row>
    <row r="2343" spans="1:54" x14ac:dyDescent="0.45">
      <c r="A2343" s="62" t="s">
        <v>811</v>
      </c>
      <c r="B2343" s="62" t="s">
        <v>1200</v>
      </c>
      <c r="C2343" s="63"/>
      <c r="D2343" s="64"/>
      <c r="E2343" s="65"/>
      <c r="F2343" s="66"/>
      <c r="G2343" s="63"/>
      <c r="H2343" s="67"/>
      <c r="I2343" s="68"/>
      <c r="J2343" s="68"/>
      <c r="K2343" s="32"/>
      <c r="L2343" s="75"/>
      <c r="M2343" s="75"/>
      <c r="N2343" s="70"/>
      <c r="O2343" t="s">
        <v>1568</v>
      </c>
      <c r="P2343" s="76">
        <v>44958.927407407406</v>
      </c>
      <c r="Q2343" t="s">
        <v>1987</v>
      </c>
      <c r="U2343" s="77" t="str">
        <f>HYPERLINK("https://pbs.twimg.com/tweet_video_thumb/Fn6f4k8XoAAwtNG.jpg")</f>
        <v>https://pbs.twimg.com/tweet_video_thumb/Fn6f4k8XoAAwtNG.jpg</v>
      </c>
      <c r="V2343" s="77" t="str">
        <f>HYPERLINK("https://pbs.twimg.com/tweet_video_thumb/Fn6f4k8XoAAwtNG.jpg")</f>
        <v>https://pbs.twimg.com/tweet_video_thumb/Fn6f4k8XoAAwtNG.jpg</v>
      </c>
      <c r="W2343" s="76">
        <v>44958.927407407406</v>
      </c>
      <c r="X2343" s="80">
        <v>44958</v>
      </c>
      <c r="Y2343" s="78" t="s">
        <v>3044</v>
      </c>
      <c r="Z2343" s="77" t="str">
        <f>HYPERLINK("https://twitter.com/donrull/status/1620908720246124544")</f>
        <v>https://twitter.com/donrull/status/1620908720246124544</v>
      </c>
      <c r="AC2343" s="78" t="s">
        <v>4109</v>
      </c>
      <c r="AE2343" t="b">
        <v>0</v>
      </c>
      <c r="AF2343">
        <v>0</v>
      </c>
      <c r="AG2343" s="78" t="s">
        <v>4639</v>
      </c>
      <c r="AH2343" t="b">
        <v>0</v>
      </c>
      <c r="AI2343" t="s">
        <v>4829</v>
      </c>
      <c r="AK2343" s="78" t="s">
        <v>4640</v>
      </c>
      <c r="AL2343" t="b">
        <v>0</v>
      </c>
      <c r="AM2343">
        <v>0</v>
      </c>
      <c r="AN2343" s="78" t="s">
        <v>4640</v>
      </c>
      <c r="AO2343" s="78" t="s">
        <v>4850</v>
      </c>
      <c r="AP2343" t="b">
        <v>0</v>
      </c>
      <c r="AQ2343" s="78" t="s">
        <v>4109</v>
      </c>
      <c r="AR2343" t="s">
        <v>179</v>
      </c>
      <c r="AS2343">
        <v>0</v>
      </c>
      <c r="AT2343">
        <v>0</v>
      </c>
      <c r="AU2343" t="s">
        <v>4888</v>
      </c>
      <c r="AV2343" t="s">
        <v>4899</v>
      </c>
      <c r="AW2343" t="s">
        <v>4901</v>
      </c>
      <c r="AX2343" t="s">
        <v>4917</v>
      </c>
      <c r="AY2343" t="s">
        <v>4942</v>
      </c>
      <c r="AZ2343" t="s">
        <v>4967</v>
      </c>
      <c r="BA2343" t="s">
        <v>4976</v>
      </c>
      <c r="BB2343" s="77" t="str">
        <f>HYPERLINK("https://api.twitter.com/1.1/geo/id/4ec01c9dbc693497.json")</f>
        <v>https://api.twitter.com/1.1/geo/id/4ec01c9dbc693497.json</v>
      </c>
    </row>
    <row r="2344" spans="1:54" x14ac:dyDescent="0.45">
      <c r="A2344" s="62" t="s">
        <v>811</v>
      </c>
      <c r="B2344" s="62" t="s">
        <v>242</v>
      </c>
      <c r="C2344" s="63"/>
      <c r="D2344" s="64"/>
      <c r="E2344" s="65"/>
      <c r="F2344" s="66"/>
      <c r="G2344" s="63"/>
      <c r="H2344" s="67"/>
      <c r="I2344" s="68"/>
      <c r="J2344" s="68"/>
      <c r="K2344" s="32"/>
      <c r="L2344" s="75"/>
      <c r="M2344" s="75"/>
      <c r="N2344" s="70"/>
      <c r="O2344" t="s">
        <v>1567</v>
      </c>
      <c r="P2344" s="76">
        <v>44958.927407407406</v>
      </c>
      <c r="Q2344" t="s">
        <v>1987</v>
      </c>
      <c r="U2344" s="77" t="str">
        <f>HYPERLINK("https://pbs.twimg.com/tweet_video_thumb/Fn6f4k8XoAAwtNG.jpg")</f>
        <v>https://pbs.twimg.com/tweet_video_thumb/Fn6f4k8XoAAwtNG.jpg</v>
      </c>
      <c r="V2344" s="77" t="str">
        <f>HYPERLINK("https://pbs.twimg.com/tweet_video_thumb/Fn6f4k8XoAAwtNG.jpg")</f>
        <v>https://pbs.twimg.com/tweet_video_thumb/Fn6f4k8XoAAwtNG.jpg</v>
      </c>
      <c r="W2344" s="76">
        <v>44958.927407407406</v>
      </c>
      <c r="X2344" s="80">
        <v>44958</v>
      </c>
      <c r="Y2344" s="78" t="s">
        <v>3044</v>
      </c>
      <c r="Z2344" s="77" t="str">
        <f>HYPERLINK("https://twitter.com/donrull/status/1620908720246124544")</f>
        <v>https://twitter.com/donrull/status/1620908720246124544</v>
      </c>
      <c r="AC2344" s="78" t="s">
        <v>4109</v>
      </c>
      <c r="AE2344" t="b">
        <v>0</v>
      </c>
      <c r="AF2344">
        <v>0</v>
      </c>
      <c r="AG2344" s="78" t="s">
        <v>4639</v>
      </c>
      <c r="AH2344" t="b">
        <v>0</v>
      </c>
      <c r="AI2344" t="s">
        <v>4829</v>
      </c>
      <c r="AK2344" s="78" t="s">
        <v>4640</v>
      </c>
      <c r="AL2344" t="b">
        <v>0</v>
      </c>
      <c r="AM2344">
        <v>0</v>
      </c>
      <c r="AN2344" s="78" t="s">
        <v>4640</v>
      </c>
      <c r="AO2344" s="78" t="s">
        <v>4850</v>
      </c>
      <c r="AP2344" t="b">
        <v>0</v>
      </c>
      <c r="AQ2344" s="78" t="s">
        <v>4109</v>
      </c>
      <c r="AR2344" t="s">
        <v>179</v>
      </c>
      <c r="AS2344">
        <v>0</v>
      </c>
      <c r="AT2344">
        <v>0</v>
      </c>
      <c r="AU2344" t="s">
        <v>4888</v>
      </c>
      <c r="AV2344" t="s">
        <v>4899</v>
      </c>
      <c r="AW2344" t="s">
        <v>4901</v>
      </c>
      <c r="AX2344" t="s">
        <v>4917</v>
      </c>
      <c r="AY2344" t="s">
        <v>4942</v>
      </c>
      <c r="AZ2344" t="s">
        <v>4967</v>
      </c>
      <c r="BA2344" t="s">
        <v>4976</v>
      </c>
      <c r="BB2344" s="77" t="str">
        <f>HYPERLINK("https://api.twitter.com/1.1/geo/id/4ec01c9dbc693497.json")</f>
        <v>https://api.twitter.com/1.1/geo/id/4ec01c9dbc693497.json</v>
      </c>
    </row>
    <row r="2345" spans="1:54" x14ac:dyDescent="0.45">
      <c r="A2345" s="62" t="s">
        <v>811</v>
      </c>
      <c r="B2345" s="62" t="s">
        <v>1200</v>
      </c>
      <c r="C2345" s="63"/>
      <c r="D2345" s="64"/>
      <c r="E2345" s="65"/>
      <c r="F2345" s="66"/>
      <c r="G2345" s="63"/>
      <c r="H2345" s="67"/>
      <c r="I2345" s="68"/>
      <c r="J2345" s="68"/>
      <c r="K2345" s="32"/>
      <c r="L2345" s="75"/>
      <c r="M2345" s="75"/>
      <c r="N2345" s="70"/>
      <c r="O2345" t="s">
        <v>1568</v>
      </c>
      <c r="P2345" s="76">
        <v>44958.947534722225</v>
      </c>
      <c r="Q2345" t="s">
        <v>1988</v>
      </c>
      <c r="U2345" s="77" t="str">
        <f>HYPERLINK("https://pbs.twimg.com/tweet_video_thumb/Fn6mhHpXwAEad-f.jpg")</f>
        <v>https://pbs.twimg.com/tweet_video_thumb/Fn6mhHpXwAEad-f.jpg</v>
      </c>
      <c r="V2345" s="77" t="str">
        <f>HYPERLINK("https://pbs.twimg.com/tweet_video_thumb/Fn6mhHpXwAEad-f.jpg")</f>
        <v>https://pbs.twimg.com/tweet_video_thumb/Fn6mhHpXwAEad-f.jpg</v>
      </c>
      <c r="W2345" s="76">
        <v>44958.947534722225</v>
      </c>
      <c r="X2345" s="80">
        <v>44958</v>
      </c>
      <c r="Y2345" s="78" t="s">
        <v>3045</v>
      </c>
      <c r="Z2345" s="77" t="str">
        <f>HYPERLINK("https://twitter.com/donrull/status/1620916013423546368")</f>
        <v>https://twitter.com/donrull/status/1620916013423546368</v>
      </c>
      <c r="AC2345" s="78" t="s">
        <v>4110</v>
      </c>
      <c r="AE2345" t="b">
        <v>0</v>
      </c>
      <c r="AF2345">
        <v>0</v>
      </c>
      <c r="AG2345" s="78" t="s">
        <v>4639</v>
      </c>
      <c r="AH2345" t="b">
        <v>0</v>
      </c>
      <c r="AI2345" t="s">
        <v>4829</v>
      </c>
      <c r="AK2345" s="78" t="s">
        <v>4640</v>
      </c>
      <c r="AL2345" t="b">
        <v>0</v>
      </c>
      <c r="AM2345">
        <v>0</v>
      </c>
      <c r="AN2345" s="78" t="s">
        <v>4640</v>
      </c>
      <c r="AO2345" s="78" t="s">
        <v>4850</v>
      </c>
      <c r="AP2345" t="b">
        <v>0</v>
      </c>
      <c r="AQ2345" s="78" t="s">
        <v>4110</v>
      </c>
      <c r="AR2345" t="s">
        <v>179</v>
      </c>
      <c r="AS2345">
        <v>0</v>
      </c>
      <c r="AT2345">
        <v>0</v>
      </c>
      <c r="AU2345" t="s">
        <v>4888</v>
      </c>
      <c r="AV2345" t="s">
        <v>4899</v>
      </c>
      <c r="AW2345" t="s">
        <v>4901</v>
      </c>
      <c r="AX2345" t="s">
        <v>4917</v>
      </c>
      <c r="AY2345" t="s">
        <v>4942</v>
      </c>
      <c r="AZ2345" t="s">
        <v>4967</v>
      </c>
      <c r="BA2345" t="s">
        <v>4976</v>
      </c>
      <c r="BB2345" s="77" t="str">
        <f>HYPERLINK("https://api.twitter.com/1.1/geo/id/4ec01c9dbc693497.json")</f>
        <v>https://api.twitter.com/1.1/geo/id/4ec01c9dbc693497.json</v>
      </c>
    </row>
    <row r="2346" spans="1:54" x14ac:dyDescent="0.45">
      <c r="A2346" s="62" t="s">
        <v>811</v>
      </c>
      <c r="B2346" s="62" t="s">
        <v>242</v>
      </c>
      <c r="C2346" s="63"/>
      <c r="D2346" s="64"/>
      <c r="E2346" s="65"/>
      <c r="F2346" s="66"/>
      <c r="G2346" s="63"/>
      <c r="H2346" s="67"/>
      <c r="I2346" s="68"/>
      <c r="J2346" s="68"/>
      <c r="K2346" s="32"/>
      <c r="L2346" s="75"/>
      <c r="M2346" s="75"/>
      <c r="N2346" s="70"/>
      <c r="O2346" t="s">
        <v>1567</v>
      </c>
      <c r="P2346" s="76">
        <v>44958.947534722225</v>
      </c>
      <c r="Q2346" t="s">
        <v>1988</v>
      </c>
      <c r="U2346" s="77" t="str">
        <f>HYPERLINK("https://pbs.twimg.com/tweet_video_thumb/Fn6mhHpXwAEad-f.jpg")</f>
        <v>https://pbs.twimg.com/tweet_video_thumb/Fn6mhHpXwAEad-f.jpg</v>
      </c>
      <c r="V2346" s="77" t="str">
        <f>HYPERLINK("https://pbs.twimg.com/tweet_video_thumb/Fn6mhHpXwAEad-f.jpg")</f>
        <v>https://pbs.twimg.com/tweet_video_thumb/Fn6mhHpXwAEad-f.jpg</v>
      </c>
      <c r="W2346" s="76">
        <v>44958.947534722225</v>
      </c>
      <c r="X2346" s="80">
        <v>44958</v>
      </c>
      <c r="Y2346" s="78" t="s">
        <v>3045</v>
      </c>
      <c r="Z2346" s="77" t="str">
        <f>HYPERLINK("https://twitter.com/donrull/status/1620916013423546368")</f>
        <v>https://twitter.com/donrull/status/1620916013423546368</v>
      </c>
      <c r="AC2346" s="78" t="s">
        <v>4110</v>
      </c>
      <c r="AE2346" t="b">
        <v>0</v>
      </c>
      <c r="AF2346">
        <v>0</v>
      </c>
      <c r="AG2346" s="78" t="s">
        <v>4639</v>
      </c>
      <c r="AH2346" t="b">
        <v>0</v>
      </c>
      <c r="AI2346" t="s">
        <v>4829</v>
      </c>
      <c r="AK2346" s="78" t="s">
        <v>4640</v>
      </c>
      <c r="AL2346" t="b">
        <v>0</v>
      </c>
      <c r="AM2346">
        <v>0</v>
      </c>
      <c r="AN2346" s="78" t="s">
        <v>4640</v>
      </c>
      <c r="AO2346" s="78" t="s">
        <v>4850</v>
      </c>
      <c r="AP2346" t="b">
        <v>0</v>
      </c>
      <c r="AQ2346" s="78" t="s">
        <v>4110</v>
      </c>
      <c r="AR2346" t="s">
        <v>179</v>
      </c>
      <c r="AS2346">
        <v>0</v>
      </c>
      <c r="AT2346">
        <v>0</v>
      </c>
      <c r="AU2346" t="s">
        <v>4888</v>
      </c>
      <c r="AV2346" t="s">
        <v>4899</v>
      </c>
      <c r="AW2346" t="s">
        <v>4901</v>
      </c>
      <c r="AX2346" t="s">
        <v>4917</v>
      </c>
      <c r="AY2346" t="s">
        <v>4942</v>
      </c>
      <c r="AZ2346" t="s">
        <v>4967</v>
      </c>
      <c r="BA2346" t="s">
        <v>4976</v>
      </c>
      <c r="BB2346" s="77" t="str">
        <f>HYPERLINK("https://api.twitter.com/1.1/geo/id/4ec01c9dbc693497.json")</f>
        <v>https://api.twitter.com/1.1/geo/id/4ec01c9dbc693497.json</v>
      </c>
    </row>
    <row r="2347" spans="1:54" x14ac:dyDescent="0.45">
      <c r="A2347" s="62" t="s">
        <v>812</v>
      </c>
      <c r="B2347" s="62" t="s">
        <v>242</v>
      </c>
      <c r="C2347" s="63"/>
      <c r="D2347" s="64"/>
      <c r="E2347" s="65"/>
      <c r="F2347" s="66"/>
      <c r="G2347" s="63"/>
      <c r="H2347" s="67"/>
      <c r="I2347" s="68"/>
      <c r="J2347" s="68"/>
      <c r="K2347" s="32"/>
      <c r="L2347" s="75"/>
      <c r="M2347" s="75"/>
      <c r="N2347" s="70"/>
      <c r="O2347" t="s">
        <v>1570</v>
      </c>
      <c r="P2347" s="76">
        <v>44958.991851851853</v>
      </c>
      <c r="Q2347" t="s">
        <v>1928</v>
      </c>
      <c r="U2347" s="77" t="str">
        <f>HYPERLINK("https://pbs.twimg.com/media/Fn6jrXTWAAEsrco.jpg")</f>
        <v>https://pbs.twimg.com/media/Fn6jrXTWAAEsrco.jpg</v>
      </c>
      <c r="V2347" s="77" t="str">
        <f>HYPERLINK("https://pbs.twimg.com/media/Fn6jrXTWAAEsrco.jpg")</f>
        <v>https://pbs.twimg.com/media/Fn6jrXTWAAEsrco.jpg</v>
      </c>
      <c r="W2347" s="76">
        <v>44958.991851851853</v>
      </c>
      <c r="X2347" s="80">
        <v>44958</v>
      </c>
      <c r="Y2347" s="78" t="s">
        <v>3051</v>
      </c>
      <c r="Z2347" s="77" t="str">
        <f>HYPERLINK("https://twitter.com/daddy_eh30/status/1620932074416009217")</f>
        <v>https://twitter.com/daddy_eh30/status/1620932074416009217</v>
      </c>
      <c r="AC2347" s="78" t="s">
        <v>4116</v>
      </c>
      <c r="AE2347" t="b">
        <v>0</v>
      </c>
      <c r="AF2347">
        <v>0</v>
      </c>
      <c r="AG2347" s="78" t="s">
        <v>4640</v>
      </c>
      <c r="AH2347" t="b">
        <v>0</v>
      </c>
      <c r="AI2347" t="s">
        <v>4829</v>
      </c>
      <c r="AK2347" s="78" t="s">
        <v>4640</v>
      </c>
      <c r="AL2347" t="b">
        <v>0</v>
      </c>
      <c r="AM2347">
        <v>8</v>
      </c>
      <c r="AN2347" s="78" t="s">
        <v>4420</v>
      </c>
      <c r="AO2347" s="78" t="s">
        <v>4849</v>
      </c>
      <c r="AP2347" t="b">
        <v>0</v>
      </c>
      <c r="AQ2347" s="78" t="s">
        <v>4420</v>
      </c>
      <c r="AR2347" t="s">
        <v>179</v>
      </c>
      <c r="AS2347">
        <v>0</v>
      </c>
      <c r="AT2347">
        <v>0</v>
      </c>
    </row>
    <row r="2348" spans="1:54" x14ac:dyDescent="0.45">
      <c r="A2348" s="62" t="s">
        <v>812</v>
      </c>
      <c r="B2348" s="62" t="s">
        <v>1046</v>
      </c>
      <c r="C2348" s="63"/>
      <c r="D2348" s="64"/>
      <c r="E2348" s="65"/>
      <c r="F2348" s="66"/>
      <c r="G2348" s="63"/>
      <c r="H2348" s="67"/>
      <c r="I2348" s="68"/>
      <c r="J2348" s="68"/>
      <c r="K2348" s="32"/>
      <c r="L2348" s="75"/>
      <c r="M2348" s="75"/>
      <c r="N2348" s="70"/>
      <c r="O2348" t="s">
        <v>1569</v>
      </c>
      <c r="P2348" s="76">
        <v>44958.991851851853</v>
      </c>
      <c r="Q2348" t="s">
        <v>1928</v>
      </c>
      <c r="U2348" s="77" t="str">
        <f>HYPERLINK("https://pbs.twimg.com/media/Fn6jrXTWAAEsrco.jpg")</f>
        <v>https://pbs.twimg.com/media/Fn6jrXTWAAEsrco.jpg</v>
      </c>
      <c r="V2348" s="77" t="str">
        <f>HYPERLINK("https://pbs.twimg.com/media/Fn6jrXTWAAEsrco.jpg")</f>
        <v>https://pbs.twimg.com/media/Fn6jrXTWAAEsrco.jpg</v>
      </c>
      <c r="W2348" s="76">
        <v>44958.991851851853</v>
      </c>
      <c r="X2348" s="80">
        <v>44958</v>
      </c>
      <c r="Y2348" s="78" t="s">
        <v>3051</v>
      </c>
      <c r="Z2348" s="77" t="str">
        <f>HYPERLINK("https://twitter.com/daddy_eh30/status/1620932074416009217")</f>
        <v>https://twitter.com/daddy_eh30/status/1620932074416009217</v>
      </c>
      <c r="AC2348" s="78" t="s">
        <v>4116</v>
      </c>
      <c r="AE2348" t="b">
        <v>0</v>
      </c>
      <c r="AF2348">
        <v>0</v>
      </c>
      <c r="AG2348" s="78" t="s">
        <v>4640</v>
      </c>
      <c r="AH2348" t="b">
        <v>0</v>
      </c>
      <c r="AI2348" t="s">
        <v>4829</v>
      </c>
      <c r="AK2348" s="78" t="s">
        <v>4640</v>
      </c>
      <c r="AL2348" t="b">
        <v>0</v>
      </c>
      <c r="AM2348">
        <v>8</v>
      </c>
      <c r="AN2348" s="78" t="s">
        <v>4420</v>
      </c>
      <c r="AO2348" s="78" t="s">
        <v>4849</v>
      </c>
      <c r="AP2348" t="b">
        <v>0</v>
      </c>
      <c r="AQ2348" s="78" t="s">
        <v>4420</v>
      </c>
      <c r="AR2348" t="s">
        <v>179</v>
      </c>
      <c r="AS2348">
        <v>0</v>
      </c>
      <c r="AT2348">
        <v>0</v>
      </c>
    </row>
    <row r="2349" spans="1:54" x14ac:dyDescent="0.45">
      <c r="A2349" s="62" t="s">
        <v>817</v>
      </c>
      <c r="B2349" s="62" t="s">
        <v>242</v>
      </c>
      <c r="C2349" s="63"/>
      <c r="D2349" s="64"/>
      <c r="E2349" s="65"/>
      <c r="F2349" s="66"/>
      <c r="G2349" s="63"/>
      <c r="H2349" s="67"/>
      <c r="I2349" s="68"/>
      <c r="J2349" s="68"/>
      <c r="K2349" s="32"/>
      <c r="L2349" s="75"/>
      <c r="M2349" s="75"/>
      <c r="N2349" s="70"/>
      <c r="O2349" t="s">
        <v>1568</v>
      </c>
      <c r="P2349" s="76">
        <v>44958.959120370368</v>
      </c>
      <c r="Q2349" t="s">
        <v>1999</v>
      </c>
      <c r="V2349" s="77" t="str">
        <f>HYPERLINK("https://pbs.twimg.com/profile_images/1556488580079312896/QjMaMzs2_normal.jpg")</f>
        <v>https://pbs.twimg.com/profile_images/1556488580079312896/QjMaMzs2_normal.jpg</v>
      </c>
      <c r="W2349" s="76">
        <v>44958.959120370368</v>
      </c>
      <c r="X2349" s="80">
        <v>44958</v>
      </c>
      <c r="Y2349" s="78" t="s">
        <v>3059</v>
      </c>
      <c r="Z2349" s="77" t="str">
        <f>HYPERLINK("https://twitter.com/tweakx/status/1620920212764901377")</f>
        <v>https://twitter.com/tweakx/status/1620920212764901377</v>
      </c>
      <c r="AC2349" s="78" t="s">
        <v>4124</v>
      </c>
      <c r="AD2349" s="78" t="s">
        <v>4126</v>
      </c>
      <c r="AE2349" t="b">
        <v>0</v>
      </c>
      <c r="AF2349">
        <v>0</v>
      </c>
      <c r="AG2349" s="78" t="s">
        <v>4754</v>
      </c>
      <c r="AH2349" t="b">
        <v>0</v>
      </c>
      <c r="AI2349" t="s">
        <v>4829</v>
      </c>
      <c r="AK2349" s="78" t="s">
        <v>4640</v>
      </c>
      <c r="AL2349" t="b">
        <v>0</v>
      </c>
      <c r="AM2349">
        <v>0</v>
      </c>
      <c r="AN2349" s="78" t="s">
        <v>4640</v>
      </c>
      <c r="AO2349" s="78" t="s">
        <v>4850</v>
      </c>
      <c r="AP2349" t="b">
        <v>0</v>
      </c>
      <c r="AQ2349" s="78" t="s">
        <v>4126</v>
      </c>
      <c r="AR2349" t="s">
        <v>179</v>
      </c>
      <c r="AS2349">
        <v>0</v>
      </c>
      <c r="AT2349">
        <v>0</v>
      </c>
    </row>
    <row r="2350" spans="1:54" x14ac:dyDescent="0.45">
      <c r="A2350" s="62" t="s">
        <v>817</v>
      </c>
      <c r="B2350" s="62" t="s">
        <v>1046</v>
      </c>
      <c r="C2350" s="63"/>
      <c r="D2350" s="64"/>
      <c r="E2350" s="65"/>
      <c r="F2350" s="66"/>
      <c r="G2350" s="63"/>
      <c r="H2350" s="67"/>
      <c r="I2350" s="68"/>
      <c r="J2350" s="68"/>
      <c r="K2350" s="32"/>
      <c r="L2350" s="75"/>
      <c r="M2350" s="75"/>
      <c r="N2350" s="70"/>
      <c r="O2350" t="s">
        <v>1568</v>
      </c>
      <c r="P2350" s="76">
        <v>44958.959120370368</v>
      </c>
      <c r="Q2350" t="s">
        <v>1999</v>
      </c>
      <c r="V2350" s="77" t="str">
        <f>HYPERLINK("https://pbs.twimg.com/profile_images/1556488580079312896/QjMaMzs2_normal.jpg")</f>
        <v>https://pbs.twimg.com/profile_images/1556488580079312896/QjMaMzs2_normal.jpg</v>
      </c>
      <c r="W2350" s="76">
        <v>44958.959120370368</v>
      </c>
      <c r="X2350" s="80">
        <v>44958</v>
      </c>
      <c r="Y2350" s="78" t="s">
        <v>3059</v>
      </c>
      <c r="Z2350" s="77" t="str">
        <f>HYPERLINK("https://twitter.com/tweakx/status/1620920212764901377")</f>
        <v>https://twitter.com/tweakx/status/1620920212764901377</v>
      </c>
      <c r="AC2350" s="78" t="s">
        <v>4124</v>
      </c>
      <c r="AD2350" s="78" t="s">
        <v>4126</v>
      </c>
      <c r="AE2350" t="b">
        <v>0</v>
      </c>
      <c r="AF2350">
        <v>0</v>
      </c>
      <c r="AG2350" s="78" t="s">
        <v>4754</v>
      </c>
      <c r="AH2350" t="b">
        <v>0</v>
      </c>
      <c r="AI2350" t="s">
        <v>4829</v>
      </c>
      <c r="AK2350" s="78" t="s">
        <v>4640</v>
      </c>
      <c r="AL2350" t="b">
        <v>0</v>
      </c>
      <c r="AM2350">
        <v>0</v>
      </c>
      <c r="AN2350" s="78" t="s">
        <v>4640</v>
      </c>
      <c r="AO2350" s="78" t="s">
        <v>4850</v>
      </c>
      <c r="AP2350" t="b">
        <v>0</v>
      </c>
      <c r="AQ2350" s="78" t="s">
        <v>4126</v>
      </c>
      <c r="AR2350" t="s">
        <v>179</v>
      </c>
      <c r="AS2350">
        <v>0</v>
      </c>
      <c r="AT2350">
        <v>0</v>
      </c>
    </row>
    <row r="2351" spans="1:54" x14ac:dyDescent="0.45">
      <c r="A2351" s="62" t="s">
        <v>817</v>
      </c>
      <c r="B2351" s="62" t="s">
        <v>818</v>
      </c>
      <c r="C2351" s="63"/>
      <c r="D2351" s="64"/>
      <c r="E2351" s="65"/>
      <c r="F2351" s="66"/>
      <c r="G2351" s="63"/>
      <c r="H2351" s="67"/>
      <c r="I2351" s="68"/>
      <c r="J2351" s="68"/>
      <c r="K2351" s="32"/>
      <c r="L2351" s="75"/>
      <c r="M2351" s="75"/>
      <c r="N2351" s="70"/>
      <c r="O2351" t="s">
        <v>1567</v>
      </c>
      <c r="P2351" s="76">
        <v>44958.959120370368</v>
      </c>
      <c r="Q2351" t="s">
        <v>1999</v>
      </c>
      <c r="V2351" s="77" t="str">
        <f>HYPERLINK("https://pbs.twimg.com/profile_images/1556488580079312896/QjMaMzs2_normal.jpg")</f>
        <v>https://pbs.twimg.com/profile_images/1556488580079312896/QjMaMzs2_normal.jpg</v>
      </c>
      <c r="W2351" s="76">
        <v>44958.959120370368</v>
      </c>
      <c r="X2351" s="80">
        <v>44958</v>
      </c>
      <c r="Y2351" s="78" t="s">
        <v>3059</v>
      </c>
      <c r="Z2351" s="77" t="str">
        <f>HYPERLINK("https://twitter.com/tweakx/status/1620920212764901377")</f>
        <v>https://twitter.com/tweakx/status/1620920212764901377</v>
      </c>
      <c r="AC2351" s="78" t="s">
        <v>4124</v>
      </c>
      <c r="AD2351" s="78" t="s">
        <v>4126</v>
      </c>
      <c r="AE2351" t="b">
        <v>0</v>
      </c>
      <c r="AF2351">
        <v>0</v>
      </c>
      <c r="AG2351" s="78" t="s">
        <v>4754</v>
      </c>
      <c r="AH2351" t="b">
        <v>0</v>
      </c>
      <c r="AI2351" t="s">
        <v>4829</v>
      </c>
      <c r="AK2351" s="78" t="s">
        <v>4640</v>
      </c>
      <c r="AL2351" t="b">
        <v>0</v>
      </c>
      <c r="AM2351">
        <v>0</v>
      </c>
      <c r="AN2351" s="78" t="s">
        <v>4640</v>
      </c>
      <c r="AO2351" s="78" t="s">
        <v>4850</v>
      </c>
      <c r="AP2351" t="b">
        <v>0</v>
      </c>
      <c r="AQ2351" s="78" t="s">
        <v>4126</v>
      </c>
      <c r="AR2351" t="s">
        <v>179</v>
      </c>
      <c r="AS2351">
        <v>0</v>
      </c>
      <c r="AT2351">
        <v>0</v>
      </c>
    </row>
    <row r="2352" spans="1:54" x14ac:dyDescent="0.45">
      <c r="A2352" s="62" t="s">
        <v>818</v>
      </c>
      <c r="B2352" s="62" t="s">
        <v>817</v>
      </c>
      <c r="C2352" s="63"/>
      <c r="D2352" s="64"/>
      <c r="E2352" s="65"/>
      <c r="F2352" s="66"/>
      <c r="G2352" s="63"/>
      <c r="H2352" s="67"/>
      <c r="I2352" s="68"/>
      <c r="J2352" s="68"/>
      <c r="K2352" s="32"/>
      <c r="L2352" s="75"/>
      <c r="M2352" s="75"/>
      <c r="N2352" s="70"/>
      <c r="O2352" t="s">
        <v>1567</v>
      </c>
      <c r="P2352" s="76">
        <v>44958.998113425929</v>
      </c>
      <c r="Q2352" t="s">
        <v>2000</v>
      </c>
      <c r="V2352" s="77" t="str">
        <f>HYPERLINK("https://pbs.twimg.com/profile_images/1511853384915058691/wnGOBV0P_normal.jpg")</f>
        <v>https://pbs.twimg.com/profile_images/1511853384915058691/wnGOBV0P_normal.jpg</v>
      </c>
      <c r="W2352" s="76">
        <v>44958.998113425929</v>
      </c>
      <c r="X2352" s="80">
        <v>44958</v>
      </c>
      <c r="Y2352" s="78" t="s">
        <v>3060</v>
      </c>
      <c r="Z2352" s="77" t="str">
        <f>HYPERLINK("https://twitter.com/scrub__zero/status/1620934342615891968")</f>
        <v>https://twitter.com/scrub__zero/status/1620934342615891968</v>
      </c>
      <c r="AC2352" s="78" t="s">
        <v>4125</v>
      </c>
      <c r="AD2352" s="78" t="s">
        <v>4124</v>
      </c>
      <c r="AE2352" t="b">
        <v>0</v>
      </c>
      <c r="AF2352">
        <v>0</v>
      </c>
      <c r="AG2352" s="78" t="s">
        <v>4755</v>
      </c>
      <c r="AH2352" t="b">
        <v>0</v>
      </c>
      <c r="AI2352" t="s">
        <v>4829</v>
      </c>
      <c r="AK2352" s="78" t="s">
        <v>4640</v>
      </c>
      <c r="AL2352" t="b">
        <v>0</v>
      </c>
      <c r="AM2352">
        <v>0</v>
      </c>
      <c r="AN2352" s="78" t="s">
        <v>4640</v>
      </c>
      <c r="AO2352" s="78" t="s">
        <v>4851</v>
      </c>
      <c r="AP2352" t="b">
        <v>0</v>
      </c>
      <c r="AQ2352" s="78" t="s">
        <v>4124</v>
      </c>
      <c r="AR2352" t="s">
        <v>179</v>
      </c>
      <c r="AS2352">
        <v>0</v>
      </c>
      <c r="AT2352">
        <v>0</v>
      </c>
    </row>
    <row r="2353" spans="1:46" x14ac:dyDescent="0.45">
      <c r="A2353" s="62" t="s">
        <v>818</v>
      </c>
      <c r="B2353" s="62" t="s">
        <v>242</v>
      </c>
      <c r="C2353" s="63"/>
      <c r="D2353" s="64"/>
      <c r="E2353" s="65"/>
      <c r="F2353" s="66"/>
      <c r="G2353" s="63"/>
      <c r="H2353" s="67"/>
      <c r="I2353" s="68"/>
      <c r="J2353" s="68"/>
      <c r="K2353" s="32"/>
      <c r="L2353" s="75"/>
      <c r="M2353" s="75"/>
      <c r="N2353" s="70"/>
      <c r="O2353" t="s">
        <v>1568</v>
      </c>
      <c r="P2353" s="76">
        <v>44958.998113425929</v>
      </c>
      <c r="Q2353" t="s">
        <v>2000</v>
      </c>
      <c r="V2353" s="77" t="str">
        <f>HYPERLINK("https://pbs.twimg.com/profile_images/1511853384915058691/wnGOBV0P_normal.jpg")</f>
        <v>https://pbs.twimg.com/profile_images/1511853384915058691/wnGOBV0P_normal.jpg</v>
      </c>
      <c r="W2353" s="76">
        <v>44958.998113425929</v>
      </c>
      <c r="X2353" s="80">
        <v>44958</v>
      </c>
      <c r="Y2353" s="78" t="s">
        <v>3060</v>
      </c>
      <c r="Z2353" s="77" t="str">
        <f>HYPERLINK("https://twitter.com/scrub__zero/status/1620934342615891968")</f>
        <v>https://twitter.com/scrub__zero/status/1620934342615891968</v>
      </c>
      <c r="AC2353" s="78" t="s">
        <v>4125</v>
      </c>
      <c r="AD2353" s="78" t="s">
        <v>4124</v>
      </c>
      <c r="AE2353" t="b">
        <v>0</v>
      </c>
      <c r="AF2353">
        <v>0</v>
      </c>
      <c r="AG2353" s="78" t="s">
        <v>4755</v>
      </c>
      <c r="AH2353" t="b">
        <v>0</v>
      </c>
      <c r="AI2353" t="s">
        <v>4829</v>
      </c>
      <c r="AK2353" s="78" t="s">
        <v>4640</v>
      </c>
      <c r="AL2353" t="b">
        <v>0</v>
      </c>
      <c r="AM2353">
        <v>0</v>
      </c>
      <c r="AN2353" s="78" t="s">
        <v>4640</v>
      </c>
      <c r="AO2353" s="78" t="s">
        <v>4851</v>
      </c>
      <c r="AP2353" t="b">
        <v>0</v>
      </c>
      <c r="AQ2353" s="78" t="s">
        <v>4124</v>
      </c>
      <c r="AR2353" t="s">
        <v>179</v>
      </c>
      <c r="AS2353">
        <v>0</v>
      </c>
      <c r="AT2353">
        <v>0</v>
      </c>
    </row>
    <row r="2354" spans="1:46" x14ac:dyDescent="0.45">
      <c r="A2354" s="62" t="s">
        <v>818</v>
      </c>
      <c r="B2354" s="62" t="s">
        <v>1046</v>
      </c>
      <c r="C2354" s="63"/>
      <c r="D2354" s="64"/>
      <c r="E2354" s="65"/>
      <c r="F2354" s="66"/>
      <c r="G2354" s="63"/>
      <c r="H2354" s="67"/>
      <c r="I2354" s="68"/>
      <c r="J2354" s="68"/>
      <c r="K2354" s="32"/>
      <c r="L2354" s="75"/>
      <c r="M2354" s="75"/>
      <c r="N2354" s="70"/>
      <c r="O2354" t="s">
        <v>1568</v>
      </c>
      <c r="P2354" s="76">
        <v>44958.998113425929</v>
      </c>
      <c r="Q2354" t="s">
        <v>2000</v>
      </c>
      <c r="V2354" s="77" t="str">
        <f>HYPERLINK("https://pbs.twimg.com/profile_images/1511853384915058691/wnGOBV0P_normal.jpg")</f>
        <v>https://pbs.twimg.com/profile_images/1511853384915058691/wnGOBV0P_normal.jpg</v>
      </c>
      <c r="W2354" s="76">
        <v>44958.998113425929</v>
      </c>
      <c r="X2354" s="80">
        <v>44958</v>
      </c>
      <c r="Y2354" s="78" t="s">
        <v>3060</v>
      </c>
      <c r="Z2354" s="77" t="str">
        <f>HYPERLINK("https://twitter.com/scrub__zero/status/1620934342615891968")</f>
        <v>https://twitter.com/scrub__zero/status/1620934342615891968</v>
      </c>
      <c r="AC2354" s="78" t="s">
        <v>4125</v>
      </c>
      <c r="AD2354" s="78" t="s">
        <v>4124</v>
      </c>
      <c r="AE2354" t="b">
        <v>0</v>
      </c>
      <c r="AF2354">
        <v>0</v>
      </c>
      <c r="AG2354" s="78" t="s">
        <v>4755</v>
      </c>
      <c r="AH2354" t="b">
        <v>0</v>
      </c>
      <c r="AI2354" t="s">
        <v>4829</v>
      </c>
      <c r="AK2354" s="78" t="s">
        <v>4640</v>
      </c>
      <c r="AL2354" t="b">
        <v>0</v>
      </c>
      <c r="AM2354">
        <v>0</v>
      </c>
      <c r="AN2354" s="78" t="s">
        <v>4640</v>
      </c>
      <c r="AO2354" s="78" t="s">
        <v>4851</v>
      </c>
      <c r="AP2354" t="b">
        <v>0</v>
      </c>
      <c r="AQ2354" s="78" t="s">
        <v>4124</v>
      </c>
      <c r="AR2354" t="s">
        <v>179</v>
      </c>
      <c r="AS2354">
        <v>0</v>
      </c>
      <c r="AT2354">
        <v>0</v>
      </c>
    </row>
    <row r="2355" spans="1:46" x14ac:dyDescent="0.45">
      <c r="A2355" s="62" t="s">
        <v>825</v>
      </c>
      <c r="B2355" s="62" t="s">
        <v>1391</v>
      </c>
      <c r="C2355" s="63"/>
      <c r="D2355" s="64"/>
      <c r="E2355" s="65"/>
      <c r="F2355" s="66"/>
      <c r="G2355" s="63"/>
      <c r="H2355" s="67"/>
      <c r="I2355" s="68"/>
      <c r="J2355" s="68"/>
      <c r="K2355" s="32"/>
      <c r="L2355" s="75"/>
      <c r="M2355" s="75"/>
      <c r="N2355" s="70"/>
      <c r="O2355" t="s">
        <v>1568</v>
      </c>
      <c r="P2355" s="76">
        <v>44959.00105324074</v>
      </c>
      <c r="Q2355" t="s">
        <v>2007</v>
      </c>
      <c r="V2355" s="77" t="str">
        <f>HYPERLINK("https://pbs.twimg.com/profile_images/1226624331280719873/rY32jdgU_normal.jpg")</f>
        <v>https://pbs.twimg.com/profile_images/1226624331280719873/rY32jdgU_normal.jpg</v>
      </c>
      <c r="W2355" s="76">
        <v>44959.00105324074</v>
      </c>
      <c r="X2355" s="80">
        <v>44959</v>
      </c>
      <c r="Y2355" s="78" t="s">
        <v>3073</v>
      </c>
      <c r="Z2355" s="77" t="str">
        <f>HYPERLINK("https://twitter.com/drthomasfalls/status/1620935409705586689")</f>
        <v>https://twitter.com/drthomasfalls/status/1620935409705586689</v>
      </c>
      <c r="AC2355" s="78" t="s">
        <v>4138</v>
      </c>
      <c r="AE2355" t="b">
        <v>0</v>
      </c>
      <c r="AF2355">
        <v>0</v>
      </c>
      <c r="AG2355" s="78" t="s">
        <v>4640</v>
      </c>
      <c r="AH2355" t="b">
        <v>0</v>
      </c>
      <c r="AI2355" t="s">
        <v>4829</v>
      </c>
      <c r="AK2355" s="78" t="s">
        <v>4640</v>
      </c>
      <c r="AL2355" t="b">
        <v>0</v>
      </c>
      <c r="AM2355">
        <v>0</v>
      </c>
      <c r="AN2355" s="78" t="s">
        <v>4640</v>
      </c>
      <c r="AO2355" s="78" t="s">
        <v>4849</v>
      </c>
      <c r="AP2355" t="b">
        <v>0</v>
      </c>
      <c r="AQ2355" s="78" t="s">
        <v>4138</v>
      </c>
      <c r="AR2355" t="s">
        <v>179</v>
      </c>
      <c r="AS2355">
        <v>0</v>
      </c>
      <c r="AT2355">
        <v>0</v>
      </c>
    </row>
    <row r="2356" spans="1:46" x14ac:dyDescent="0.45">
      <c r="A2356" s="62" t="s">
        <v>825</v>
      </c>
      <c r="B2356" s="62" t="s">
        <v>1392</v>
      </c>
      <c r="C2356" s="63"/>
      <c r="D2356" s="64"/>
      <c r="E2356" s="65"/>
      <c r="F2356" s="66"/>
      <c r="G2356" s="63"/>
      <c r="H2356" s="67"/>
      <c r="I2356" s="68"/>
      <c r="J2356" s="68"/>
      <c r="K2356" s="32"/>
      <c r="L2356" s="75"/>
      <c r="M2356" s="75"/>
      <c r="N2356" s="70"/>
      <c r="O2356" t="s">
        <v>1568</v>
      </c>
      <c r="P2356" s="76">
        <v>44959.00105324074</v>
      </c>
      <c r="Q2356" t="s">
        <v>2007</v>
      </c>
      <c r="V2356" s="77" t="str">
        <f>HYPERLINK("https://pbs.twimg.com/profile_images/1226624331280719873/rY32jdgU_normal.jpg")</f>
        <v>https://pbs.twimg.com/profile_images/1226624331280719873/rY32jdgU_normal.jpg</v>
      </c>
      <c r="W2356" s="76">
        <v>44959.00105324074</v>
      </c>
      <c r="X2356" s="80">
        <v>44959</v>
      </c>
      <c r="Y2356" s="78" t="s">
        <v>3073</v>
      </c>
      <c r="Z2356" s="77" t="str">
        <f>HYPERLINK("https://twitter.com/drthomasfalls/status/1620935409705586689")</f>
        <v>https://twitter.com/drthomasfalls/status/1620935409705586689</v>
      </c>
      <c r="AC2356" s="78" t="s">
        <v>4138</v>
      </c>
      <c r="AE2356" t="b">
        <v>0</v>
      </c>
      <c r="AF2356">
        <v>0</v>
      </c>
      <c r="AG2356" s="78" t="s">
        <v>4640</v>
      </c>
      <c r="AH2356" t="b">
        <v>0</v>
      </c>
      <c r="AI2356" t="s">
        <v>4829</v>
      </c>
      <c r="AK2356" s="78" t="s">
        <v>4640</v>
      </c>
      <c r="AL2356" t="b">
        <v>0</v>
      </c>
      <c r="AM2356">
        <v>0</v>
      </c>
      <c r="AN2356" s="78" t="s">
        <v>4640</v>
      </c>
      <c r="AO2356" s="78" t="s">
        <v>4849</v>
      </c>
      <c r="AP2356" t="b">
        <v>0</v>
      </c>
      <c r="AQ2356" s="78" t="s">
        <v>4138</v>
      </c>
      <c r="AR2356" t="s">
        <v>179</v>
      </c>
      <c r="AS2356">
        <v>0</v>
      </c>
      <c r="AT2356">
        <v>0</v>
      </c>
    </row>
    <row r="2357" spans="1:46" x14ac:dyDescent="0.45">
      <c r="A2357" s="62" t="s">
        <v>825</v>
      </c>
      <c r="B2357" s="62" t="s">
        <v>1393</v>
      </c>
      <c r="C2357" s="63"/>
      <c r="D2357" s="64"/>
      <c r="E2357" s="65"/>
      <c r="F2357" s="66"/>
      <c r="G2357" s="63"/>
      <c r="H2357" s="67"/>
      <c r="I2357" s="68"/>
      <c r="J2357" s="68"/>
      <c r="K2357" s="32"/>
      <c r="L2357" s="75"/>
      <c r="M2357" s="75"/>
      <c r="N2357" s="70"/>
      <c r="O2357" t="s">
        <v>1568</v>
      </c>
      <c r="P2357" s="76">
        <v>44959.00105324074</v>
      </c>
      <c r="Q2357" t="s">
        <v>2007</v>
      </c>
      <c r="V2357" s="77" t="str">
        <f>HYPERLINK("https://pbs.twimg.com/profile_images/1226624331280719873/rY32jdgU_normal.jpg")</f>
        <v>https://pbs.twimg.com/profile_images/1226624331280719873/rY32jdgU_normal.jpg</v>
      </c>
      <c r="W2357" s="76">
        <v>44959.00105324074</v>
      </c>
      <c r="X2357" s="80">
        <v>44959</v>
      </c>
      <c r="Y2357" s="78" t="s">
        <v>3073</v>
      </c>
      <c r="Z2357" s="77" t="str">
        <f>HYPERLINK("https://twitter.com/drthomasfalls/status/1620935409705586689")</f>
        <v>https://twitter.com/drthomasfalls/status/1620935409705586689</v>
      </c>
      <c r="AC2357" s="78" t="s">
        <v>4138</v>
      </c>
      <c r="AE2357" t="b">
        <v>0</v>
      </c>
      <c r="AF2357">
        <v>0</v>
      </c>
      <c r="AG2357" s="78" t="s">
        <v>4640</v>
      </c>
      <c r="AH2357" t="b">
        <v>0</v>
      </c>
      <c r="AI2357" t="s">
        <v>4829</v>
      </c>
      <c r="AK2357" s="78" t="s">
        <v>4640</v>
      </c>
      <c r="AL2357" t="b">
        <v>0</v>
      </c>
      <c r="AM2357">
        <v>0</v>
      </c>
      <c r="AN2357" s="78" t="s">
        <v>4640</v>
      </c>
      <c r="AO2357" s="78" t="s">
        <v>4849</v>
      </c>
      <c r="AP2357" t="b">
        <v>0</v>
      </c>
      <c r="AQ2357" s="78" t="s">
        <v>4138</v>
      </c>
      <c r="AR2357" t="s">
        <v>179</v>
      </c>
      <c r="AS2357">
        <v>0</v>
      </c>
      <c r="AT2357">
        <v>0</v>
      </c>
    </row>
    <row r="2358" spans="1:46" x14ac:dyDescent="0.45">
      <c r="A2358" s="62" t="s">
        <v>825</v>
      </c>
      <c r="B2358" s="62" t="s">
        <v>1163</v>
      </c>
      <c r="C2358" s="63"/>
      <c r="D2358" s="64"/>
      <c r="E2358" s="65"/>
      <c r="F2358" s="66"/>
      <c r="G2358" s="63"/>
      <c r="H2358" s="67"/>
      <c r="I2358" s="68"/>
      <c r="J2358" s="68"/>
      <c r="K2358" s="32"/>
      <c r="L2358" s="75"/>
      <c r="M2358" s="75"/>
      <c r="N2358" s="70"/>
      <c r="O2358" t="s">
        <v>1568</v>
      </c>
      <c r="P2358" s="76">
        <v>44959.00105324074</v>
      </c>
      <c r="Q2358" t="s">
        <v>2007</v>
      </c>
      <c r="V2358" s="77" t="str">
        <f>HYPERLINK("https://pbs.twimg.com/profile_images/1226624331280719873/rY32jdgU_normal.jpg")</f>
        <v>https://pbs.twimg.com/profile_images/1226624331280719873/rY32jdgU_normal.jpg</v>
      </c>
      <c r="W2358" s="76">
        <v>44959.00105324074</v>
      </c>
      <c r="X2358" s="80">
        <v>44959</v>
      </c>
      <c r="Y2358" s="78" t="s">
        <v>3073</v>
      </c>
      <c r="Z2358" s="77" t="str">
        <f>HYPERLINK("https://twitter.com/drthomasfalls/status/1620935409705586689")</f>
        <v>https://twitter.com/drthomasfalls/status/1620935409705586689</v>
      </c>
      <c r="AC2358" s="78" t="s">
        <v>4138</v>
      </c>
      <c r="AE2358" t="b">
        <v>0</v>
      </c>
      <c r="AF2358">
        <v>0</v>
      </c>
      <c r="AG2358" s="78" t="s">
        <v>4640</v>
      </c>
      <c r="AH2358" t="b">
        <v>0</v>
      </c>
      <c r="AI2358" t="s">
        <v>4829</v>
      </c>
      <c r="AK2358" s="78" t="s">
        <v>4640</v>
      </c>
      <c r="AL2358" t="b">
        <v>0</v>
      </c>
      <c r="AM2358">
        <v>0</v>
      </c>
      <c r="AN2358" s="78" t="s">
        <v>4640</v>
      </c>
      <c r="AO2358" s="78" t="s">
        <v>4849</v>
      </c>
      <c r="AP2358" t="b">
        <v>0</v>
      </c>
      <c r="AQ2358" s="78" t="s">
        <v>4138</v>
      </c>
      <c r="AR2358" t="s">
        <v>179</v>
      </c>
      <c r="AS2358">
        <v>0</v>
      </c>
      <c r="AT2358">
        <v>0</v>
      </c>
    </row>
    <row r="2359" spans="1:46" x14ac:dyDescent="0.45">
      <c r="A2359" s="62" t="s">
        <v>825</v>
      </c>
      <c r="B2359" s="62" t="s">
        <v>242</v>
      </c>
      <c r="C2359" s="63"/>
      <c r="D2359" s="64"/>
      <c r="E2359" s="65"/>
      <c r="F2359" s="66"/>
      <c r="G2359" s="63"/>
      <c r="H2359" s="67"/>
      <c r="I2359" s="68"/>
      <c r="J2359" s="68"/>
      <c r="K2359" s="32"/>
      <c r="L2359" s="75"/>
      <c r="M2359" s="75"/>
      <c r="N2359" s="70"/>
      <c r="O2359" t="s">
        <v>1568</v>
      </c>
      <c r="P2359" s="76">
        <v>44959.00105324074</v>
      </c>
      <c r="Q2359" t="s">
        <v>2007</v>
      </c>
      <c r="V2359" s="77" t="str">
        <f>HYPERLINK("https://pbs.twimg.com/profile_images/1226624331280719873/rY32jdgU_normal.jpg")</f>
        <v>https://pbs.twimg.com/profile_images/1226624331280719873/rY32jdgU_normal.jpg</v>
      </c>
      <c r="W2359" s="76">
        <v>44959.00105324074</v>
      </c>
      <c r="X2359" s="80">
        <v>44959</v>
      </c>
      <c r="Y2359" s="78" t="s">
        <v>3073</v>
      </c>
      <c r="Z2359" s="77" t="str">
        <f>HYPERLINK("https://twitter.com/drthomasfalls/status/1620935409705586689")</f>
        <v>https://twitter.com/drthomasfalls/status/1620935409705586689</v>
      </c>
      <c r="AC2359" s="78" t="s">
        <v>4138</v>
      </c>
      <c r="AE2359" t="b">
        <v>0</v>
      </c>
      <c r="AF2359">
        <v>0</v>
      </c>
      <c r="AG2359" s="78" t="s">
        <v>4640</v>
      </c>
      <c r="AH2359" t="b">
        <v>0</v>
      </c>
      <c r="AI2359" t="s">
        <v>4829</v>
      </c>
      <c r="AK2359" s="78" t="s">
        <v>4640</v>
      </c>
      <c r="AL2359" t="b">
        <v>0</v>
      </c>
      <c r="AM2359">
        <v>0</v>
      </c>
      <c r="AN2359" s="78" t="s">
        <v>4640</v>
      </c>
      <c r="AO2359" s="78" t="s">
        <v>4849</v>
      </c>
      <c r="AP2359" t="b">
        <v>0</v>
      </c>
      <c r="AQ2359" s="78" t="s">
        <v>4138</v>
      </c>
      <c r="AR2359" t="s">
        <v>179</v>
      </c>
      <c r="AS2359">
        <v>0</v>
      </c>
      <c r="AT2359">
        <v>0</v>
      </c>
    </row>
    <row r="2360" spans="1:46" x14ac:dyDescent="0.45">
      <c r="A2360" s="62" t="s">
        <v>827</v>
      </c>
      <c r="B2360" s="62" t="s">
        <v>1394</v>
      </c>
      <c r="C2360" s="63"/>
      <c r="D2360" s="64"/>
      <c r="E2360" s="65"/>
      <c r="F2360" s="66"/>
      <c r="G2360" s="63"/>
      <c r="H2360" s="67"/>
      <c r="I2360" s="68"/>
      <c r="J2360" s="68"/>
      <c r="K2360" s="32"/>
      <c r="L2360" s="75"/>
      <c r="M2360" s="75"/>
      <c r="N2360" s="70"/>
      <c r="O2360" t="s">
        <v>1568</v>
      </c>
      <c r="P2360" s="76">
        <v>44959.004016203704</v>
      </c>
      <c r="Q2360" t="s">
        <v>2009</v>
      </c>
      <c r="V2360" s="77" t="str">
        <f>HYPERLINK("https://pbs.twimg.com/profile_images/1096448132408373250/JcnynC5D_normal.jpg")</f>
        <v>https://pbs.twimg.com/profile_images/1096448132408373250/JcnynC5D_normal.jpg</v>
      </c>
      <c r="W2360" s="76">
        <v>44959.004016203704</v>
      </c>
      <c r="X2360" s="80">
        <v>44959</v>
      </c>
      <c r="Y2360" s="78" t="s">
        <v>3075</v>
      </c>
      <c r="Z2360" s="77" t="str">
        <f>HYPERLINK("https://twitter.com/tedbowe/status/1620936482071482369")</f>
        <v>https://twitter.com/tedbowe/status/1620936482071482369</v>
      </c>
      <c r="AC2360" s="78" t="s">
        <v>4140</v>
      </c>
      <c r="AD2360" s="78" t="s">
        <v>4584</v>
      </c>
      <c r="AE2360" t="b">
        <v>0</v>
      </c>
      <c r="AF2360">
        <v>0</v>
      </c>
      <c r="AG2360" s="78" t="s">
        <v>4756</v>
      </c>
      <c r="AH2360" t="b">
        <v>0</v>
      </c>
      <c r="AI2360" t="s">
        <v>4829</v>
      </c>
      <c r="AK2360" s="78" t="s">
        <v>4640</v>
      </c>
      <c r="AL2360" t="b">
        <v>0</v>
      </c>
      <c r="AM2360">
        <v>0</v>
      </c>
      <c r="AN2360" s="78" t="s">
        <v>4640</v>
      </c>
      <c r="AO2360" s="78" t="s">
        <v>4849</v>
      </c>
      <c r="AP2360" t="b">
        <v>0</v>
      </c>
      <c r="AQ2360" s="78" t="s">
        <v>4584</v>
      </c>
      <c r="AR2360" t="s">
        <v>179</v>
      </c>
      <c r="AS2360">
        <v>0</v>
      </c>
      <c r="AT2360">
        <v>0</v>
      </c>
    </row>
    <row r="2361" spans="1:46" x14ac:dyDescent="0.45">
      <c r="A2361" s="62" t="s">
        <v>827</v>
      </c>
      <c r="B2361" s="62" t="s">
        <v>1395</v>
      </c>
      <c r="C2361" s="63"/>
      <c r="D2361" s="64"/>
      <c r="E2361" s="65"/>
      <c r="F2361" s="66"/>
      <c r="G2361" s="63"/>
      <c r="H2361" s="67"/>
      <c r="I2361" s="68"/>
      <c r="J2361" s="68"/>
      <c r="K2361" s="32"/>
      <c r="L2361" s="75"/>
      <c r="M2361" s="75"/>
      <c r="N2361" s="70"/>
      <c r="O2361" t="s">
        <v>1568</v>
      </c>
      <c r="P2361" s="76">
        <v>44959.004016203704</v>
      </c>
      <c r="Q2361" t="s">
        <v>2009</v>
      </c>
      <c r="V2361" s="77" t="str">
        <f>HYPERLINK("https://pbs.twimg.com/profile_images/1096448132408373250/JcnynC5D_normal.jpg")</f>
        <v>https://pbs.twimg.com/profile_images/1096448132408373250/JcnynC5D_normal.jpg</v>
      </c>
      <c r="W2361" s="76">
        <v>44959.004016203704</v>
      </c>
      <c r="X2361" s="80">
        <v>44959</v>
      </c>
      <c r="Y2361" s="78" t="s">
        <v>3075</v>
      </c>
      <c r="Z2361" s="77" t="str">
        <f>HYPERLINK("https://twitter.com/tedbowe/status/1620936482071482369")</f>
        <v>https://twitter.com/tedbowe/status/1620936482071482369</v>
      </c>
      <c r="AC2361" s="78" t="s">
        <v>4140</v>
      </c>
      <c r="AD2361" s="78" t="s">
        <v>4584</v>
      </c>
      <c r="AE2361" t="b">
        <v>0</v>
      </c>
      <c r="AF2361">
        <v>0</v>
      </c>
      <c r="AG2361" s="78" t="s">
        <v>4756</v>
      </c>
      <c r="AH2361" t="b">
        <v>0</v>
      </c>
      <c r="AI2361" t="s">
        <v>4829</v>
      </c>
      <c r="AK2361" s="78" t="s">
        <v>4640</v>
      </c>
      <c r="AL2361" t="b">
        <v>0</v>
      </c>
      <c r="AM2361">
        <v>0</v>
      </c>
      <c r="AN2361" s="78" t="s">
        <v>4640</v>
      </c>
      <c r="AO2361" s="78" t="s">
        <v>4849</v>
      </c>
      <c r="AP2361" t="b">
        <v>0</v>
      </c>
      <c r="AQ2361" s="78" t="s">
        <v>4584</v>
      </c>
      <c r="AR2361" t="s">
        <v>179</v>
      </c>
      <c r="AS2361">
        <v>0</v>
      </c>
      <c r="AT2361">
        <v>0</v>
      </c>
    </row>
    <row r="2362" spans="1:46" x14ac:dyDescent="0.45">
      <c r="A2362" s="62" t="s">
        <v>827</v>
      </c>
      <c r="B2362" s="62" t="s">
        <v>1396</v>
      </c>
      <c r="C2362" s="63"/>
      <c r="D2362" s="64"/>
      <c r="E2362" s="65"/>
      <c r="F2362" s="66"/>
      <c r="G2362" s="63"/>
      <c r="H2362" s="67"/>
      <c r="I2362" s="68"/>
      <c r="J2362" s="68"/>
      <c r="K2362" s="32"/>
      <c r="L2362" s="75"/>
      <c r="M2362" s="75"/>
      <c r="N2362" s="70"/>
      <c r="O2362" t="s">
        <v>1568</v>
      </c>
      <c r="P2362" s="76">
        <v>44959.004016203704</v>
      </c>
      <c r="Q2362" t="s">
        <v>2009</v>
      </c>
      <c r="V2362" s="77" t="str">
        <f>HYPERLINK("https://pbs.twimg.com/profile_images/1096448132408373250/JcnynC5D_normal.jpg")</f>
        <v>https://pbs.twimg.com/profile_images/1096448132408373250/JcnynC5D_normal.jpg</v>
      </c>
      <c r="W2362" s="76">
        <v>44959.004016203704</v>
      </c>
      <c r="X2362" s="80">
        <v>44959</v>
      </c>
      <c r="Y2362" s="78" t="s">
        <v>3075</v>
      </c>
      <c r="Z2362" s="77" t="str">
        <f>HYPERLINK("https://twitter.com/tedbowe/status/1620936482071482369")</f>
        <v>https://twitter.com/tedbowe/status/1620936482071482369</v>
      </c>
      <c r="AC2362" s="78" t="s">
        <v>4140</v>
      </c>
      <c r="AD2362" s="78" t="s">
        <v>4584</v>
      </c>
      <c r="AE2362" t="b">
        <v>0</v>
      </c>
      <c r="AF2362">
        <v>0</v>
      </c>
      <c r="AG2362" s="78" t="s">
        <v>4756</v>
      </c>
      <c r="AH2362" t="b">
        <v>0</v>
      </c>
      <c r="AI2362" t="s">
        <v>4829</v>
      </c>
      <c r="AK2362" s="78" t="s">
        <v>4640</v>
      </c>
      <c r="AL2362" t="b">
        <v>0</v>
      </c>
      <c r="AM2362">
        <v>0</v>
      </c>
      <c r="AN2362" s="78" t="s">
        <v>4640</v>
      </c>
      <c r="AO2362" s="78" t="s">
        <v>4849</v>
      </c>
      <c r="AP2362" t="b">
        <v>0</v>
      </c>
      <c r="AQ2362" s="78" t="s">
        <v>4584</v>
      </c>
      <c r="AR2362" t="s">
        <v>179</v>
      </c>
      <c r="AS2362">
        <v>0</v>
      </c>
      <c r="AT2362">
        <v>0</v>
      </c>
    </row>
    <row r="2363" spans="1:46" x14ac:dyDescent="0.45">
      <c r="A2363" s="62" t="s">
        <v>827</v>
      </c>
      <c r="B2363" s="62" t="s">
        <v>1397</v>
      </c>
      <c r="C2363" s="63"/>
      <c r="D2363" s="64"/>
      <c r="E2363" s="65"/>
      <c r="F2363" s="66"/>
      <c r="G2363" s="63"/>
      <c r="H2363" s="67"/>
      <c r="I2363" s="68"/>
      <c r="J2363" s="68"/>
      <c r="K2363" s="32"/>
      <c r="L2363" s="75"/>
      <c r="M2363" s="75"/>
      <c r="N2363" s="70"/>
      <c r="O2363" t="s">
        <v>1568</v>
      </c>
      <c r="P2363" s="76">
        <v>44959.004016203704</v>
      </c>
      <c r="Q2363" t="s">
        <v>2009</v>
      </c>
      <c r="V2363" s="77" t="str">
        <f>HYPERLINK("https://pbs.twimg.com/profile_images/1096448132408373250/JcnynC5D_normal.jpg")</f>
        <v>https://pbs.twimg.com/profile_images/1096448132408373250/JcnynC5D_normal.jpg</v>
      </c>
      <c r="W2363" s="76">
        <v>44959.004016203704</v>
      </c>
      <c r="X2363" s="80">
        <v>44959</v>
      </c>
      <c r="Y2363" s="78" t="s">
        <v>3075</v>
      </c>
      <c r="Z2363" s="77" t="str">
        <f>HYPERLINK("https://twitter.com/tedbowe/status/1620936482071482369")</f>
        <v>https://twitter.com/tedbowe/status/1620936482071482369</v>
      </c>
      <c r="AC2363" s="78" t="s">
        <v>4140</v>
      </c>
      <c r="AD2363" s="78" t="s">
        <v>4584</v>
      </c>
      <c r="AE2363" t="b">
        <v>0</v>
      </c>
      <c r="AF2363">
        <v>0</v>
      </c>
      <c r="AG2363" s="78" t="s">
        <v>4756</v>
      </c>
      <c r="AH2363" t="b">
        <v>0</v>
      </c>
      <c r="AI2363" t="s">
        <v>4829</v>
      </c>
      <c r="AK2363" s="78" t="s">
        <v>4640</v>
      </c>
      <c r="AL2363" t="b">
        <v>0</v>
      </c>
      <c r="AM2363">
        <v>0</v>
      </c>
      <c r="AN2363" s="78" t="s">
        <v>4640</v>
      </c>
      <c r="AO2363" s="78" t="s">
        <v>4849</v>
      </c>
      <c r="AP2363" t="b">
        <v>0</v>
      </c>
      <c r="AQ2363" s="78" t="s">
        <v>4584</v>
      </c>
      <c r="AR2363" t="s">
        <v>179</v>
      </c>
      <c r="AS2363">
        <v>0</v>
      </c>
      <c r="AT2363">
        <v>0</v>
      </c>
    </row>
    <row r="2364" spans="1:46" x14ac:dyDescent="0.45">
      <c r="A2364" s="62" t="s">
        <v>827</v>
      </c>
      <c r="B2364" s="62" t="s">
        <v>1398</v>
      </c>
      <c r="C2364" s="63"/>
      <c r="D2364" s="64"/>
      <c r="E2364" s="65"/>
      <c r="F2364" s="66"/>
      <c r="G2364" s="63"/>
      <c r="H2364" s="67"/>
      <c r="I2364" s="68"/>
      <c r="J2364" s="68"/>
      <c r="K2364" s="32"/>
      <c r="L2364" s="75"/>
      <c r="M2364" s="75"/>
      <c r="N2364" s="70"/>
      <c r="O2364" t="s">
        <v>1568</v>
      </c>
      <c r="P2364" s="76">
        <v>44959.004016203704</v>
      </c>
      <c r="Q2364" t="s">
        <v>2009</v>
      </c>
      <c r="V2364" s="77" t="str">
        <f>HYPERLINK("https://pbs.twimg.com/profile_images/1096448132408373250/JcnynC5D_normal.jpg")</f>
        <v>https://pbs.twimg.com/profile_images/1096448132408373250/JcnynC5D_normal.jpg</v>
      </c>
      <c r="W2364" s="76">
        <v>44959.004016203704</v>
      </c>
      <c r="X2364" s="80">
        <v>44959</v>
      </c>
      <c r="Y2364" s="78" t="s">
        <v>3075</v>
      </c>
      <c r="Z2364" s="77" t="str">
        <f>HYPERLINK("https://twitter.com/tedbowe/status/1620936482071482369")</f>
        <v>https://twitter.com/tedbowe/status/1620936482071482369</v>
      </c>
      <c r="AC2364" s="78" t="s">
        <v>4140</v>
      </c>
      <c r="AD2364" s="78" t="s">
        <v>4584</v>
      </c>
      <c r="AE2364" t="b">
        <v>0</v>
      </c>
      <c r="AF2364">
        <v>0</v>
      </c>
      <c r="AG2364" s="78" t="s">
        <v>4756</v>
      </c>
      <c r="AH2364" t="b">
        <v>0</v>
      </c>
      <c r="AI2364" t="s">
        <v>4829</v>
      </c>
      <c r="AK2364" s="78" t="s">
        <v>4640</v>
      </c>
      <c r="AL2364" t="b">
        <v>0</v>
      </c>
      <c r="AM2364">
        <v>0</v>
      </c>
      <c r="AN2364" s="78" t="s">
        <v>4640</v>
      </c>
      <c r="AO2364" s="78" t="s">
        <v>4849</v>
      </c>
      <c r="AP2364" t="b">
        <v>0</v>
      </c>
      <c r="AQ2364" s="78" t="s">
        <v>4584</v>
      </c>
      <c r="AR2364" t="s">
        <v>179</v>
      </c>
      <c r="AS2364">
        <v>0</v>
      </c>
      <c r="AT2364">
        <v>0</v>
      </c>
    </row>
    <row r="2365" spans="1:46" x14ac:dyDescent="0.45">
      <c r="A2365" s="62" t="s">
        <v>827</v>
      </c>
      <c r="B2365" s="62" t="s">
        <v>1399</v>
      </c>
      <c r="C2365" s="63"/>
      <c r="D2365" s="64"/>
      <c r="E2365" s="65"/>
      <c r="F2365" s="66"/>
      <c r="G2365" s="63"/>
      <c r="H2365" s="67"/>
      <c r="I2365" s="68"/>
      <c r="J2365" s="68"/>
      <c r="K2365" s="32"/>
      <c r="L2365" s="75"/>
      <c r="M2365" s="75"/>
      <c r="N2365" s="70"/>
      <c r="O2365" t="s">
        <v>1567</v>
      </c>
      <c r="P2365" s="76">
        <v>44959.004016203704</v>
      </c>
      <c r="Q2365" t="s">
        <v>2009</v>
      </c>
      <c r="V2365" s="77" t="str">
        <f>HYPERLINK("https://pbs.twimg.com/profile_images/1096448132408373250/JcnynC5D_normal.jpg")</f>
        <v>https://pbs.twimg.com/profile_images/1096448132408373250/JcnynC5D_normal.jpg</v>
      </c>
      <c r="W2365" s="76">
        <v>44959.004016203704</v>
      </c>
      <c r="X2365" s="80">
        <v>44959</v>
      </c>
      <c r="Y2365" s="78" t="s">
        <v>3075</v>
      </c>
      <c r="Z2365" s="77" t="str">
        <f>HYPERLINK("https://twitter.com/tedbowe/status/1620936482071482369")</f>
        <v>https://twitter.com/tedbowe/status/1620936482071482369</v>
      </c>
      <c r="AC2365" s="78" t="s">
        <v>4140</v>
      </c>
      <c r="AD2365" s="78" t="s">
        <v>4584</v>
      </c>
      <c r="AE2365" t="b">
        <v>0</v>
      </c>
      <c r="AF2365">
        <v>0</v>
      </c>
      <c r="AG2365" s="78" t="s">
        <v>4756</v>
      </c>
      <c r="AH2365" t="b">
        <v>0</v>
      </c>
      <c r="AI2365" t="s">
        <v>4829</v>
      </c>
      <c r="AK2365" s="78" t="s">
        <v>4640</v>
      </c>
      <c r="AL2365" t="b">
        <v>0</v>
      </c>
      <c r="AM2365">
        <v>0</v>
      </c>
      <c r="AN2365" s="78" t="s">
        <v>4640</v>
      </c>
      <c r="AO2365" s="78" t="s">
        <v>4849</v>
      </c>
      <c r="AP2365" t="b">
        <v>0</v>
      </c>
      <c r="AQ2365" s="78" t="s">
        <v>4584</v>
      </c>
      <c r="AR2365" t="s">
        <v>179</v>
      </c>
      <c r="AS2365">
        <v>0</v>
      </c>
      <c r="AT2365">
        <v>0</v>
      </c>
    </row>
    <row r="2366" spans="1:46" x14ac:dyDescent="0.45">
      <c r="A2366" s="62" t="s">
        <v>827</v>
      </c>
      <c r="B2366" s="62" t="s">
        <v>1282</v>
      </c>
      <c r="C2366" s="63"/>
      <c r="D2366" s="64"/>
      <c r="E2366" s="65"/>
      <c r="F2366" s="66"/>
      <c r="G2366" s="63"/>
      <c r="H2366" s="67"/>
      <c r="I2366" s="68"/>
      <c r="J2366" s="68"/>
      <c r="K2366" s="32"/>
      <c r="L2366" s="75"/>
      <c r="M2366" s="75"/>
      <c r="N2366" s="70"/>
      <c r="O2366" t="s">
        <v>1568</v>
      </c>
      <c r="P2366" s="76">
        <v>44959.004016203704</v>
      </c>
      <c r="Q2366" t="s">
        <v>2009</v>
      </c>
      <c r="V2366" s="77" t="str">
        <f>HYPERLINK("https://pbs.twimg.com/profile_images/1096448132408373250/JcnynC5D_normal.jpg")</f>
        <v>https://pbs.twimg.com/profile_images/1096448132408373250/JcnynC5D_normal.jpg</v>
      </c>
      <c r="W2366" s="76">
        <v>44959.004016203704</v>
      </c>
      <c r="X2366" s="80">
        <v>44959</v>
      </c>
      <c r="Y2366" s="78" t="s">
        <v>3075</v>
      </c>
      <c r="Z2366" s="77" t="str">
        <f>HYPERLINK("https://twitter.com/tedbowe/status/1620936482071482369")</f>
        <v>https://twitter.com/tedbowe/status/1620936482071482369</v>
      </c>
      <c r="AC2366" s="78" t="s">
        <v>4140</v>
      </c>
      <c r="AD2366" s="78" t="s">
        <v>4584</v>
      </c>
      <c r="AE2366" t="b">
        <v>0</v>
      </c>
      <c r="AF2366">
        <v>0</v>
      </c>
      <c r="AG2366" s="78" t="s">
        <v>4756</v>
      </c>
      <c r="AH2366" t="b">
        <v>0</v>
      </c>
      <c r="AI2366" t="s">
        <v>4829</v>
      </c>
      <c r="AK2366" s="78" t="s">
        <v>4640</v>
      </c>
      <c r="AL2366" t="b">
        <v>0</v>
      </c>
      <c r="AM2366">
        <v>0</v>
      </c>
      <c r="AN2366" s="78" t="s">
        <v>4640</v>
      </c>
      <c r="AO2366" s="78" t="s">
        <v>4849</v>
      </c>
      <c r="AP2366" t="b">
        <v>0</v>
      </c>
      <c r="AQ2366" s="78" t="s">
        <v>4584</v>
      </c>
      <c r="AR2366" t="s">
        <v>179</v>
      </c>
      <c r="AS2366">
        <v>0</v>
      </c>
      <c r="AT2366">
        <v>0</v>
      </c>
    </row>
    <row r="2367" spans="1:46" x14ac:dyDescent="0.45">
      <c r="A2367" s="62" t="s">
        <v>827</v>
      </c>
      <c r="B2367" s="62" t="s">
        <v>1181</v>
      </c>
      <c r="C2367" s="63"/>
      <c r="D2367" s="64"/>
      <c r="E2367" s="65"/>
      <c r="F2367" s="66"/>
      <c r="G2367" s="63"/>
      <c r="H2367" s="67"/>
      <c r="I2367" s="68"/>
      <c r="J2367" s="68"/>
      <c r="K2367" s="32"/>
      <c r="L2367" s="75"/>
      <c r="M2367" s="75"/>
      <c r="N2367" s="70"/>
      <c r="O2367" t="s">
        <v>1568</v>
      </c>
      <c r="P2367" s="76">
        <v>44959.004016203704</v>
      </c>
      <c r="Q2367" t="s">
        <v>2009</v>
      </c>
      <c r="V2367" s="77" t="str">
        <f>HYPERLINK("https://pbs.twimg.com/profile_images/1096448132408373250/JcnynC5D_normal.jpg")</f>
        <v>https://pbs.twimg.com/profile_images/1096448132408373250/JcnynC5D_normal.jpg</v>
      </c>
      <c r="W2367" s="76">
        <v>44959.004016203704</v>
      </c>
      <c r="X2367" s="80">
        <v>44959</v>
      </c>
      <c r="Y2367" s="78" t="s">
        <v>3075</v>
      </c>
      <c r="Z2367" s="77" t="str">
        <f>HYPERLINK("https://twitter.com/tedbowe/status/1620936482071482369")</f>
        <v>https://twitter.com/tedbowe/status/1620936482071482369</v>
      </c>
      <c r="AC2367" s="78" t="s">
        <v>4140</v>
      </c>
      <c r="AD2367" s="78" t="s">
        <v>4584</v>
      </c>
      <c r="AE2367" t="b">
        <v>0</v>
      </c>
      <c r="AF2367">
        <v>0</v>
      </c>
      <c r="AG2367" s="78" t="s">
        <v>4756</v>
      </c>
      <c r="AH2367" t="b">
        <v>0</v>
      </c>
      <c r="AI2367" t="s">
        <v>4829</v>
      </c>
      <c r="AK2367" s="78" t="s">
        <v>4640</v>
      </c>
      <c r="AL2367" t="b">
        <v>0</v>
      </c>
      <c r="AM2367">
        <v>0</v>
      </c>
      <c r="AN2367" s="78" t="s">
        <v>4640</v>
      </c>
      <c r="AO2367" s="78" t="s">
        <v>4849</v>
      </c>
      <c r="AP2367" t="b">
        <v>0</v>
      </c>
      <c r="AQ2367" s="78" t="s">
        <v>4584</v>
      </c>
      <c r="AR2367" t="s">
        <v>179</v>
      </c>
      <c r="AS2367">
        <v>0</v>
      </c>
      <c r="AT2367">
        <v>0</v>
      </c>
    </row>
    <row r="2368" spans="1:46" x14ac:dyDescent="0.45">
      <c r="A2368" s="62" t="s">
        <v>827</v>
      </c>
      <c r="B2368" s="62" t="s">
        <v>242</v>
      </c>
      <c r="C2368" s="63"/>
      <c r="D2368" s="64"/>
      <c r="E2368" s="65"/>
      <c r="F2368" s="66"/>
      <c r="G2368" s="63"/>
      <c r="H2368" s="67"/>
      <c r="I2368" s="68"/>
      <c r="J2368" s="68"/>
      <c r="K2368" s="32"/>
      <c r="L2368" s="75"/>
      <c r="M2368" s="75"/>
      <c r="N2368" s="70"/>
      <c r="O2368" t="s">
        <v>1568</v>
      </c>
      <c r="P2368" s="76">
        <v>44959.004016203704</v>
      </c>
      <c r="Q2368" t="s">
        <v>2009</v>
      </c>
      <c r="V2368" s="77" t="str">
        <f>HYPERLINK("https://pbs.twimg.com/profile_images/1096448132408373250/JcnynC5D_normal.jpg")</f>
        <v>https://pbs.twimg.com/profile_images/1096448132408373250/JcnynC5D_normal.jpg</v>
      </c>
      <c r="W2368" s="76">
        <v>44959.004016203704</v>
      </c>
      <c r="X2368" s="80">
        <v>44959</v>
      </c>
      <c r="Y2368" s="78" t="s">
        <v>3075</v>
      </c>
      <c r="Z2368" s="77" t="str">
        <f>HYPERLINK("https://twitter.com/tedbowe/status/1620936482071482369")</f>
        <v>https://twitter.com/tedbowe/status/1620936482071482369</v>
      </c>
      <c r="AC2368" s="78" t="s">
        <v>4140</v>
      </c>
      <c r="AD2368" s="78" t="s">
        <v>4584</v>
      </c>
      <c r="AE2368" t="b">
        <v>0</v>
      </c>
      <c r="AF2368">
        <v>0</v>
      </c>
      <c r="AG2368" s="78" t="s">
        <v>4756</v>
      </c>
      <c r="AH2368" t="b">
        <v>0</v>
      </c>
      <c r="AI2368" t="s">
        <v>4829</v>
      </c>
      <c r="AK2368" s="78" t="s">
        <v>4640</v>
      </c>
      <c r="AL2368" t="b">
        <v>0</v>
      </c>
      <c r="AM2368">
        <v>0</v>
      </c>
      <c r="AN2368" s="78" t="s">
        <v>4640</v>
      </c>
      <c r="AO2368" s="78" t="s">
        <v>4849</v>
      </c>
      <c r="AP2368" t="b">
        <v>0</v>
      </c>
      <c r="AQ2368" s="78" t="s">
        <v>4584</v>
      </c>
      <c r="AR2368" t="s">
        <v>179</v>
      </c>
      <c r="AS2368">
        <v>0</v>
      </c>
      <c r="AT2368">
        <v>0</v>
      </c>
    </row>
    <row r="2369" spans="1:46" x14ac:dyDescent="0.45">
      <c r="A2369" s="62" t="s">
        <v>827</v>
      </c>
      <c r="B2369" s="62" t="s">
        <v>1304</v>
      </c>
      <c r="C2369" s="63"/>
      <c r="D2369" s="64"/>
      <c r="E2369" s="65"/>
      <c r="F2369" s="66"/>
      <c r="G2369" s="63"/>
      <c r="H2369" s="67"/>
      <c r="I2369" s="68"/>
      <c r="J2369" s="68"/>
      <c r="K2369" s="32"/>
      <c r="L2369" s="75"/>
      <c r="M2369" s="75"/>
      <c r="N2369" s="70"/>
      <c r="O2369" t="s">
        <v>1568</v>
      </c>
      <c r="P2369" s="76">
        <v>44959.004016203704</v>
      </c>
      <c r="Q2369" t="s">
        <v>2009</v>
      </c>
      <c r="V2369" s="77" t="str">
        <f>HYPERLINK("https://pbs.twimg.com/profile_images/1096448132408373250/JcnynC5D_normal.jpg")</f>
        <v>https://pbs.twimg.com/profile_images/1096448132408373250/JcnynC5D_normal.jpg</v>
      </c>
      <c r="W2369" s="76">
        <v>44959.004016203704</v>
      </c>
      <c r="X2369" s="80">
        <v>44959</v>
      </c>
      <c r="Y2369" s="78" t="s">
        <v>3075</v>
      </c>
      <c r="Z2369" s="77" t="str">
        <f>HYPERLINK("https://twitter.com/tedbowe/status/1620936482071482369")</f>
        <v>https://twitter.com/tedbowe/status/1620936482071482369</v>
      </c>
      <c r="AC2369" s="78" t="s">
        <v>4140</v>
      </c>
      <c r="AD2369" s="78" t="s">
        <v>4584</v>
      </c>
      <c r="AE2369" t="b">
        <v>0</v>
      </c>
      <c r="AF2369">
        <v>0</v>
      </c>
      <c r="AG2369" s="78" t="s">
        <v>4756</v>
      </c>
      <c r="AH2369" t="b">
        <v>0</v>
      </c>
      <c r="AI2369" t="s">
        <v>4829</v>
      </c>
      <c r="AK2369" s="78" t="s">
        <v>4640</v>
      </c>
      <c r="AL2369" t="b">
        <v>0</v>
      </c>
      <c r="AM2369">
        <v>0</v>
      </c>
      <c r="AN2369" s="78" t="s">
        <v>4640</v>
      </c>
      <c r="AO2369" s="78" t="s">
        <v>4849</v>
      </c>
      <c r="AP2369" t="b">
        <v>0</v>
      </c>
      <c r="AQ2369" s="78" t="s">
        <v>4584</v>
      </c>
      <c r="AR2369" t="s">
        <v>179</v>
      </c>
      <c r="AS2369">
        <v>0</v>
      </c>
      <c r="AT2369">
        <v>0</v>
      </c>
    </row>
    <row r="2370" spans="1:46" x14ac:dyDescent="0.45">
      <c r="A2370" s="62" t="s">
        <v>828</v>
      </c>
      <c r="B2370" s="62" t="s">
        <v>1400</v>
      </c>
      <c r="C2370" s="63"/>
      <c r="D2370" s="64"/>
      <c r="E2370" s="65"/>
      <c r="F2370" s="66"/>
      <c r="G2370" s="63"/>
      <c r="H2370" s="67"/>
      <c r="I2370" s="68"/>
      <c r="J2370" s="68"/>
      <c r="K2370" s="32"/>
      <c r="L2370" s="75"/>
      <c r="M2370" s="75"/>
      <c r="N2370" s="70"/>
      <c r="O2370" t="s">
        <v>1567</v>
      </c>
      <c r="P2370" s="76">
        <v>44959.004571759258</v>
      </c>
      <c r="Q2370" t="s">
        <v>2010</v>
      </c>
      <c r="V2370" s="77" t="str">
        <f>HYPERLINK("https://pbs.twimg.com/profile_images/604752610986369024/g5oUXRxk_normal.jpg")</f>
        <v>https://pbs.twimg.com/profile_images/604752610986369024/g5oUXRxk_normal.jpg</v>
      </c>
      <c r="W2370" s="76">
        <v>44959.004571759258</v>
      </c>
      <c r="X2370" s="80">
        <v>44959</v>
      </c>
      <c r="Y2370" s="78" t="s">
        <v>3076</v>
      </c>
      <c r="Z2370" s="77" t="str">
        <f>HYPERLINK("https://twitter.com/billatq/status/1620936684484558848")</f>
        <v>https://twitter.com/billatq/status/1620936684484558848</v>
      </c>
      <c r="AC2370" s="78" t="s">
        <v>4141</v>
      </c>
      <c r="AD2370" s="78" t="s">
        <v>4585</v>
      </c>
      <c r="AE2370" t="b">
        <v>0</v>
      </c>
      <c r="AF2370">
        <v>0</v>
      </c>
      <c r="AG2370" s="78" t="s">
        <v>4757</v>
      </c>
      <c r="AH2370" t="b">
        <v>0</v>
      </c>
      <c r="AI2370" t="s">
        <v>4829</v>
      </c>
      <c r="AK2370" s="78" t="s">
        <v>4640</v>
      </c>
      <c r="AL2370" t="b">
        <v>0</v>
      </c>
      <c r="AM2370">
        <v>0</v>
      </c>
      <c r="AN2370" s="78" t="s">
        <v>4640</v>
      </c>
      <c r="AO2370" s="78" t="s">
        <v>4851</v>
      </c>
      <c r="AP2370" t="b">
        <v>0</v>
      </c>
      <c r="AQ2370" s="78" t="s">
        <v>4585</v>
      </c>
      <c r="AR2370" t="s">
        <v>179</v>
      </c>
      <c r="AS2370">
        <v>0</v>
      </c>
      <c r="AT2370">
        <v>0</v>
      </c>
    </row>
    <row r="2371" spans="1:46" x14ac:dyDescent="0.45">
      <c r="A2371" s="62" t="s">
        <v>828</v>
      </c>
      <c r="B2371" s="62" t="s">
        <v>242</v>
      </c>
      <c r="C2371" s="63"/>
      <c r="D2371" s="64"/>
      <c r="E2371" s="65"/>
      <c r="F2371" s="66"/>
      <c r="G2371" s="63"/>
      <c r="H2371" s="67"/>
      <c r="I2371" s="68"/>
      <c r="J2371" s="68"/>
      <c r="K2371" s="32"/>
      <c r="L2371" s="75"/>
      <c r="M2371" s="75"/>
      <c r="N2371" s="70"/>
      <c r="O2371" t="s">
        <v>1568</v>
      </c>
      <c r="P2371" s="76">
        <v>44959.004571759258</v>
      </c>
      <c r="Q2371" t="s">
        <v>2010</v>
      </c>
      <c r="V2371" s="77" t="str">
        <f>HYPERLINK("https://pbs.twimg.com/profile_images/604752610986369024/g5oUXRxk_normal.jpg")</f>
        <v>https://pbs.twimg.com/profile_images/604752610986369024/g5oUXRxk_normal.jpg</v>
      </c>
      <c r="W2371" s="76">
        <v>44959.004571759258</v>
      </c>
      <c r="X2371" s="80">
        <v>44959</v>
      </c>
      <c r="Y2371" s="78" t="s">
        <v>3076</v>
      </c>
      <c r="Z2371" s="77" t="str">
        <f>HYPERLINK("https://twitter.com/billatq/status/1620936684484558848")</f>
        <v>https://twitter.com/billatq/status/1620936684484558848</v>
      </c>
      <c r="AC2371" s="78" t="s">
        <v>4141</v>
      </c>
      <c r="AD2371" s="78" t="s">
        <v>4585</v>
      </c>
      <c r="AE2371" t="b">
        <v>0</v>
      </c>
      <c r="AF2371">
        <v>0</v>
      </c>
      <c r="AG2371" s="78" t="s">
        <v>4757</v>
      </c>
      <c r="AH2371" t="b">
        <v>0</v>
      </c>
      <c r="AI2371" t="s">
        <v>4829</v>
      </c>
      <c r="AK2371" s="78" t="s">
        <v>4640</v>
      </c>
      <c r="AL2371" t="b">
        <v>0</v>
      </c>
      <c r="AM2371">
        <v>0</v>
      </c>
      <c r="AN2371" s="78" t="s">
        <v>4640</v>
      </c>
      <c r="AO2371" s="78" t="s">
        <v>4851</v>
      </c>
      <c r="AP2371" t="b">
        <v>0</v>
      </c>
      <c r="AQ2371" s="78" t="s">
        <v>4585</v>
      </c>
      <c r="AR2371" t="s">
        <v>179</v>
      </c>
      <c r="AS2371">
        <v>0</v>
      </c>
      <c r="AT2371">
        <v>0</v>
      </c>
    </row>
    <row r="2372" spans="1:46" x14ac:dyDescent="0.45">
      <c r="A2372" s="62" t="s">
        <v>831</v>
      </c>
      <c r="B2372" s="62" t="s">
        <v>242</v>
      </c>
      <c r="C2372" s="63"/>
      <c r="D2372" s="64"/>
      <c r="E2372" s="65"/>
      <c r="F2372" s="66"/>
      <c r="G2372" s="63"/>
      <c r="H2372" s="67"/>
      <c r="I2372" s="68"/>
      <c r="J2372" s="68"/>
      <c r="K2372" s="32"/>
      <c r="L2372" s="75"/>
      <c r="M2372" s="75"/>
      <c r="N2372" s="70"/>
      <c r="O2372" t="s">
        <v>1567</v>
      </c>
      <c r="P2372" s="76">
        <v>44959.005972222221</v>
      </c>
      <c r="Q2372" t="s">
        <v>2013</v>
      </c>
      <c r="V2372" s="77" t="str">
        <f>HYPERLINK("https://pbs.twimg.com/profile_images/1614044814449721344/MWA106MP_normal.jpg")</f>
        <v>https://pbs.twimg.com/profile_images/1614044814449721344/MWA106MP_normal.jpg</v>
      </c>
      <c r="W2372" s="76">
        <v>44959.005972222221</v>
      </c>
      <c r="X2372" s="80">
        <v>44959</v>
      </c>
      <c r="Y2372" s="78" t="s">
        <v>3080</v>
      </c>
      <c r="Z2372" s="77" t="str">
        <f>HYPERLINK("https://twitter.com/trwoodauthor/status/1620937192645464066")</f>
        <v>https://twitter.com/trwoodauthor/status/1620937192645464066</v>
      </c>
      <c r="AC2372" s="78" t="s">
        <v>4145</v>
      </c>
      <c r="AE2372" t="b">
        <v>0</v>
      </c>
      <c r="AF2372">
        <v>0</v>
      </c>
      <c r="AG2372" s="78" t="s">
        <v>4639</v>
      </c>
      <c r="AH2372" t="b">
        <v>0</v>
      </c>
      <c r="AI2372" t="s">
        <v>4829</v>
      </c>
      <c r="AK2372" s="78" t="s">
        <v>4640</v>
      </c>
      <c r="AL2372" t="b">
        <v>0</v>
      </c>
      <c r="AM2372">
        <v>0</v>
      </c>
      <c r="AN2372" s="78" t="s">
        <v>4640</v>
      </c>
      <c r="AO2372" s="78" t="s">
        <v>4851</v>
      </c>
      <c r="AP2372" t="b">
        <v>0</v>
      </c>
      <c r="AQ2372" s="78" t="s">
        <v>4145</v>
      </c>
      <c r="AR2372" t="s">
        <v>179</v>
      </c>
      <c r="AS2372">
        <v>0</v>
      </c>
      <c r="AT2372">
        <v>0</v>
      </c>
    </row>
    <row r="2373" spans="1:46" x14ac:dyDescent="0.45">
      <c r="A2373" s="62" t="s">
        <v>832</v>
      </c>
      <c r="B2373" s="62" t="s">
        <v>242</v>
      </c>
      <c r="C2373" s="63"/>
      <c r="D2373" s="64"/>
      <c r="E2373" s="65"/>
      <c r="F2373" s="66"/>
      <c r="G2373" s="63"/>
      <c r="H2373" s="67"/>
      <c r="I2373" s="68"/>
      <c r="J2373" s="68"/>
      <c r="K2373" s="32"/>
      <c r="L2373" s="75"/>
      <c r="M2373" s="75"/>
      <c r="N2373" s="70"/>
      <c r="O2373" t="s">
        <v>1570</v>
      </c>
      <c r="P2373" s="76">
        <v>44959.007881944446</v>
      </c>
      <c r="Q2373" t="s">
        <v>1597</v>
      </c>
      <c r="U2373" s="77" t="str">
        <f>HYPERLINK("https://pbs.twimg.com/media/Fn21cCpaEAIoT8g.jpg")</f>
        <v>https://pbs.twimg.com/media/Fn21cCpaEAIoT8g.jpg</v>
      </c>
      <c r="V2373" s="77" t="str">
        <f>HYPERLINK("https://pbs.twimg.com/media/Fn21cCpaEAIoT8g.jpg")</f>
        <v>https://pbs.twimg.com/media/Fn21cCpaEAIoT8g.jpg</v>
      </c>
      <c r="W2373" s="76">
        <v>44959.007881944446</v>
      </c>
      <c r="X2373" s="80">
        <v>44959</v>
      </c>
      <c r="Y2373" s="78" t="s">
        <v>3081</v>
      </c>
      <c r="Z2373" s="77" t="str">
        <f>HYPERLINK("https://twitter.com/vagablondviking/status/1620937882675585024")</f>
        <v>https://twitter.com/vagablondviking/status/1620937882675585024</v>
      </c>
      <c r="AC2373" s="78" t="s">
        <v>4146</v>
      </c>
      <c r="AE2373" t="b">
        <v>0</v>
      </c>
      <c r="AF2373">
        <v>0</v>
      </c>
      <c r="AG2373" s="78" t="s">
        <v>4640</v>
      </c>
      <c r="AH2373" t="b">
        <v>0</v>
      </c>
      <c r="AI2373" t="s">
        <v>4829</v>
      </c>
      <c r="AK2373" s="78" t="s">
        <v>4640</v>
      </c>
      <c r="AL2373" t="b">
        <v>0</v>
      </c>
      <c r="AM2373">
        <v>13</v>
      </c>
      <c r="AN2373" s="78" t="s">
        <v>4342</v>
      </c>
      <c r="AO2373" s="78" t="s">
        <v>4849</v>
      </c>
      <c r="AP2373" t="b">
        <v>0</v>
      </c>
      <c r="AQ2373" s="78" t="s">
        <v>4342</v>
      </c>
      <c r="AR2373" t="s">
        <v>179</v>
      </c>
      <c r="AS2373">
        <v>0</v>
      </c>
      <c r="AT2373">
        <v>0</v>
      </c>
    </row>
    <row r="2374" spans="1:46" x14ac:dyDescent="0.45">
      <c r="A2374" s="62" t="s">
        <v>832</v>
      </c>
      <c r="B2374" s="62" t="s">
        <v>992</v>
      </c>
      <c r="C2374" s="63"/>
      <c r="D2374" s="64"/>
      <c r="E2374" s="65"/>
      <c r="F2374" s="66"/>
      <c r="G2374" s="63"/>
      <c r="H2374" s="67"/>
      <c r="I2374" s="68"/>
      <c r="J2374" s="68"/>
      <c r="K2374" s="32"/>
      <c r="L2374" s="75"/>
      <c r="M2374" s="75"/>
      <c r="N2374" s="70"/>
      <c r="O2374" t="s">
        <v>1569</v>
      </c>
      <c r="P2374" s="76">
        <v>44959.007881944446</v>
      </c>
      <c r="Q2374" t="s">
        <v>1597</v>
      </c>
      <c r="U2374" s="77" t="str">
        <f>HYPERLINK("https://pbs.twimg.com/media/Fn21cCpaEAIoT8g.jpg")</f>
        <v>https://pbs.twimg.com/media/Fn21cCpaEAIoT8g.jpg</v>
      </c>
      <c r="V2374" s="77" t="str">
        <f>HYPERLINK("https://pbs.twimg.com/media/Fn21cCpaEAIoT8g.jpg")</f>
        <v>https://pbs.twimg.com/media/Fn21cCpaEAIoT8g.jpg</v>
      </c>
      <c r="W2374" s="76">
        <v>44959.007881944446</v>
      </c>
      <c r="X2374" s="80">
        <v>44959</v>
      </c>
      <c r="Y2374" s="78" t="s">
        <v>3081</v>
      </c>
      <c r="Z2374" s="77" t="str">
        <f>HYPERLINK("https://twitter.com/vagablondviking/status/1620937882675585024")</f>
        <v>https://twitter.com/vagablondviking/status/1620937882675585024</v>
      </c>
      <c r="AC2374" s="78" t="s">
        <v>4146</v>
      </c>
      <c r="AE2374" t="b">
        <v>0</v>
      </c>
      <c r="AF2374">
        <v>0</v>
      </c>
      <c r="AG2374" s="78" t="s">
        <v>4640</v>
      </c>
      <c r="AH2374" t="b">
        <v>0</v>
      </c>
      <c r="AI2374" t="s">
        <v>4829</v>
      </c>
      <c r="AK2374" s="78" t="s">
        <v>4640</v>
      </c>
      <c r="AL2374" t="b">
        <v>0</v>
      </c>
      <c r="AM2374">
        <v>13</v>
      </c>
      <c r="AN2374" s="78" t="s">
        <v>4342</v>
      </c>
      <c r="AO2374" s="78" t="s">
        <v>4849</v>
      </c>
      <c r="AP2374" t="b">
        <v>0</v>
      </c>
      <c r="AQ2374" s="78" t="s">
        <v>4342</v>
      </c>
      <c r="AR2374" t="s">
        <v>179</v>
      </c>
      <c r="AS2374">
        <v>0</v>
      </c>
      <c r="AT2374">
        <v>0</v>
      </c>
    </row>
    <row r="2375" spans="1:46" x14ac:dyDescent="0.45">
      <c r="A2375" s="62" t="s">
        <v>833</v>
      </c>
      <c r="B2375" s="62" t="s">
        <v>1230</v>
      </c>
      <c r="C2375" s="63"/>
      <c r="D2375" s="64"/>
      <c r="E2375" s="65"/>
      <c r="F2375" s="66"/>
      <c r="G2375" s="63"/>
      <c r="H2375" s="67"/>
      <c r="I2375" s="68"/>
      <c r="J2375" s="68"/>
      <c r="K2375" s="32"/>
      <c r="L2375" s="75"/>
      <c r="M2375" s="75"/>
      <c r="N2375" s="70"/>
      <c r="O2375" t="s">
        <v>1570</v>
      </c>
      <c r="P2375" s="76">
        <v>44959.009826388887</v>
      </c>
      <c r="Q2375" t="s">
        <v>1693</v>
      </c>
      <c r="V2375" s="77" t="str">
        <f>HYPERLINK("https://pbs.twimg.com/profile_images/1611235801878388737/qkJa489d_normal.jpg")</f>
        <v>https://pbs.twimg.com/profile_images/1611235801878388737/qkJa489d_normal.jpg</v>
      </c>
      <c r="W2375" s="76">
        <v>44959.009826388887</v>
      </c>
      <c r="X2375" s="80">
        <v>44959</v>
      </c>
      <c r="Y2375" s="78" t="s">
        <v>3082</v>
      </c>
      <c r="Z2375" s="77" t="str">
        <f>HYPERLINK("https://twitter.com/mileycardi/status/1620938585942933506")</f>
        <v>https://twitter.com/mileycardi/status/1620938585942933506</v>
      </c>
      <c r="AC2375" s="78" t="s">
        <v>4147</v>
      </c>
      <c r="AE2375" t="b">
        <v>0</v>
      </c>
      <c r="AF2375">
        <v>0</v>
      </c>
      <c r="AG2375" s="78" t="s">
        <v>4640</v>
      </c>
      <c r="AH2375" t="b">
        <v>0</v>
      </c>
      <c r="AI2375" t="s">
        <v>4829</v>
      </c>
      <c r="AK2375" s="78" t="s">
        <v>4640</v>
      </c>
      <c r="AL2375" t="b">
        <v>0</v>
      </c>
      <c r="AM2375">
        <v>162</v>
      </c>
      <c r="AN2375" s="78" t="s">
        <v>4473</v>
      </c>
      <c r="AO2375" s="78" t="s">
        <v>4849</v>
      </c>
      <c r="AP2375" t="b">
        <v>0</v>
      </c>
      <c r="AQ2375" s="78" t="s">
        <v>4473</v>
      </c>
      <c r="AR2375" t="s">
        <v>179</v>
      </c>
      <c r="AS2375">
        <v>0</v>
      </c>
      <c r="AT2375">
        <v>0</v>
      </c>
    </row>
    <row r="2376" spans="1:46" x14ac:dyDescent="0.45">
      <c r="A2376" s="62" t="s">
        <v>833</v>
      </c>
      <c r="B2376" s="62" t="s">
        <v>242</v>
      </c>
      <c r="C2376" s="63"/>
      <c r="D2376" s="64"/>
      <c r="E2376" s="65"/>
      <c r="F2376" s="66"/>
      <c r="G2376" s="63"/>
      <c r="H2376" s="67"/>
      <c r="I2376" s="68"/>
      <c r="J2376" s="68"/>
      <c r="K2376" s="32"/>
      <c r="L2376" s="75"/>
      <c r="M2376" s="75"/>
      <c r="N2376" s="70"/>
      <c r="O2376" t="s">
        <v>1569</v>
      </c>
      <c r="P2376" s="76">
        <v>44959.009826388887</v>
      </c>
      <c r="Q2376" t="s">
        <v>1693</v>
      </c>
      <c r="V2376" s="77" t="str">
        <f>HYPERLINK("https://pbs.twimg.com/profile_images/1611235801878388737/qkJa489d_normal.jpg")</f>
        <v>https://pbs.twimg.com/profile_images/1611235801878388737/qkJa489d_normal.jpg</v>
      </c>
      <c r="W2376" s="76">
        <v>44959.009826388887</v>
      </c>
      <c r="X2376" s="80">
        <v>44959</v>
      </c>
      <c r="Y2376" s="78" t="s">
        <v>3082</v>
      </c>
      <c r="Z2376" s="77" t="str">
        <f>HYPERLINK("https://twitter.com/mileycardi/status/1620938585942933506")</f>
        <v>https://twitter.com/mileycardi/status/1620938585942933506</v>
      </c>
      <c r="AC2376" s="78" t="s">
        <v>4147</v>
      </c>
      <c r="AE2376" t="b">
        <v>0</v>
      </c>
      <c r="AF2376">
        <v>0</v>
      </c>
      <c r="AG2376" s="78" t="s">
        <v>4640</v>
      </c>
      <c r="AH2376" t="b">
        <v>0</v>
      </c>
      <c r="AI2376" t="s">
        <v>4829</v>
      </c>
      <c r="AK2376" s="78" t="s">
        <v>4640</v>
      </c>
      <c r="AL2376" t="b">
        <v>0</v>
      </c>
      <c r="AM2376">
        <v>162</v>
      </c>
      <c r="AN2376" s="78" t="s">
        <v>4473</v>
      </c>
      <c r="AO2376" s="78" t="s">
        <v>4849</v>
      </c>
      <c r="AP2376" t="b">
        <v>0</v>
      </c>
      <c r="AQ2376" s="78" t="s">
        <v>4473</v>
      </c>
      <c r="AR2376" t="s">
        <v>179</v>
      </c>
      <c r="AS2376">
        <v>0</v>
      </c>
      <c r="AT2376">
        <v>0</v>
      </c>
    </row>
    <row r="2377" spans="1:46" x14ac:dyDescent="0.45">
      <c r="A2377" s="62" t="s">
        <v>834</v>
      </c>
      <c r="B2377" s="62" t="s">
        <v>242</v>
      </c>
      <c r="C2377" s="63"/>
      <c r="D2377" s="64"/>
      <c r="E2377" s="65"/>
      <c r="F2377" s="66"/>
      <c r="G2377" s="63"/>
      <c r="H2377" s="67"/>
      <c r="I2377" s="68"/>
      <c r="J2377" s="68"/>
      <c r="K2377" s="32"/>
      <c r="L2377" s="75"/>
      <c r="M2377" s="75"/>
      <c r="N2377" s="70"/>
      <c r="O2377" t="s">
        <v>1568</v>
      </c>
      <c r="P2377" s="76">
        <v>44959.00990740741</v>
      </c>
      <c r="Q2377" t="s">
        <v>2014</v>
      </c>
      <c r="V2377" s="77" t="str">
        <f>HYPERLINK("https://pbs.twimg.com/profile_images/1385364590205104130/KUFehLsP_normal.jpg")</f>
        <v>https://pbs.twimg.com/profile_images/1385364590205104130/KUFehLsP_normal.jpg</v>
      </c>
      <c r="W2377" s="76">
        <v>44959.00990740741</v>
      </c>
      <c r="X2377" s="80">
        <v>44959</v>
      </c>
      <c r="Y2377" s="78" t="s">
        <v>3083</v>
      </c>
      <c r="Z2377" s="77" t="str">
        <f>HYPERLINK("https://twitter.com/zekonurlos/status/1620938618570444800")</f>
        <v>https://twitter.com/zekonurlos/status/1620938618570444800</v>
      </c>
      <c r="AC2377" s="78" t="s">
        <v>4148</v>
      </c>
      <c r="AD2377" s="78" t="s">
        <v>4420</v>
      </c>
      <c r="AE2377" t="b">
        <v>0</v>
      </c>
      <c r="AF2377">
        <v>0</v>
      </c>
      <c r="AG2377" s="78" t="s">
        <v>4737</v>
      </c>
      <c r="AH2377" t="b">
        <v>0</v>
      </c>
      <c r="AI2377" t="s">
        <v>4829</v>
      </c>
      <c r="AK2377" s="78" t="s">
        <v>4640</v>
      </c>
      <c r="AL2377" t="b">
        <v>0</v>
      </c>
      <c r="AM2377">
        <v>0</v>
      </c>
      <c r="AN2377" s="78" t="s">
        <v>4640</v>
      </c>
      <c r="AO2377" s="78" t="s">
        <v>4850</v>
      </c>
      <c r="AP2377" t="b">
        <v>0</v>
      </c>
      <c r="AQ2377" s="78" t="s">
        <v>4420</v>
      </c>
      <c r="AR2377" t="s">
        <v>179</v>
      </c>
      <c r="AS2377">
        <v>0</v>
      </c>
      <c r="AT2377">
        <v>0</v>
      </c>
    </row>
    <row r="2378" spans="1:46" x14ac:dyDescent="0.45">
      <c r="A2378" s="62" t="s">
        <v>834</v>
      </c>
      <c r="B2378" s="62" t="s">
        <v>1046</v>
      </c>
      <c r="C2378" s="63"/>
      <c r="D2378" s="64"/>
      <c r="E2378" s="65"/>
      <c r="F2378" s="66"/>
      <c r="G2378" s="63"/>
      <c r="H2378" s="67"/>
      <c r="I2378" s="68"/>
      <c r="J2378" s="68"/>
      <c r="K2378" s="32"/>
      <c r="L2378" s="75"/>
      <c r="M2378" s="75"/>
      <c r="N2378" s="70"/>
      <c r="O2378" t="s">
        <v>1567</v>
      </c>
      <c r="P2378" s="76">
        <v>44959.00990740741</v>
      </c>
      <c r="Q2378" t="s">
        <v>2014</v>
      </c>
      <c r="V2378" s="77" t="str">
        <f>HYPERLINK("https://pbs.twimg.com/profile_images/1385364590205104130/KUFehLsP_normal.jpg")</f>
        <v>https://pbs.twimg.com/profile_images/1385364590205104130/KUFehLsP_normal.jpg</v>
      </c>
      <c r="W2378" s="76">
        <v>44959.00990740741</v>
      </c>
      <c r="X2378" s="80">
        <v>44959</v>
      </c>
      <c r="Y2378" s="78" t="s">
        <v>3083</v>
      </c>
      <c r="Z2378" s="77" t="str">
        <f>HYPERLINK("https://twitter.com/zekonurlos/status/1620938618570444800")</f>
        <v>https://twitter.com/zekonurlos/status/1620938618570444800</v>
      </c>
      <c r="AC2378" s="78" t="s">
        <v>4148</v>
      </c>
      <c r="AD2378" s="78" t="s">
        <v>4420</v>
      </c>
      <c r="AE2378" t="b">
        <v>0</v>
      </c>
      <c r="AF2378">
        <v>0</v>
      </c>
      <c r="AG2378" s="78" t="s">
        <v>4737</v>
      </c>
      <c r="AH2378" t="b">
        <v>0</v>
      </c>
      <c r="AI2378" t="s">
        <v>4829</v>
      </c>
      <c r="AK2378" s="78" t="s">
        <v>4640</v>
      </c>
      <c r="AL2378" t="b">
        <v>0</v>
      </c>
      <c r="AM2378">
        <v>0</v>
      </c>
      <c r="AN2378" s="78" t="s">
        <v>4640</v>
      </c>
      <c r="AO2378" s="78" t="s">
        <v>4850</v>
      </c>
      <c r="AP2378" t="b">
        <v>0</v>
      </c>
      <c r="AQ2378" s="78" t="s">
        <v>4420</v>
      </c>
      <c r="AR2378" t="s">
        <v>179</v>
      </c>
      <c r="AS2378">
        <v>0</v>
      </c>
      <c r="AT2378">
        <v>0</v>
      </c>
    </row>
    <row r="2379" spans="1:46" x14ac:dyDescent="0.45">
      <c r="A2379" s="62" t="s">
        <v>836</v>
      </c>
      <c r="B2379" s="62" t="s">
        <v>835</v>
      </c>
      <c r="C2379" s="63"/>
      <c r="D2379" s="64"/>
      <c r="E2379" s="65"/>
      <c r="F2379" s="66"/>
      <c r="G2379" s="63"/>
      <c r="H2379" s="67"/>
      <c r="I2379" s="68"/>
      <c r="J2379" s="68"/>
      <c r="K2379" s="32"/>
      <c r="L2379" s="75"/>
      <c r="M2379" s="75"/>
      <c r="N2379" s="70"/>
      <c r="O2379" t="s">
        <v>1569</v>
      </c>
      <c r="P2379" s="76">
        <v>44959.009884259256</v>
      </c>
      <c r="Q2379" t="s">
        <v>2015</v>
      </c>
      <c r="V2379" s="77" t="str">
        <f>HYPERLINK("https://pbs.twimg.com/profile_images/1618408202596491264/G3hzrb_e_normal.jpg")</f>
        <v>https://pbs.twimg.com/profile_images/1618408202596491264/G3hzrb_e_normal.jpg</v>
      </c>
      <c r="W2379" s="76">
        <v>44959.009884259256</v>
      </c>
      <c r="X2379" s="80">
        <v>44959</v>
      </c>
      <c r="Y2379" s="78" t="s">
        <v>3085</v>
      </c>
      <c r="Z2379" s="77" t="str">
        <f>HYPERLINK("https://twitter.com/asmilersince06/status/1620938609301004288")</f>
        <v>https://twitter.com/asmilersince06/status/1620938609301004288</v>
      </c>
      <c r="AC2379" s="78" t="s">
        <v>4150</v>
      </c>
      <c r="AE2379" t="b">
        <v>0</v>
      </c>
      <c r="AF2379">
        <v>0</v>
      </c>
      <c r="AG2379" s="78" t="s">
        <v>4640</v>
      </c>
      <c r="AH2379" t="b">
        <v>0</v>
      </c>
      <c r="AI2379" t="s">
        <v>4829</v>
      </c>
      <c r="AK2379" s="78" t="s">
        <v>4640</v>
      </c>
      <c r="AL2379" t="b">
        <v>0</v>
      </c>
      <c r="AM2379">
        <v>1</v>
      </c>
      <c r="AN2379" s="78" t="s">
        <v>4149</v>
      </c>
      <c r="AO2379" s="78" t="s">
        <v>4849</v>
      </c>
      <c r="AP2379" t="b">
        <v>0</v>
      </c>
      <c r="AQ2379" s="78" t="s">
        <v>4149</v>
      </c>
      <c r="AR2379" t="s">
        <v>179</v>
      </c>
      <c r="AS2379">
        <v>0</v>
      </c>
      <c r="AT2379">
        <v>0</v>
      </c>
    </row>
    <row r="2380" spans="1:46" x14ac:dyDescent="0.45">
      <c r="A2380" s="62" t="s">
        <v>489</v>
      </c>
      <c r="B2380" s="62" t="s">
        <v>1230</v>
      </c>
      <c r="C2380" s="63"/>
      <c r="D2380" s="64"/>
      <c r="E2380" s="65"/>
      <c r="F2380" s="66"/>
      <c r="G2380" s="63"/>
      <c r="H2380" s="67"/>
      <c r="I2380" s="68"/>
      <c r="J2380" s="68"/>
      <c r="K2380" s="32"/>
      <c r="L2380" s="75"/>
      <c r="M2380" s="75"/>
      <c r="N2380" s="70"/>
      <c r="O2380" t="s">
        <v>1568</v>
      </c>
      <c r="P2380" s="76">
        <v>44958.748854166668</v>
      </c>
      <c r="Q2380" t="s">
        <v>1775</v>
      </c>
      <c r="V2380" s="77" t="str">
        <f>HYPERLINK("https://pbs.twimg.com/profile_images/1292919583595208704/RWj0hOq8_normal.jpg")</f>
        <v>https://pbs.twimg.com/profile_images/1292919583595208704/RWj0hOq8_normal.jpg</v>
      </c>
      <c r="W2380" s="76">
        <v>44958.748854166668</v>
      </c>
      <c r="X2380" s="80">
        <v>44958</v>
      </c>
      <c r="Y2380" s="78" t="s">
        <v>2728</v>
      </c>
      <c r="Z2380" s="77" t="str">
        <f>HYPERLINK("https://twitter.com/xxradiatelove/status/1620844014189842434")</f>
        <v>https://twitter.com/xxradiatelove/status/1620844014189842434</v>
      </c>
      <c r="AC2380" s="78" t="s">
        <v>3746</v>
      </c>
      <c r="AD2380" s="78" t="s">
        <v>3745</v>
      </c>
      <c r="AE2380" t="b">
        <v>0</v>
      </c>
      <c r="AF2380">
        <v>0</v>
      </c>
      <c r="AG2380" s="78" t="s">
        <v>4701</v>
      </c>
      <c r="AH2380" t="b">
        <v>0</v>
      </c>
      <c r="AI2380" t="s">
        <v>4829</v>
      </c>
      <c r="AK2380" s="78" t="s">
        <v>4640</v>
      </c>
      <c r="AL2380" t="b">
        <v>0</v>
      </c>
      <c r="AM2380">
        <v>0</v>
      </c>
      <c r="AN2380" s="78" t="s">
        <v>4640</v>
      </c>
      <c r="AO2380" s="78" t="s">
        <v>4851</v>
      </c>
      <c r="AP2380" t="b">
        <v>0</v>
      </c>
      <c r="AQ2380" s="78" t="s">
        <v>3745</v>
      </c>
      <c r="AR2380" t="s">
        <v>179</v>
      </c>
      <c r="AS2380">
        <v>0</v>
      </c>
      <c r="AT2380">
        <v>0</v>
      </c>
    </row>
    <row r="2381" spans="1:46" x14ac:dyDescent="0.45">
      <c r="A2381" s="62" t="s">
        <v>489</v>
      </c>
      <c r="B2381" s="62" t="s">
        <v>242</v>
      </c>
      <c r="C2381" s="63"/>
      <c r="D2381" s="64"/>
      <c r="E2381" s="65"/>
      <c r="F2381" s="66"/>
      <c r="G2381" s="63"/>
      <c r="H2381" s="67"/>
      <c r="I2381" s="68"/>
      <c r="J2381" s="68"/>
      <c r="K2381" s="32"/>
      <c r="L2381" s="75"/>
      <c r="M2381" s="75"/>
      <c r="N2381" s="70"/>
      <c r="O2381" t="s">
        <v>1568</v>
      </c>
      <c r="P2381" s="76">
        <v>44958.748854166668</v>
      </c>
      <c r="Q2381" t="s">
        <v>1775</v>
      </c>
      <c r="V2381" s="77" t="str">
        <f>HYPERLINK("https://pbs.twimg.com/profile_images/1292919583595208704/RWj0hOq8_normal.jpg")</f>
        <v>https://pbs.twimg.com/profile_images/1292919583595208704/RWj0hOq8_normal.jpg</v>
      </c>
      <c r="W2381" s="76">
        <v>44958.748854166668</v>
      </c>
      <c r="X2381" s="80">
        <v>44958</v>
      </c>
      <c r="Y2381" s="78" t="s">
        <v>2728</v>
      </c>
      <c r="Z2381" s="77" t="str">
        <f>HYPERLINK("https://twitter.com/xxradiatelove/status/1620844014189842434")</f>
        <v>https://twitter.com/xxradiatelove/status/1620844014189842434</v>
      </c>
      <c r="AC2381" s="78" t="s">
        <v>3746</v>
      </c>
      <c r="AD2381" s="78" t="s">
        <v>3745</v>
      </c>
      <c r="AE2381" t="b">
        <v>0</v>
      </c>
      <c r="AF2381">
        <v>0</v>
      </c>
      <c r="AG2381" s="78" t="s">
        <v>4701</v>
      </c>
      <c r="AH2381" t="b">
        <v>0</v>
      </c>
      <c r="AI2381" t="s">
        <v>4829</v>
      </c>
      <c r="AK2381" s="78" t="s">
        <v>4640</v>
      </c>
      <c r="AL2381" t="b">
        <v>0</v>
      </c>
      <c r="AM2381">
        <v>0</v>
      </c>
      <c r="AN2381" s="78" t="s">
        <v>4640</v>
      </c>
      <c r="AO2381" s="78" t="s">
        <v>4851</v>
      </c>
      <c r="AP2381" t="b">
        <v>0</v>
      </c>
      <c r="AQ2381" s="78" t="s">
        <v>3745</v>
      </c>
      <c r="AR2381" t="s">
        <v>179</v>
      </c>
      <c r="AS2381">
        <v>0</v>
      </c>
      <c r="AT2381">
        <v>0</v>
      </c>
    </row>
    <row r="2382" spans="1:46" x14ac:dyDescent="0.45">
      <c r="A2382" s="62" t="s">
        <v>836</v>
      </c>
      <c r="B2382" s="62" t="s">
        <v>489</v>
      </c>
      <c r="C2382" s="63"/>
      <c r="D2382" s="64"/>
      <c r="E2382" s="65"/>
      <c r="F2382" s="66"/>
      <c r="G2382" s="63"/>
      <c r="H2382" s="67"/>
      <c r="I2382" s="68"/>
      <c r="J2382" s="68"/>
      <c r="K2382" s="32"/>
      <c r="L2382" s="75"/>
      <c r="M2382" s="75"/>
      <c r="N2382" s="70"/>
      <c r="O2382" t="s">
        <v>1569</v>
      </c>
      <c r="P2382" s="76">
        <v>44959.009930555556</v>
      </c>
      <c r="Q2382" t="s">
        <v>2016</v>
      </c>
      <c r="V2382" s="77" t="str">
        <f>HYPERLINK("https://pbs.twimg.com/profile_images/1618408202596491264/G3hzrb_e_normal.jpg")</f>
        <v>https://pbs.twimg.com/profile_images/1618408202596491264/G3hzrb_e_normal.jpg</v>
      </c>
      <c r="W2382" s="76">
        <v>44959.009930555556</v>
      </c>
      <c r="X2382" s="80">
        <v>44959</v>
      </c>
      <c r="Y2382" s="78" t="s">
        <v>3087</v>
      </c>
      <c r="Z2382" s="77" t="str">
        <f>HYPERLINK("https://twitter.com/asmilersince06/status/1620938623406452737")</f>
        <v>https://twitter.com/asmilersince06/status/1620938623406452737</v>
      </c>
      <c r="AC2382" s="78" t="s">
        <v>4152</v>
      </c>
      <c r="AE2382" t="b">
        <v>0</v>
      </c>
      <c r="AF2382">
        <v>0</v>
      </c>
      <c r="AG2382" s="78" t="s">
        <v>4640</v>
      </c>
      <c r="AH2382" t="b">
        <v>0</v>
      </c>
      <c r="AI2382" t="s">
        <v>4829</v>
      </c>
      <c r="AK2382" s="78" t="s">
        <v>4640</v>
      </c>
      <c r="AL2382" t="b">
        <v>0</v>
      </c>
      <c r="AM2382">
        <v>1</v>
      </c>
      <c r="AN2382" s="78" t="s">
        <v>4151</v>
      </c>
      <c r="AO2382" s="78" t="s">
        <v>4849</v>
      </c>
      <c r="AP2382" t="b">
        <v>0</v>
      </c>
      <c r="AQ2382" s="78" t="s">
        <v>4151</v>
      </c>
      <c r="AR2382" t="s">
        <v>179</v>
      </c>
      <c r="AS2382">
        <v>0</v>
      </c>
      <c r="AT2382">
        <v>0</v>
      </c>
    </row>
    <row r="2383" spans="1:46" x14ac:dyDescent="0.45">
      <c r="A2383" s="62" t="s">
        <v>837</v>
      </c>
      <c r="B2383" s="62" t="s">
        <v>1230</v>
      </c>
      <c r="C2383" s="63"/>
      <c r="D2383" s="64"/>
      <c r="E2383" s="65"/>
      <c r="F2383" s="66"/>
      <c r="G2383" s="63"/>
      <c r="H2383" s="67"/>
      <c r="I2383" s="68"/>
      <c r="J2383" s="68"/>
      <c r="K2383" s="32"/>
      <c r="L2383" s="75"/>
      <c r="M2383" s="75"/>
      <c r="N2383" s="70"/>
      <c r="O2383" t="s">
        <v>1570</v>
      </c>
      <c r="P2383" s="76">
        <v>44958.739745370367</v>
      </c>
      <c r="Q2383" t="s">
        <v>1693</v>
      </c>
      <c r="V2383" s="77" t="str">
        <f>HYPERLINK("https://pbs.twimg.com/profile_images/1541739401004257280/HmtdpT2z_normal.jpg")</f>
        <v>https://pbs.twimg.com/profile_images/1541739401004257280/HmtdpT2z_normal.jpg</v>
      </c>
      <c r="W2383" s="76">
        <v>44958.739745370367</v>
      </c>
      <c r="X2383" s="80">
        <v>44958</v>
      </c>
      <c r="Y2383" s="78" t="s">
        <v>3088</v>
      </c>
      <c r="Z2383" s="77" t="str">
        <f>HYPERLINK("https://twitter.com/killerangelfrog/status/1620840715432636417")</f>
        <v>https://twitter.com/killerangelfrog/status/1620840715432636417</v>
      </c>
      <c r="AC2383" s="78" t="s">
        <v>4153</v>
      </c>
      <c r="AE2383" t="b">
        <v>0</v>
      </c>
      <c r="AF2383">
        <v>0</v>
      </c>
      <c r="AG2383" s="78" t="s">
        <v>4640</v>
      </c>
      <c r="AH2383" t="b">
        <v>0</v>
      </c>
      <c r="AI2383" t="s">
        <v>4829</v>
      </c>
      <c r="AK2383" s="78" t="s">
        <v>4640</v>
      </c>
      <c r="AL2383" t="b">
        <v>0</v>
      </c>
      <c r="AM2383">
        <v>162</v>
      </c>
      <c r="AN2383" s="78" t="s">
        <v>4473</v>
      </c>
      <c r="AO2383" s="78" t="s">
        <v>4849</v>
      </c>
      <c r="AP2383" t="b">
        <v>0</v>
      </c>
      <c r="AQ2383" s="78" t="s">
        <v>4473</v>
      </c>
      <c r="AR2383" t="s">
        <v>179</v>
      </c>
      <c r="AS2383">
        <v>0</v>
      </c>
      <c r="AT2383">
        <v>0</v>
      </c>
    </row>
    <row r="2384" spans="1:46" x14ac:dyDescent="0.45">
      <c r="A2384" s="62" t="s">
        <v>837</v>
      </c>
      <c r="B2384" s="62" t="s">
        <v>242</v>
      </c>
      <c r="C2384" s="63"/>
      <c r="D2384" s="64"/>
      <c r="E2384" s="65"/>
      <c r="F2384" s="66"/>
      <c r="G2384" s="63"/>
      <c r="H2384" s="67"/>
      <c r="I2384" s="68"/>
      <c r="J2384" s="68"/>
      <c r="K2384" s="32"/>
      <c r="L2384" s="75"/>
      <c r="M2384" s="75"/>
      <c r="N2384" s="70"/>
      <c r="O2384" t="s">
        <v>1569</v>
      </c>
      <c r="P2384" s="76">
        <v>44958.739745370367</v>
      </c>
      <c r="Q2384" t="s">
        <v>1693</v>
      </c>
      <c r="V2384" s="77" t="str">
        <f>HYPERLINK("https://pbs.twimg.com/profile_images/1541739401004257280/HmtdpT2z_normal.jpg")</f>
        <v>https://pbs.twimg.com/profile_images/1541739401004257280/HmtdpT2z_normal.jpg</v>
      </c>
      <c r="W2384" s="76">
        <v>44958.739745370367</v>
      </c>
      <c r="X2384" s="80">
        <v>44958</v>
      </c>
      <c r="Y2384" s="78" t="s">
        <v>3088</v>
      </c>
      <c r="Z2384" s="77" t="str">
        <f>HYPERLINK("https://twitter.com/killerangelfrog/status/1620840715432636417")</f>
        <v>https://twitter.com/killerangelfrog/status/1620840715432636417</v>
      </c>
      <c r="AC2384" s="78" t="s">
        <v>4153</v>
      </c>
      <c r="AE2384" t="b">
        <v>0</v>
      </c>
      <c r="AF2384">
        <v>0</v>
      </c>
      <c r="AG2384" s="78" t="s">
        <v>4640</v>
      </c>
      <c r="AH2384" t="b">
        <v>0</v>
      </c>
      <c r="AI2384" t="s">
        <v>4829</v>
      </c>
      <c r="AK2384" s="78" t="s">
        <v>4640</v>
      </c>
      <c r="AL2384" t="b">
        <v>0</v>
      </c>
      <c r="AM2384">
        <v>162</v>
      </c>
      <c r="AN2384" s="78" t="s">
        <v>4473</v>
      </c>
      <c r="AO2384" s="78" t="s">
        <v>4849</v>
      </c>
      <c r="AP2384" t="b">
        <v>0</v>
      </c>
      <c r="AQ2384" s="78" t="s">
        <v>4473</v>
      </c>
      <c r="AR2384" t="s">
        <v>179</v>
      </c>
      <c r="AS2384">
        <v>0</v>
      </c>
      <c r="AT2384">
        <v>0</v>
      </c>
    </row>
    <row r="2385" spans="1:46" x14ac:dyDescent="0.45">
      <c r="A2385" s="62" t="s">
        <v>836</v>
      </c>
      <c r="B2385" s="62" t="s">
        <v>837</v>
      </c>
      <c r="C2385" s="63"/>
      <c r="D2385" s="64"/>
      <c r="E2385" s="65"/>
      <c r="F2385" s="66"/>
      <c r="G2385" s="63"/>
      <c r="H2385" s="67"/>
      <c r="I2385" s="68"/>
      <c r="J2385" s="68"/>
      <c r="K2385" s="32"/>
      <c r="L2385" s="75"/>
      <c r="M2385" s="75"/>
      <c r="N2385" s="70"/>
      <c r="O2385" t="s">
        <v>1569</v>
      </c>
      <c r="P2385" s="76">
        <v>44959.01</v>
      </c>
      <c r="Q2385" t="s">
        <v>2017</v>
      </c>
      <c r="U2385" s="77" t="str">
        <f>HYPERLINK("https://pbs.twimg.com/media/Fn5qq3takAAfssn.jpg")</f>
        <v>https://pbs.twimg.com/media/Fn5qq3takAAfssn.jpg</v>
      </c>
      <c r="V2385" s="77" t="str">
        <f>HYPERLINK("https://pbs.twimg.com/media/Fn5qq3takAAfssn.jpg")</f>
        <v>https://pbs.twimg.com/media/Fn5qq3takAAfssn.jpg</v>
      </c>
      <c r="W2385" s="76">
        <v>44959.01</v>
      </c>
      <c r="X2385" s="80">
        <v>44959</v>
      </c>
      <c r="Y2385" s="78" t="s">
        <v>3090</v>
      </c>
      <c r="Z2385" s="77" t="str">
        <f>HYPERLINK("https://twitter.com/asmilersince06/status/1620938652393287680")</f>
        <v>https://twitter.com/asmilersince06/status/1620938652393287680</v>
      </c>
      <c r="AC2385" s="78" t="s">
        <v>4155</v>
      </c>
      <c r="AE2385" t="b">
        <v>0</v>
      </c>
      <c r="AF2385">
        <v>0</v>
      </c>
      <c r="AG2385" s="78" t="s">
        <v>4640</v>
      </c>
      <c r="AH2385" t="b">
        <v>0</v>
      </c>
      <c r="AI2385" t="s">
        <v>4829</v>
      </c>
      <c r="AK2385" s="78" t="s">
        <v>4640</v>
      </c>
      <c r="AL2385" t="b">
        <v>0</v>
      </c>
      <c r="AM2385">
        <v>1</v>
      </c>
      <c r="AN2385" s="78" t="s">
        <v>4154</v>
      </c>
      <c r="AO2385" s="78" t="s">
        <v>4849</v>
      </c>
      <c r="AP2385" t="b">
        <v>0</v>
      </c>
      <c r="AQ2385" s="78" t="s">
        <v>4154</v>
      </c>
      <c r="AR2385" t="s">
        <v>179</v>
      </c>
      <c r="AS2385">
        <v>0</v>
      </c>
      <c r="AT2385">
        <v>0</v>
      </c>
    </row>
    <row r="2386" spans="1:46" x14ac:dyDescent="0.45">
      <c r="A2386" s="62" t="s">
        <v>838</v>
      </c>
      <c r="B2386" s="62" t="s">
        <v>1230</v>
      </c>
      <c r="C2386" s="63"/>
      <c r="D2386" s="64"/>
      <c r="E2386" s="65"/>
      <c r="F2386" s="66"/>
      <c r="G2386" s="63"/>
      <c r="H2386" s="67"/>
      <c r="I2386" s="68"/>
      <c r="J2386" s="68"/>
      <c r="K2386" s="32"/>
      <c r="L2386" s="75"/>
      <c r="M2386" s="75"/>
      <c r="N2386" s="70"/>
      <c r="O2386" t="s">
        <v>1570</v>
      </c>
      <c r="P2386" s="76">
        <v>44958.718391203707</v>
      </c>
      <c r="Q2386" t="s">
        <v>1693</v>
      </c>
      <c r="V2386" s="77" t="str">
        <f>HYPERLINK("https://pbs.twimg.com/profile_images/1587143882533310465/hJWkO7s4_normal.jpg")</f>
        <v>https://pbs.twimg.com/profile_images/1587143882533310465/hJWkO7s4_normal.jpg</v>
      </c>
      <c r="W2386" s="76">
        <v>44958.718391203707</v>
      </c>
      <c r="X2386" s="80">
        <v>44958</v>
      </c>
      <c r="Y2386" s="78" t="s">
        <v>3091</v>
      </c>
      <c r="Z2386" s="77" t="str">
        <f>HYPERLINK("https://twitter.com/legendcyruss/status/1620832972911038464")</f>
        <v>https://twitter.com/legendcyruss/status/1620832972911038464</v>
      </c>
      <c r="AC2386" s="78" t="s">
        <v>4156</v>
      </c>
      <c r="AE2386" t="b">
        <v>0</v>
      </c>
      <c r="AF2386">
        <v>0</v>
      </c>
      <c r="AG2386" s="78" t="s">
        <v>4640</v>
      </c>
      <c r="AH2386" t="b">
        <v>0</v>
      </c>
      <c r="AI2386" t="s">
        <v>4829</v>
      </c>
      <c r="AK2386" s="78" t="s">
        <v>4640</v>
      </c>
      <c r="AL2386" t="b">
        <v>0</v>
      </c>
      <c r="AM2386">
        <v>162</v>
      </c>
      <c r="AN2386" s="78" t="s">
        <v>4473</v>
      </c>
      <c r="AO2386" s="78" t="s">
        <v>4849</v>
      </c>
      <c r="AP2386" t="b">
        <v>0</v>
      </c>
      <c r="AQ2386" s="78" t="s">
        <v>4473</v>
      </c>
      <c r="AR2386" t="s">
        <v>179</v>
      </c>
      <c r="AS2386">
        <v>0</v>
      </c>
      <c r="AT2386">
        <v>0</v>
      </c>
    </row>
    <row r="2387" spans="1:46" x14ac:dyDescent="0.45">
      <c r="A2387" s="62" t="s">
        <v>838</v>
      </c>
      <c r="B2387" s="62" t="s">
        <v>242</v>
      </c>
      <c r="C2387" s="63"/>
      <c r="D2387" s="64"/>
      <c r="E2387" s="65"/>
      <c r="F2387" s="66"/>
      <c r="G2387" s="63"/>
      <c r="H2387" s="67"/>
      <c r="I2387" s="68"/>
      <c r="J2387" s="68"/>
      <c r="K2387" s="32"/>
      <c r="L2387" s="75"/>
      <c r="M2387" s="75"/>
      <c r="N2387" s="70"/>
      <c r="O2387" t="s">
        <v>1569</v>
      </c>
      <c r="P2387" s="76">
        <v>44958.718391203707</v>
      </c>
      <c r="Q2387" t="s">
        <v>1693</v>
      </c>
      <c r="V2387" s="77" t="str">
        <f>HYPERLINK("https://pbs.twimg.com/profile_images/1587143882533310465/hJWkO7s4_normal.jpg")</f>
        <v>https://pbs.twimg.com/profile_images/1587143882533310465/hJWkO7s4_normal.jpg</v>
      </c>
      <c r="W2387" s="76">
        <v>44958.718391203707</v>
      </c>
      <c r="X2387" s="80">
        <v>44958</v>
      </c>
      <c r="Y2387" s="78" t="s">
        <v>3091</v>
      </c>
      <c r="Z2387" s="77" t="str">
        <f>HYPERLINK("https://twitter.com/legendcyruss/status/1620832972911038464")</f>
        <v>https://twitter.com/legendcyruss/status/1620832972911038464</v>
      </c>
      <c r="AC2387" s="78" t="s">
        <v>4156</v>
      </c>
      <c r="AE2387" t="b">
        <v>0</v>
      </c>
      <c r="AF2387">
        <v>0</v>
      </c>
      <c r="AG2387" s="78" t="s">
        <v>4640</v>
      </c>
      <c r="AH2387" t="b">
        <v>0</v>
      </c>
      <c r="AI2387" t="s">
        <v>4829</v>
      </c>
      <c r="AK2387" s="78" t="s">
        <v>4640</v>
      </c>
      <c r="AL2387" t="b">
        <v>0</v>
      </c>
      <c r="AM2387">
        <v>162</v>
      </c>
      <c r="AN2387" s="78" t="s">
        <v>4473</v>
      </c>
      <c r="AO2387" s="78" t="s">
        <v>4849</v>
      </c>
      <c r="AP2387" t="b">
        <v>0</v>
      </c>
      <c r="AQ2387" s="78" t="s">
        <v>4473</v>
      </c>
      <c r="AR2387" t="s">
        <v>179</v>
      </c>
      <c r="AS2387">
        <v>0</v>
      </c>
      <c r="AT2387">
        <v>0</v>
      </c>
    </row>
    <row r="2388" spans="1:46" x14ac:dyDescent="0.45">
      <c r="A2388" s="62" t="s">
        <v>836</v>
      </c>
      <c r="B2388" s="62" t="s">
        <v>838</v>
      </c>
      <c r="C2388" s="63"/>
      <c r="D2388" s="64"/>
      <c r="E2388" s="65"/>
      <c r="F2388" s="66"/>
      <c r="G2388" s="63"/>
      <c r="H2388" s="67"/>
      <c r="I2388" s="68"/>
      <c r="J2388" s="68"/>
      <c r="K2388" s="32"/>
      <c r="L2388" s="75"/>
      <c r="M2388" s="75"/>
      <c r="N2388" s="70"/>
      <c r="O2388" t="s">
        <v>1569</v>
      </c>
      <c r="P2388" s="76">
        <v>44959.010046296295</v>
      </c>
      <c r="Q2388" t="s">
        <v>2018</v>
      </c>
      <c r="V2388" s="77" t="str">
        <f>HYPERLINK("https://pbs.twimg.com/profile_images/1618408202596491264/G3hzrb_e_normal.jpg")</f>
        <v>https://pbs.twimg.com/profile_images/1618408202596491264/G3hzrb_e_normal.jpg</v>
      </c>
      <c r="W2388" s="76">
        <v>44959.010046296295</v>
      </c>
      <c r="X2388" s="80">
        <v>44959</v>
      </c>
      <c r="Y2388" s="78" t="s">
        <v>3093</v>
      </c>
      <c r="Z2388" s="77" t="str">
        <f>HYPERLINK("https://twitter.com/asmilersince06/status/1620938666767167491")</f>
        <v>https://twitter.com/asmilersince06/status/1620938666767167491</v>
      </c>
      <c r="AC2388" s="78" t="s">
        <v>4158</v>
      </c>
      <c r="AE2388" t="b">
        <v>0</v>
      </c>
      <c r="AF2388">
        <v>0</v>
      </c>
      <c r="AG2388" s="78" t="s">
        <v>4640</v>
      </c>
      <c r="AH2388" t="b">
        <v>0</v>
      </c>
      <c r="AI2388" t="s">
        <v>4829</v>
      </c>
      <c r="AK2388" s="78" t="s">
        <v>4640</v>
      </c>
      <c r="AL2388" t="b">
        <v>0</v>
      </c>
      <c r="AM2388">
        <v>1</v>
      </c>
      <c r="AN2388" s="78" t="s">
        <v>4157</v>
      </c>
      <c r="AO2388" s="78" t="s">
        <v>4849</v>
      </c>
      <c r="AP2388" t="b">
        <v>0</v>
      </c>
      <c r="AQ2388" s="78" t="s">
        <v>4157</v>
      </c>
      <c r="AR2388" t="s">
        <v>179</v>
      </c>
      <c r="AS2388">
        <v>0</v>
      </c>
      <c r="AT2388">
        <v>0</v>
      </c>
    </row>
    <row r="2389" spans="1:46" x14ac:dyDescent="0.45">
      <c r="A2389" s="62" t="s">
        <v>836</v>
      </c>
      <c r="B2389" s="62" t="s">
        <v>839</v>
      </c>
      <c r="C2389" s="63"/>
      <c r="D2389" s="64"/>
      <c r="E2389" s="65"/>
      <c r="F2389" s="66"/>
      <c r="G2389" s="63"/>
      <c r="H2389" s="67"/>
      <c r="I2389" s="68"/>
      <c r="J2389" s="68"/>
      <c r="K2389" s="32"/>
      <c r="L2389" s="75"/>
      <c r="M2389" s="75"/>
      <c r="N2389" s="70"/>
      <c r="O2389" t="s">
        <v>1569</v>
      </c>
      <c r="P2389" s="76">
        <v>44959.010370370372</v>
      </c>
      <c r="Q2389" t="s">
        <v>2019</v>
      </c>
      <c r="V2389" s="77" t="str">
        <f>HYPERLINK("https://pbs.twimg.com/profile_images/1618408202596491264/G3hzrb_e_normal.jpg")</f>
        <v>https://pbs.twimg.com/profile_images/1618408202596491264/G3hzrb_e_normal.jpg</v>
      </c>
      <c r="W2389" s="76">
        <v>44959.010370370372</v>
      </c>
      <c r="X2389" s="80">
        <v>44959</v>
      </c>
      <c r="Y2389" s="78" t="s">
        <v>3095</v>
      </c>
      <c r="Z2389" s="77" t="str">
        <f>HYPERLINK("https://twitter.com/asmilersince06/status/1620938784060882944")</f>
        <v>https://twitter.com/asmilersince06/status/1620938784060882944</v>
      </c>
      <c r="AC2389" s="78" t="s">
        <v>4160</v>
      </c>
      <c r="AE2389" t="b">
        <v>0</v>
      </c>
      <c r="AF2389">
        <v>0</v>
      </c>
      <c r="AG2389" s="78" t="s">
        <v>4640</v>
      </c>
      <c r="AH2389" t="b">
        <v>0</v>
      </c>
      <c r="AI2389" t="s">
        <v>4829</v>
      </c>
      <c r="AK2389" s="78" t="s">
        <v>4640</v>
      </c>
      <c r="AL2389" t="b">
        <v>0</v>
      </c>
      <c r="AM2389">
        <v>1</v>
      </c>
      <c r="AN2389" s="78" t="s">
        <v>4159</v>
      </c>
      <c r="AO2389" s="78" t="s">
        <v>4849</v>
      </c>
      <c r="AP2389" t="b">
        <v>0</v>
      </c>
      <c r="AQ2389" s="78" t="s">
        <v>4159</v>
      </c>
      <c r="AR2389" t="s">
        <v>179</v>
      </c>
      <c r="AS2389">
        <v>0</v>
      </c>
      <c r="AT2389">
        <v>0</v>
      </c>
    </row>
    <row r="2390" spans="1:46" x14ac:dyDescent="0.45">
      <c r="A2390" s="62" t="s">
        <v>836</v>
      </c>
      <c r="B2390" s="62" t="s">
        <v>840</v>
      </c>
      <c r="C2390" s="63"/>
      <c r="D2390" s="64"/>
      <c r="E2390" s="65"/>
      <c r="F2390" s="66"/>
      <c r="G2390" s="63"/>
      <c r="H2390" s="67"/>
      <c r="I2390" s="68"/>
      <c r="J2390" s="68"/>
      <c r="K2390" s="32"/>
      <c r="L2390" s="75"/>
      <c r="M2390" s="75"/>
      <c r="N2390" s="70"/>
      <c r="O2390" t="s">
        <v>1569</v>
      </c>
      <c r="P2390" s="76">
        <v>44959.010428240741</v>
      </c>
      <c r="Q2390" t="s">
        <v>2020</v>
      </c>
      <c r="V2390" s="77" t="str">
        <f>HYPERLINK("https://pbs.twimg.com/profile_images/1618408202596491264/G3hzrb_e_normal.jpg")</f>
        <v>https://pbs.twimg.com/profile_images/1618408202596491264/G3hzrb_e_normal.jpg</v>
      </c>
      <c r="W2390" s="76">
        <v>44959.010428240741</v>
      </c>
      <c r="X2390" s="80">
        <v>44959</v>
      </c>
      <c r="Y2390" s="78" t="s">
        <v>3097</v>
      </c>
      <c r="Z2390" s="77" t="str">
        <f>HYPERLINK("https://twitter.com/asmilersince06/status/1620938803946090497")</f>
        <v>https://twitter.com/asmilersince06/status/1620938803946090497</v>
      </c>
      <c r="AC2390" s="78" t="s">
        <v>4162</v>
      </c>
      <c r="AE2390" t="b">
        <v>0</v>
      </c>
      <c r="AF2390">
        <v>0</v>
      </c>
      <c r="AG2390" s="78" t="s">
        <v>4640</v>
      </c>
      <c r="AH2390" t="b">
        <v>0</v>
      </c>
      <c r="AI2390" t="s">
        <v>4829</v>
      </c>
      <c r="AK2390" s="78" t="s">
        <v>4640</v>
      </c>
      <c r="AL2390" t="b">
        <v>0</v>
      </c>
      <c r="AM2390">
        <v>1</v>
      </c>
      <c r="AN2390" s="78" t="s">
        <v>4161</v>
      </c>
      <c r="AO2390" s="78" t="s">
        <v>4849</v>
      </c>
      <c r="AP2390" t="b">
        <v>0</v>
      </c>
      <c r="AQ2390" s="78" t="s">
        <v>4161</v>
      </c>
      <c r="AR2390" t="s">
        <v>179</v>
      </c>
      <c r="AS2390">
        <v>0</v>
      </c>
      <c r="AT2390">
        <v>0</v>
      </c>
    </row>
    <row r="2391" spans="1:46" x14ac:dyDescent="0.45">
      <c r="A2391" s="62" t="s">
        <v>836</v>
      </c>
      <c r="B2391" s="62" t="s">
        <v>1230</v>
      </c>
      <c r="C2391" s="63"/>
      <c r="D2391" s="64"/>
      <c r="E2391" s="65"/>
      <c r="F2391" s="66"/>
      <c r="G2391" s="63"/>
      <c r="H2391" s="67"/>
      <c r="I2391" s="68"/>
      <c r="J2391" s="68"/>
      <c r="K2391" s="32"/>
      <c r="L2391" s="75"/>
      <c r="M2391" s="75"/>
      <c r="N2391" s="70"/>
      <c r="O2391" t="s">
        <v>1570</v>
      </c>
      <c r="P2391" s="76">
        <v>44958.761342592596</v>
      </c>
      <c r="Q2391" t="s">
        <v>1693</v>
      </c>
      <c r="V2391" s="77" t="str">
        <f>HYPERLINK("https://pbs.twimg.com/profile_images/1618408202596491264/G3hzrb_e_normal.jpg")</f>
        <v>https://pbs.twimg.com/profile_images/1618408202596491264/G3hzrb_e_normal.jpg</v>
      </c>
      <c r="W2391" s="76">
        <v>44958.761342592596</v>
      </c>
      <c r="X2391" s="80">
        <v>44958</v>
      </c>
      <c r="Y2391" s="78" t="s">
        <v>3098</v>
      </c>
      <c r="Z2391" s="77" t="str">
        <f>HYPERLINK("https://twitter.com/asmilersince06/status/1620848541232173056")</f>
        <v>https://twitter.com/asmilersince06/status/1620848541232173056</v>
      </c>
      <c r="AC2391" s="78" t="s">
        <v>4163</v>
      </c>
      <c r="AE2391" t="b">
        <v>0</v>
      </c>
      <c r="AF2391">
        <v>0</v>
      </c>
      <c r="AG2391" s="78" t="s">
        <v>4640</v>
      </c>
      <c r="AH2391" t="b">
        <v>0</v>
      </c>
      <c r="AI2391" t="s">
        <v>4829</v>
      </c>
      <c r="AK2391" s="78" t="s">
        <v>4640</v>
      </c>
      <c r="AL2391" t="b">
        <v>0</v>
      </c>
      <c r="AM2391">
        <v>162</v>
      </c>
      <c r="AN2391" s="78" t="s">
        <v>4473</v>
      </c>
      <c r="AO2391" s="78" t="s">
        <v>4849</v>
      </c>
      <c r="AP2391" t="b">
        <v>0</v>
      </c>
      <c r="AQ2391" s="78" t="s">
        <v>4473</v>
      </c>
      <c r="AR2391" t="s">
        <v>179</v>
      </c>
      <c r="AS2391">
        <v>0</v>
      </c>
      <c r="AT2391">
        <v>0</v>
      </c>
    </row>
    <row r="2392" spans="1:46" x14ac:dyDescent="0.45">
      <c r="A2392" s="62" t="s">
        <v>836</v>
      </c>
      <c r="B2392" s="62" t="s">
        <v>242</v>
      </c>
      <c r="C2392" s="63"/>
      <c r="D2392" s="64"/>
      <c r="E2392" s="65"/>
      <c r="F2392" s="66"/>
      <c r="G2392" s="63"/>
      <c r="H2392" s="67"/>
      <c r="I2392" s="68"/>
      <c r="J2392" s="68"/>
      <c r="K2392" s="32"/>
      <c r="L2392" s="75"/>
      <c r="M2392" s="75"/>
      <c r="N2392" s="70"/>
      <c r="O2392" t="s">
        <v>1569</v>
      </c>
      <c r="P2392" s="76">
        <v>44958.761342592596</v>
      </c>
      <c r="Q2392" t="s">
        <v>1693</v>
      </c>
      <c r="V2392" s="77" t="str">
        <f>HYPERLINK("https://pbs.twimg.com/profile_images/1618408202596491264/G3hzrb_e_normal.jpg")</f>
        <v>https://pbs.twimg.com/profile_images/1618408202596491264/G3hzrb_e_normal.jpg</v>
      </c>
      <c r="W2392" s="76">
        <v>44958.761342592596</v>
      </c>
      <c r="X2392" s="80">
        <v>44958</v>
      </c>
      <c r="Y2392" s="78" t="s">
        <v>3098</v>
      </c>
      <c r="Z2392" s="77" t="str">
        <f>HYPERLINK("https://twitter.com/asmilersince06/status/1620848541232173056")</f>
        <v>https://twitter.com/asmilersince06/status/1620848541232173056</v>
      </c>
      <c r="AC2392" s="78" t="s">
        <v>4163</v>
      </c>
      <c r="AE2392" t="b">
        <v>0</v>
      </c>
      <c r="AF2392">
        <v>0</v>
      </c>
      <c r="AG2392" s="78" t="s">
        <v>4640</v>
      </c>
      <c r="AH2392" t="b">
        <v>0</v>
      </c>
      <c r="AI2392" t="s">
        <v>4829</v>
      </c>
      <c r="AK2392" s="78" t="s">
        <v>4640</v>
      </c>
      <c r="AL2392" t="b">
        <v>0</v>
      </c>
      <c r="AM2392">
        <v>162</v>
      </c>
      <c r="AN2392" s="78" t="s">
        <v>4473</v>
      </c>
      <c r="AO2392" s="78" t="s">
        <v>4849</v>
      </c>
      <c r="AP2392" t="b">
        <v>0</v>
      </c>
      <c r="AQ2392" s="78" t="s">
        <v>4473</v>
      </c>
      <c r="AR2392" t="s">
        <v>179</v>
      </c>
      <c r="AS2392">
        <v>0</v>
      </c>
      <c r="AT2392">
        <v>0</v>
      </c>
    </row>
    <row r="2393" spans="1:46" x14ac:dyDescent="0.45">
      <c r="A2393" s="62" t="s">
        <v>836</v>
      </c>
      <c r="B2393" s="62" t="s">
        <v>1230</v>
      </c>
      <c r="C2393" s="63"/>
      <c r="D2393" s="64"/>
      <c r="E2393" s="65"/>
      <c r="F2393" s="66"/>
      <c r="G2393" s="63"/>
      <c r="H2393" s="67"/>
      <c r="I2393" s="68"/>
      <c r="J2393" s="68"/>
      <c r="K2393" s="32"/>
      <c r="L2393" s="75"/>
      <c r="M2393" s="75"/>
      <c r="N2393" s="70"/>
      <c r="O2393" t="s">
        <v>1570</v>
      </c>
      <c r="P2393" s="76">
        <v>44959.009884259256</v>
      </c>
      <c r="Q2393" t="s">
        <v>2015</v>
      </c>
      <c r="V2393" s="77" t="str">
        <f>HYPERLINK("https://pbs.twimg.com/profile_images/1618408202596491264/G3hzrb_e_normal.jpg")</f>
        <v>https://pbs.twimg.com/profile_images/1618408202596491264/G3hzrb_e_normal.jpg</v>
      </c>
      <c r="W2393" s="76">
        <v>44959.009884259256</v>
      </c>
      <c r="X2393" s="80">
        <v>44959</v>
      </c>
      <c r="Y2393" s="78" t="s">
        <v>3085</v>
      </c>
      <c r="Z2393" s="77" t="str">
        <f>HYPERLINK("https://twitter.com/asmilersince06/status/1620938609301004288")</f>
        <v>https://twitter.com/asmilersince06/status/1620938609301004288</v>
      </c>
      <c r="AC2393" s="78" t="s">
        <v>4150</v>
      </c>
      <c r="AE2393" t="b">
        <v>0</v>
      </c>
      <c r="AF2393">
        <v>0</v>
      </c>
      <c r="AG2393" s="78" t="s">
        <v>4640</v>
      </c>
      <c r="AH2393" t="b">
        <v>0</v>
      </c>
      <c r="AI2393" t="s">
        <v>4829</v>
      </c>
      <c r="AK2393" s="78" t="s">
        <v>4640</v>
      </c>
      <c r="AL2393" t="b">
        <v>0</v>
      </c>
      <c r="AM2393">
        <v>1</v>
      </c>
      <c r="AN2393" s="78" t="s">
        <v>4149</v>
      </c>
      <c r="AO2393" s="78" t="s">
        <v>4849</v>
      </c>
      <c r="AP2393" t="b">
        <v>0</v>
      </c>
      <c r="AQ2393" s="78" t="s">
        <v>4149</v>
      </c>
      <c r="AR2393" t="s">
        <v>179</v>
      </c>
      <c r="AS2393">
        <v>0</v>
      </c>
      <c r="AT2393">
        <v>0</v>
      </c>
    </row>
    <row r="2394" spans="1:46" x14ac:dyDescent="0.45">
      <c r="A2394" s="62" t="s">
        <v>836</v>
      </c>
      <c r="B2394" s="62" t="s">
        <v>242</v>
      </c>
      <c r="C2394" s="63"/>
      <c r="D2394" s="64"/>
      <c r="E2394" s="65"/>
      <c r="F2394" s="66"/>
      <c r="G2394" s="63"/>
      <c r="H2394" s="67"/>
      <c r="I2394" s="68"/>
      <c r="J2394" s="68"/>
      <c r="K2394" s="32"/>
      <c r="L2394" s="75"/>
      <c r="M2394" s="75"/>
      <c r="N2394" s="70"/>
      <c r="O2394" t="s">
        <v>1567</v>
      </c>
      <c r="P2394" s="76">
        <v>44959.009884259256</v>
      </c>
      <c r="Q2394" t="s">
        <v>2015</v>
      </c>
      <c r="V2394" s="77" t="str">
        <f>HYPERLINK("https://pbs.twimg.com/profile_images/1618408202596491264/G3hzrb_e_normal.jpg")</f>
        <v>https://pbs.twimg.com/profile_images/1618408202596491264/G3hzrb_e_normal.jpg</v>
      </c>
      <c r="W2394" s="76">
        <v>44959.009884259256</v>
      </c>
      <c r="X2394" s="80">
        <v>44959</v>
      </c>
      <c r="Y2394" s="78" t="s">
        <v>3085</v>
      </c>
      <c r="Z2394" s="77" t="str">
        <f>HYPERLINK("https://twitter.com/asmilersince06/status/1620938609301004288")</f>
        <v>https://twitter.com/asmilersince06/status/1620938609301004288</v>
      </c>
      <c r="AC2394" s="78" t="s">
        <v>4150</v>
      </c>
      <c r="AE2394" t="b">
        <v>0</v>
      </c>
      <c r="AF2394">
        <v>0</v>
      </c>
      <c r="AG2394" s="78" t="s">
        <v>4640</v>
      </c>
      <c r="AH2394" t="b">
        <v>0</v>
      </c>
      <c r="AI2394" t="s">
        <v>4829</v>
      </c>
      <c r="AK2394" s="78" t="s">
        <v>4640</v>
      </c>
      <c r="AL2394" t="b">
        <v>0</v>
      </c>
      <c r="AM2394">
        <v>1</v>
      </c>
      <c r="AN2394" s="78" t="s">
        <v>4149</v>
      </c>
      <c r="AO2394" s="78" t="s">
        <v>4849</v>
      </c>
      <c r="AP2394" t="b">
        <v>0</v>
      </c>
      <c r="AQ2394" s="78" t="s">
        <v>4149</v>
      </c>
      <c r="AR2394" t="s">
        <v>179</v>
      </c>
      <c r="AS2394">
        <v>0</v>
      </c>
      <c r="AT2394">
        <v>0</v>
      </c>
    </row>
    <row r="2395" spans="1:46" x14ac:dyDescent="0.45">
      <c r="A2395" s="62" t="s">
        <v>836</v>
      </c>
      <c r="B2395" s="62" t="s">
        <v>1230</v>
      </c>
      <c r="C2395" s="63"/>
      <c r="D2395" s="64"/>
      <c r="E2395" s="65"/>
      <c r="F2395" s="66"/>
      <c r="G2395" s="63"/>
      <c r="H2395" s="67"/>
      <c r="I2395" s="68"/>
      <c r="J2395" s="68"/>
      <c r="K2395" s="32"/>
      <c r="L2395" s="75"/>
      <c r="M2395" s="75"/>
      <c r="N2395" s="70"/>
      <c r="O2395" t="s">
        <v>1570</v>
      </c>
      <c r="P2395" s="76">
        <v>44959.009930555556</v>
      </c>
      <c r="Q2395" t="s">
        <v>2016</v>
      </c>
      <c r="V2395" s="77" t="str">
        <f>HYPERLINK("https://pbs.twimg.com/profile_images/1618408202596491264/G3hzrb_e_normal.jpg")</f>
        <v>https://pbs.twimg.com/profile_images/1618408202596491264/G3hzrb_e_normal.jpg</v>
      </c>
      <c r="W2395" s="76">
        <v>44959.009930555556</v>
      </c>
      <c r="X2395" s="80">
        <v>44959</v>
      </c>
      <c r="Y2395" s="78" t="s">
        <v>3087</v>
      </c>
      <c r="Z2395" s="77" t="str">
        <f>HYPERLINK("https://twitter.com/asmilersince06/status/1620938623406452737")</f>
        <v>https://twitter.com/asmilersince06/status/1620938623406452737</v>
      </c>
      <c r="AC2395" s="78" t="s">
        <v>4152</v>
      </c>
      <c r="AE2395" t="b">
        <v>0</v>
      </c>
      <c r="AF2395">
        <v>0</v>
      </c>
      <c r="AG2395" s="78" t="s">
        <v>4640</v>
      </c>
      <c r="AH2395" t="b">
        <v>0</v>
      </c>
      <c r="AI2395" t="s">
        <v>4829</v>
      </c>
      <c r="AK2395" s="78" t="s">
        <v>4640</v>
      </c>
      <c r="AL2395" t="b">
        <v>0</v>
      </c>
      <c r="AM2395">
        <v>1</v>
      </c>
      <c r="AN2395" s="78" t="s">
        <v>4151</v>
      </c>
      <c r="AO2395" s="78" t="s">
        <v>4849</v>
      </c>
      <c r="AP2395" t="b">
        <v>0</v>
      </c>
      <c r="AQ2395" s="78" t="s">
        <v>4151</v>
      </c>
      <c r="AR2395" t="s">
        <v>179</v>
      </c>
      <c r="AS2395">
        <v>0</v>
      </c>
      <c r="AT2395">
        <v>0</v>
      </c>
    </row>
    <row r="2396" spans="1:46" x14ac:dyDescent="0.45">
      <c r="A2396" s="62" t="s">
        <v>836</v>
      </c>
      <c r="B2396" s="62" t="s">
        <v>242</v>
      </c>
      <c r="C2396" s="63"/>
      <c r="D2396" s="64"/>
      <c r="E2396" s="65"/>
      <c r="F2396" s="66"/>
      <c r="G2396" s="63"/>
      <c r="H2396" s="67"/>
      <c r="I2396" s="68"/>
      <c r="J2396" s="68"/>
      <c r="K2396" s="32"/>
      <c r="L2396" s="75"/>
      <c r="M2396" s="75"/>
      <c r="N2396" s="70"/>
      <c r="O2396" t="s">
        <v>1567</v>
      </c>
      <c r="P2396" s="76">
        <v>44959.009930555556</v>
      </c>
      <c r="Q2396" t="s">
        <v>2016</v>
      </c>
      <c r="V2396" s="77" t="str">
        <f>HYPERLINK("https://pbs.twimg.com/profile_images/1618408202596491264/G3hzrb_e_normal.jpg")</f>
        <v>https://pbs.twimg.com/profile_images/1618408202596491264/G3hzrb_e_normal.jpg</v>
      </c>
      <c r="W2396" s="76">
        <v>44959.009930555556</v>
      </c>
      <c r="X2396" s="80">
        <v>44959</v>
      </c>
      <c r="Y2396" s="78" t="s">
        <v>3087</v>
      </c>
      <c r="Z2396" s="77" t="str">
        <f>HYPERLINK("https://twitter.com/asmilersince06/status/1620938623406452737")</f>
        <v>https://twitter.com/asmilersince06/status/1620938623406452737</v>
      </c>
      <c r="AC2396" s="78" t="s">
        <v>4152</v>
      </c>
      <c r="AE2396" t="b">
        <v>0</v>
      </c>
      <c r="AF2396">
        <v>0</v>
      </c>
      <c r="AG2396" s="78" t="s">
        <v>4640</v>
      </c>
      <c r="AH2396" t="b">
        <v>0</v>
      </c>
      <c r="AI2396" t="s">
        <v>4829</v>
      </c>
      <c r="AK2396" s="78" t="s">
        <v>4640</v>
      </c>
      <c r="AL2396" t="b">
        <v>0</v>
      </c>
      <c r="AM2396">
        <v>1</v>
      </c>
      <c r="AN2396" s="78" t="s">
        <v>4151</v>
      </c>
      <c r="AO2396" s="78" t="s">
        <v>4849</v>
      </c>
      <c r="AP2396" t="b">
        <v>0</v>
      </c>
      <c r="AQ2396" s="78" t="s">
        <v>4151</v>
      </c>
      <c r="AR2396" t="s">
        <v>179</v>
      </c>
      <c r="AS2396">
        <v>0</v>
      </c>
      <c r="AT2396">
        <v>0</v>
      </c>
    </row>
    <row r="2397" spans="1:46" x14ac:dyDescent="0.45">
      <c r="A2397" s="62" t="s">
        <v>836</v>
      </c>
      <c r="B2397" s="62" t="s">
        <v>1230</v>
      </c>
      <c r="C2397" s="63"/>
      <c r="D2397" s="64"/>
      <c r="E2397" s="65"/>
      <c r="F2397" s="66"/>
      <c r="G2397" s="63"/>
      <c r="H2397" s="67"/>
      <c r="I2397" s="68"/>
      <c r="J2397" s="68"/>
      <c r="K2397" s="32"/>
      <c r="L2397" s="75"/>
      <c r="M2397" s="75"/>
      <c r="N2397" s="70"/>
      <c r="O2397" t="s">
        <v>1570</v>
      </c>
      <c r="P2397" s="76">
        <v>44959.009953703702</v>
      </c>
      <c r="Q2397" t="s">
        <v>2021</v>
      </c>
      <c r="V2397" s="77" t="str">
        <f>HYPERLINK("https://pbs.twimg.com/profile_images/1618408202596491264/G3hzrb_e_normal.jpg")</f>
        <v>https://pbs.twimg.com/profile_images/1618408202596491264/G3hzrb_e_normal.jpg</v>
      </c>
      <c r="W2397" s="76">
        <v>44959.009953703702</v>
      </c>
      <c r="X2397" s="80">
        <v>44959</v>
      </c>
      <c r="Y2397" s="78" t="s">
        <v>3099</v>
      </c>
      <c r="Z2397" s="77" t="str">
        <f>HYPERLINK("https://twitter.com/asmilersince06/status/1620938635297030144")</f>
        <v>https://twitter.com/asmilersince06/status/1620938635297030144</v>
      </c>
      <c r="AC2397" s="78" t="s">
        <v>4164</v>
      </c>
      <c r="AE2397" t="b">
        <v>0</v>
      </c>
      <c r="AF2397">
        <v>0</v>
      </c>
      <c r="AG2397" s="78" t="s">
        <v>4640</v>
      </c>
      <c r="AH2397" t="b">
        <v>0</v>
      </c>
      <c r="AI2397" t="s">
        <v>4829</v>
      </c>
      <c r="AK2397" s="78" t="s">
        <v>4640</v>
      </c>
      <c r="AL2397" t="b">
        <v>0</v>
      </c>
      <c r="AM2397">
        <v>4</v>
      </c>
      <c r="AN2397" s="78" t="s">
        <v>4353</v>
      </c>
      <c r="AO2397" s="78" t="s">
        <v>4849</v>
      </c>
      <c r="AP2397" t="b">
        <v>0</v>
      </c>
      <c r="AQ2397" s="78" t="s">
        <v>4353</v>
      </c>
      <c r="AR2397" t="s">
        <v>179</v>
      </c>
      <c r="AS2397">
        <v>0</v>
      </c>
      <c r="AT2397">
        <v>0</v>
      </c>
    </row>
    <row r="2398" spans="1:46" x14ac:dyDescent="0.45">
      <c r="A2398" s="62" t="s">
        <v>836</v>
      </c>
      <c r="B2398" s="62" t="s">
        <v>1001</v>
      </c>
      <c r="C2398" s="63"/>
      <c r="D2398" s="64"/>
      <c r="E2398" s="65"/>
      <c r="F2398" s="66"/>
      <c r="G2398" s="63"/>
      <c r="H2398" s="67"/>
      <c r="I2398" s="68"/>
      <c r="J2398" s="68"/>
      <c r="K2398" s="32"/>
      <c r="L2398" s="75"/>
      <c r="M2398" s="75"/>
      <c r="N2398" s="70"/>
      <c r="O2398" t="s">
        <v>1569</v>
      </c>
      <c r="P2398" s="76">
        <v>44959.009953703702</v>
      </c>
      <c r="Q2398" t="s">
        <v>2021</v>
      </c>
      <c r="V2398" s="77" t="str">
        <f>HYPERLINK("https://pbs.twimg.com/profile_images/1618408202596491264/G3hzrb_e_normal.jpg")</f>
        <v>https://pbs.twimg.com/profile_images/1618408202596491264/G3hzrb_e_normal.jpg</v>
      </c>
      <c r="W2398" s="76">
        <v>44959.009953703702</v>
      </c>
      <c r="X2398" s="80">
        <v>44959</v>
      </c>
      <c r="Y2398" s="78" t="s">
        <v>3099</v>
      </c>
      <c r="Z2398" s="77" t="str">
        <f>HYPERLINK("https://twitter.com/asmilersince06/status/1620938635297030144")</f>
        <v>https://twitter.com/asmilersince06/status/1620938635297030144</v>
      </c>
      <c r="AC2398" s="78" t="s">
        <v>4164</v>
      </c>
      <c r="AE2398" t="b">
        <v>0</v>
      </c>
      <c r="AF2398">
        <v>0</v>
      </c>
      <c r="AG2398" s="78" t="s">
        <v>4640</v>
      </c>
      <c r="AH2398" t="b">
        <v>0</v>
      </c>
      <c r="AI2398" t="s">
        <v>4829</v>
      </c>
      <c r="AK2398" s="78" t="s">
        <v>4640</v>
      </c>
      <c r="AL2398" t="b">
        <v>0</v>
      </c>
      <c r="AM2398">
        <v>4</v>
      </c>
      <c r="AN2398" s="78" t="s">
        <v>4353</v>
      </c>
      <c r="AO2398" s="78" t="s">
        <v>4849</v>
      </c>
      <c r="AP2398" t="b">
        <v>0</v>
      </c>
      <c r="AQ2398" s="78" t="s">
        <v>4353</v>
      </c>
      <c r="AR2398" t="s">
        <v>179</v>
      </c>
      <c r="AS2398">
        <v>0</v>
      </c>
      <c r="AT2398">
        <v>0</v>
      </c>
    </row>
    <row r="2399" spans="1:46" x14ac:dyDescent="0.45">
      <c r="A2399" s="62" t="s">
        <v>836</v>
      </c>
      <c r="B2399" s="62" t="s">
        <v>242</v>
      </c>
      <c r="C2399" s="63"/>
      <c r="D2399" s="64"/>
      <c r="E2399" s="65"/>
      <c r="F2399" s="66"/>
      <c r="G2399" s="63"/>
      <c r="H2399" s="67"/>
      <c r="I2399" s="68"/>
      <c r="J2399" s="68"/>
      <c r="K2399" s="32"/>
      <c r="L2399" s="75"/>
      <c r="M2399" s="75"/>
      <c r="N2399" s="70"/>
      <c r="O2399" t="s">
        <v>1567</v>
      </c>
      <c r="P2399" s="76">
        <v>44959.009953703702</v>
      </c>
      <c r="Q2399" t="s">
        <v>2021</v>
      </c>
      <c r="V2399" s="77" t="str">
        <f>HYPERLINK("https://pbs.twimg.com/profile_images/1618408202596491264/G3hzrb_e_normal.jpg")</f>
        <v>https://pbs.twimg.com/profile_images/1618408202596491264/G3hzrb_e_normal.jpg</v>
      </c>
      <c r="W2399" s="76">
        <v>44959.009953703702</v>
      </c>
      <c r="X2399" s="80">
        <v>44959</v>
      </c>
      <c r="Y2399" s="78" t="s">
        <v>3099</v>
      </c>
      <c r="Z2399" s="77" t="str">
        <f>HYPERLINK("https://twitter.com/asmilersince06/status/1620938635297030144")</f>
        <v>https://twitter.com/asmilersince06/status/1620938635297030144</v>
      </c>
      <c r="AC2399" s="78" t="s">
        <v>4164</v>
      </c>
      <c r="AE2399" t="b">
        <v>0</v>
      </c>
      <c r="AF2399">
        <v>0</v>
      </c>
      <c r="AG2399" s="78" t="s">
        <v>4640</v>
      </c>
      <c r="AH2399" t="b">
        <v>0</v>
      </c>
      <c r="AI2399" t="s">
        <v>4829</v>
      </c>
      <c r="AK2399" s="78" t="s">
        <v>4640</v>
      </c>
      <c r="AL2399" t="b">
        <v>0</v>
      </c>
      <c r="AM2399">
        <v>4</v>
      </c>
      <c r="AN2399" s="78" t="s">
        <v>4353</v>
      </c>
      <c r="AO2399" s="78" t="s">
        <v>4849</v>
      </c>
      <c r="AP2399" t="b">
        <v>0</v>
      </c>
      <c r="AQ2399" s="78" t="s">
        <v>4353</v>
      </c>
      <c r="AR2399" t="s">
        <v>179</v>
      </c>
      <c r="AS2399">
        <v>0</v>
      </c>
      <c r="AT2399">
        <v>0</v>
      </c>
    </row>
    <row r="2400" spans="1:46" x14ac:dyDescent="0.45">
      <c r="A2400" s="62" t="s">
        <v>836</v>
      </c>
      <c r="B2400" s="62" t="s">
        <v>1230</v>
      </c>
      <c r="C2400" s="63"/>
      <c r="D2400" s="64"/>
      <c r="E2400" s="65"/>
      <c r="F2400" s="66"/>
      <c r="G2400" s="63"/>
      <c r="H2400" s="67"/>
      <c r="I2400" s="68"/>
      <c r="J2400" s="68"/>
      <c r="K2400" s="32"/>
      <c r="L2400" s="75"/>
      <c r="M2400" s="75"/>
      <c r="N2400" s="70"/>
      <c r="O2400" t="s">
        <v>1570</v>
      </c>
      <c r="P2400" s="76">
        <v>44959.01</v>
      </c>
      <c r="Q2400" t="s">
        <v>2017</v>
      </c>
      <c r="U2400" s="77" t="str">
        <f>HYPERLINK("https://pbs.twimg.com/media/Fn5qq3takAAfssn.jpg")</f>
        <v>https://pbs.twimg.com/media/Fn5qq3takAAfssn.jpg</v>
      </c>
      <c r="V2400" s="77" t="str">
        <f>HYPERLINK("https://pbs.twimg.com/media/Fn5qq3takAAfssn.jpg")</f>
        <v>https://pbs.twimg.com/media/Fn5qq3takAAfssn.jpg</v>
      </c>
      <c r="W2400" s="76">
        <v>44959.01</v>
      </c>
      <c r="X2400" s="80">
        <v>44959</v>
      </c>
      <c r="Y2400" s="78" t="s">
        <v>3090</v>
      </c>
      <c r="Z2400" s="77" t="str">
        <f>HYPERLINK("https://twitter.com/asmilersince06/status/1620938652393287680")</f>
        <v>https://twitter.com/asmilersince06/status/1620938652393287680</v>
      </c>
      <c r="AC2400" s="78" t="s">
        <v>4155</v>
      </c>
      <c r="AE2400" t="b">
        <v>0</v>
      </c>
      <c r="AF2400">
        <v>0</v>
      </c>
      <c r="AG2400" s="78" t="s">
        <v>4640</v>
      </c>
      <c r="AH2400" t="b">
        <v>0</v>
      </c>
      <c r="AI2400" t="s">
        <v>4829</v>
      </c>
      <c r="AK2400" s="78" t="s">
        <v>4640</v>
      </c>
      <c r="AL2400" t="b">
        <v>0</v>
      </c>
      <c r="AM2400">
        <v>1</v>
      </c>
      <c r="AN2400" s="78" t="s">
        <v>4154</v>
      </c>
      <c r="AO2400" s="78" t="s">
        <v>4849</v>
      </c>
      <c r="AP2400" t="b">
        <v>0</v>
      </c>
      <c r="AQ2400" s="78" t="s">
        <v>4154</v>
      </c>
      <c r="AR2400" t="s">
        <v>179</v>
      </c>
      <c r="AS2400">
        <v>0</v>
      </c>
      <c r="AT2400">
        <v>0</v>
      </c>
    </row>
    <row r="2401" spans="1:54" x14ac:dyDescent="0.45">
      <c r="A2401" s="62" t="s">
        <v>836</v>
      </c>
      <c r="B2401" s="62" t="s">
        <v>242</v>
      </c>
      <c r="C2401" s="63"/>
      <c r="D2401" s="64"/>
      <c r="E2401" s="65"/>
      <c r="F2401" s="66"/>
      <c r="G2401" s="63"/>
      <c r="H2401" s="67"/>
      <c r="I2401" s="68"/>
      <c r="J2401" s="68"/>
      <c r="K2401" s="32"/>
      <c r="L2401" s="75"/>
      <c r="M2401" s="75"/>
      <c r="N2401" s="70"/>
      <c r="O2401" t="s">
        <v>1567</v>
      </c>
      <c r="P2401" s="76">
        <v>44959.01</v>
      </c>
      <c r="Q2401" t="s">
        <v>2017</v>
      </c>
      <c r="U2401" s="77" t="str">
        <f>HYPERLINK("https://pbs.twimg.com/media/Fn5qq3takAAfssn.jpg")</f>
        <v>https://pbs.twimg.com/media/Fn5qq3takAAfssn.jpg</v>
      </c>
      <c r="V2401" s="77" t="str">
        <f>HYPERLINK("https://pbs.twimg.com/media/Fn5qq3takAAfssn.jpg")</f>
        <v>https://pbs.twimg.com/media/Fn5qq3takAAfssn.jpg</v>
      </c>
      <c r="W2401" s="76">
        <v>44959.01</v>
      </c>
      <c r="X2401" s="80">
        <v>44959</v>
      </c>
      <c r="Y2401" s="78" t="s">
        <v>3090</v>
      </c>
      <c r="Z2401" s="77" t="str">
        <f>HYPERLINK("https://twitter.com/asmilersince06/status/1620938652393287680")</f>
        <v>https://twitter.com/asmilersince06/status/1620938652393287680</v>
      </c>
      <c r="AC2401" s="78" t="s">
        <v>4155</v>
      </c>
      <c r="AE2401" t="b">
        <v>0</v>
      </c>
      <c r="AF2401">
        <v>0</v>
      </c>
      <c r="AG2401" s="78" t="s">
        <v>4640</v>
      </c>
      <c r="AH2401" t="b">
        <v>0</v>
      </c>
      <c r="AI2401" t="s">
        <v>4829</v>
      </c>
      <c r="AK2401" s="78" t="s">
        <v>4640</v>
      </c>
      <c r="AL2401" t="b">
        <v>0</v>
      </c>
      <c r="AM2401">
        <v>1</v>
      </c>
      <c r="AN2401" s="78" t="s">
        <v>4154</v>
      </c>
      <c r="AO2401" s="78" t="s">
        <v>4849</v>
      </c>
      <c r="AP2401" t="b">
        <v>0</v>
      </c>
      <c r="AQ2401" s="78" t="s">
        <v>4154</v>
      </c>
      <c r="AR2401" t="s">
        <v>179</v>
      </c>
      <c r="AS2401">
        <v>0</v>
      </c>
      <c r="AT2401">
        <v>0</v>
      </c>
    </row>
    <row r="2402" spans="1:54" x14ac:dyDescent="0.45">
      <c r="A2402" s="62" t="s">
        <v>836</v>
      </c>
      <c r="B2402" s="62" t="s">
        <v>1230</v>
      </c>
      <c r="C2402" s="63"/>
      <c r="D2402" s="64"/>
      <c r="E2402" s="65"/>
      <c r="F2402" s="66"/>
      <c r="G2402" s="63"/>
      <c r="H2402" s="67"/>
      <c r="I2402" s="68"/>
      <c r="J2402" s="68"/>
      <c r="K2402" s="32"/>
      <c r="L2402" s="75"/>
      <c r="M2402" s="75"/>
      <c r="N2402" s="70"/>
      <c r="O2402" t="s">
        <v>1570</v>
      </c>
      <c r="P2402" s="76">
        <v>44959.010046296295</v>
      </c>
      <c r="Q2402" t="s">
        <v>2018</v>
      </c>
      <c r="V2402" s="77" t="str">
        <f>HYPERLINK("https://pbs.twimg.com/profile_images/1618408202596491264/G3hzrb_e_normal.jpg")</f>
        <v>https://pbs.twimg.com/profile_images/1618408202596491264/G3hzrb_e_normal.jpg</v>
      </c>
      <c r="W2402" s="76">
        <v>44959.010046296295</v>
      </c>
      <c r="X2402" s="80">
        <v>44959</v>
      </c>
      <c r="Y2402" s="78" t="s">
        <v>3093</v>
      </c>
      <c r="Z2402" s="77" t="str">
        <f>HYPERLINK("https://twitter.com/asmilersince06/status/1620938666767167491")</f>
        <v>https://twitter.com/asmilersince06/status/1620938666767167491</v>
      </c>
      <c r="AC2402" s="78" t="s">
        <v>4158</v>
      </c>
      <c r="AE2402" t="b">
        <v>0</v>
      </c>
      <c r="AF2402">
        <v>0</v>
      </c>
      <c r="AG2402" s="78" t="s">
        <v>4640</v>
      </c>
      <c r="AH2402" t="b">
        <v>0</v>
      </c>
      <c r="AI2402" t="s">
        <v>4829</v>
      </c>
      <c r="AK2402" s="78" t="s">
        <v>4640</v>
      </c>
      <c r="AL2402" t="b">
        <v>0</v>
      </c>
      <c r="AM2402">
        <v>1</v>
      </c>
      <c r="AN2402" s="78" t="s">
        <v>4157</v>
      </c>
      <c r="AO2402" s="78" t="s">
        <v>4849</v>
      </c>
      <c r="AP2402" t="b">
        <v>0</v>
      </c>
      <c r="AQ2402" s="78" t="s">
        <v>4157</v>
      </c>
      <c r="AR2402" t="s">
        <v>179</v>
      </c>
      <c r="AS2402">
        <v>0</v>
      </c>
      <c r="AT2402">
        <v>0</v>
      </c>
    </row>
    <row r="2403" spans="1:54" x14ac:dyDescent="0.45">
      <c r="A2403" s="62" t="s">
        <v>836</v>
      </c>
      <c r="B2403" s="62" t="s">
        <v>242</v>
      </c>
      <c r="C2403" s="63"/>
      <c r="D2403" s="64"/>
      <c r="E2403" s="65"/>
      <c r="F2403" s="66"/>
      <c r="G2403" s="63"/>
      <c r="H2403" s="67"/>
      <c r="I2403" s="68"/>
      <c r="J2403" s="68"/>
      <c r="K2403" s="32"/>
      <c r="L2403" s="75"/>
      <c r="M2403" s="75"/>
      <c r="N2403" s="70"/>
      <c r="O2403" t="s">
        <v>1567</v>
      </c>
      <c r="P2403" s="76">
        <v>44959.010046296295</v>
      </c>
      <c r="Q2403" t="s">
        <v>2018</v>
      </c>
      <c r="V2403" s="77" t="str">
        <f>HYPERLINK("https://pbs.twimg.com/profile_images/1618408202596491264/G3hzrb_e_normal.jpg")</f>
        <v>https://pbs.twimg.com/profile_images/1618408202596491264/G3hzrb_e_normal.jpg</v>
      </c>
      <c r="W2403" s="76">
        <v>44959.010046296295</v>
      </c>
      <c r="X2403" s="80">
        <v>44959</v>
      </c>
      <c r="Y2403" s="78" t="s">
        <v>3093</v>
      </c>
      <c r="Z2403" s="77" t="str">
        <f>HYPERLINK("https://twitter.com/asmilersince06/status/1620938666767167491")</f>
        <v>https://twitter.com/asmilersince06/status/1620938666767167491</v>
      </c>
      <c r="AC2403" s="78" t="s">
        <v>4158</v>
      </c>
      <c r="AE2403" t="b">
        <v>0</v>
      </c>
      <c r="AF2403">
        <v>0</v>
      </c>
      <c r="AG2403" s="78" t="s">
        <v>4640</v>
      </c>
      <c r="AH2403" t="b">
        <v>0</v>
      </c>
      <c r="AI2403" t="s">
        <v>4829</v>
      </c>
      <c r="AK2403" s="78" t="s">
        <v>4640</v>
      </c>
      <c r="AL2403" t="b">
        <v>0</v>
      </c>
      <c r="AM2403">
        <v>1</v>
      </c>
      <c r="AN2403" s="78" t="s">
        <v>4157</v>
      </c>
      <c r="AO2403" s="78" t="s">
        <v>4849</v>
      </c>
      <c r="AP2403" t="b">
        <v>0</v>
      </c>
      <c r="AQ2403" s="78" t="s">
        <v>4157</v>
      </c>
      <c r="AR2403" t="s">
        <v>179</v>
      </c>
      <c r="AS2403">
        <v>0</v>
      </c>
      <c r="AT2403">
        <v>0</v>
      </c>
    </row>
    <row r="2404" spans="1:54" x14ac:dyDescent="0.45">
      <c r="A2404" s="62" t="s">
        <v>836</v>
      </c>
      <c r="B2404" s="62" t="s">
        <v>1230</v>
      </c>
      <c r="C2404" s="63"/>
      <c r="D2404" s="64"/>
      <c r="E2404" s="65"/>
      <c r="F2404" s="66"/>
      <c r="G2404" s="63"/>
      <c r="H2404" s="67"/>
      <c r="I2404" s="68"/>
      <c r="J2404" s="68"/>
      <c r="K2404" s="32"/>
      <c r="L2404" s="75"/>
      <c r="M2404" s="75"/>
      <c r="N2404" s="70"/>
      <c r="O2404" t="s">
        <v>1570</v>
      </c>
      <c r="P2404" s="76">
        <v>44959.010370370372</v>
      </c>
      <c r="Q2404" t="s">
        <v>2019</v>
      </c>
      <c r="V2404" s="77" t="str">
        <f>HYPERLINK("https://pbs.twimg.com/profile_images/1618408202596491264/G3hzrb_e_normal.jpg")</f>
        <v>https://pbs.twimg.com/profile_images/1618408202596491264/G3hzrb_e_normal.jpg</v>
      </c>
      <c r="W2404" s="76">
        <v>44959.010370370372</v>
      </c>
      <c r="X2404" s="80">
        <v>44959</v>
      </c>
      <c r="Y2404" s="78" t="s">
        <v>3095</v>
      </c>
      <c r="Z2404" s="77" t="str">
        <f>HYPERLINK("https://twitter.com/asmilersince06/status/1620938784060882944")</f>
        <v>https://twitter.com/asmilersince06/status/1620938784060882944</v>
      </c>
      <c r="AC2404" s="78" t="s">
        <v>4160</v>
      </c>
      <c r="AE2404" t="b">
        <v>0</v>
      </c>
      <c r="AF2404">
        <v>0</v>
      </c>
      <c r="AG2404" s="78" t="s">
        <v>4640</v>
      </c>
      <c r="AH2404" t="b">
        <v>0</v>
      </c>
      <c r="AI2404" t="s">
        <v>4829</v>
      </c>
      <c r="AK2404" s="78" t="s">
        <v>4640</v>
      </c>
      <c r="AL2404" t="b">
        <v>0</v>
      </c>
      <c r="AM2404">
        <v>1</v>
      </c>
      <c r="AN2404" s="78" t="s">
        <v>4159</v>
      </c>
      <c r="AO2404" s="78" t="s">
        <v>4849</v>
      </c>
      <c r="AP2404" t="b">
        <v>0</v>
      </c>
      <c r="AQ2404" s="78" t="s">
        <v>4159</v>
      </c>
      <c r="AR2404" t="s">
        <v>179</v>
      </c>
      <c r="AS2404">
        <v>0</v>
      </c>
      <c r="AT2404">
        <v>0</v>
      </c>
    </row>
    <row r="2405" spans="1:54" x14ac:dyDescent="0.45">
      <c r="A2405" s="62" t="s">
        <v>836</v>
      </c>
      <c r="B2405" s="62" t="s">
        <v>242</v>
      </c>
      <c r="C2405" s="63"/>
      <c r="D2405" s="64"/>
      <c r="E2405" s="65"/>
      <c r="F2405" s="66"/>
      <c r="G2405" s="63"/>
      <c r="H2405" s="67"/>
      <c r="I2405" s="68"/>
      <c r="J2405" s="68"/>
      <c r="K2405" s="32"/>
      <c r="L2405" s="75"/>
      <c r="M2405" s="75"/>
      <c r="N2405" s="70"/>
      <c r="O2405" t="s">
        <v>1567</v>
      </c>
      <c r="P2405" s="76">
        <v>44959.010370370372</v>
      </c>
      <c r="Q2405" t="s">
        <v>2019</v>
      </c>
      <c r="V2405" s="77" t="str">
        <f>HYPERLINK("https://pbs.twimg.com/profile_images/1618408202596491264/G3hzrb_e_normal.jpg")</f>
        <v>https://pbs.twimg.com/profile_images/1618408202596491264/G3hzrb_e_normal.jpg</v>
      </c>
      <c r="W2405" s="76">
        <v>44959.010370370372</v>
      </c>
      <c r="X2405" s="80">
        <v>44959</v>
      </c>
      <c r="Y2405" s="78" t="s">
        <v>3095</v>
      </c>
      <c r="Z2405" s="77" t="str">
        <f>HYPERLINK("https://twitter.com/asmilersince06/status/1620938784060882944")</f>
        <v>https://twitter.com/asmilersince06/status/1620938784060882944</v>
      </c>
      <c r="AC2405" s="78" t="s">
        <v>4160</v>
      </c>
      <c r="AE2405" t="b">
        <v>0</v>
      </c>
      <c r="AF2405">
        <v>0</v>
      </c>
      <c r="AG2405" s="78" t="s">
        <v>4640</v>
      </c>
      <c r="AH2405" t="b">
        <v>0</v>
      </c>
      <c r="AI2405" t="s">
        <v>4829</v>
      </c>
      <c r="AK2405" s="78" t="s">
        <v>4640</v>
      </c>
      <c r="AL2405" t="b">
        <v>0</v>
      </c>
      <c r="AM2405">
        <v>1</v>
      </c>
      <c r="AN2405" s="78" t="s">
        <v>4159</v>
      </c>
      <c r="AO2405" s="78" t="s">
        <v>4849</v>
      </c>
      <c r="AP2405" t="b">
        <v>0</v>
      </c>
      <c r="AQ2405" s="78" t="s">
        <v>4159</v>
      </c>
      <c r="AR2405" t="s">
        <v>179</v>
      </c>
      <c r="AS2405">
        <v>0</v>
      </c>
      <c r="AT2405">
        <v>0</v>
      </c>
    </row>
    <row r="2406" spans="1:54" x14ac:dyDescent="0.45">
      <c r="A2406" s="62" t="s">
        <v>836</v>
      </c>
      <c r="B2406" s="62" t="s">
        <v>1230</v>
      </c>
      <c r="C2406" s="63"/>
      <c r="D2406" s="64"/>
      <c r="E2406" s="65"/>
      <c r="F2406" s="66"/>
      <c r="G2406" s="63"/>
      <c r="H2406" s="67"/>
      <c r="I2406" s="68"/>
      <c r="J2406" s="68"/>
      <c r="K2406" s="32"/>
      <c r="L2406" s="75"/>
      <c r="M2406" s="75"/>
      <c r="N2406" s="70"/>
      <c r="O2406" t="s">
        <v>1570</v>
      </c>
      <c r="P2406" s="76">
        <v>44959.010428240741</v>
      </c>
      <c r="Q2406" t="s">
        <v>2020</v>
      </c>
      <c r="V2406" s="77" t="str">
        <f>HYPERLINK("https://pbs.twimg.com/profile_images/1618408202596491264/G3hzrb_e_normal.jpg")</f>
        <v>https://pbs.twimg.com/profile_images/1618408202596491264/G3hzrb_e_normal.jpg</v>
      </c>
      <c r="W2406" s="76">
        <v>44959.010428240741</v>
      </c>
      <c r="X2406" s="80">
        <v>44959</v>
      </c>
      <c r="Y2406" s="78" t="s">
        <v>3097</v>
      </c>
      <c r="Z2406" s="77" t="str">
        <f>HYPERLINK("https://twitter.com/asmilersince06/status/1620938803946090497")</f>
        <v>https://twitter.com/asmilersince06/status/1620938803946090497</v>
      </c>
      <c r="AC2406" s="78" t="s">
        <v>4162</v>
      </c>
      <c r="AE2406" t="b">
        <v>0</v>
      </c>
      <c r="AF2406">
        <v>0</v>
      </c>
      <c r="AG2406" s="78" t="s">
        <v>4640</v>
      </c>
      <c r="AH2406" t="b">
        <v>0</v>
      </c>
      <c r="AI2406" t="s">
        <v>4829</v>
      </c>
      <c r="AK2406" s="78" t="s">
        <v>4640</v>
      </c>
      <c r="AL2406" t="b">
        <v>0</v>
      </c>
      <c r="AM2406">
        <v>1</v>
      </c>
      <c r="AN2406" s="78" t="s">
        <v>4161</v>
      </c>
      <c r="AO2406" s="78" t="s">
        <v>4849</v>
      </c>
      <c r="AP2406" t="b">
        <v>0</v>
      </c>
      <c r="AQ2406" s="78" t="s">
        <v>4161</v>
      </c>
      <c r="AR2406" t="s">
        <v>179</v>
      </c>
      <c r="AS2406">
        <v>0</v>
      </c>
      <c r="AT2406">
        <v>0</v>
      </c>
    </row>
    <row r="2407" spans="1:54" x14ac:dyDescent="0.45">
      <c r="A2407" s="62" t="s">
        <v>836</v>
      </c>
      <c r="B2407" s="62" t="s">
        <v>242</v>
      </c>
      <c r="C2407" s="63"/>
      <c r="D2407" s="64"/>
      <c r="E2407" s="65"/>
      <c r="F2407" s="66"/>
      <c r="G2407" s="63"/>
      <c r="H2407" s="67"/>
      <c r="I2407" s="68"/>
      <c r="J2407" s="68"/>
      <c r="K2407" s="32"/>
      <c r="L2407" s="75"/>
      <c r="M2407" s="75"/>
      <c r="N2407" s="70"/>
      <c r="O2407" t="s">
        <v>1567</v>
      </c>
      <c r="P2407" s="76">
        <v>44959.010428240741</v>
      </c>
      <c r="Q2407" t="s">
        <v>2020</v>
      </c>
      <c r="V2407" s="77" t="str">
        <f>HYPERLINK("https://pbs.twimg.com/profile_images/1618408202596491264/G3hzrb_e_normal.jpg")</f>
        <v>https://pbs.twimg.com/profile_images/1618408202596491264/G3hzrb_e_normal.jpg</v>
      </c>
      <c r="W2407" s="76">
        <v>44959.010428240741</v>
      </c>
      <c r="X2407" s="80">
        <v>44959</v>
      </c>
      <c r="Y2407" s="78" t="s">
        <v>3097</v>
      </c>
      <c r="Z2407" s="77" t="str">
        <f>HYPERLINK("https://twitter.com/asmilersince06/status/1620938803946090497")</f>
        <v>https://twitter.com/asmilersince06/status/1620938803946090497</v>
      </c>
      <c r="AC2407" s="78" t="s">
        <v>4162</v>
      </c>
      <c r="AE2407" t="b">
        <v>0</v>
      </c>
      <c r="AF2407">
        <v>0</v>
      </c>
      <c r="AG2407" s="78" t="s">
        <v>4640</v>
      </c>
      <c r="AH2407" t="b">
        <v>0</v>
      </c>
      <c r="AI2407" t="s">
        <v>4829</v>
      </c>
      <c r="AK2407" s="78" t="s">
        <v>4640</v>
      </c>
      <c r="AL2407" t="b">
        <v>0</v>
      </c>
      <c r="AM2407">
        <v>1</v>
      </c>
      <c r="AN2407" s="78" t="s">
        <v>4161</v>
      </c>
      <c r="AO2407" s="78" t="s">
        <v>4849</v>
      </c>
      <c r="AP2407" t="b">
        <v>0</v>
      </c>
      <c r="AQ2407" s="78" t="s">
        <v>4161</v>
      </c>
      <c r="AR2407" t="s">
        <v>179</v>
      </c>
      <c r="AS2407">
        <v>0</v>
      </c>
      <c r="AT2407">
        <v>0</v>
      </c>
    </row>
    <row r="2408" spans="1:54" x14ac:dyDescent="0.45">
      <c r="A2408" s="62" t="s">
        <v>842</v>
      </c>
      <c r="B2408" s="62" t="s">
        <v>242</v>
      </c>
      <c r="C2408" s="63"/>
      <c r="D2408" s="64"/>
      <c r="E2408" s="65"/>
      <c r="F2408" s="66"/>
      <c r="G2408" s="63"/>
      <c r="H2408" s="67"/>
      <c r="I2408" s="68"/>
      <c r="J2408" s="68"/>
      <c r="K2408" s="32"/>
      <c r="L2408" s="75"/>
      <c r="M2408" s="75"/>
      <c r="N2408" s="70"/>
      <c r="O2408" t="s">
        <v>1570</v>
      </c>
      <c r="P2408" s="76">
        <v>44959.012187499997</v>
      </c>
      <c r="Q2408" t="s">
        <v>1928</v>
      </c>
      <c r="U2408" s="77" t="str">
        <f>HYPERLINK("https://pbs.twimg.com/media/Fn6jrXTWAAEsrco.jpg")</f>
        <v>https://pbs.twimg.com/media/Fn6jrXTWAAEsrco.jpg</v>
      </c>
      <c r="V2408" s="77" t="str">
        <f>HYPERLINK("https://pbs.twimg.com/media/Fn6jrXTWAAEsrco.jpg")</f>
        <v>https://pbs.twimg.com/media/Fn6jrXTWAAEsrco.jpg</v>
      </c>
      <c r="W2408" s="76">
        <v>44959.012187499997</v>
      </c>
      <c r="X2408" s="80">
        <v>44959</v>
      </c>
      <c r="Y2408" s="78" t="s">
        <v>3102</v>
      </c>
      <c r="Z2408" s="77" t="str">
        <f>HYPERLINK("https://twitter.com/rickywrldv2/status/1620939442935721984")</f>
        <v>https://twitter.com/rickywrldv2/status/1620939442935721984</v>
      </c>
      <c r="AC2408" s="78" t="s">
        <v>4167</v>
      </c>
      <c r="AE2408" t="b">
        <v>0</v>
      </c>
      <c r="AF2408">
        <v>0</v>
      </c>
      <c r="AG2408" s="78" t="s">
        <v>4640</v>
      </c>
      <c r="AH2408" t="b">
        <v>0</v>
      </c>
      <c r="AI2408" t="s">
        <v>4829</v>
      </c>
      <c r="AK2408" s="78" t="s">
        <v>4640</v>
      </c>
      <c r="AL2408" t="b">
        <v>0</v>
      </c>
      <c r="AM2408">
        <v>8</v>
      </c>
      <c r="AN2408" s="78" t="s">
        <v>4420</v>
      </c>
      <c r="AO2408" s="78" t="s">
        <v>4849</v>
      </c>
      <c r="AP2408" t="b">
        <v>0</v>
      </c>
      <c r="AQ2408" s="78" t="s">
        <v>4420</v>
      </c>
      <c r="AR2408" t="s">
        <v>179</v>
      </c>
      <c r="AS2408">
        <v>0</v>
      </c>
      <c r="AT2408">
        <v>0</v>
      </c>
    </row>
    <row r="2409" spans="1:54" x14ac:dyDescent="0.45">
      <c r="A2409" s="62" t="s">
        <v>842</v>
      </c>
      <c r="B2409" s="62" t="s">
        <v>1046</v>
      </c>
      <c r="C2409" s="63"/>
      <c r="D2409" s="64"/>
      <c r="E2409" s="65"/>
      <c r="F2409" s="66"/>
      <c r="G2409" s="63"/>
      <c r="H2409" s="67"/>
      <c r="I2409" s="68"/>
      <c r="J2409" s="68"/>
      <c r="K2409" s="32"/>
      <c r="L2409" s="75"/>
      <c r="M2409" s="75"/>
      <c r="N2409" s="70"/>
      <c r="O2409" t="s">
        <v>1569</v>
      </c>
      <c r="P2409" s="76">
        <v>44959.012187499997</v>
      </c>
      <c r="Q2409" t="s">
        <v>1928</v>
      </c>
      <c r="U2409" s="77" t="str">
        <f>HYPERLINK("https://pbs.twimg.com/media/Fn6jrXTWAAEsrco.jpg")</f>
        <v>https://pbs.twimg.com/media/Fn6jrXTWAAEsrco.jpg</v>
      </c>
      <c r="V2409" s="77" t="str">
        <f>HYPERLINK("https://pbs.twimg.com/media/Fn6jrXTWAAEsrco.jpg")</f>
        <v>https://pbs.twimg.com/media/Fn6jrXTWAAEsrco.jpg</v>
      </c>
      <c r="W2409" s="76">
        <v>44959.012187499997</v>
      </c>
      <c r="X2409" s="80">
        <v>44959</v>
      </c>
      <c r="Y2409" s="78" t="s">
        <v>3102</v>
      </c>
      <c r="Z2409" s="77" t="str">
        <f>HYPERLINK("https://twitter.com/rickywrldv2/status/1620939442935721984")</f>
        <v>https://twitter.com/rickywrldv2/status/1620939442935721984</v>
      </c>
      <c r="AC2409" s="78" t="s">
        <v>4167</v>
      </c>
      <c r="AE2409" t="b">
        <v>0</v>
      </c>
      <c r="AF2409">
        <v>0</v>
      </c>
      <c r="AG2409" s="78" t="s">
        <v>4640</v>
      </c>
      <c r="AH2409" t="b">
        <v>0</v>
      </c>
      <c r="AI2409" t="s">
        <v>4829</v>
      </c>
      <c r="AK2409" s="78" t="s">
        <v>4640</v>
      </c>
      <c r="AL2409" t="b">
        <v>0</v>
      </c>
      <c r="AM2409">
        <v>8</v>
      </c>
      <c r="AN2409" s="78" t="s">
        <v>4420</v>
      </c>
      <c r="AO2409" s="78" t="s">
        <v>4849</v>
      </c>
      <c r="AP2409" t="b">
        <v>0</v>
      </c>
      <c r="AQ2409" s="78" t="s">
        <v>4420</v>
      </c>
      <c r="AR2409" t="s">
        <v>179</v>
      </c>
      <c r="AS2409">
        <v>0</v>
      </c>
      <c r="AT2409">
        <v>0</v>
      </c>
    </row>
    <row r="2410" spans="1:54" x14ac:dyDescent="0.45">
      <c r="A2410" s="62" t="s">
        <v>843</v>
      </c>
      <c r="B2410" s="62" t="s">
        <v>1230</v>
      </c>
      <c r="C2410" s="63"/>
      <c r="D2410" s="64"/>
      <c r="E2410" s="65"/>
      <c r="F2410" s="66"/>
      <c r="G2410" s="63"/>
      <c r="H2410" s="67"/>
      <c r="I2410" s="68"/>
      <c r="J2410" s="68"/>
      <c r="K2410" s="32"/>
      <c r="L2410" s="75"/>
      <c r="M2410" s="75"/>
      <c r="N2410" s="70"/>
      <c r="O2410" t="s">
        <v>1570</v>
      </c>
      <c r="P2410" s="76">
        <v>44959.013506944444</v>
      </c>
      <c r="Q2410" t="s">
        <v>1693</v>
      </c>
      <c r="V2410" s="77" t="str">
        <f>HYPERLINK("https://pbs.twimg.com/profile_images/1477735015643377664/qvnXi0xq_normal.jpg")</f>
        <v>https://pbs.twimg.com/profile_images/1477735015643377664/qvnXi0xq_normal.jpg</v>
      </c>
      <c r="W2410" s="76">
        <v>44959.013506944444</v>
      </c>
      <c r="X2410" s="80">
        <v>44959</v>
      </c>
      <c r="Y2410" s="78" t="s">
        <v>3103</v>
      </c>
      <c r="Z2410" s="77" t="str">
        <f>HYPERLINK("https://twitter.com/prims525/status/1620939919932936192")</f>
        <v>https://twitter.com/prims525/status/1620939919932936192</v>
      </c>
      <c r="AC2410" s="78" t="s">
        <v>4168</v>
      </c>
      <c r="AE2410" t="b">
        <v>0</v>
      </c>
      <c r="AF2410">
        <v>0</v>
      </c>
      <c r="AG2410" s="78" t="s">
        <v>4640</v>
      </c>
      <c r="AH2410" t="b">
        <v>0</v>
      </c>
      <c r="AI2410" t="s">
        <v>4829</v>
      </c>
      <c r="AK2410" s="78" t="s">
        <v>4640</v>
      </c>
      <c r="AL2410" t="b">
        <v>0</v>
      </c>
      <c r="AM2410">
        <v>162</v>
      </c>
      <c r="AN2410" s="78" t="s">
        <v>4473</v>
      </c>
      <c r="AO2410" s="78" t="s">
        <v>4850</v>
      </c>
      <c r="AP2410" t="b">
        <v>0</v>
      </c>
      <c r="AQ2410" s="78" t="s">
        <v>4473</v>
      </c>
      <c r="AR2410" t="s">
        <v>179</v>
      </c>
      <c r="AS2410">
        <v>0</v>
      </c>
      <c r="AT2410">
        <v>0</v>
      </c>
    </row>
    <row r="2411" spans="1:54" x14ac:dyDescent="0.45">
      <c r="A2411" s="62" t="s">
        <v>843</v>
      </c>
      <c r="B2411" s="62" t="s">
        <v>242</v>
      </c>
      <c r="C2411" s="63"/>
      <c r="D2411" s="64"/>
      <c r="E2411" s="65"/>
      <c r="F2411" s="66"/>
      <c r="G2411" s="63"/>
      <c r="H2411" s="67"/>
      <c r="I2411" s="68"/>
      <c r="J2411" s="68"/>
      <c r="K2411" s="32"/>
      <c r="L2411" s="75"/>
      <c r="M2411" s="75"/>
      <c r="N2411" s="70"/>
      <c r="O2411" t="s">
        <v>1569</v>
      </c>
      <c r="P2411" s="76">
        <v>44959.013506944444</v>
      </c>
      <c r="Q2411" t="s">
        <v>1693</v>
      </c>
      <c r="V2411" s="77" t="str">
        <f>HYPERLINK("https://pbs.twimg.com/profile_images/1477735015643377664/qvnXi0xq_normal.jpg")</f>
        <v>https://pbs.twimg.com/profile_images/1477735015643377664/qvnXi0xq_normal.jpg</v>
      </c>
      <c r="W2411" s="76">
        <v>44959.013506944444</v>
      </c>
      <c r="X2411" s="80">
        <v>44959</v>
      </c>
      <c r="Y2411" s="78" t="s">
        <v>3103</v>
      </c>
      <c r="Z2411" s="77" t="str">
        <f>HYPERLINK("https://twitter.com/prims525/status/1620939919932936192")</f>
        <v>https://twitter.com/prims525/status/1620939919932936192</v>
      </c>
      <c r="AC2411" s="78" t="s">
        <v>4168</v>
      </c>
      <c r="AE2411" t="b">
        <v>0</v>
      </c>
      <c r="AF2411">
        <v>0</v>
      </c>
      <c r="AG2411" s="78" t="s">
        <v>4640</v>
      </c>
      <c r="AH2411" t="b">
        <v>0</v>
      </c>
      <c r="AI2411" t="s">
        <v>4829</v>
      </c>
      <c r="AK2411" s="78" t="s">
        <v>4640</v>
      </c>
      <c r="AL2411" t="b">
        <v>0</v>
      </c>
      <c r="AM2411">
        <v>162</v>
      </c>
      <c r="AN2411" s="78" t="s">
        <v>4473</v>
      </c>
      <c r="AO2411" s="78" t="s">
        <v>4850</v>
      </c>
      <c r="AP2411" t="b">
        <v>0</v>
      </c>
      <c r="AQ2411" s="78" t="s">
        <v>4473</v>
      </c>
      <c r="AR2411" t="s">
        <v>179</v>
      </c>
      <c r="AS2411">
        <v>0</v>
      </c>
      <c r="AT2411">
        <v>0</v>
      </c>
    </row>
    <row r="2412" spans="1:54" x14ac:dyDescent="0.45">
      <c r="A2412" s="62" t="s">
        <v>844</v>
      </c>
      <c r="B2412" s="62" t="s">
        <v>1401</v>
      </c>
      <c r="C2412" s="63"/>
      <c r="D2412" s="64"/>
      <c r="E2412" s="65"/>
      <c r="F2412" s="66"/>
      <c r="G2412" s="63"/>
      <c r="H2412" s="67"/>
      <c r="I2412" s="68"/>
      <c r="J2412" s="68"/>
      <c r="K2412" s="32"/>
      <c r="L2412" s="75"/>
      <c r="M2412" s="75"/>
      <c r="N2412" s="70"/>
      <c r="O2412" t="s">
        <v>1567</v>
      </c>
      <c r="P2412" s="76">
        <v>44959.013969907406</v>
      </c>
      <c r="Q2412" t="s">
        <v>2024</v>
      </c>
      <c r="U2412" s="77" t="str">
        <f>HYPERLINK("https://pbs.twimg.com/media/Fn68ap6XkAMQStH.jpg")</f>
        <v>https://pbs.twimg.com/media/Fn68ap6XkAMQStH.jpg</v>
      </c>
      <c r="V2412" s="77" t="str">
        <f>HYPERLINK("https://pbs.twimg.com/media/Fn68ap6XkAMQStH.jpg")</f>
        <v>https://pbs.twimg.com/media/Fn68ap6XkAMQStH.jpg</v>
      </c>
      <c r="W2412" s="76">
        <v>44959.013969907406</v>
      </c>
      <c r="X2412" s="80">
        <v>44959</v>
      </c>
      <c r="Y2412" s="78" t="s">
        <v>3104</v>
      </c>
      <c r="Z2412" s="77" t="str">
        <f>HYPERLINK("https://twitter.com/woodyfmartin/status/1620940087034011648")</f>
        <v>https://twitter.com/woodyfmartin/status/1620940087034011648</v>
      </c>
      <c r="AC2412" s="78" t="s">
        <v>4169</v>
      </c>
      <c r="AE2412" t="b">
        <v>0</v>
      </c>
      <c r="AF2412">
        <v>0</v>
      </c>
      <c r="AG2412" s="78" t="s">
        <v>4758</v>
      </c>
      <c r="AH2412" t="b">
        <v>0</v>
      </c>
      <c r="AI2412" t="s">
        <v>4829</v>
      </c>
      <c r="AK2412" s="78" t="s">
        <v>4640</v>
      </c>
      <c r="AL2412" t="b">
        <v>0</v>
      </c>
      <c r="AM2412">
        <v>0</v>
      </c>
      <c r="AN2412" s="78" t="s">
        <v>4640</v>
      </c>
      <c r="AO2412" s="78" t="s">
        <v>4849</v>
      </c>
      <c r="AP2412" t="b">
        <v>0</v>
      </c>
      <c r="AQ2412" s="78" t="s">
        <v>4169</v>
      </c>
      <c r="AR2412" t="s">
        <v>179</v>
      </c>
      <c r="AS2412">
        <v>0</v>
      </c>
      <c r="AT2412">
        <v>0</v>
      </c>
      <c r="AU2412" t="s">
        <v>4890</v>
      </c>
      <c r="AV2412" t="s">
        <v>4899</v>
      </c>
      <c r="AW2412" t="s">
        <v>4901</v>
      </c>
      <c r="AX2412" t="s">
        <v>4919</v>
      </c>
      <c r="AY2412" t="s">
        <v>4944</v>
      </c>
      <c r="AZ2412" t="s">
        <v>4968</v>
      </c>
      <c r="BA2412" t="s">
        <v>4976</v>
      </c>
      <c r="BB2412" s="77" t="str">
        <f>HYPERLINK("https://api.twitter.com/1.1/geo/id/7142eb97ae21e839.json")</f>
        <v>https://api.twitter.com/1.1/geo/id/7142eb97ae21e839.json</v>
      </c>
    </row>
    <row r="2413" spans="1:54" x14ac:dyDescent="0.45">
      <c r="A2413" s="62" t="s">
        <v>844</v>
      </c>
      <c r="B2413" s="62" t="s">
        <v>242</v>
      </c>
      <c r="C2413" s="63"/>
      <c r="D2413" s="64"/>
      <c r="E2413" s="65"/>
      <c r="F2413" s="66"/>
      <c r="G2413" s="63"/>
      <c r="H2413" s="67"/>
      <c r="I2413" s="68"/>
      <c r="J2413" s="68"/>
      <c r="K2413" s="32"/>
      <c r="L2413" s="75"/>
      <c r="M2413" s="75"/>
      <c r="N2413" s="70"/>
      <c r="O2413" t="s">
        <v>1568</v>
      </c>
      <c r="P2413" s="76">
        <v>44959.013969907406</v>
      </c>
      <c r="Q2413" t="s">
        <v>2024</v>
      </c>
      <c r="U2413" s="77" t="str">
        <f>HYPERLINK("https://pbs.twimg.com/media/Fn68ap6XkAMQStH.jpg")</f>
        <v>https://pbs.twimg.com/media/Fn68ap6XkAMQStH.jpg</v>
      </c>
      <c r="V2413" s="77" t="str">
        <f>HYPERLINK("https://pbs.twimg.com/media/Fn68ap6XkAMQStH.jpg")</f>
        <v>https://pbs.twimg.com/media/Fn68ap6XkAMQStH.jpg</v>
      </c>
      <c r="W2413" s="76">
        <v>44959.013969907406</v>
      </c>
      <c r="X2413" s="80">
        <v>44959</v>
      </c>
      <c r="Y2413" s="78" t="s">
        <v>3104</v>
      </c>
      <c r="Z2413" s="77" t="str">
        <f>HYPERLINK("https://twitter.com/woodyfmartin/status/1620940087034011648")</f>
        <v>https://twitter.com/woodyfmartin/status/1620940087034011648</v>
      </c>
      <c r="AC2413" s="78" t="s">
        <v>4169</v>
      </c>
      <c r="AE2413" t="b">
        <v>0</v>
      </c>
      <c r="AF2413">
        <v>0</v>
      </c>
      <c r="AG2413" s="78" t="s">
        <v>4758</v>
      </c>
      <c r="AH2413" t="b">
        <v>0</v>
      </c>
      <c r="AI2413" t="s">
        <v>4829</v>
      </c>
      <c r="AK2413" s="78" t="s">
        <v>4640</v>
      </c>
      <c r="AL2413" t="b">
        <v>0</v>
      </c>
      <c r="AM2413">
        <v>0</v>
      </c>
      <c r="AN2413" s="78" t="s">
        <v>4640</v>
      </c>
      <c r="AO2413" s="78" t="s">
        <v>4849</v>
      </c>
      <c r="AP2413" t="b">
        <v>0</v>
      </c>
      <c r="AQ2413" s="78" t="s">
        <v>4169</v>
      </c>
      <c r="AR2413" t="s">
        <v>179</v>
      </c>
      <c r="AS2413">
        <v>0</v>
      </c>
      <c r="AT2413">
        <v>0</v>
      </c>
      <c r="AU2413" t="s">
        <v>4890</v>
      </c>
      <c r="AV2413" t="s">
        <v>4899</v>
      </c>
      <c r="AW2413" t="s">
        <v>4901</v>
      </c>
      <c r="AX2413" t="s">
        <v>4919</v>
      </c>
      <c r="AY2413" t="s">
        <v>4944</v>
      </c>
      <c r="AZ2413" t="s">
        <v>4968</v>
      </c>
      <c r="BA2413" t="s">
        <v>4976</v>
      </c>
      <c r="BB2413" s="77" t="str">
        <f>HYPERLINK("https://api.twitter.com/1.1/geo/id/7142eb97ae21e839.json")</f>
        <v>https://api.twitter.com/1.1/geo/id/7142eb97ae21e839.json</v>
      </c>
    </row>
    <row r="2414" spans="1:54" x14ac:dyDescent="0.45">
      <c r="A2414" s="62" t="s">
        <v>845</v>
      </c>
      <c r="B2414" s="62" t="s">
        <v>1230</v>
      </c>
      <c r="C2414" s="63"/>
      <c r="D2414" s="64"/>
      <c r="E2414" s="65"/>
      <c r="F2414" s="66"/>
      <c r="G2414" s="63"/>
      <c r="H2414" s="67"/>
      <c r="I2414" s="68"/>
      <c r="J2414" s="68"/>
      <c r="K2414" s="32"/>
      <c r="L2414" s="75"/>
      <c r="M2414" s="75"/>
      <c r="N2414" s="70"/>
      <c r="O2414" t="s">
        <v>1570</v>
      </c>
      <c r="P2414" s="76">
        <v>44959.014918981484</v>
      </c>
      <c r="Q2414" t="s">
        <v>1693</v>
      </c>
      <c r="V2414" s="77" t="str">
        <f>HYPERLINK("https://pbs.twimg.com/profile_images/593449248567492609/aTNrBqtB_normal.jpg")</f>
        <v>https://pbs.twimg.com/profile_images/593449248567492609/aTNrBqtB_normal.jpg</v>
      </c>
      <c r="W2414" s="76">
        <v>44959.014918981484</v>
      </c>
      <c r="X2414" s="80">
        <v>44959</v>
      </c>
      <c r="Y2414" s="78" t="s">
        <v>3105</v>
      </c>
      <c r="Z2414" s="77" t="str">
        <f>HYPERLINK("https://twitter.com/ibe_joh/status/1620940432393015297")</f>
        <v>https://twitter.com/ibe_joh/status/1620940432393015297</v>
      </c>
      <c r="AC2414" s="78" t="s">
        <v>4170</v>
      </c>
      <c r="AE2414" t="b">
        <v>0</v>
      </c>
      <c r="AF2414">
        <v>0</v>
      </c>
      <c r="AG2414" s="78" t="s">
        <v>4640</v>
      </c>
      <c r="AH2414" t="b">
        <v>0</v>
      </c>
      <c r="AI2414" t="s">
        <v>4829</v>
      </c>
      <c r="AK2414" s="78" t="s">
        <v>4640</v>
      </c>
      <c r="AL2414" t="b">
        <v>0</v>
      </c>
      <c r="AM2414">
        <v>162</v>
      </c>
      <c r="AN2414" s="78" t="s">
        <v>4473</v>
      </c>
      <c r="AO2414" s="78" t="s">
        <v>4849</v>
      </c>
      <c r="AP2414" t="b">
        <v>0</v>
      </c>
      <c r="AQ2414" s="78" t="s">
        <v>4473</v>
      </c>
      <c r="AR2414" t="s">
        <v>179</v>
      </c>
      <c r="AS2414">
        <v>0</v>
      </c>
      <c r="AT2414">
        <v>0</v>
      </c>
    </row>
    <row r="2415" spans="1:54" x14ac:dyDescent="0.45">
      <c r="A2415" s="62" t="s">
        <v>845</v>
      </c>
      <c r="B2415" s="62" t="s">
        <v>242</v>
      </c>
      <c r="C2415" s="63"/>
      <c r="D2415" s="64"/>
      <c r="E2415" s="65"/>
      <c r="F2415" s="66"/>
      <c r="G2415" s="63"/>
      <c r="H2415" s="67"/>
      <c r="I2415" s="68"/>
      <c r="J2415" s="68"/>
      <c r="K2415" s="32"/>
      <c r="L2415" s="75"/>
      <c r="M2415" s="75"/>
      <c r="N2415" s="70"/>
      <c r="O2415" t="s">
        <v>1569</v>
      </c>
      <c r="P2415" s="76">
        <v>44959.014918981484</v>
      </c>
      <c r="Q2415" t="s">
        <v>1693</v>
      </c>
      <c r="V2415" s="77" t="str">
        <f>HYPERLINK("https://pbs.twimg.com/profile_images/593449248567492609/aTNrBqtB_normal.jpg")</f>
        <v>https://pbs.twimg.com/profile_images/593449248567492609/aTNrBqtB_normal.jpg</v>
      </c>
      <c r="W2415" s="76">
        <v>44959.014918981484</v>
      </c>
      <c r="X2415" s="80">
        <v>44959</v>
      </c>
      <c r="Y2415" s="78" t="s">
        <v>3105</v>
      </c>
      <c r="Z2415" s="77" t="str">
        <f>HYPERLINK("https://twitter.com/ibe_joh/status/1620940432393015297")</f>
        <v>https://twitter.com/ibe_joh/status/1620940432393015297</v>
      </c>
      <c r="AC2415" s="78" t="s">
        <v>4170</v>
      </c>
      <c r="AE2415" t="b">
        <v>0</v>
      </c>
      <c r="AF2415">
        <v>0</v>
      </c>
      <c r="AG2415" s="78" t="s">
        <v>4640</v>
      </c>
      <c r="AH2415" t="b">
        <v>0</v>
      </c>
      <c r="AI2415" t="s">
        <v>4829</v>
      </c>
      <c r="AK2415" s="78" t="s">
        <v>4640</v>
      </c>
      <c r="AL2415" t="b">
        <v>0</v>
      </c>
      <c r="AM2415">
        <v>162</v>
      </c>
      <c r="AN2415" s="78" t="s">
        <v>4473</v>
      </c>
      <c r="AO2415" s="78" t="s">
        <v>4849</v>
      </c>
      <c r="AP2415" t="b">
        <v>0</v>
      </c>
      <c r="AQ2415" s="78" t="s">
        <v>4473</v>
      </c>
      <c r="AR2415" t="s">
        <v>179</v>
      </c>
      <c r="AS2415">
        <v>0</v>
      </c>
      <c r="AT2415">
        <v>0</v>
      </c>
    </row>
    <row r="2416" spans="1:54" x14ac:dyDescent="0.45">
      <c r="A2416" s="62" t="s">
        <v>848</v>
      </c>
      <c r="B2416" s="62" t="s">
        <v>242</v>
      </c>
      <c r="C2416" s="63"/>
      <c r="D2416" s="64"/>
      <c r="E2416" s="65"/>
      <c r="F2416" s="66"/>
      <c r="G2416" s="63"/>
      <c r="H2416" s="67"/>
      <c r="I2416" s="68"/>
      <c r="J2416" s="68"/>
      <c r="K2416" s="32"/>
      <c r="L2416" s="75"/>
      <c r="M2416" s="75"/>
      <c r="N2416" s="70"/>
      <c r="O2416" t="s">
        <v>1568</v>
      </c>
      <c r="P2416" s="76">
        <v>44959.018622685187</v>
      </c>
      <c r="Q2416" t="s">
        <v>2026</v>
      </c>
      <c r="V2416" s="77" t="str">
        <f>HYPERLINK("https://pbs.twimg.com/profile_images/1610019066949013504/Mh1VbueL_normal.jpg")</f>
        <v>https://pbs.twimg.com/profile_images/1610019066949013504/Mh1VbueL_normal.jpg</v>
      </c>
      <c r="W2416" s="76">
        <v>44959.018622685187</v>
      </c>
      <c r="X2416" s="80">
        <v>44959</v>
      </c>
      <c r="Y2416" s="78" t="s">
        <v>3108</v>
      </c>
      <c r="Z2416" s="77" t="str">
        <f>HYPERLINK("https://twitter.com/aquixoticpisces/status/1620941774754807808")</f>
        <v>https://twitter.com/aquixoticpisces/status/1620941774754807808</v>
      </c>
      <c r="AC2416" s="78" t="s">
        <v>4173</v>
      </c>
      <c r="AE2416" t="b">
        <v>0</v>
      </c>
      <c r="AF2416">
        <v>0</v>
      </c>
      <c r="AG2416" s="78" t="s">
        <v>4640</v>
      </c>
      <c r="AH2416" t="b">
        <v>0</v>
      </c>
      <c r="AI2416" t="s">
        <v>4829</v>
      </c>
      <c r="AK2416" s="78" t="s">
        <v>4640</v>
      </c>
      <c r="AL2416" t="b">
        <v>0</v>
      </c>
      <c r="AM2416">
        <v>0</v>
      </c>
      <c r="AN2416" s="78" t="s">
        <v>4640</v>
      </c>
      <c r="AO2416" s="78" t="s">
        <v>4849</v>
      </c>
      <c r="AP2416" t="b">
        <v>0</v>
      </c>
      <c r="AQ2416" s="78" t="s">
        <v>4173</v>
      </c>
      <c r="AR2416" t="s">
        <v>179</v>
      </c>
      <c r="AS2416">
        <v>0</v>
      </c>
      <c r="AT2416">
        <v>0</v>
      </c>
    </row>
    <row r="2417" spans="1:46" x14ac:dyDescent="0.45">
      <c r="A2417" s="62" t="s">
        <v>849</v>
      </c>
      <c r="B2417" s="62" t="s">
        <v>1402</v>
      </c>
      <c r="C2417" s="63"/>
      <c r="D2417" s="64"/>
      <c r="E2417" s="65"/>
      <c r="F2417" s="66"/>
      <c r="G2417" s="63"/>
      <c r="H2417" s="67"/>
      <c r="I2417" s="68"/>
      <c r="J2417" s="68"/>
      <c r="K2417" s="32"/>
      <c r="L2417" s="75"/>
      <c r="M2417" s="75"/>
      <c r="N2417" s="70"/>
      <c r="O2417" t="s">
        <v>1567</v>
      </c>
      <c r="P2417" s="76">
        <v>44959.019525462965</v>
      </c>
      <c r="Q2417" t="s">
        <v>2027</v>
      </c>
      <c r="V2417" s="77" t="str">
        <f>HYPERLINK("https://abs.twimg.com/sticky/default_profile_images/default_profile_normal.png")</f>
        <v>https://abs.twimg.com/sticky/default_profile_images/default_profile_normal.png</v>
      </c>
      <c r="W2417" s="76">
        <v>44959.019525462965</v>
      </c>
      <c r="X2417" s="80">
        <v>44959</v>
      </c>
      <c r="Y2417" s="78" t="s">
        <v>3109</v>
      </c>
      <c r="Z2417" s="77" t="str">
        <f>HYPERLINK("https://twitter.com/swprvic/status/1620942101272723456")</f>
        <v>https://twitter.com/swprvic/status/1620942101272723456</v>
      </c>
      <c r="AC2417" s="78" t="s">
        <v>4174</v>
      </c>
      <c r="AD2417" s="78" t="s">
        <v>4586</v>
      </c>
      <c r="AE2417" t="b">
        <v>0</v>
      </c>
      <c r="AF2417">
        <v>0</v>
      </c>
      <c r="AG2417" s="78" t="s">
        <v>4759</v>
      </c>
      <c r="AH2417" t="b">
        <v>0</v>
      </c>
      <c r="AI2417" t="s">
        <v>4829</v>
      </c>
      <c r="AK2417" s="78" t="s">
        <v>4640</v>
      </c>
      <c r="AL2417" t="b">
        <v>0</v>
      </c>
      <c r="AM2417">
        <v>0</v>
      </c>
      <c r="AN2417" s="78" t="s">
        <v>4640</v>
      </c>
      <c r="AO2417" s="78" t="s">
        <v>4849</v>
      </c>
      <c r="AP2417" t="b">
        <v>0</v>
      </c>
      <c r="AQ2417" s="78" t="s">
        <v>4586</v>
      </c>
      <c r="AR2417" t="s">
        <v>179</v>
      </c>
      <c r="AS2417">
        <v>0</v>
      </c>
      <c r="AT2417">
        <v>0</v>
      </c>
    </row>
    <row r="2418" spans="1:46" x14ac:dyDescent="0.45">
      <c r="A2418" s="62" t="s">
        <v>849</v>
      </c>
      <c r="B2418" s="62" t="s">
        <v>242</v>
      </c>
      <c r="C2418" s="63"/>
      <c r="D2418" s="64"/>
      <c r="E2418" s="65"/>
      <c r="F2418" s="66"/>
      <c r="G2418" s="63"/>
      <c r="H2418" s="67"/>
      <c r="I2418" s="68"/>
      <c r="J2418" s="68"/>
      <c r="K2418" s="32"/>
      <c r="L2418" s="75"/>
      <c r="M2418" s="75"/>
      <c r="N2418" s="70"/>
      <c r="O2418" t="s">
        <v>1568</v>
      </c>
      <c r="P2418" s="76">
        <v>44959.019525462965</v>
      </c>
      <c r="Q2418" t="s">
        <v>2027</v>
      </c>
      <c r="V2418" s="77" t="str">
        <f>HYPERLINK("https://abs.twimg.com/sticky/default_profile_images/default_profile_normal.png")</f>
        <v>https://abs.twimg.com/sticky/default_profile_images/default_profile_normal.png</v>
      </c>
      <c r="W2418" s="76">
        <v>44959.019525462965</v>
      </c>
      <c r="X2418" s="80">
        <v>44959</v>
      </c>
      <c r="Y2418" s="78" t="s">
        <v>3109</v>
      </c>
      <c r="Z2418" s="77" t="str">
        <f>HYPERLINK("https://twitter.com/swprvic/status/1620942101272723456")</f>
        <v>https://twitter.com/swprvic/status/1620942101272723456</v>
      </c>
      <c r="AC2418" s="78" t="s">
        <v>4174</v>
      </c>
      <c r="AD2418" s="78" t="s">
        <v>4586</v>
      </c>
      <c r="AE2418" t="b">
        <v>0</v>
      </c>
      <c r="AF2418">
        <v>0</v>
      </c>
      <c r="AG2418" s="78" t="s">
        <v>4759</v>
      </c>
      <c r="AH2418" t="b">
        <v>0</v>
      </c>
      <c r="AI2418" t="s">
        <v>4829</v>
      </c>
      <c r="AK2418" s="78" t="s">
        <v>4640</v>
      </c>
      <c r="AL2418" t="b">
        <v>0</v>
      </c>
      <c r="AM2418">
        <v>0</v>
      </c>
      <c r="AN2418" s="78" t="s">
        <v>4640</v>
      </c>
      <c r="AO2418" s="78" t="s">
        <v>4849</v>
      </c>
      <c r="AP2418" t="b">
        <v>0</v>
      </c>
      <c r="AQ2418" s="78" t="s">
        <v>4586</v>
      </c>
      <c r="AR2418" t="s">
        <v>179</v>
      </c>
      <c r="AS2418">
        <v>0</v>
      </c>
      <c r="AT2418">
        <v>0</v>
      </c>
    </row>
    <row r="2419" spans="1:46" x14ac:dyDescent="0.45">
      <c r="A2419" s="62" t="s">
        <v>849</v>
      </c>
      <c r="B2419" s="62" t="s">
        <v>1113</v>
      </c>
      <c r="C2419" s="63"/>
      <c r="D2419" s="64"/>
      <c r="E2419" s="65"/>
      <c r="F2419" s="66"/>
      <c r="G2419" s="63"/>
      <c r="H2419" s="67"/>
      <c r="I2419" s="68"/>
      <c r="J2419" s="68"/>
      <c r="K2419" s="32"/>
      <c r="L2419" s="75"/>
      <c r="M2419" s="75"/>
      <c r="N2419" s="70"/>
      <c r="O2419" t="s">
        <v>1568</v>
      </c>
      <c r="P2419" s="76">
        <v>44959.019525462965</v>
      </c>
      <c r="Q2419" t="s">
        <v>2027</v>
      </c>
      <c r="V2419" s="77" t="str">
        <f>HYPERLINK("https://abs.twimg.com/sticky/default_profile_images/default_profile_normal.png")</f>
        <v>https://abs.twimg.com/sticky/default_profile_images/default_profile_normal.png</v>
      </c>
      <c r="W2419" s="76">
        <v>44959.019525462965</v>
      </c>
      <c r="X2419" s="80">
        <v>44959</v>
      </c>
      <c r="Y2419" s="78" t="s">
        <v>3109</v>
      </c>
      <c r="Z2419" s="77" t="str">
        <f>HYPERLINK("https://twitter.com/swprvic/status/1620942101272723456")</f>
        <v>https://twitter.com/swprvic/status/1620942101272723456</v>
      </c>
      <c r="AC2419" s="78" t="s">
        <v>4174</v>
      </c>
      <c r="AD2419" s="78" t="s">
        <v>4586</v>
      </c>
      <c r="AE2419" t="b">
        <v>0</v>
      </c>
      <c r="AF2419">
        <v>0</v>
      </c>
      <c r="AG2419" s="78" t="s">
        <v>4759</v>
      </c>
      <c r="AH2419" t="b">
        <v>0</v>
      </c>
      <c r="AI2419" t="s">
        <v>4829</v>
      </c>
      <c r="AK2419" s="78" t="s">
        <v>4640</v>
      </c>
      <c r="AL2419" t="b">
        <v>0</v>
      </c>
      <c r="AM2419">
        <v>0</v>
      </c>
      <c r="AN2419" s="78" t="s">
        <v>4640</v>
      </c>
      <c r="AO2419" s="78" t="s">
        <v>4849</v>
      </c>
      <c r="AP2419" t="b">
        <v>0</v>
      </c>
      <c r="AQ2419" s="78" t="s">
        <v>4586</v>
      </c>
      <c r="AR2419" t="s">
        <v>179</v>
      </c>
      <c r="AS2419">
        <v>0</v>
      </c>
      <c r="AT2419">
        <v>0</v>
      </c>
    </row>
    <row r="2420" spans="1:46" x14ac:dyDescent="0.45">
      <c r="A2420" s="62" t="s">
        <v>851</v>
      </c>
      <c r="B2420" s="62" t="s">
        <v>1230</v>
      </c>
      <c r="C2420" s="63"/>
      <c r="D2420" s="64"/>
      <c r="E2420" s="65"/>
      <c r="F2420" s="66"/>
      <c r="G2420" s="63"/>
      <c r="H2420" s="67"/>
      <c r="I2420" s="68"/>
      <c r="J2420" s="68"/>
      <c r="K2420" s="32"/>
      <c r="L2420" s="75"/>
      <c r="M2420" s="75"/>
      <c r="N2420" s="70"/>
      <c r="O2420" t="s">
        <v>1570</v>
      </c>
      <c r="P2420" s="76">
        <v>44959.020416666666</v>
      </c>
      <c r="Q2420" t="s">
        <v>1693</v>
      </c>
      <c r="V2420" s="77" t="str">
        <f>HYPERLINK("https://pbs.twimg.com/profile_images/1553927577865273344/e6AdMJJa_normal.jpg")</f>
        <v>https://pbs.twimg.com/profile_images/1553927577865273344/e6AdMJJa_normal.jpg</v>
      </c>
      <c r="W2420" s="76">
        <v>44959.020416666666</v>
      </c>
      <c r="X2420" s="80">
        <v>44959</v>
      </c>
      <c r="Y2420" s="78" t="s">
        <v>3111</v>
      </c>
      <c r="Z2420" s="77" t="str">
        <f>HYPERLINK("https://twitter.com/rogel_guerrerog/status/1620942425622724611")</f>
        <v>https://twitter.com/rogel_guerrerog/status/1620942425622724611</v>
      </c>
      <c r="AC2420" s="78" t="s">
        <v>4176</v>
      </c>
      <c r="AE2420" t="b">
        <v>0</v>
      </c>
      <c r="AF2420">
        <v>0</v>
      </c>
      <c r="AG2420" s="78" t="s">
        <v>4640</v>
      </c>
      <c r="AH2420" t="b">
        <v>0</v>
      </c>
      <c r="AI2420" t="s">
        <v>4829</v>
      </c>
      <c r="AK2420" s="78" t="s">
        <v>4640</v>
      </c>
      <c r="AL2420" t="b">
        <v>0</v>
      </c>
      <c r="AM2420">
        <v>162</v>
      </c>
      <c r="AN2420" s="78" t="s">
        <v>4473</v>
      </c>
      <c r="AO2420" s="78" t="s">
        <v>4850</v>
      </c>
      <c r="AP2420" t="b">
        <v>0</v>
      </c>
      <c r="AQ2420" s="78" t="s">
        <v>4473</v>
      </c>
      <c r="AR2420" t="s">
        <v>179</v>
      </c>
      <c r="AS2420">
        <v>0</v>
      </c>
      <c r="AT2420">
        <v>0</v>
      </c>
    </row>
    <row r="2421" spans="1:46" x14ac:dyDescent="0.45">
      <c r="A2421" s="62" t="s">
        <v>851</v>
      </c>
      <c r="B2421" s="62" t="s">
        <v>242</v>
      </c>
      <c r="C2421" s="63"/>
      <c r="D2421" s="64"/>
      <c r="E2421" s="65"/>
      <c r="F2421" s="66"/>
      <c r="G2421" s="63"/>
      <c r="H2421" s="67"/>
      <c r="I2421" s="68"/>
      <c r="J2421" s="68"/>
      <c r="K2421" s="32"/>
      <c r="L2421" s="75"/>
      <c r="M2421" s="75"/>
      <c r="N2421" s="70"/>
      <c r="O2421" t="s">
        <v>1569</v>
      </c>
      <c r="P2421" s="76">
        <v>44959.020416666666</v>
      </c>
      <c r="Q2421" t="s">
        <v>1693</v>
      </c>
      <c r="V2421" s="77" t="str">
        <f>HYPERLINK("https://pbs.twimg.com/profile_images/1553927577865273344/e6AdMJJa_normal.jpg")</f>
        <v>https://pbs.twimg.com/profile_images/1553927577865273344/e6AdMJJa_normal.jpg</v>
      </c>
      <c r="W2421" s="76">
        <v>44959.020416666666</v>
      </c>
      <c r="X2421" s="80">
        <v>44959</v>
      </c>
      <c r="Y2421" s="78" t="s">
        <v>3111</v>
      </c>
      <c r="Z2421" s="77" t="str">
        <f>HYPERLINK("https://twitter.com/rogel_guerrerog/status/1620942425622724611")</f>
        <v>https://twitter.com/rogel_guerrerog/status/1620942425622724611</v>
      </c>
      <c r="AC2421" s="78" t="s">
        <v>4176</v>
      </c>
      <c r="AE2421" t="b">
        <v>0</v>
      </c>
      <c r="AF2421">
        <v>0</v>
      </c>
      <c r="AG2421" s="78" t="s">
        <v>4640</v>
      </c>
      <c r="AH2421" t="b">
        <v>0</v>
      </c>
      <c r="AI2421" t="s">
        <v>4829</v>
      </c>
      <c r="AK2421" s="78" t="s">
        <v>4640</v>
      </c>
      <c r="AL2421" t="b">
        <v>0</v>
      </c>
      <c r="AM2421">
        <v>162</v>
      </c>
      <c r="AN2421" s="78" t="s">
        <v>4473</v>
      </c>
      <c r="AO2421" s="78" t="s">
        <v>4850</v>
      </c>
      <c r="AP2421" t="b">
        <v>0</v>
      </c>
      <c r="AQ2421" s="78" t="s">
        <v>4473</v>
      </c>
      <c r="AR2421" t="s">
        <v>179</v>
      </c>
      <c r="AS2421">
        <v>0</v>
      </c>
      <c r="AT2421">
        <v>0</v>
      </c>
    </row>
    <row r="2422" spans="1:46" x14ac:dyDescent="0.45">
      <c r="A2422" s="62" t="s">
        <v>853</v>
      </c>
      <c r="B2422" s="62" t="s">
        <v>1111</v>
      </c>
      <c r="C2422" s="63"/>
      <c r="D2422" s="64"/>
      <c r="E2422" s="65"/>
      <c r="F2422" s="66"/>
      <c r="G2422" s="63"/>
      <c r="H2422" s="67"/>
      <c r="I2422" s="68"/>
      <c r="J2422" s="68"/>
      <c r="K2422" s="32"/>
      <c r="L2422" s="75"/>
      <c r="M2422" s="75"/>
      <c r="N2422" s="70"/>
      <c r="O2422" t="s">
        <v>1568</v>
      </c>
      <c r="P2422" s="76">
        <v>44959.022858796299</v>
      </c>
      <c r="Q2422" t="s">
        <v>2030</v>
      </c>
      <c r="V2422" s="77" t="str">
        <f>HYPERLINK("https://pbs.twimg.com/profile_images/1395119809306759174/j1eNSTi9_normal.jpg")</f>
        <v>https://pbs.twimg.com/profile_images/1395119809306759174/j1eNSTi9_normal.jpg</v>
      </c>
      <c r="W2422" s="76">
        <v>44959.022858796299</v>
      </c>
      <c r="X2422" s="80">
        <v>44959</v>
      </c>
      <c r="Y2422" s="78" t="s">
        <v>3113</v>
      </c>
      <c r="Z2422" s="77" t="str">
        <f>HYPERLINK("https://twitter.com/adamcorbinmusic/status/1620943311451353088")</f>
        <v>https://twitter.com/adamcorbinmusic/status/1620943311451353088</v>
      </c>
      <c r="AC2422" s="78" t="s">
        <v>4178</v>
      </c>
      <c r="AE2422" t="b">
        <v>0</v>
      </c>
      <c r="AF2422">
        <v>0</v>
      </c>
      <c r="AG2422" s="78" t="s">
        <v>4639</v>
      </c>
      <c r="AH2422" t="b">
        <v>0</v>
      </c>
      <c r="AI2422" t="s">
        <v>4829</v>
      </c>
      <c r="AK2422" s="78" t="s">
        <v>4640</v>
      </c>
      <c r="AL2422" t="b">
        <v>0</v>
      </c>
      <c r="AM2422">
        <v>0</v>
      </c>
      <c r="AN2422" s="78" t="s">
        <v>4640</v>
      </c>
      <c r="AO2422" s="78" t="s">
        <v>4849</v>
      </c>
      <c r="AP2422" t="b">
        <v>0</v>
      </c>
      <c r="AQ2422" s="78" t="s">
        <v>4178</v>
      </c>
      <c r="AR2422" t="s">
        <v>179</v>
      </c>
      <c r="AS2422">
        <v>0</v>
      </c>
      <c r="AT2422">
        <v>0</v>
      </c>
    </row>
    <row r="2423" spans="1:46" x14ac:dyDescent="0.45">
      <c r="A2423" s="62" t="s">
        <v>853</v>
      </c>
      <c r="B2423" s="62" t="s">
        <v>242</v>
      </c>
      <c r="C2423" s="63"/>
      <c r="D2423" s="64"/>
      <c r="E2423" s="65"/>
      <c r="F2423" s="66"/>
      <c r="G2423" s="63"/>
      <c r="H2423" s="67"/>
      <c r="I2423" s="68"/>
      <c r="J2423" s="68"/>
      <c r="K2423" s="32"/>
      <c r="L2423" s="75"/>
      <c r="M2423" s="75"/>
      <c r="N2423" s="70"/>
      <c r="O2423" t="s">
        <v>1567</v>
      </c>
      <c r="P2423" s="76">
        <v>44959.022858796299</v>
      </c>
      <c r="Q2423" t="s">
        <v>2030</v>
      </c>
      <c r="V2423" s="77" t="str">
        <f>HYPERLINK("https://pbs.twimg.com/profile_images/1395119809306759174/j1eNSTi9_normal.jpg")</f>
        <v>https://pbs.twimg.com/profile_images/1395119809306759174/j1eNSTi9_normal.jpg</v>
      </c>
      <c r="W2423" s="76">
        <v>44959.022858796299</v>
      </c>
      <c r="X2423" s="80">
        <v>44959</v>
      </c>
      <c r="Y2423" s="78" t="s">
        <v>3113</v>
      </c>
      <c r="Z2423" s="77" t="str">
        <f>HYPERLINK("https://twitter.com/adamcorbinmusic/status/1620943311451353088")</f>
        <v>https://twitter.com/adamcorbinmusic/status/1620943311451353088</v>
      </c>
      <c r="AC2423" s="78" t="s">
        <v>4178</v>
      </c>
      <c r="AE2423" t="b">
        <v>0</v>
      </c>
      <c r="AF2423">
        <v>0</v>
      </c>
      <c r="AG2423" s="78" t="s">
        <v>4639</v>
      </c>
      <c r="AH2423" t="b">
        <v>0</v>
      </c>
      <c r="AI2423" t="s">
        <v>4829</v>
      </c>
      <c r="AK2423" s="78" t="s">
        <v>4640</v>
      </c>
      <c r="AL2423" t="b">
        <v>0</v>
      </c>
      <c r="AM2423">
        <v>0</v>
      </c>
      <c r="AN2423" s="78" t="s">
        <v>4640</v>
      </c>
      <c r="AO2423" s="78" t="s">
        <v>4849</v>
      </c>
      <c r="AP2423" t="b">
        <v>0</v>
      </c>
      <c r="AQ2423" s="78" t="s">
        <v>4178</v>
      </c>
      <c r="AR2423" t="s">
        <v>179</v>
      </c>
      <c r="AS2423">
        <v>0</v>
      </c>
      <c r="AT2423">
        <v>0</v>
      </c>
    </row>
    <row r="2424" spans="1:46" x14ac:dyDescent="0.45">
      <c r="A2424" s="62" t="s">
        <v>854</v>
      </c>
      <c r="B2424" s="62" t="s">
        <v>1404</v>
      </c>
      <c r="C2424" s="63"/>
      <c r="D2424" s="64"/>
      <c r="E2424" s="65"/>
      <c r="F2424" s="66"/>
      <c r="G2424" s="63"/>
      <c r="H2424" s="67"/>
      <c r="I2424" s="68"/>
      <c r="J2424" s="68"/>
      <c r="K2424" s="32"/>
      <c r="L2424" s="75"/>
      <c r="M2424" s="75"/>
      <c r="N2424" s="70"/>
      <c r="O2424" t="s">
        <v>1567</v>
      </c>
      <c r="P2424" s="76">
        <v>44959.025138888886</v>
      </c>
      <c r="Q2424" t="s">
        <v>2031</v>
      </c>
      <c r="V2424" s="77" t="str">
        <f>HYPERLINK("https://pbs.twimg.com/profile_images/1618425981416488960/s3PFXIAo_normal.jpg")</f>
        <v>https://pbs.twimg.com/profile_images/1618425981416488960/s3PFXIAo_normal.jpg</v>
      </c>
      <c r="W2424" s="76">
        <v>44959.025138888886</v>
      </c>
      <c r="X2424" s="80">
        <v>44959</v>
      </c>
      <c r="Y2424" s="78" t="s">
        <v>3114</v>
      </c>
      <c r="Z2424" s="77" t="str">
        <f>HYPERLINK("https://twitter.com/lindamarcelino3/status/1620944137607577600")</f>
        <v>https://twitter.com/lindamarcelino3/status/1620944137607577600</v>
      </c>
      <c r="AC2424" s="78" t="s">
        <v>4179</v>
      </c>
      <c r="AD2424" s="78" t="s">
        <v>4587</v>
      </c>
      <c r="AE2424" t="b">
        <v>0</v>
      </c>
      <c r="AF2424">
        <v>0</v>
      </c>
      <c r="AG2424" s="78" t="s">
        <v>4760</v>
      </c>
      <c r="AH2424" t="b">
        <v>0</v>
      </c>
      <c r="AI2424" t="s">
        <v>4829</v>
      </c>
      <c r="AK2424" s="78" t="s">
        <v>4640</v>
      </c>
      <c r="AL2424" t="b">
        <v>0</v>
      </c>
      <c r="AM2424">
        <v>0</v>
      </c>
      <c r="AN2424" s="78" t="s">
        <v>4640</v>
      </c>
      <c r="AO2424" s="78" t="s">
        <v>4849</v>
      </c>
      <c r="AP2424" t="b">
        <v>0</v>
      </c>
      <c r="AQ2424" s="78" t="s">
        <v>4587</v>
      </c>
      <c r="AR2424" t="s">
        <v>179</v>
      </c>
      <c r="AS2424">
        <v>0</v>
      </c>
      <c r="AT2424">
        <v>0</v>
      </c>
    </row>
    <row r="2425" spans="1:46" x14ac:dyDescent="0.45">
      <c r="A2425" s="62" t="s">
        <v>854</v>
      </c>
      <c r="B2425" s="62" t="s">
        <v>242</v>
      </c>
      <c r="C2425" s="63"/>
      <c r="D2425" s="64"/>
      <c r="E2425" s="65"/>
      <c r="F2425" s="66"/>
      <c r="G2425" s="63"/>
      <c r="H2425" s="67"/>
      <c r="I2425" s="68"/>
      <c r="J2425" s="68"/>
      <c r="K2425" s="32"/>
      <c r="L2425" s="75"/>
      <c r="M2425" s="75"/>
      <c r="N2425" s="70"/>
      <c r="O2425" t="s">
        <v>1568</v>
      </c>
      <c r="P2425" s="76">
        <v>44959.025138888886</v>
      </c>
      <c r="Q2425" t="s">
        <v>2031</v>
      </c>
      <c r="V2425" s="77" t="str">
        <f>HYPERLINK("https://pbs.twimg.com/profile_images/1618425981416488960/s3PFXIAo_normal.jpg")</f>
        <v>https://pbs.twimg.com/profile_images/1618425981416488960/s3PFXIAo_normal.jpg</v>
      </c>
      <c r="W2425" s="76">
        <v>44959.025138888886</v>
      </c>
      <c r="X2425" s="80">
        <v>44959</v>
      </c>
      <c r="Y2425" s="78" t="s">
        <v>3114</v>
      </c>
      <c r="Z2425" s="77" t="str">
        <f>HYPERLINK("https://twitter.com/lindamarcelino3/status/1620944137607577600")</f>
        <v>https://twitter.com/lindamarcelino3/status/1620944137607577600</v>
      </c>
      <c r="AC2425" s="78" t="s">
        <v>4179</v>
      </c>
      <c r="AD2425" s="78" t="s">
        <v>4587</v>
      </c>
      <c r="AE2425" t="b">
        <v>0</v>
      </c>
      <c r="AF2425">
        <v>0</v>
      </c>
      <c r="AG2425" s="78" t="s">
        <v>4760</v>
      </c>
      <c r="AH2425" t="b">
        <v>0</v>
      </c>
      <c r="AI2425" t="s">
        <v>4829</v>
      </c>
      <c r="AK2425" s="78" t="s">
        <v>4640</v>
      </c>
      <c r="AL2425" t="b">
        <v>0</v>
      </c>
      <c r="AM2425">
        <v>0</v>
      </c>
      <c r="AN2425" s="78" t="s">
        <v>4640</v>
      </c>
      <c r="AO2425" s="78" t="s">
        <v>4849</v>
      </c>
      <c r="AP2425" t="b">
        <v>0</v>
      </c>
      <c r="AQ2425" s="78" t="s">
        <v>4587</v>
      </c>
      <c r="AR2425" t="s">
        <v>179</v>
      </c>
      <c r="AS2425">
        <v>0</v>
      </c>
      <c r="AT2425">
        <v>0</v>
      </c>
    </row>
    <row r="2426" spans="1:46" x14ac:dyDescent="0.45">
      <c r="A2426" s="62" t="s">
        <v>857</v>
      </c>
      <c r="B2426" s="62" t="s">
        <v>242</v>
      </c>
      <c r="C2426" s="63"/>
      <c r="D2426" s="64"/>
      <c r="E2426" s="65"/>
      <c r="F2426" s="66"/>
      <c r="G2426" s="63"/>
      <c r="H2426" s="67"/>
      <c r="I2426" s="68"/>
      <c r="J2426" s="68"/>
      <c r="K2426" s="32"/>
      <c r="L2426" s="75"/>
      <c r="M2426" s="75"/>
      <c r="N2426" s="70"/>
      <c r="O2426" t="s">
        <v>1567</v>
      </c>
      <c r="P2426" s="76">
        <v>44959.030578703707</v>
      </c>
      <c r="Q2426" t="s">
        <v>2034</v>
      </c>
      <c r="U2426" s="77" t="str">
        <f>HYPERLINK("https://pbs.twimg.com/media/Fn7B5F-WAAE71j8.jpg")</f>
        <v>https://pbs.twimg.com/media/Fn7B5F-WAAE71j8.jpg</v>
      </c>
      <c r="V2426" s="77" t="str">
        <f>HYPERLINK("https://pbs.twimg.com/media/Fn7B5F-WAAE71j8.jpg")</f>
        <v>https://pbs.twimg.com/media/Fn7B5F-WAAE71j8.jpg</v>
      </c>
      <c r="W2426" s="76">
        <v>44959.030578703707</v>
      </c>
      <c r="X2426" s="80">
        <v>44959</v>
      </c>
      <c r="Y2426" s="78" t="s">
        <v>3117</v>
      </c>
      <c r="Z2426" s="77" t="str">
        <f>HYPERLINK("https://twitter.com/aceves_king/status/1620946108804632577")</f>
        <v>https://twitter.com/aceves_king/status/1620946108804632577</v>
      </c>
      <c r="AC2426" s="78" t="s">
        <v>4182</v>
      </c>
      <c r="AE2426" t="b">
        <v>0</v>
      </c>
      <c r="AF2426">
        <v>0</v>
      </c>
      <c r="AG2426" s="78" t="s">
        <v>4639</v>
      </c>
      <c r="AH2426" t="b">
        <v>0</v>
      </c>
      <c r="AI2426" t="s">
        <v>4829</v>
      </c>
      <c r="AK2426" s="78" t="s">
        <v>4640</v>
      </c>
      <c r="AL2426" t="b">
        <v>0</v>
      </c>
      <c r="AM2426">
        <v>0</v>
      </c>
      <c r="AN2426" s="78" t="s">
        <v>4640</v>
      </c>
      <c r="AO2426" s="78" t="s">
        <v>4849</v>
      </c>
      <c r="AP2426" t="b">
        <v>0</v>
      </c>
      <c r="AQ2426" s="78" t="s">
        <v>4182</v>
      </c>
      <c r="AR2426" t="s">
        <v>179</v>
      </c>
      <c r="AS2426">
        <v>0</v>
      </c>
      <c r="AT2426">
        <v>0</v>
      </c>
    </row>
    <row r="2427" spans="1:46" x14ac:dyDescent="0.45">
      <c r="A2427" s="62" t="s">
        <v>858</v>
      </c>
      <c r="B2427" s="62" t="s">
        <v>242</v>
      </c>
      <c r="C2427" s="63"/>
      <c r="D2427" s="64"/>
      <c r="E2427" s="65"/>
      <c r="F2427" s="66"/>
      <c r="G2427" s="63"/>
      <c r="H2427" s="67"/>
      <c r="I2427" s="68"/>
      <c r="J2427" s="68"/>
      <c r="K2427" s="32"/>
      <c r="L2427" s="75"/>
      <c r="M2427" s="75"/>
      <c r="N2427" s="70"/>
      <c r="O2427" t="s">
        <v>1568</v>
      </c>
      <c r="P2427" s="76">
        <v>44959.031192129631</v>
      </c>
      <c r="Q2427" t="s">
        <v>2035</v>
      </c>
      <c r="V2427" s="77" t="str">
        <f>HYPERLINK("https://pbs.twimg.com/profile_images/1565485914712707072/Lzr1j5Yv_normal.jpg")</f>
        <v>https://pbs.twimg.com/profile_images/1565485914712707072/Lzr1j5Yv_normal.jpg</v>
      </c>
      <c r="W2427" s="76">
        <v>44959.031192129631</v>
      </c>
      <c r="X2427" s="80">
        <v>44959</v>
      </c>
      <c r="Y2427" s="78" t="s">
        <v>3118</v>
      </c>
      <c r="Z2427" s="77" t="str">
        <f>HYPERLINK("https://twitter.com/lolhelppls/status/1620946329680879616")</f>
        <v>https://twitter.com/lolhelppls/status/1620946329680879616</v>
      </c>
      <c r="AC2427" s="78" t="s">
        <v>4183</v>
      </c>
      <c r="AE2427" t="b">
        <v>0</v>
      </c>
      <c r="AF2427">
        <v>0</v>
      </c>
      <c r="AG2427" s="78" t="s">
        <v>4640</v>
      </c>
      <c r="AH2427" t="b">
        <v>0</v>
      </c>
      <c r="AI2427" t="s">
        <v>4829</v>
      </c>
      <c r="AK2427" s="78" t="s">
        <v>4640</v>
      </c>
      <c r="AL2427" t="b">
        <v>0</v>
      </c>
      <c r="AM2427">
        <v>0</v>
      </c>
      <c r="AN2427" s="78" t="s">
        <v>4640</v>
      </c>
      <c r="AO2427" s="78" t="s">
        <v>4849</v>
      </c>
      <c r="AP2427" t="b">
        <v>0</v>
      </c>
      <c r="AQ2427" s="78" t="s">
        <v>4183</v>
      </c>
      <c r="AR2427" t="s">
        <v>179</v>
      </c>
      <c r="AS2427">
        <v>0</v>
      </c>
      <c r="AT2427">
        <v>0</v>
      </c>
    </row>
    <row r="2428" spans="1:46" x14ac:dyDescent="0.45">
      <c r="A2428" s="62" t="s">
        <v>862</v>
      </c>
      <c r="B2428" s="62" t="s">
        <v>1364</v>
      </c>
      <c r="C2428" s="63"/>
      <c r="D2428" s="64"/>
      <c r="E2428" s="65"/>
      <c r="F2428" s="66"/>
      <c r="G2428" s="63"/>
      <c r="H2428" s="67"/>
      <c r="I2428" s="68"/>
      <c r="J2428" s="68"/>
      <c r="K2428" s="32"/>
      <c r="L2428" s="75"/>
      <c r="M2428" s="75"/>
      <c r="N2428" s="70"/>
      <c r="O2428" t="s">
        <v>1568</v>
      </c>
      <c r="P2428" s="76">
        <v>44959.04184027778</v>
      </c>
      <c r="Q2428" t="s">
        <v>2037</v>
      </c>
      <c r="V2428" s="77" t="str">
        <f>HYPERLINK("https://pbs.twimg.com/profile_images/1613912758101106691/WicIpCzz_normal.jpg")</f>
        <v>https://pbs.twimg.com/profile_images/1613912758101106691/WicIpCzz_normal.jpg</v>
      </c>
      <c r="W2428" s="76">
        <v>44959.04184027778</v>
      </c>
      <c r="X2428" s="80">
        <v>44959</v>
      </c>
      <c r="Y2428" s="78" t="s">
        <v>3122</v>
      </c>
      <c r="Z2428" s="77" t="str">
        <f>HYPERLINK("https://twitter.com/thetealady574/status/1620950190491598848")</f>
        <v>https://twitter.com/thetealady574/status/1620950190491598848</v>
      </c>
      <c r="AC2428" s="78" t="s">
        <v>4187</v>
      </c>
      <c r="AD2428" s="78" t="s">
        <v>4588</v>
      </c>
      <c r="AE2428" t="b">
        <v>0</v>
      </c>
      <c r="AF2428">
        <v>0</v>
      </c>
      <c r="AG2428" s="78" t="s">
        <v>4761</v>
      </c>
      <c r="AH2428" t="b">
        <v>0</v>
      </c>
      <c r="AI2428" t="s">
        <v>4829</v>
      </c>
      <c r="AK2428" s="78" t="s">
        <v>4640</v>
      </c>
      <c r="AL2428" t="b">
        <v>0</v>
      </c>
      <c r="AM2428">
        <v>0</v>
      </c>
      <c r="AN2428" s="78" t="s">
        <v>4640</v>
      </c>
      <c r="AO2428" s="78" t="s">
        <v>4850</v>
      </c>
      <c r="AP2428" t="b">
        <v>0</v>
      </c>
      <c r="AQ2428" s="78" t="s">
        <v>4588</v>
      </c>
      <c r="AR2428" t="s">
        <v>179</v>
      </c>
      <c r="AS2428">
        <v>0</v>
      </c>
      <c r="AT2428">
        <v>0</v>
      </c>
    </row>
    <row r="2429" spans="1:46" x14ac:dyDescent="0.45">
      <c r="A2429" s="62" t="s">
        <v>862</v>
      </c>
      <c r="B2429" s="62" t="s">
        <v>1405</v>
      </c>
      <c r="C2429" s="63"/>
      <c r="D2429" s="64"/>
      <c r="E2429" s="65"/>
      <c r="F2429" s="66"/>
      <c r="G2429" s="63"/>
      <c r="H2429" s="67"/>
      <c r="I2429" s="68"/>
      <c r="J2429" s="68"/>
      <c r="K2429" s="32"/>
      <c r="L2429" s="75"/>
      <c r="M2429" s="75"/>
      <c r="N2429" s="70"/>
      <c r="O2429" t="s">
        <v>1567</v>
      </c>
      <c r="P2429" s="76">
        <v>44959.04184027778</v>
      </c>
      <c r="Q2429" t="s">
        <v>2037</v>
      </c>
      <c r="V2429" s="77" t="str">
        <f>HYPERLINK("https://pbs.twimg.com/profile_images/1613912758101106691/WicIpCzz_normal.jpg")</f>
        <v>https://pbs.twimg.com/profile_images/1613912758101106691/WicIpCzz_normal.jpg</v>
      </c>
      <c r="W2429" s="76">
        <v>44959.04184027778</v>
      </c>
      <c r="X2429" s="80">
        <v>44959</v>
      </c>
      <c r="Y2429" s="78" t="s">
        <v>3122</v>
      </c>
      <c r="Z2429" s="77" t="str">
        <f>HYPERLINK("https://twitter.com/thetealady574/status/1620950190491598848")</f>
        <v>https://twitter.com/thetealady574/status/1620950190491598848</v>
      </c>
      <c r="AC2429" s="78" t="s">
        <v>4187</v>
      </c>
      <c r="AD2429" s="78" t="s">
        <v>4588</v>
      </c>
      <c r="AE2429" t="b">
        <v>0</v>
      </c>
      <c r="AF2429">
        <v>0</v>
      </c>
      <c r="AG2429" s="78" t="s">
        <v>4761</v>
      </c>
      <c r="AH2429" t="b">
        <v>0</v>
      </c>
      <c r="AI2429" t="s">
        <v>4829</v>
      </c>
      <c r="AK2429" s="78" t="s">
        <v>4640</v>
      </c>
      <c r="AL2429" t="b">
        <v>0</v>
      </c>
      <c r="AM2429">
        <v>0</v>
      </c>
      <c r="AN2429" s="78" t="s">
        <v>4640</v>
      </c>
      <c r="AO2429" s="78" t="s">
        <v>4850</v>
      </c>
      <c r="AP2429" t="b">
        <v>0</v>
      </c>
      <c r="AQ2429" s="78" t="s">
        <v>4588</v>
      </c>
      <c r="AR2429" t="s">
        <v>179</v>
      </c>
      <c r="AS2429">
        <v>0</v>
      </c>
      <c r="AT2429">
        <v>0</v>
      </c>
    </row>
    <row r="2430" spans="1:46" x14ac:dyDescent="0.45">
      <c r="A2430" s="62" t="s">
        <v>862</v>
      </c>
      <c r="B2430" s="62" t="s">
        <v>1181</v>
      </c>
      <c r="C2430" s="63"/>
      <c r="D2430" s="64"/>
      <c r="E2430" s="65"/>
      <c r="F2430" s="66"/>
      <c r="G2430" s="63"/>
      <c r="H2430" s="67"/>
      <c r="I2430" s="68"/>
      <c r="J2430" s="68"/>
      <c r="K2430" s="32"/>
      <c r="L2430" s="75"/>
      <c r="M2430" s="75"/>
      <c r="N2430" s="70"/>
      <c r="O2430" t="s">
        <v>1568</v>
      </c>
      <c r="P2430" s="76">
        <v>44959.04184027778</v>
      </c>
      <c r="Q2430" t="s">
        <v>2037</v>
      </c>
      <c r="V2430" s="77" t="str">
        <f>HYPERLINK("https://pbs.twimg.com/profile_images/1613912758101106691/WicIpCzz_normal.jpg")</f>
        <v>https://pbs.twimg.com/profile_images/1613912758101106691/WicIpCzz_normal.jpg</v>
      </c>
      <c r="W2430" s="76">
        <v>44959.04184027778</v>
      </c>
      <c r="X2430" s="80">
        <v>44959</v>
      </c>
      <c r="Y2430" s="78" t="s">
        <v>3122</v>
      </c>
      <c r="Z2430" s="77" t="str">
        <f>HYPERLINK("https://twitter.com/thetealady574/status/1620950190491598848")</f>
        <v>https://twitter.com/thetealady574/status/1620950190491598848</v>
      </c>
      <c r="AC2430" s="78" t="s">
        <v>4187</v>
      </c>
      <c r="AD2430" s="78" t="s">
        <v>4588</v>
      </c>
      <c r="AE2430" t="b">
        <v>0</v>
      </c>
      <c r="AF2430">
        <v>0</v>
      </c>
      <c r="AG2430" s="78" t="s">
        <v>4761</v>
      </c>
      <c r="AH2430" t="b">
        <v>0</v>
      </c>
      <c r="AI2430" t="s">
        <v>4829</v>
      </c>
      <c r="AK2430" s="78" t="s">
        <v>4640</v>
      </c>
      <c r="AL2430" t="b">
        <v>0</v>
      </c>
      <c r="AM2430">
        <v>0</v>
      </c>
      <c r="AN2430" s="78" t="s">
        <v>4640</v>
      </c>
      <c r="AO2430" s="78" t="s">
        <v>4850</v>
      </c>
      <c r="AP2430" t="b">
        <v>0</v>
      </c>
      <c r="AQ2430" s="78" t="s">
        <v>4588</v>
      </c>
      <c r="AR2430" t="s">
        <v>179</v>
      </c>
      <c r="AS2430">
        <v>0</v>
      </c>
      <c r="AT2430">
        <v>0</v>
      </c>
    </row>
    <row r="2431" spans="1:46" x14ac:dyDescent="0.45">
      <c r="A2431" s="62" t="s">
        <v>862</v>
      </c>
      <c r="B2431" s="62" t="s">
        <v>242</v>
      </c>
      <c r="C2431" s="63"/>
      <c r="D2431" s="64"/>
      <c r="E2431" s="65"/>
      <c r="F2431" s="66"/>
      <c r="G2431" s="63"/>
      <c r="H2431" s="67"/>
      <c r="I2431" s="68"/>
      <c r="J2431" s="68"/>
      <c r="K2431" s="32"/>
      <c r="L2431" s="75"/>
      <c r="M2431" s="75"/>
      <c r="N2431" s="70"/>
      <c r="O2431" t="s">
        <v>1568</v>
      </c>
      <c r="P2431" s="76">
        <v>44959.04184027778</v>
      </c>
      <c r="Q2431" t="s">
        <v>2037</v>
      </c>
      <c r="V2431" s="77" t="str">
        <f>HYPERLINK("https://pbs.twimg.com/profile_images/1613912758101106691/WicIpCzz_normal.jpg")</f>
        <v>https://pbs.twimg.com/profile_images/1613912758101106691/WicIpCzz_normal.jpg</v>
      </c>
      <c r="W2431" s="76">
        <v>44959.04184027778</v>
      </c>
      <c r="X2431" s="80">
        <v>44959</v>
      </c>
      <c r="Y2431" s="78" t="s">
        <v>3122</v>
      </c>
      <c r="Z2431" s="77" t="str">
        <f>HYPERLINK("https://twitter.com/thetealady574/status/1620950190491598848")</f>
        <v>https://twitter.com/thetealady574/status/1620950190491598848</v>
      </c>
      <c r="AC2431" s="78" t="s">
        <v>4187</v>
      </c>
      <c r="AD2431" s="78" t="s">
        <v>4588</v>
      </c>
      <c r="AE2431" t="b">
        <v>0</v>
      </c>
      <c r="AF2431">
        <v>0</v>
      </c>
      <c r="AG2431" s="78" t="s">
        <v>4761</v>
      </c>
      <c r="AH2431" t="b">
        <v>0</v>
      </c>
      <c r="AI2431" t="s">
        <v>4829</v>
      </c>
      <c r="AK2431" s="78" t="s">
        <v>4640</v>
      </c>
      <c r="AL2431" t="b">
        <v>0</v>
      </c>
      <c r="AM2431">
        <v>0</v>
      </c>
      <c r="AN2431" s="78" t="s">
        <v>4640</v>
      </c>
      <c r="AO2431" s="78" t="s">
        <v>4850</v>
      </c>
      <c r="AP2431" t="b">
        <v>0</v>
      </c>
      <c r="AQ2431" s="78" t="s">
        <v>4588</v>
      </c>
      <c r="AR2431" t="s">
        <v>179</v>
      </c>
      <c r="AS2431">
        <v>0</v>
      </c>
      <c r="AT2431">
        <v>0</v>
      </c>
    </row>
    <row r="2432" spans="1:46" x14ac:dyDescent="0.45">
      <c r="A2432" s="62" t="s">
        <v>863</v>
      </c>
      <c r="B2432" s="62" t="s">
        <v>1406</v>
      </c>
      <c r="C2432" s="63"/>
      <c r="D2432" s="64"/>
      <c r="E2432" s="65"/>
      <c r="F2432" s="66"/>
      <c r="G2432" s="63"/>
      <c r="H2432" s="67"/>
      <c r="I2432" s="68"/>
      <c r="J2432" s="68"/>
      <c r="K2432" s="32"/>
      <c r="L2432" s="75"/>
      <c r="M2432" s="75"/>
      <c r="N2432" s="70"/>
      <c r="O2432" t="s">
        <v>1568</v>
      </c>
      <c r="P2432" s="76">
        <v>44959.044432870367</v>
      </c>
      <c r="Q2432" t="s">
        <v>2038</v>
      </c>
      <c r="V2432" s="77" t="str">
        <f>HYPERLINK("https://pbs.twimg.com/profile_images/1506027638518820865/cEYo2BxL_normal.jpg")</f>
        <v>https://pbs.twimg.com/profile_images/1506027638518820865/cEYo2BxL_normal.jpg</v>
      </c>
      <c r="W2432" s="76">
        <v>44959.044432870367</v>
      </c>
      <c r="X2432" s="80">
        <v>44959</v>
      </c>
      <c r="Y2432" s="78" t="s">
        <v>3123</v>
      </c>
      <c r="Z2432" s="77" t="str">
        <f>HYPERLINK("https://twitter.com/bigassakmoose/status/1620951128463532032")</f>
        <v>https://twitter.com/bigassakmoose/status/1620951128463532032</v>
      </c>
      <c r="AC2432" s="78" t="s">
        <v>4188</v>
      </c>
      <c r="AE2432" t="b">
        <v>0</v>
      </c>
      <c r="AF2432">
        <v>0</v>
      </c>
      <c r="AG2432" s="78" t="s">
        <v>4640</v>
      </c>
      <c r="AH2432" t="b">
        <v>0</v>
      </c>
      <c r="AI2432" t="s">
        <v>4829</v>
      </c>
      <c r="AK2432" s="78" t="s">
        <v>4640</v>
      </c>
      <c r="AL2432" t="b">
        <v>0</v>
      </c>
      <c r="AM2432">
        <v>0</v>
      </c>
      <c r="AN2432" s="78" t="s">
        <v>4640</v>
      </c>
      <c r="AO2432" s="78" t="s">
        <v>4849</v>
      </c>
      <c r="AP2432" t="b">
        <v>0</v>
      </c>
      <c r="AQ2432" s="78" t="s">
        <v>4188</v>
      </c>
      <c r="AR2432" t="s">
        <v>179</v>
      </c>
      <c r="AS2432">
        <v>0</v>
      </c>
      <c r="AT2432">
        <v>0</v>
      </c>
    </row>
    <row r="2433" spans="1:46" x14ac:dyDescent="0.45">
      <c r="A2433" s="62" t="s">
        <v>863</v>
      </c>
      <c r="B2433" s="62" t="s">
        <v>242</v>
      </c>
      <c r="C2433" s="63"/>
      <c r="D2433" s="64"/>
      <c r="E2433" s="65"/>
      <c r="F2433" s="66"/>
      <c r="G2433" s="63"/>
      <c r="H2433" s="67"/>
      <c r="I2433" s="68"/>
      <c r="J2433" s="68"/>
      <c r="K2433" s="32"/>
      <c r="L2433" s="75"/>
      <c r="M2433" s="75"/>
      <c r="N2433" s="70"/>
      <c r="O2433" t="s">
        <v>1568</v>
      </c>
      <c r="P2433" s="76">
        <v>44959.044432870367</v>
      </c>
      <c r="Q2433" t="s">
        <v>2038</v>
      </c>
      <c r="V2433" s="77" t="str">
        <f>HYPERLINK("https://pbs.twimg.com/profile_images/1506027638518820865/cEYo2BxL_normal.jpg")</f>
        <v>https://pbs.twimg.com/profile_images/1506027638518820865/cEYo2BxL_normal.jpg</v>
      </c>
      <c r="W2433" s="76">
        <v>44959.044432870367</v>
      </c>
      <c r="X2433" s="80">
        <v>44959</v>
      </c>
      <c r="Y2433" s="78" t="s">
        <v>3123</v>
      </c>
      <c r="Z2433" s="77" t="str">
        <f>HYPERLINK("https://twitter.com/bigassakmoose/status/1620951128463532032")</f>
        <v>https://twitter.com/bigassakmoose/status/1620951128463532032</v>
      </c>
      <c r="AC2433" s="78" t="s">
        <v>4188</v>
      </c>
      <c r="AE2433" t="b">
        <v>0</v>
      </c>
      <c r="AF2433">
        <v>0</v>
      </c>
      <c r="AG2433" s="78" t="s">
        <v>4640</v>
      </c>
      <c r="AH2433" t="b">
        <v>0</v>
      </c>
      <c r="AI2433" t="s">
        <v>4829</v>
      </c>
      <c r="AK2433" s="78" t="s">
        <v>4640</v>
      </c>
      <c r="AL2433" t="b">
        <v>0</v>
      </c>
      <c r="AM2433">
        <v>0</v>
      </c>
      <c r="AN2433" s="78" t="s">
        <v>4640</v>
      </c>
      <c r="AO2433" s="78" t="s">
        <v>4849</v>
      </c>
      <c r="AP2433" t="b">
        <v>0</v>
      </c>
      <c r="AQ2433" s="78" t="s">
        <v>4188</v>
      </c>
      <c r="AR2433" t="s">
        <v>179</v>
      </c>
      <c r="AS2433">
        <v>0</v>
      </c>
      <c r="AT2433">
        <v>0</v>
      </c>
    </row>
    <row r="2434" spans="1:46" x14ac:dyDescent="0.45">
      <c r="A2434" s="62" t="s">
        <v>864</v>
      </c>
      <c r="B2434" s="62" t="s">
        <v>1230</v>
      </c>
      <c r="C2434" s="63"/>
      <c r="D2434" s="64"/>
      <c r="E2434" s="65"/>
      <c r="F2434" s="66"/>
      <c r="G2434" s="63"/>
      <c r="H2434" s="67"/>
      <c r="I2434" s="68"/>
      <c r="J2434" s="68"/>
      <c r="K2434" s="32"/>
      <c r="L2434" s="75"/>
      <c r="M2434" s="75"/>
      <c r="N2434" s="70"/>
      <c r="O2434" t="s">
        <v>1570</v>
      </c>
      <c r="P2434" s="76">
        <v>44959.045208333337</v>
      </c>
      <c r="Q2434" t="s">
        <v>1693</v>
      </c>
      <c r="V2434" s="77" t="str">
        <f>HYPERLINK("https://pbs.twimg.com/profile_images/1619787395779493888/jin2_Crg_normal.jpg")</f>
        <v>https://pbs.twimg.com/profile_images/1619787395779493888/jin2_Crg_normal.jpg</v>
      </c>
      <c r="W2434" s="76">
        <v>44959.045208333337</v>
      </c>
      <c r="X2434" s="80">
        <v>44959</v>
      </c>
      <c r="Y2434" s="78" t="s">
        <v>3124</v>
      </c>
      <c r="Z2434" s="77" t="str">
        <f>HYPERLINK("https://twitter.com/folklorecory/status/1620951411143098368")</f>
        <v>https://twitter.com/folklorecory/status/1620951411143098368</v>
      </c>
      <c r="AC2434" s="78" t="s">
        <v>4189</v>
      </c>
      <c r="AE2434" t="b">
        <v>0</v>
      </c>
      <c r="AF2434">
        <v>0</v>
      </c>
      <c r="AG2434" s="78" t="s">
        <v>4640</v>
      </c>
      <c r="AH2434" t="b">
        <v>0</v>
      </c>
      <c r="AI2434" t="s">
        <v>4829</v>
      </c>
      <c r="AK2434" s="78" t="s">
        <v>4640</v>
      </c>
      <c r="AL2434" t="b">
        <v>0</v>
      </c>
      <c r="AM2434">
        <v>162</v>
      </c>
      <c r="AN2434" s="78" t="s">
        <v>4473</v>
      </c>
      <c r="AO2434" s="78" t="s">
        <v>4851</v>
      </c>
      <c r="AP2434" t="b">
        <v>0</v>
      </c>
      <c r="AQ2434" s="78" t="s">
        <v>4473</v>
      </c>
      <c r="AR2434" t="s">
        <v>179</v>
      </c>
      <c r="AS2434">
        <v>0</v>
      </c>
      <c r="AT2434">
        <v>0</v>
      </c>
    </row>
    <row r="2435" spans="1:46" x14ac:dyDescent="0.45">
      <c r="A2435" s="62" t="s">
        <v>864</v>
      </c>
      <c r="B2435" s="62" t="s">
        <v>242</v>
      </c>
      <c r="C2435" s="63"/>
      <c r="D2435" s="64"/>
      <c r="E2435" s="65"/>
      <c r="F2435" s="66"/>
      <c r="G2435" s="63"/>
      <c r="H2435" s="67"/>
      <c r="I2435" s="68"/>
      <c r="J2435" s="68"/>
      <c r="K2435" s="32"/>
      <c r="L2435" s="75"/>
      <c r="M2435" s="75"/>
      <c r="N2435" s="70"/>
      <c r="O2435" t="s">
        <v>1569</v>
      </c>
      <c r="P2435" s="76">
        <v>44959.045208333337</v>
      </c>
      <c r="Q2435" t="s">
        <v>1693</v>
      </c>
      <c r="V2435" s="77" t="str">
        <f>HYPERLINK("https://pbs.twimg.com/profile_images/1619787395779493888/jin2_Crg_normal.jpg")</f>
        <v>https://pbs.twimg.com/profile_images/1619787395779493888/jin2_Crg_normal.jpg</v>
      </c>
      <c r="W2435" s="76">
        <v>44959.045208333337</v>
      </c>
      <c r="X2435" s="80">
        <v>44959</v>
      </c>
      <c r="Y2435" s="78" t="s">
        <v>3124</v>
      </c>
      <c r="Z2435" s="77" t="str">
        <f>HYPERLINK("https://twitter.com/folklorecory/status/1620951411143098368")</f>
        <v>https://twitter.com/folklorecory/status/1620951411143098368</v>
      </c>
      <c r="AC2435" s="78" t="s">
        <v>4189</v>
      </c>
      <c r="AE2435" t="b">
        <v>0</v>
      </c>
      <c r="AF2435">
        <v>0</v>
      </c>
      <c r="AG2435" s="78" t="s">
        <v>4640</v>
      </c>
      <c r="AH2435" t="b">
        <v>0</v>
      </c>
      <c r="AI2435" t="s">
        <v>4829</v>
      </c>
      <c r="AK2435" s="78" t="s">
        <v>4640</v>
      </c>
      <c r="AL2435" t="b">
        <v>0</v>
      </c>
      <c r="AM2435">
        <v>162</v>
      </c>
      <c r="AN2435" s="78" t="s">
        <v>4473</v>
      </c>
      <c r="AO2435" s="78" t="s">
        <v>4851</v>
      </c>
      <c r="AP2435" t="b">
        <v>0</v>
      </c>
      <c r="AQ2435" s="78" t="s">
        <v>4473</v>
      </c>
      <c r="AR2435" t="s">
        <v>179</v>
      </c>
      <c r="AS2435">
        <v>0</v>
      </c>
      <c r="AT2435">
        <v>0</v>
      </c>
    </row>
    <row r="2436" spans="1:46" x14ac:dyDescent="0.45">
      <c r="A2436" s="62" t="s">
        <v>865</v>
      </c>
      <c r="B2436" s="62" t="s">
        <v>242</v>
      </c>
      <c r="C2436" s="63"/>
      <c r="D2436" s="64"/>
      <c r="E2436" s="65"/>
      <c r="F2436" s="66"/>
      <c r="G2436" s="63"/>
      <c r="H2436" s="67"/>
      <c r="I2436" s="68"/>
      <c r="J2436" s="68"/>
      <c r="K2436" s="32"/>
      <c r="L2436" s="75"/>
      <c r="M2436" s="75"/>
      <c r="N2436" s="70"/>
      <c r="O2436" t="s">
        <v>1570</v>
      </c>
      <c r="P2436" s="76">
        <v>44959.048819444448</v>
      </c>
      <c r="Q2436" t="s">
        <v>1597</v>
      </c>
      <c r="U2436" s="77" t="str">
        <f>HYPERLINK("https://pbs.twimg.com/media/Fn21cCpaEAIoT8g.jpg")</f>
        <v>https://pbs.twimg.com/media/Fn21cCpaEAIoT8g.jpg</v>
      </c>
      <c r="V2436" s="77" t="str">
        <f>HYPERLINK("https://pbs.twimg.com/media/Fn21cCpaEAIoT8g.jpg")</f>
        <v>https://pbs.twimg.com/media/Fn21cCpaEAIoT8g.jpg</v>
      </c>
      <c r="W2436" s="76">
        <v>44959.048819444448</v>
      </c>
      <c r="X2436" s="80">
        <v>44959</v>
      </c>
      <c r="Y2436" s="78" t="s">
        <v>3125</v>
      </c>
      <c r="Z2436" s="77" t="str">
        <f>HYPERLINK("https://twitter.com/geekgirldiva/status/1620952717421318144")</f>
        <v>https://twitter.com/geekgirldiva/status/1620952717421318144</v>
      </c>
      <c r="AC2436" s="78" t="s">
        <v>4190</v>
      </c>
      <c r="AE2436" t="b">
        <v>0</v>
      </c>
      <c r="AF2436">
        <v>0</v>
      </c>
      <c r="AG2436" s="78" t="s">
        <v>4640</v>
      </c>
      <c r="AH2436" t="b">
        <v>0</v>
      </c>
      <c r="AI2436" t="s">
        <v>4829</v>
      </c>
      <c r="AK2436" s="78" t="s">
        <v>4640</v>
      </c>
      <c r="AL2436" t="b">
        <v>0</v>
      </c>
      <c r="AM2436">
        <v>13</v>
      </c>
      <c r="AN2436" s="78" t="s">
        <v>4342</v>
      </c>
      <c r="AO2436" s="78" t="s">
        <v>4849</v>
      </c>
      <c r="AP2436" t="b">
        <v>0</v>
      </c>
      <c r="AQ2436" s="78" t="s">
        <v>4342</v>
      </c>
      <c r="AR2436" t="s">
        <v>179</v>
      </c>
      <c r="AS2436">
        <v>0</v>
      </c>
      <c r="AT2436">
        <v>0</v>
      </c>
    </row>
    <row r="2437" spans="1:46" x14ac:dyDescent="0.45">
      <c r="A2437" s="62" t="s">
        <v>865</v>
      </c>
      <c r="B2437" s="62" t="s">
        <v>992</v>
      </c>
      <c r="C2437" s="63"/>
      <c r="D2437" s="64"/>
      <c r="E2437" s="65"/>
      <c r="F2437" s="66"/>
      <c r="G2437" s="63"/>
      <c r="H2437" s="67"/>
      <c r="I2437" s="68"/>
      <c r="J2437" s="68"/>
      <c r="K2437" s="32"/>
      <c r="L2437" s="75"/>
      <c r="M2437" s="75"/>
      <c r="N2437" s="70"/>
      <c r="O2437" t="s">
        <v>1569</v>
      </c>
      <c r="P2437" s="76">
        <v>44959.048819444448</v>
      </c>
      <c r="Q2437" t="s">
        <v>1597</v>
      </c>
      <c r="U2437" s="77" t="str">
        <f>HYPERLINK("https://pbs.twimg.com/media/Fn21cCpaEAIoT8g.jpg")</f>
        <v>https://pbs.twimg.com/media/Fn21cCpaEAIoT8g.jpg</v>
      </c>
      <c r="V2437" s="77" t="str">
        <f>HYPERLINK("https://pbs.twimg.com/media/Fn21cCpaEAIoT8g.jpg")</f>
        <v>https://pbs.twimg.com/media/Fn21cCpaEAIoT8g.jpg</v>
      </c>
      <c r="W2437" s="76">
        <v>44959.048819444448</v>
      </c>
      <c r="X2437" s="80">
        <v>44959</v>
      </c>
      <c r="Y2437" s="78" t="s">
        <v>3125</v>
      </c>
      <c r="Z2437" s="77" t="str">
        <f>HYPERLINK("https://twitter.com/geekgirldiva/status/1620952717421318144")</f>
        <v>https://twitter.com/geekgirldiva/status/1620952717421318144</v>
      </c>
      <c r="AC2437" s="78" t="s">
        <v>4190</v>
      </c>
      <c r="AE2437" t="b">
        <v>0</v>
      </c>
      <c r="AF2437">
        <v>0</v>
      </c>
      <c r="AG2437" s="78" t="s">
        <v>4640</v>
      </c>
      <c r="AH2437" t="b">
        <v>0</v>
      </c>
      <c r="AI2437" t="s">
        <v>4829</v>
      </c>
      <c r="AK2437" s="78" t="s">
        <v>4640</v>
      </c>
      <c r="AL2437" t="b">
        <v>0</v>
      </c>
      <c r="AM2437">
        <v>13</v>
      </c>
      <c r="AN2437" s="78" t="s">
        <v>4342</v>
      </c>
      <c r="AO2437" s="78" t="s">
        <v>4849</v>
      </c>
      <c r="AP2437" t="b">
        <v>0</v>
      </c>
      <c r="AQ2437" s="78" t="s">
        <v>4342</v>
      </c>
      <c r="AR2437" t="s">
        <v>179</v>
      </c>
      <c r="AS2437">
        <v>0</v>
      </c>
      <c r="AT2437">
        <v>0</v>
      </c>
    </row>
    <row r="2438" spans="1:46" x14ac:dyDescent="0.45">
      <c r="A2438" s="62" t="s">
        <v>866</v>
      </c>
      <c r="B2438" s="62" t="s">
        <v>1407</v>
      </c>
      <c r="C2438" s="63"/>
      <c r="D2438" s="64"/>
      <c r="E2438" s="65"/>
      <c r="F2438" s="66"/>
      <c r="G2438" s="63"/>
      <c r="H2438" s="67"/>
      <c r="I2438" s="68"/>
      <c r="J2438" s="68"/>
      <c r="K2438" s="32"/>
      <c r="L2438" s="75"/>
      <c r="M2438" s="75"/>
      <c r="N2438" s="70"/>
      <c r="O2438" t="s">
        <v>1567</v>
      </c>
      <c r="P2438" s="76">
        <v>44959.049247685187</v>
      </c>
      <c r="Q2438" t="s">
        <v>2039</v>
      </c>
      <c r="V2438" s="77" t="str">
        <f>HYPERLINK("https://pbs.twimg.com/profile_images/2891687639/1c3986a37ee5382d5b75126a27cde4c9_normal.jpeg")</f>
        <v>https://pbs.twimg.com/profile_images/2891687639/1c3986a37ee5382d5b75126a27cde4c9_normal.jpeg</v>
      </c>
      <c r="W2438" s="76">
        <v>44959.049247685187</v>
      </c>
      <c r="X2438" s="80">
        <v>44959</v>
      </c>
      <c r="Y2438" s="78" t="s">
        <v>3126</v>
      </c>
      <c r="Z2438" s="77" t="str">
        <f>HYPERLINK("https://twitter.com/cognac62/status/1620952874774855680")</f>
        <v>https://twitter.com/cognac62/status/1620952874774855680</v>
      </c>
      <c r="AC2438" s="78" t="s">
        <v>4191</v>
      </c>
      <c r="AD2438" s="78" t="s">
        <v>4589</v>
      </c>
      <c r="AE2438" t="b">
        <v>0</v>
      </c>
      <c r="AF2438">
        <v>0</v>
      </c>
      <c r="AG2438" s="78" t="s">
        <v>4762</v>
      </c>
      <c r="AH2438" t="b">
        <v>0</v>
      </c>
      <c r="AI2438" t="s">
        <v>4829</v>
      </c>
      <c r="AK2438" s="78" t="s">
        <v>4640</v>
      </c>
      <c r="AL2438" t="b">
        <v>0</v>
      </c>
      <c r="AM2438">
        <v>0</v>
      </c>
      <c r="AN2438" s="78" t="s">
        <v>4640</v>
      </c>
      <c r="AO2438" s="78" t="s">
        <v>4852</v>
      </c>
      <c r="AP2438" t="b">
        <v>0</v>
      </c>
      <c r="AQ2438" s="78" t="s">
        <v>4589</v>
      </c>
      <c r="AR2438" t="s">
        <v>179</v>
      </c>
      <c r="AS2438">
        <v>0</v>
      </c>
      <c r="AT2438">
        <v>0</v>
      </c>
    </row>
    <row r="2439" spans="1:46" x14ac:dyDescent="0.45">
      <c r="A2439" s="62" t="s">
        <v>866</v>
      </c>
      <c r="B2439" s="62" t="s">
        <v>242</v>
      </c>
      <c r="C2439" s="63"/>
      <c r="D2439" s="64"/>
      <c r="E2439" s="65"/>
      <c r="F2439" s="66"/>
      <c r="G2439" s="63"/>
      <c r="H2439" s="67"/>
      <c r="I2439" s="68"/>
      <c r="J2439" s="68"/>
      <c r="K2439" s="32"/>
      <c r="L2439" s="75"/>
      <c r="M2439" s="75"/>
      <c r="N2439" s="70"/>
      <c r="O2439" t="s">
        <v>1568</v>
      </c>
      <c r="P2439" s="76">
        <v>44959.049247685187</v>
      </c>
      <c r="Q2439" t="s">
        <v>2039</v>
      </c>
      <c r="V2439" s="77" t="str">
        <f>HYPERLINK("https://pbs.twimg.com/profile_images/2891687639/1c3986a37ee5382d5b75126a27cde4c9_normal.jpeg")</f>
        <v>https://pbs.twimg.com/profile_images/2891687639/1c3986a37ee5382d5b75126a27cde4c9_normal.jpeg</v>
      </c>
      <c r="W2439" s="76">
        <v>44959.049247685187</v>
      </c>
      <c r="X2439" s="80">
        <v>44959</v>
      </c>
      <c r="Y2439" s="78" t="s">
        <v>3126</v>
      </c>
      <c r="Z2439" s="77" t="str">
        <f>HYPERLINK("https://twitter.com/cognac62/status/1620952874774855680")</f>
        <v>https://twitter.com/cognac62/status/1620952874774855680</v>
      </c>
      <c r="AC2439" s="78" t="s">
        <v>4191</v>
      </c>
      <c r="AD2439" s="78" t="s">
        <v>4589</v>
      </c>
      <c r="AE2439" t="b">
        <v>0</v>
      </c>
      <c r="AF2439">
        <v>0</v>
      </c>
      <c r="AG2439" s="78" t="s">
        <v>4762</v>
      </c>
      <c r="AH2439" t="b">
        <v>0</v>
      </c>
      <c r="AI2439" t="s">
        <v>4829</v>
      </c>
      <c r="AK2439" s="78" t="s">
        <v>4640</v>
      </c>
      <c r="AL2439" t="b">
        <v>0</v>
      </c>
      <c r="AM2439">
        <v>0</v>
      </c>
      <c r="AN2439" s="78" t="s">
        <v>4640</v>
      </c>
      <c r="AO2439" s="78" t="s">
        <v>4852</v>
      </c>
      <c r="AP2439" t="b">
        <v>0</v>
      </c>
      <c r="AQ2439" s="78" t="s">
        <v>4589</v>
      </c>
      <c r="AR2439" t="s">
        <v>179</v>
      </c>
      <c r="AS2439">
        <v>0</v>
      </c>
      <c r="AT2439">
        <v>0</v>
      </c>
    </row>
    <row r="2440" spans="1:46" x14ac:dyDescent="0.45">
      <c r="A2440" s="62" t="s">
        <v>869</v>
      </c>
      <c r="B2440" s="62" t="s">
        <v>1409</v>
      </c>
      <c r="C2440" s="63"/>
      <c r="D2440" s="64"/>
      <c r="E2440" s="65"/>
      <c r="F2440" s="66"/>
      <c r="G2440" s="63"/>
      <c r="H2440" s="67"/>
      <c r="I2440" s="68"/>
      <c r="J2440" s="68"/>
      <c r="K2440" s="32"/>
      <c r="L2440" s="75"/>
      <c r="M2440" s="75"/>
      <c r="N2440" s="70"/>
      <c r="O2440" t="s">
        <v>1568</v>
      </c>
      <c r="P2440" s="76">
        <v>44959.056562500002</v>
      </c>
      <c r="Q2440" t="s">
        <v>2041</v>
      </c>
      <c r="V2440" s="77" t="str">
        <f>HYPERLINK("https://pbs.twimg.com/profile_images/1539333301541871616/xS8BQf3V_normal.jpg")</f>
        <v>https://pbs.twimg.com/profile_images/1539333301541871616/xS8BQf3V_normal.jpg</v>
      </c>
      <c r="W2440" s="76">
        <v>44959.056562500002</v>
      </c>
      <c r="X2440" s="80">
        <v>44959</v>
      </c>
      <c r="Y2440" s="78" t="s">
        <v>3129</v>
      </c>
      <c r="Z2440" s="77" t="str">
        <f>HYPERLINK("https://twitter.com/laurenscountych/status/1620955525889540097")</f>
        <v>https://twitter.com/laurenscountych/status/1620955525889540097</v>
      </c>
      <c r="AC2440" s="78" t="s">
        <v>4194</v>
      </c>
      <c r="AE2440" t="b">
        <v>0</v>
      </c>
      <c r="AF2440">
        <v>0</v>
      </c>
      <c r="AG2440" s="78" t="s">
        <v>4640</v>
      </c>
      <c r="AH2440" t="b">
        <v>0</v>
      </c>
      <c r="AI2440" t="s">
        <v>4829</v>
      </c>
      <c r="AK2440" s="78" t="s">
        <v>4640</v>
      </c>
      <c r="AL2440" t="b">
        <v>0</v>
      </c>
      <c r="AM2440">
        <v>0</v>
      </c>
      <c r="AN2440" s="78" t="s">
        <v>4640</v>
      </c>
      <c r="AO2440" s="78" t="s">
        <v>4849</v>
      </c>
      <c r="AP2440" t="b">
        <v>0</v>
      </c>
      <c r="AQ2440" s="78" t="s">
        <v>4194</v>
      </c>
      <c r="AR2440" t="s">
        <v>179</v>
      </c>
      <c r="AS2440">
        <v>0</v>
      </c>
      <c r="AT2440">
        <v>0</v>
      </c>
    </row>
    <row r="2441" spans="1:46" x14ac:dyDescent="0.45">
      <c r="A2441" s="62" t="s">
        <v>869</v>
      </c>
      <c r="B2441" s="62" t="s">
        <v>242</v>
      </c>
      <c r="C2441" s="63"/>
      <c r="D2441" s="64"/>
      <c r="E2441" s="65"/>
      <c r="F2441" s="66"/>
      <c r="G2441" s="63"/>
      <c r="H2441" s="67"/>
      <c r="I2441" s="68"/>
      <c r="J2441" s="68"/>
      <c r="K2441" s="32"/>
      <c r="L2441" s="75"/>
      <c r="M2441" s="75"/>
      <c r="N2441" s="70"/>
      <c r="O2441" t="s">
        <v>1568</v>
      </c>
      <c r="P2441" s="76">
        <v>44959.056562500002</v>
      </c>
      <c r="Q2441" t="s">
        <v>2041</v>
      </c>
      <c r="V2441" s="77" t="str">
        <f>HYPERLINK("https://pbs.twimg.com/profile_images/1539333301541871616/xS8BQf3V_normal.jpg")</f>
        <v>https://pbs.twimg.com/profile_images/1539333301541871616/xS8BQf3V_normal.jpg</v>
      </c>
      <c r="W2441" s="76">
        <v>44959.056562500002</v>
      </c>
      <c r="X2441" s="80">
        <v>44959</v>
      </c>
      <c r="Y2441" s="78" t="s">
        <v>3129</v>
      </c>
      <c r="Z2441" s="77" t="str">
        <f>HYPERLINK("https://twitter.com/laurenscountych/status/1620955525889540097")</f>
        <v>https://twitter.com/laurenscountych/status/1620955525889540097</v>
      </c>
      <c r="AC2441" s="78" t="s">
        <v>4194</v>
      </c>
      <c r="AE2441" t="b">
        <v>0</v>
      </c>
      <c r="AF2441">
        <v>0</v>
      </c>
      <c r="AG2441" s="78" t="s">
        <v>4640</v>
      </c>
      <c r="AH2441" t="b">
        <v>0</v>
      </c>
      <c r="AI2441" t="s">
        <v>4829</v>
      </c>
      <c r="AK2441" s="78" t="s">
        <v>4640</v>
      </c>
      <c r="AL2441" t="b">
        <v>0</v>
      </c>
      <c r="AM2441">
        <v>0</v>
      </c>
      <c r="AN2441" s="78" t="s">
        <v>4640</v>
      </c>
      <c r="AO2441" s="78" t="s">
        <v>4849</v>
      </c>
      <c r="AP2441" t="b">
        <v>0</v>
      </c>
      <c r="AQ2441" s="78" t="s">
        <v>4194</v>
      </c>
      <c r="AR2441" t="s">
        <v>179</v>
      </c>
      <c r="AS2441">
        <v>0</v>
      </c>
      <c r="AT2441">
        <v>0</v>
      </c>
    </row>
    <row r="2442" spans="1:46" x14ac:dyDescent="0.45">
      <c r="A2442" s="62" t="s">
        <v>870</v>
      </c>
      <c r="B2442" s="62" t="s">
        <v>242</v>
      </c>
      <c r="C2442" s="63"/>
      <c r="D2442" s="64"/>
      <c r="E2442" s="65"/>
      <c r="F2442" s="66"/>
      <c r="G2442" s="63"/>
      <c r="H2442" s="67"/>
      <c r="I2442" s="68"/>
      <c r="J2442" s="68"/>
      <c r="K2442" s="32"/>
      <c r="L2442" s="75"/>
      <c r="M2442" s="75"/>
      <c r="N2442" s="70"/>
      <c r="O2442" t="s">
        <v>1567</v>
      </c>
      <c r="P2442" s="76">
        <v>44959.049108796295</v>
      </c>
      <c r="Q2442" t="s">
        <v>2042</v>
      </c>
      <c r="V2442" s="77" t="str">
        <f>HYPERLINK("https://pbs.twimg.com/profile_images/1552501189459251200/2Yt83eOc_normal.jpg")</f>
        <v>https://pbs.twimg.com/profile_images/1552501189459251200/2Yt83eOc_normal.jpg</v>
      </c>
      <c r="W2442" s="76">
        <v>44959.049108796295</v>
      </c>
      <c r="X2442" s="80">
        <v>44959</v>
      </c>
      <c r="Y2442" s="78" t="s">
        <v>3130</v>
      </c>
      <c r="Z2442" s="77" t="str">
        <f>HYPERLINK("https://twitter.com/savion2k/status/1620952822874349574")</f>
        <v>https://twitter.com/savion2k/status/1620952822874349574</v>
      </c>
      <c r="AC2442" s="78" t="s">
        <v>4195</v>
      </c>
      <c r="AE2442" t="b">
        <v>0</v>
      </c>
      <c r="AF2442">
        <v>0</v>
      </c>
      <c r="AG2442" s="78" t="s">
        <v>4639</v>
      </c>
      <c r="AH2442" t="b">
        <v>0</v>
      </c>
      <c r="AI2442" t="s">
        <v>4829</v>
      </c>
      <c r="AK2442" s="78" t="s">
        <v>4640</v>
      </c>
      <c r="AL2442" t="b">
        <v>0</v>
      </c>
      <c r="AM2442">
        <v>0</v>
      </c>
      <c r="AN2442" s="78" t="s">
        <v>4640</v>
      </c>
      <c r="AO2442" s="78" t="s">
        <v>4849</v>
      </c>
      <c r="AP2442" t="b">
        <v>0</v>
      </c>
      <c r="AQ2442" s="78" t="s">
        <v>4195</v>
      </c>
      <c r="AR2442" t="s">
        <v>179</v>
      </c>
      <c r="AS2442">
        <v>0</v>
      </c>
      <c r="AT2442">
        <v>0</v>
      </c>
    </row>
    <row r="2443" spans="1:46" x14ac:dyDescent="0.45">
      <c r="A2443" s="62" t="s">
        <v>870</v>
      </c>
      <c r="B2443" s="62" t="s">
        <v>1203</v>
      </c>
      <c r="C2443" s="63"/>
      <c r="D2443" s="64"/>
      <c r="E2443" s="65"/>
      <c r="F2443" s="66"/>
      <c r="G2443" s="63"/>
      <c r="H2443" s="67"/>
      <c r="I2443" s="68"/>
      <c r="J2443" s="68"/>
      <c r="K2443" s="32"/>
      <c r="L2443" s="75"/>
      <c r="M2443" s="75"/>
      <c r="N2443" s="70"/>
      <c r="O2443" t="s">
        <v>1568</v>
      </c>
      <c r="P2443" s="76">
        <v>44959.058067129627</v>
      </c>
      <c r="Q2443" t="s">
        <v>2043</v>
      </c>
      <c r="V2443" s="77" t="str">
        <f>HYPERLINK("https://pbs.twimg.com/profile_images/1552501189459251200/2Yt83eOc_normal.jpg")</f>
        <v>https://pbs.twimg.com/profile_images/1552501189459251200/2Yt83eOc_normal.jpg</v>
      </c>
      <c r="W2443" s="76">
        <v>44959.058067129627</v>
      </c>
      <c r="X2443" s="80">
        <v>44959</v>
      </c>
      <c r="Y2443" s="78" t="s">
        <v>3131</v>
      </c>
      <c r="Z2443" s="77" t="str">
        <f>HYPERLINK("https://twitter.com/savion2k/status/1620956069622063104")</f>
        <v>https://twitter.com/savion2k/status/1620956069622063104</v>
      </c>
      <c r="AC2443" s="78" t="s">
        <v>4196</v>
      </c>
      <c r="AE2443" t="b">
        <v>0</v>
      </c>
      <c r="AF2443">
        <v>0</v>
      </c>
      <c r="AG2443" s="78" t="s">
        <v>4639</v>
      </c>
      <c r="AH2443" t="b">
        <v>0</v>
      </c>
      <c r="AI2443" t="s">
        <v>4829</v>
      </c>
      <c r="AK2443" s="78" t="s">
        <v>4640</v>
      </c>
      <c r="AL2443" t="b">
        <v>0</v>
      </c>
      <c r="AM2443">
        <v>0</v>
      </c>
      <c r="AN2443" s="78" t="s">
        <v>4640</v>
      </c>
      <c r="AO2443" s="78" t="s">
        <v>4849</v>
      </c>
      <c r="AP2443" t="b">
        <v>0</v>
      </c>
      <c r="AQ2443" s="78" t="s">
        <v>4196</v>
      </c>
      <c r="AR2443" t="s">
        <v>179</v>
      </c>
      <c r="AS2443">
        <v>0</v>
      </c>
      <c r="AT2443">
        <v>0</v>
      </c>
    </row>
    <row r="2444" spans="1:46" x14ac:dyDescent="0.45">
      <c r="A2444" s="62" t="s">
        <v>870</v>
      </c>
      <c r="B2444" s="62" t="s">
        <v>1111</v>
      </c>
      <c r="C2444" s="63"/>
      <c r="D2444" s="64"/>
      <c r="E2444" s="65"/>
      <c r="F2444" s="66"/>
      <c r="G2444" s="63"/>
      <c r="H2444" s="67"/>
      <c r="I2444" s="68"/>
      <c r="J2444" s="68"/>
      <c r="K2444" s="32"/>
      <c r="L2444" s="75"/>
      <c r="M2444" s="75"/>
      <c r="N2444" s="70"/>
      <c r="O2444" t="s">
        <v>1568</v>
      </c>
      <c r="P2444" s="76">
        <v>44959.058067129627</v>
      </c>
      <c r="Q2444" t="s">
        <v>2043</v>
      </c>
      <c r="V2444" s="77" t="str">
        <f>HYPERLINK("https://pbs.twimg.com/profile_images/1552501189459251200/2Yt83eOc_normal.jpg")</f>
        <v>https://pbs.twimg.com/profile_images/1552501189459251200/2Yt83eOc_normal.jpg</v>
      </c>
      <c r="W2444" s="76">
        <v>44959.058067129627</v>
      </c>
      <c r="X2444" s="80">
        <v>44959</v>
      </c>
      <c r="Y2444" s="78" t="s">
        <v>3131</v>
      </c>
      <c r="Z2444" s="77" t="str">
        <f>HYPERLINK("https://twitter.com/savion2k/status/1620956069622063104")</f>
        <v>https://twitter.com/savion2k/status/1620956069622063104</v>
      </c>
      <c r="AC2444" s="78" t="s">
        <v>4196</v>
      </c>
      <c r="AE2444" t="b">
        <v>0</v>
      </c>
      <c r="AF2444">
        <v>0</v>
      </c>
      <c r="AG2444" s="78" t="s">
        <v>4639</v>
      </c>
      <c r="AH2444" t="b">
        <v>0</v>
      </c>
      <c r="AI2444" t="s">
        <v>4829</v>
      </c>
      <c r="AK2444" s="78" t="s">
        <v>4640</v>
      </c>
      <c r="AL2444" t="b">
        <v>0</v>
      </c>
      <c r="AM2444">
        <v>0</v>
      </c>
      <c r="AN2444" s="78" t="s">
        <v>4640</v>
      </c>
      <c r="AO2444" s="78" t="s">
        <v>4849</v>
      </c>
      <c r="AP2444" t="b">
        <v>0</v>
      </c>
      <c r="AQ2444" s="78" t="s">
        <v>4196</v>
      </c>
      <c r="AR2444" t="s">
        <v>179</v>
      </c>
      <c r="AS2444">
        <v>0</v>
      </c>
      <c r="AT2444">
        <v>0</v>
      </c>
    </row>
    <row r="2445" spans="1:46" x14ac:dyDescent="0.45">
      <c r="A2445" s="62" t="s">
        <v>870</v>
      </c>
      <c r="B2445" s="62" t="s">
        <v>242</v>
      </c>
      <c r="C2445" s="63"/>
      <c r="D2445" s="64"/>
      <c r="E2445" s="65"/>
      <c r="F2445" s="66"/>
      <c r="G2445" s="63"/>
      <c r="H2445" s="67"/>
      <c r="I2445" s="68"/>
      <c r="J2445" s="68"/>
      <c r="K2445" s="32"/>
      <c r="L2445" s="75"/>
      <c r="M2445" s="75"/>
      <c r="N2445" s="70"/>
      <c r="O2445" t="s">
        <v>1567</v>
      </c>
      <c r="P2445" s="76">
        <v>44959.058067129627</v>
      </c>
      <c r="Q2445" t="s">
        <v>2043</v>
      </c>
      <c r="V2445" s="77" t="str">
        <f>HYPERLINK("https://pbs.twimg.com/profile_images/1552501189459251200/2Yt83eOc_normal.jpg")</f>
        <v>https://pbs.twimg.com/profile_images/1552501189459251200/2Yt83eOc_normal.jpg</v>
      </c>
      <c r="W2445" s="76">
        <v>44959.058067129627</v>
      </c>
      <c r="X2445" s="80">
        <v>44959</v>
      </c>
      <c r="Y2445" s="78" t="s">
        <v>3131</v>
      </c>
      <c r="Z2445" s="77" t="str">
        <f>HYPERLINK("https://twitter.com/savion2k/status/1620956069622063104")</f>
        <v>https://twitter.com/savion2k/status/1620956069622063104</v>
      </c>
      <c r="AC2445" s="78" t="s">
        <v>4196</v>
      </c>
      <c r="AE2445" t="b">
        <v>0</v>
      </c>
      <c r="AF2445">
        <v>0</v>
      </c>
      <c r="AG2445" s="78" t="s">
        <v>4639</v>
      </c>
      <c r="AH2445" t="b">
        <v>0</v>
      </c>
      <c r="AI2445" t="s">
        <v>4829</v>
      </c>
      <c r="AK2445" s="78" t="s">
        <v>4640</v>
      </c>
      <c r="AL2445" t="b">
        <v>0</v>
      </c>
      <c r="AM2445">
        <v>0</v>
      </c>
      <c r="AN2445" s="78" t="s">
        <v>4640</v>
      </c>
      <c r="AO2445" s="78" t="s">
        <v>4849</v>
      </c>
      <c r="AP2445" t="b">
        <v>0</v>
      </c>
      <c r="AQ2445" s="78" t="s">
        <v>4196</v>
      </c>
      <c r="AR2445" t="s">
        <v>179</v>
      </c>
      <c r="AS2445">
        <v>0</v>
      </c>
      <c r="AT2445">
        <v>0</v>
      </c>
    </row>
    <row r="2446" spans="1:46" x14ac:dyDescent="0.45">
      <c r="A2446" s="62" t="s">
        <v>871</v>
      </c>
      <c r="B2446" s="62" t="s">
        <v>242</v>
      </c>
      <c r="C2446" s="63"/>
      <c r="D2446" s="64"/>
      <c r="E2446" s="65"/>
      <c r="F2446" s="66"/>
      <c r="G2446" s="63"/>
      <c r="H2446" s="67"/>
      <c r="I2446" s="68"/>
      <c r="J2446" s="68"/>
      <c r="K2446" s="32"/>
      <c r="L2446" s="75"/>
      <c r="M2446" s="75"/>
      <c r="N2446" s="70"/>
      <c r="O2446" t="s">
        <v>1570</v>
      </c>
      <c r="P2446" s="76">
        <v>44959.058171296296</v>
      </c>
      <c r="Q2446" t="s">
        <v>1597</v>
      </c>
      <c r="U2446" s="77" t="str">
        <f>HYPERLINK("https://pbs.twimg.com/media/Fn21cCpaEAIoT8g.jpg")</f>
        <v>https://pbs.twimg.com/media/Fn21cCpaEAIoT8g.jpg</v>
      </c>
      <c r="V2446" s="77" t="str">
        <f>HYPERLINK("https://pbs.twimg.com/media/Fn21cCpaEAIoT8g.jpg")</f>
        <v>https://pbs.twimg.com/media/Fn21cCpaEAIoT8g.jpg</v>
      </c>
      <c r="W2446" s="76">
        <v>44959.058171296296</v>
      </c>
      <c r="X2446" s="80">
        <v>44959</v>
      </c>
      <c r="Y2446" s="78" t="s">
        <v>3132</v>
      </c>
      <c r="Z2446" s="77" t="str">
        <f>HYPERLINK("https://twitter.com/gregpacknett/status/1620956105328447488")</f>
        <v>https://twitter.com/gregpacknett/status/1620956105328447488</v>
      </c>
      <c r="AC2446" s="78" t="s">
        <v>4197</v>
      </c>
      <c r="AE2446" t="b">
        <v>0</v>
      </c>
      <c r="AF2446">
        <v>0</v>
      </c>
      <c r="AG2446" s="78" t="s">
        <v>4640</v>
      </c>
      <c r="AH2446" t="b">
        <v>0</v>
      </c>
      <c r="AI2446" t="s">
        <v>4829</v>
      </c>
      <c r="AK2446" s="78" t="s">
        <v>4640</v>
      </c>
      <c r="AL2446" t="b">
        <v>0</v>
      </c>
      <c r="AM2446">
        <v>13</v>
      </c>
      <c r="AN2446" s="78" t="s">
        <v>4342</v>
      </c>
      <c r="AO2446" s="78" t="s">
        <v>4852</v>
      </c>
      <c r="AP2446" t="b">
        <v>0</v>
      </c>
      <c r="AQ2446" s="78" t="s">
        <v>4342</v>
      </c>
      <c r="AR2446" t="s">
        <v>179</v>
      </c>
      <c r="AS2446">
        <v>0</v>
      </c>
      <c r="AT2446">
        <v>0</v>
      </c>
    </row>
    <row r="2447" spans="1:46" x14ac:dyDescent="0.45">
      <c r="A2447" s="62" t="s">
        <v>871</v>
      </c>
      <c r="B2447" s="62" t="s">
        <v>992</v>
      </c>
      <c r="C2447" s="63"/>
      <c r="D2447" s="64"/>
      <c r="E2447" s="65"/>
      <c r="F2447" s="66"/>
      <c r="G2447" s="63"/>
      <c r="H2447" s="67"/>
      <c r="I2447" s="68"/>
      <c r="J2447" s="68"/>
      <c r="K2447" s="32"/>
      <c r="L2447" s="75"/>
      <c r="M2447" s="75"/>
      <c r="N2447" s="70"/>
      <c r="O2447" t="s">
        <v>1569</v>
      </c>
      <c r="P2447" s="76">
        <v>44959.058171296296</v>
      </c>
      <c r="Q2447" t="s">
        <v>1597</v>
      </c>
      <c r="U2447" s="77" t="str">
        <f>HYPERLINK("https://pbs.twimg.com/media/Fn21cCpaEAIoT8g.jpg")</f>
        <v>https://pbs.twimg.com/media/Fn21cCpaEAIoT8g.jpg</v>
      </c>
      <c r="V2447" s="77" t="str">
        <f>HYPERLINK("https://pbs.twimg.com/media/Fn21cCpaEAIoT8g.jpg")</f>
        <v>https://pbs.twimg.com/media/Fn21cCpaEAIoT8g.jpg</v>
      </c>
      <c r="W2447" s="76">
        <v>44959.058171296296</v>
      </c>
      <c r="X2447" s="80">
        <v>44959</v>
      </c>
      <c r="Y2447" s="78" t="s">
        <v>3132</v>
      </c>
      <c r="Z2447" s="77" t="str">
        <f>HYPERLINK("https://twitter.com/gregpacknett/status/1620956105328447488")</f>
        <v>https://twitter.com/gregpacknett/status/1620956105328447488</v>
      </c>
      <c r="AC2447" s="78" t="s">
        <v>4197</v>
      </c>
      <c r="AE2447" t="b">
        <v>0</v>
      </c>
      <c r="AF2447">
        <v>0</v>
      </c>
      <c r="AG2447" s="78" t="s">
        <v>4640</v>
      </c>
      <c r="AH2447" t="b">
        <v>0</v>
      </c>
      <c r="AI2447" t="s">
        <v>4829</v>
      </c>
      <c r="AK2447" s="78" t="s">
        <v>4640</v>
      </c>
      <c r="AL2447" t="b">
        <v>0</v>
      </c>
      <c r="AM2447">
        <v>13</v>
      </c>
      <c r="AN2447" s="78" t="s">
        <v>4342</v>
      </c>
      <c r="AO2447" s="78" t="s">
        <v>4852</v>
      </c>
      <c r="AP2447" t="b">
        <v>0</v>
      </c>
      <c r="AQ2447" s="78" t="s">
        <v>4342</v>
      </c>
      <c r="AR2447" t="s">
        <v>179</v>
      </c>
      <c r="AS2447">
        <v>0</v>
      </c>
      <c r="AT2447">
        <v>0</v>
      </c>
    </row>
    <row r="2448" spans="1:46" x14ac:dyDescent="0.45">
      <c r="A2448" s="62" t="s">
        <v>877</v>
      </c>
      <c r="B2448" s="62" t="s">
        <v>876</v>
      </c>
      <c r="C2448" s="63"/>
      <c r="D2448" s="64"/>
      <c r="E2448" s="65"/>
      <c r="F2448" s="66"/>
      <c r="G2448" s="63"/>
      <c r="H2448" s="67"/>
      <c r="I2448" s="68"/>
      <c r="J2448" s="68"/>
      <c r="K2448" s="32"/>
      <c r="L2448" s="75"/>
      <c r="M2448" s="75"/>
      <c r="N2448" s="70"/>
      <c r="O2448" t="s">
        <v>1569</v>
      </c>
      <c r="P2448" s="76">
        <v>44959.061921296299</v>
      </c>
      <c r="Q2448" t="s">
        <v>2045</v>
      </c>
      <c r="V2448" s="77" t="str">
        <f>HYPERLINK("https://pbs.twimg.com/profile_images/1563874487883415552/P9WUNvk-_normal.jpg")</f>
        <v>https://pbs.twimg.com/profile_images/1563874487883415552/P9WUNvk-_normal.jpg</v>
      </c>
      <c r="W2448" s="76">
        <v>44959.061921296299</v>
      </c>
      <c r="X2448" s="80">
        <v>44959</v>
      </c>
      <c r="Y2448" s="78" t="s">
        <v>3138</v>
      </c>
      <c r="Z2448" s="77" t="str">
        <f>HYPERLINK("https://twitter.com/mmaryjanerae/status/1620957465407033345")</f>
        <v>https://twitter.com/mmaryjanerae/status/1620957465407033345</v>
      </c>
      <c r="AC2448" s="78" t="s">
        <v>4203</v>
      </c>
      <c r="AE2448" t="b">
        <v>0</v>
      </c>
      <c r="AF2448">
        <v>0</v>
      </c>
      <c r="AG2448" s="78" t="s">
        <v>4640</v>
      </c>
      <c r="AH2448" t="b">
        <v>0</v>
      </c>
      <c r="AI2448" t="s">
        <v>4829</v>
      </c>
      <c r="AK2448" s="78" t="s">
        <v>4640</v>
      </c>
      <c r="AL2448" t="b">
        <v>0</v>
      </c>
      <c r="AM2448">
        <v>1</v>
      </c>
      <c r="AN2448" s="78" t="s">
        <v>4202</v>
      </c>
      <c r="AO2448" s="78" t="s">
        <v>4849</v>
      </c>
      <c r="AP2448" t="b">
        <v>0</v>
      </c>
      <c r="AQ2448" s="78" t="s">
        <v>4202</v>
      </c>
      <c r="AR2448" t="s">
        <v>179</v>
      </c>
      <c r="AS2448">
        <v>0</v>
      </c>
      <c r="AT2448">
        <v>0</v>
      </c>
    </row>
    <row r="2449" spans="1:46" x14ac:dyDescent="0.45">
      <c r="A2449" s="62" t="s">
        <v>877</v>
      </c>
      <c r="B2449" s="62" t="s">
        <v>242</v>
      </c>
      <c r="C2449" s="63"/>
      <c r="D2449" s="64"/>
      <c r="E2449" s="65"/>
      <c r="F2449" s="66"/>
      <c r="G2449" s="63"/>
      <c r="H2449" s="67"/>
      <c r="I2449" s="68"/>
      <c r="J2449" s="68"/>
      <c r="K2449" s="32"/>
      <c r="L2449" s="75"/>
      <c r="M2449" s="75"/>
      <c r="N2449" s="70"/>
      <c r="O2449" t="s">
        <v>1570</v>
      </c>
      <c r="P2449" s="76">
        <v>44959.061921296299</v>
      </c>
      <c r="Q2449" t="s">
        <v>2045</v>
      </c>
      <c r="V2449" s="77" t="str">
        <f>HYPERLINK("https://pbs.twimg.com/profile_images/1563874487883415552/P9WUNvk-_normal.jpg")</f>
        <v>https://pbs.twimg.com/profile_images/1563874487883415552/P9WUNvk-_normal.jpg</v>
      </c>
      <c r="W2449" s="76">
        <v>44959.061921296299</v>
      </c>
      <c r="X2449" s="80">
        <v>44959</v>
      </c>
      <c r="Y2449" s="78" t="s">
        <v>3138</v>
      </c>
      <c r="Z2449" s="77" t="str">
        <f>HYPERLINK("https://twitter.com/mmaryjanerae/status/1620957465407033345")</f>
        <v>https://twitter.com/mmaryjanerae/status/1620957465407033345</v>
      </c>
      <c r="AC2449" s="78" t="s">
        <v>4203</v>
      </c>
      <c r="AE2449" t="b">
        <v>0</v>
      </c>
      <c r="AF2449">
        <v>0</v>
      </c>
      <c r="AG2449" s="78" t="s">
        <v>4640</v>
      </c>
      <c r="AH2449" t="b">
        <v>0</v>
      </c>
      <c r="AI2449" t="s">
        <v>4829</v>
      </c>
      <c r="AK2449" s="78" t="s">
        <v>4640</v>
      </c>
      <c r="AL2449" t="b">
        <v>0</v>
      </c>
      <c r="AM2449">
        <v>1</v>
      </c>
      <c r="AN2449" s="78" t="s">
        <v>4202</v>
      </c>
      <c r="AO2449" s="78" t="s">
        <v>4849</v>
      </c>
      <c r="AP2449" t="b">
        <v>0</v>
      </c>
      <c r="AQ2449" s="78" t="s">
        <v>4202</v>
      </c>
      <c r="AR2449" t="s">
        <v>179</v>
      </c>
      <c r="AS2449">
        <v>0</v>
      </c>
      <c r="AT2449">
        <v>0</v>
      </c>
    </row>
    <row r="2450" spans="1:46" x14ac:dyDescent="0.45">
      <c r="A2450" s="62" t="s">
        <v>881</v>
      </c>
      <c r="B2450" s="62" t="s">
        <v>242</v>
      </c>
      <c r="C2450" s="63"/>
      <c r="D2450" s="64"/>
      <c r="E2450" s="65"/>
      <c r="F2450" s="66"/>
      <c r="G2450" s="63"/>
      <c r="H2450" s="67"/>
      <c r="I2450" s="68"/>
      <c r="J2450" s="68"/>
      <c r="K2450" s="32"/>
      <c r="L2450" s="75"/>
      <c r="M2450" s="75"/>
      <c r="N2450" s="70"/>
      <c r="O2450" t="s">
        <v>1567</v>
      </c>
      <c r="P2450" s="76">
        <v>44959.067395833335</v>
      </c>
      <c r="Q2450" t="s">
        <v>2048</v>
      </c>
      <c r="V2450" s="77" t="str">
        <f>HYPERLINK("https://pbs.twimg.com/profile_images/1620506732228222997/mc0V39Ck_normal.jpg")</f>
        <v>https://pbs.twimg.com/profile_images/1620506732228222997/mc0V39Ck_normal.jpg</v>
      </c>
      <c r="W2450" s="76">
        <v>44959.067395833335</v>
      </c>
      <c r="X2450" s="80">
        <v>44959</v>
      </c>
      <c r="Y2450" s="78" t="s">
        <v>3142</v>
      </c>
      <c r="Z2450" s="77" t="str">
        <f>HYPERLINK("https://twitter.com/natesart95/status/1620959447966433283")</f>
        <v>https://twitter.com/natesart95/status/1620959447966433283</v>
      </c>
      <c r="AC2450" s="78" t="s">
        <v>4207</v>
      </c>
      <c r="AD2450" s="78" t="s">
        <v>4497</v>
      </c>
      <c r="AE2450" t="b">
        <v>0</v>
      </c>
      <c r="AF2450">
        <v>0</v>
      </c>
      <c r="AG2450" s="78" t="s">
        <v>4639</v>
      </c>
      <c r="AH2450" t="b">
        <v>0</v>
      </c>
      <c r="AI2450" t="s">
        <v>4829</v>
      </c>
      <c r="AK2450" s="78" t="s">
        <v>4640</v>
      </c>
      <c r="AL2450" t="b">
        <v>0</v>
      </c>
      <c r="AM2450">
        <v>0</v>
      </c>
      <c r="AN2450" s="78" t="s">
        <v>4640</v>
      </c>
      <c r="AO2450" s="78" t="s">
        <v>4849</v>
      </c>
      <c r="AP2450" t="b">
        <v>0</v>
      </c>
      <c r="AQ2450" s="78" t="s">
        <v>4497</v>
      </c>
      <c r="AR2450" t="s">
        <v>179</v>
      </c>
      <c r="AS2450">
        <v>0</v>
      </c>
      <c r="AT2450">
        <v>0</v>
      </c>
    </row>
    <row r="2451" spans="1:46" x14ac:dyDescent="0.45">
      <c r="A2451" s="62" t="s">
        <v>882</v>
      </c>
      <c r="B2451" s="62" t="s">
        <v>242</v>
      </c>
      <c r="C2451" s="63"/>
      <c r="D2451" s="64"/>
      <c r="E2451" s="65"/>
      <c r="F2451" s="66"/>
      <c r="G2451" s="63"/>
      <c r="H2451" s="67"/>
      <c r="I2451" s="68"/>
      <c r="J2451" s="68"/>
      <c r="K2451" s="32"/>
      <c r="L2451" s="75"/>
      <c r="M2451" s="75"/>
      <c r="N2451" s="70"/>
      <c r="O2451" t="s">
        <v>1567</v>
      </c>
      <c r="P2451" s="76">
        <v>44959.068738425929</v>
      </c>
      <c r="Q2451" t="s">
        <v>2049</v>
      </c>
      <c r="V2451" s="77" t="str">
        <f>HYPERLINK("https://pbs.twimg.com/profile_images/862418785931866113/7w7nUBef_normal.jpg")</f>
        <v>https://pbs.twimg.com/profile_images/862418785931866113/7w7nUBef_normal.jpg</v>
      </c>
      <c r="W2451" s="76">
        <v>44959.068738425929</v>
      </c>
      <c r="X2451" s="80">
        <v>44959</v>
      </c>
      <c r="Y2451" s="78" t="s">
        <v>3143</v>
      </c>
      <c r="Z2451" s="77" t="str">
        <f>HYPERLINK("https://twitter.com/margaran2/status/1620959937407901701")</f>
        <v>https://twitter.com/margaran2/status/1620959937407901701</v>
      </c>
      <c r="AC2451" s="78" t="s">
        <v>4208</v>
      </c>
      <c r="AE2451" t="b">
        <v>0</v>
      </c>
      <c r="AF2451">
        <v>0</v>
      </c>
      <c r="AG2451" s="78" t="s">
        <v>4639</v>
      </c>
      <c r="AH2451" t="b">
        <v>0</v>
      </c>
      <c r="AI2451" t="s">
        <v>4829</v>
      </c>
      <c r="AK2451" s="78" t="s">
        <v>4640</v>
      </c>
      <c r="AL2451" t="b">
        <v>0</v>
      </c>
      <c r="AM2451">
        <v>0</v>
      </c>
      <c r="AN2451" s="78" t="s">
        <v>4640</v>
      </c>
      <c r="AO2451" s="78" t="s">
        <v>4849</v>
      </c>
      <c r="AP2451" t="b">
        <v>0</v>
      </c>
      <c r="AQ2451" s="78" t="s">
        <v>4208</v>
      </c>
      <c r="AR2451" t="s">
        <v>179</v>
      </c>
      <c r="AS2451">
        <v>0</v>
      </c>
      <c r="AT2451">
        <v>0</v>
      </c>
    </row>
    <row r="2452" spans="1:46" x14ac:dyDescent="0.45">
      <c r="A2452" s="62" t="s">
        <v>883</v>
      </c>
      <c r="B2452" s="62" t="s">
        <v>1411</v>
      </c>
      <c r="C2452" s="63"/>
      <c r="D2452" s="64"/>
      <c r="E2452" s="65"/>
      <c r="F2452" s="66"/>
      <c r="G2452" s="63"/>
      <c r="H2452" s="67"/>
      <c r="I2452" s="68"/>
      <c r="J2452" s="68"/>
      <c r="K2452" s="32"/>
      <c r="L2452" s="75"/>
      <c r="M2452" s="75"/>
      <c r="N2452" s="70"/>
      <c r="O2452" t="s">
        <v>1568</v>
      </c>
      <c r="P2452" s="76">
        <v>44959.068831018521</v>
      </c>
      <c r="Q2452" t="s">
        <v>2050</v>
      </c>
      <c r="V2452" s="77" t="str">
        <f>HYPERLINK("https://pbs.twimg.com/profile_images/1241465924894560257/34RX4E88_normal.jpg")</f>
        <v>https://pbs.twimg.com/profile_images/1241465924894560257/34RX4E88_normal.jpg</v>
      </c>
      <c r="W2452" s="76">
        <v>44959.068831018521</v>
      </c>
      <c r="X2452" s="80">
        <v>44959</v>
      </c>
      <c r="Y2452" s="78" t="s">
        <v>3144</v>
      </c>
      <c r="Z2452" s="77" t="str">
        <f>HYPERLINK("https://twitter.com/echopulse/status/1620959970912002050")</f>
        <v>https://twitter.com/echopulse/status/1620959970912002050</v>
      </c>
      <c r="AC2452" s="78" t="s">
        <v>4209</v>
      </c>
      <c r="AD2452" s="78" t="s">
        <v>4590</v>
      </c>
      <c r="AE2452" t="b">
        <v>0</v>
      </c>
      <c r="AF2452">
        <v>0</v>
      </c>
      <c r="AG2452" s="78" t="s">
        <v>4763</v>
      </c>
      <c r="AH2452" t="b">
        <v>0</v>
      </c>
      <c r="AI2452" t="s">
        <v>4829</v>
      </c>
      <c r="AK2452" s="78" t="s">
        <v>4640</v>
      </c>
      <c r="AL2452" t="b">
        <v>0</v>
      </c>
      <c r="AM2452">
        <v>0</v>
      </c>
      <c r="AN2452" s="78" t="s">
        <v>4640</v>
      </c>
      <c r="AO2452" s="78" t="s">
        <v>4851</v>
      </c>
      <c r="AP2452" t="b">
        <v>0</v>
      </c>
      <c r="AQ2452" s="78" t="s">
        <v>4590</v>
      </c>
      <c r="AR2452" t="s">
        <v>179</v>
      </c>
      <c r="AS2452">
        <v>0</v>
      </c>
      <c r="AT2452">
        <v>0</v>
      </c>
    </row>
    <row r="2453" spans="1:46" x14ac:dyDescent="0.45">
      <c r="A2453" s="62" t="s">
        <v>883</v>
      </c>
      <c r="B2453" s="62" t="s">
        <v>1412</v>
      </c>
      <c r="C2453" s="63"/>
      <c r="D2453" s="64"/>
      <c r="E2453" s="65"/>
      <c r="F2453" s="66"/>
      <c r="G2453" s="63"/>
      <c r="H2453" s="67"/>
      <c r="I2453" s="68"/>
      <c r="J2453" s="68"/>
      <c r="K2453" s="32"/>
      <c r="L2453" s="75"/>
      <c r="M2453" s="75"/>
      <c r="N2453" s="70"/>
      <c r="O2453" t="s">
        <v>1568</v>
      </c>
      <c r="P2453" s="76">
        <v>44959.068831018521</v>
      </c>
      <c r="Q2453" t="s">
        <v>2050</v>
      </c>
      <c r="V2453" s="77" t="str">
        <f>HYPERLINK("https://pbs.twimg.com/profile_images/1241465924894560257/34RX4E88_normal.jpg")</f>
        <v>https://pbs.twimg.com/profile_images/1241465924894560257/34RX4E88_normal.jpg</v>
      </c>
      <c r="W2453" s="76">
        <v>44959.068831018521</v>
      </c>
      <c r="X2453" s="80">
        <v>44959</v>
      </c>
      <c r="Y2453" s="78" t="s">
        <v>3144</v>
      </c>
      <c r="Z2453" s="77" t="str">
        <f>HYPERLINK("https://twitter.com/echopulse/status/1620959970912002050")</f>
        <v>https://twitter.com/echopulse/status/1620959970912002050</v>
      </c>
      <c r="AC2453" s="78" t="s">
        <v>4209</v>
      </c>
      <c r="AD2453" s="78" t="s">
        <v>4590</v>
      </c>
      <c r="AE2453" t="b">
        <v>0</v>
      </c>
      <c r="AF2453">
        <v>0</v>
      </c>
      <c r="AG2453" s="78" t="s">
        <v>4763</v>
      </c>
      <c r="AH2453" t="b">
        <v>0</v>
      </c>
      <c r="AI2453" t="s">
        <v>4829</v>
      </c>
      <c r="AK2453" s="78" t="s">
        <v>4640</v>
      </c>
      <c r="AL2453" t="b">
        <v>0</v>
      </c>
      <c r="AM2453">
        <v>0</v>
      </c>
      <c r="AN2453" s="78" t="s">
        <v>4640</v>
      </c>
      <c r="AO2453" s="78" t="s">
        <v>4851</v>
      </c>
      <c r="AP2453" t="b">
        <v>0</v>
      </c>
      <c r="AQ2453" s="78" t="s">
        <v>4590</v>
      </c>
      <c r="AR2453" t="s">
        <v>179</v>
      </c>
      <c r="AS2453">
        <v>0</v>
      </c>
      <c r="AT2453">
        <v>0</v>
      </c>
    </row>
    <row r="2454" spans="1:46" x14ac:dyDescent="0.45">
      <c r="A2454" s="62" t="s">
        <v>883</v>
      </c>
      <c r="B2454" s="62" t="s">
        <v>1413</v>
      </c>
      <c r="C2454" s="63"/>
      <c r="D2454" s="64"/>
      <c r="E2454" s="65"/>
      <c r="F2454" s="66"/>
      <c r="G2454" s="63"/>
      <c r="H2454" s="67"/>
      <c r="I2454" s="68"/>
      <c r="J2454" s="68"/>
      <c r="K2454" s="32"/>
      <c r="L2454" s="75"/>
      <c r="M2454" s="75"/>
      <c r="N2454" s="70"/>
      <c r="O2454" t="s">
        <v>1568</v>
      </c>
      <c r="P2454" s="76">
        <v>44959.068831018521</v>
      </c>
      <c r="Q2454" t="s">
        <v>2050</v>
      </c>
      <c r="V2454" s="77" t="str">
        <f>HYPERLINK("https://pbs.twimg.com/profile_images/1241465924894560257/34RX4E88_normal.jpg")</f>
        <v>https://pbs.twimg.com/profile_images/1241465924894560257/34RX4E88_normal.jpg</v>
      </c>
      <c r="W2454" s="76">
        <v>44959.068831018521</v>
      </c>
      <c r="X2454" s="80">
        <v>44959</v>
      </c>
      <c r="Y2454" s="78" t="s">
        <v>3144</v>
      </c>
      <c r="Z2454" s="77" t="str">
        <f>HYPERLINK("https://twitter.com/echopulse/status/1620959970912002050")</f>
        <v>https://twitter.com/echopulse/status/1620959970912002050</v>
      </c>
      <c r="AC2454" s="78" t="s">
        <v>4209</v>
      </c>
      <c r="AD2454" s="78" t="s">
        <v>4590</v>
      </c>
      <c r="AE2454" t="b">
        <v>0</v>
      </c>
      <c r="AF2454">
        <v>0</v>
      </c>
      <c r="AG2454" s="78" t="s">
        <v>4763</v>
      </c>
      <c r="AH2454" t="b">
        <v>0</v>
      </c>
      <c r="AI2454" t="s">
        <v>4829</v>
      </c>
      <c r="AK2454" s="78" t="s">
        <v>4640</v>
      </c>
      <c r="AL2454" t="b">
        <v>0</v>
      </c>
      <c r="AM2454">
        <v>0</v>
      </c>
      <c r="AN2454" s="78" t="s">
        <v>4640</v>
      </c>
      <c r="AO2454" s="78" t="s">
        <v>4851</v>
      </c>
      <c r="AP2454" t="b">
        <v>0</v>
      </c>
      <c r="AQ2454" s="78" t="s">
        <v>4590</v>
      </c>
      <c r="AR2454" t="s">
        <v>179</v>
      </c>
      <c r="AS2454">
        <v>0</v>
      </c>
      <c r="AT2454">
        <v>0</v>
      </c>
    </row>
    <row r="2455" spans="1:46" x14ac:dyDescent="0.45">
      <c r="A2455" s="62" t="s">
        <v>883</v>
      </c>
      <c r="B2455" s="62" t="s">
        <v>1414</v>
      </c>
      <c r="C2455" s="63"/>
      <c r="D2455" s="64"/>
      <c r="E2455" s="65"/>
      <c r="F2455" s="66"/>
      <c r="G2455" s="63"/>
      <c r="H2455" s="67"/>
      <c r="I2455" s="68"/>
      <c r="J2455" s="68"/>
      <c r="K2455" s="32"/>
      <c r="L2455" s="75"/>
      <c r="M2455" s="75"/>
      <c r="N2455" s="70"/>
      <c r="O2455" t="s">
        <v>1568</v>
      </c>
      <c r="P2455" s="76">
        <v>44959.068831018521</v>
      </c>
      <c r="Q2455" t="s">
        <v>2050</v>
      </c>
      <c r="V2455" s="77" t="str">
        <f>HYPERLINK("https://pbs.twimg.com/profile_images/1241465924894560257/34RX4E88_normal.jpg")</f>
        <v>https://pbs.twimg.com/profile_images/1241465924894560257/34RX4E88_normal.jpg</v>
      </c>
      <c r="W2455" s="76">
        <v>44959.068831018521</v>
      </c>
      <c r="X2455" s="80">
        <v>44959</v>
      </c>
      <c r="Y2455" s="78" t="s">
        <v>3144</v>
      </c>
      <c r="Z2455" s="77" t="str">
        <f>HYPERLINK("https://twitter.com/echopulse/status/1620959970912002050")</f>
        <v>https://twitter.com/echopulse/status/1620959970912002050</v>
      </c>
      <c r="AC2455" s="78" t="s">
        <v>4209</v>
      </c>
      <c r="AD2455" s="78" t="s">
        <v>4590</v>
      </c>
      <c r="AE2455" t="b">
        <v>0</v>
      </c>
      <c r="AF2455">
        <v>0</v>
      </c>
      <c r="AG2455" s="78" t="s">
        <v>4763</v>
      </c>
      <c r="AH2455" t="b">
        <v>0</v>
      </c>
      <c r="AI2455" t="s">
        <v>4829</v>
      </c>
      <c r="AK2455" s="78" t="s">
        <v>4640</v>
      </c>
      <c r="AL2455" t="b">
        <v>0</v>
      </c>
      <c r="AM2455">
        <v>0</v>
      </c>
      <c r="AN2455" s="78" t="s">
        <v>4640</v>
      </c>
      <c r="AO2455" s="78" t="s">
        <v>4851</v>
      </c>
      <c r="AP2455" t="b">
        <v>0</v>
      </c>
      <c r="AQ2455" s="78" t="s">
        <v>4590</v>
      </c>
      <c r="AR2455" t="s">
        <v>179</v>
      </c>
      <c r="AS2455">
        <v>0</v>
      </c>
      <c r="AT2455">
        <v>0</v>
      </c>
    </row>
    <row r="2456" spans="1:46" x14ac:dyDescent="0.45">
      <c r="A2456" s="62" t="s">
        <v>883</v>
      </c>
      <c r="B2456" s="62" t="s">
        <v>1163</v>
      </c>
      <c r="C2456" s="63"/>
      <c r="D2456" s="64"/>
      <c r="E2456" s="65"/>
      <c r="F2456" s="66"/>
      <c r="G2456" s="63"/>
      <c r="H2456" s="67"/>
      <c r="I2456" s="68"/>
      <c r="J2456" s="68"/>
      <c r="K2456" s="32"/>
      <c r="L2456" s="75"/>
      <c r="M2456" s="75"/>
      <c r="N2456" s="70"/>
      <c r="O2456" t="s">
        <v>1568</v>
      </c>
      <c r="P2456" s="76">
        <v>44959.068831018521</v>
      </c>
      <c r="Q2456" t="s">
        <v>2050</v>
      </c>
      <c r="V2456" s="77" t="str">
        <f>HYPERLINK("https://pbs.twimg.com/profile_images/1241465924894560257/34RX4E88_normal.jpg")</f>
        <v>https://pbs.twimg.com/profile_images/1241465924894560257/34RX4E88_normal.jpg</v>
      </c>
      <c r="W2456" s="76">
        <v>44959.068831018521</v>
      </c>
      <c r="X2456" s="80">
        <v>44959</v>
      </c>
      <c r="Y2456" s="78" t="s">
        <v>3144</v>
      </c>
      <c r="Z2456" s="77" t="str">
        <f>HYPERLINK("https://twitter.com/echopulse/status/1620959970912002050")</f>
        <v>https://twitter.com/echopulse/status/1620959970912002050</v>
      </c>
      <c r="AC2456" s="78" t="s">
        <v>4209</v>
      </c>
      <c r="AD2456" s="78" t="s">
        <v>4590</v>
      </c>
      <c r="AE2456" t="b">
        <v>0</v>
      </c>
      <c r="AF2456">
        <v>0</v>
      </c>
      <c r="AG2456" s="78" t="s">
        <v>4763</v>
      </c>
      <c r="AH2456" t="b">
        <v>0</v>
      </c>
      <c r="AI2456" t="s">
        <v>4829</v>
      </c>
      <c r="AK2456" s="78" t="s">
        <v>4640</v>
      </c>
      <c r="AL2456" t="b">
        <v>0</v>
      </c>
      <c r="AM2456">
        <v>0</v>
      </c>
      <c r="AN2456" s="78" t="s">
        <v>4640</v>
      </c>
      <c r="AO2456" s="78" t="s">
        <v>4851</v>
      </c>
      <c r="AP2456" t="b">
        <v>0</v>
      </c>
      <c r="AQ2456" s="78" t="s">
        <v>4590</v>
      </c>
      <c r="AR2456" t="s">
        <v>179</v>
      </c>
      <c r="AS2456">
        <v>0</v>
      </c>
      <c r="AT2456">
        <v>0</v>
      </c>
    </row>
    <row r="2457" spans="1:46" x14ac:dyDescent="0.45">
      <c r="A2457" s="62" t="s">
        <v>883</v>
      </c>
      <c r="B2457" s="62" t="s">
        <v>1415</v>
      </c>
      <c r="C2457" s="63"/>
      <c r="D2457" s="64"/>
      <c r="E2457" s="65"/>
      <c r="F2457" s="66"/>
      <c r="G2457" s="63"/>
      <c r="H2457" s="67"/>
      <c r="I2457" s="68"/>
      <c r="J2457" s="68"/>
      <c r="K2457" s="32"/>
      <c r="L2457" s="75"/>
      <c r="M2457" s="75"/>
      <c r="N2457" s="70"/>
      <c r="O2457" t="s">
        <v>1568</v>
      </c>
      <c r="P2457" s="76">
        <v>44959.068831018521</v>
      </c>
      <c r="Q2457" t="s">
        <v>2050</v>
      </c>
      <c r="V2457" s="77" t="str">
        <f>HYPERLINK("https://pbs.twimg.com/profile_images/1241465924894560257/34RX4E88_normal.jpg")</f>
        <v>https://pbs.twimg.com/profile_images/1241465924894560257/34RX4E88_normal.jpg</v>
      </c>
      <c r="W2457" s="76">
        <v>44959.068831018521</v>
      </c>
      <c r="X2457" s="80">
        <v>44959</v>
      </c>
      <c r="Y2457" s="78" t="s">
        <v>3144</v>
      </c>
      <c r="Z2457" s="77" t="str">
        <f>HYPERLINK("https://twitter.com/echopulse/status/1620959970912002050")</f>
        <v>https://twitter.com/echopulse/status/1620959970912002050</v>
      </c>
      <c r="AC2457" s="78" t="s">
        <v>4209</v>
      </c>
      <c r="AD2457" s="78" t="s">
        <v>4590</v>
      </c>
      <c r="AE2457" t="b">
        <v>0</v>
      </c>
      <c r="AF2457">
        <v>0</v>
      </c>
      <c r="AG2457" s="78" t="s">
        <v>4763</v>
      </c>
      <c r="AH2457" t="b">
        <v>0</v>
      </c>
      <c r="AI2457" t="s">
        <v>4829</v>
      </c>
      <c r="AK2457" s="78" t="s">
        <v>4640</v>
      </c>
      <c r="AL2457" t="b">
        <v>0</v>
      </c>
      <c r="AM2457">
        <v>0</v>
      </c>
      <c r="AN2457" s="78" t="s">
        <v>4640</v>
      </c>
      <c r="AO2457" s="78" t="s">
        <v>4851</v>
      </c>
      <c r="AP2457" t="b">
        <v>0</v>
      </c>
      <c r="AQ2457" s="78" t="s">
        <v>4590</v>
      </c>
      <c r="AR2457" t="s">
        <v>179</v>
      </c>
      <c r="AS2457">
        <v>0</v>
      </c>
      <c r="AT2457">
        <v>0</v>
      </c>
    </row>
    <row r="2458" spans="1:46" x14ac:dyDescent="0.45">
      <c r="A2458" s="62" t="s">
        <v>883</v>
      </c>
      <c r="B2458" s="62" t="s">
        <v>1416</v>
      </c>
      <c r="C2458" s="63"/>
      <c r="D2458" s="64"/>
      <c r="E2458" s="65"/>
      <c r="F2458" s="66"/>
      <c r="G2458" s="63"/>
      <c r="H2458" s="67"/>
      <c r="I2458" s="68"/>
      <c r="J2458" s="68"/>
      <c r="K2458" s="32"/>
      <c r="L2458" s="75"/>
      <c r="M2458" s="75"/>
      <c r="N2458" s="70"/>
      <c r="O2458" t="s">
        <v>1568</v>
      </c>
      <c r="P2458" s="76">
        <v>44959.068831018521</v>
      </c>
      <c r="Q2458" t="s">
        <v>2050</v>
      </c>
      <c r="V2458" s="77" t="str">
        <f>HYPERLINK("https://pbs.twimg.com/profile_images/1241465924894560257/34RX4E88_normal.jpg")</f>
        <v>https://pbs.twimg.com/profile_images/1241465924894560257/34RX4E88_normal.jpg</v>
      </c>
      <c r="W2458" s="76">
        <v>44959.068831018521</v>
      </c>
      <c r="X2458" s="80">
        <v>44959</v>
      </c>
      <c r="Y2458" s="78" t="s">
        <v>3144</v>
      </c>
      <c r="Z2458" s="77" t="str">
        <f>HYPERLINK("https://twitter.com/echopulse/status/1620959970912002050")</f>
        <v>https://twitter.com/echopulse/status/1620959970912002050</v>
      </c>
      <c r="AC2458" s="78" t="s">
        <v>4209</v>
      </c>
      <c r="AD2458" s="78" t="s">
        <v>4590</v>
      </c>
      <c r="AE2458" t="b">
        <v>0</v>
      </c>
      <c r="AF2458">
        <v>0</v>
      </c>
      <c r="AG2458" s="78" t="s">
        <v>4763</v>
      </c>
      <c r="AH2458" t="b">
        <v>0</v>
      </c>
      <c r="AI2458" t="s">
        <v>4829</v>
      </c>
      <c r="AK2458" s="78" t="s">
        <v>4640</v>
      </c>
      <c r="AL2458" t="b">
        <v>0</v>
      </c>
      <c r="AM2458">
        <v>0</v>
      </c>
      <c r="AN2458" s="78" t="s">
        <v>4640</v>
      </c>
      <c r="AO2458" s="78" t="s">
        <v>4851</v>
      </c>
      <c r="AP2458" t="b">
        <v>0</v>
      </c>
      <c r="AQ2458" s="78" t="s">
        <v>4590</v>
      </c>
      <c r="AR2458" t="s">
        <v>179</v>
      </c>
      <c r="AS2458">
        <v>0</v>
      </c>
      <c r="AT2458">
        <v>0</v>
      </c>
    </row>
    <row r="2459" spans="1:46" x14ac:dyDescent="0.45">
      <c r="A2459" s="62" t="s">
        <v>883</v>
      </c>
      <c r="B2459" s="62" t="s">
        <v>1417</v>
      </c>
      <c r="C2459" s="63"/>
      <c r="D2459" s="64"/>
      <c r="E2459" s="65"/>
      <c r="F2459" s="66"/>
      <c r="G2459" s="63"/>
      <c r="H2459" s="67"/>
      <c r="I2459" s="68"/>
      <c r="J2459" s="68"/>
      <c r="K2459" s="32"/>
      <c r="L2459" s="75"/>
      <c r="M2459" s="75"/>
      <c r="N2459" s="70"/>
      <c r="O2459" t="s">
        <v>1567</v>
      </c>
      <c r="P2459" s="76">
        <v>44959.068831018521</v>
      </c>
      <c r="Q2459" t="s">
        <v>2050</v>
      </c>
      <c r="V2459" s="77" t="str">
        <f>HYPERLINK("https://pbs.twimg.com/profile_images/1241465924894560257/34RX4E88_normal.jpg")</f>
        <v>https://pbs.twimg.com/profile_images/1241465924894560257/34RX4E88_normal.jpg</v>
      </c>
      <c r="W2459" s="76">
        <v>44959.068831018521</v>
      </c>
      <c r="X2459" s="80">
        <v>44959</v>
      </c>
      <c r="Y2459" s="78" t="s">
        <v>3144</v>
      </c>
      <c r="Z2459" s="77" t="str">
        <f>HYPERLINK("https://twitter.com/echopulse/status/1620959970912002050")</f>
        <v>https://twitter.com/echopulse/status/1620959970912002050</v>
      </c>
      <c r="AC2459" s="78" t="s">
        <v>4209</v>
      </c>
      <c r="AD2459" s="78" t="s">
        <v>4590</v>
      </c>
      <c r="AE2459" t="b">
        <v>0</v>
      </c>
      <c r="AF2459">
        <v>0</v>
      </c>
      <c r="AG2459" s="78" t="s">
        <v>4763</v>
      </c>
      <c r="AH2459" t="b">
        <v>0</v>
      </c>
      <c r="AI2459" t="s">
        <v>4829</v>
      </c>
      <c r="AK2459" s="78" t="s">
        <v>4640</v>
      </c>
      <c r="AL2459" t="b">
        <v>0</v>
      </c>
      <c r="AM2459">
        <v>0</v>
      </c>
      <c r="AN2459" s="78" t="s">
        <v>4640</v>
      </c>
      <c r="AO2459" s="78" t="s">
        <v>4851</v>
      </c>
      <c r="AP2459" t="b">
        <v>0</v>
      </c>
      <c r="AQ2459" s="78" t="s">
        <v>4590</v>
      </c>
      <c r="AR2459" t="s">
        <v>179</v>
      </c>
      <c r="AS2459">
        <v>0</v>
      </c>
      <c r="AT2459">
        <v>0</v>
      </c>
    </row>
    <row r="2460" spans="1:46" x14ac:dyDescent="0.45">
      <c r="A2460" s="62" t="s">
        <v>883</v>
      </c>
      <c r="B2460" s="62" t="s">
        <v>1242</v>
      </c>
      <c r="C2460" s="63"/>
      <c r="D2460" s="64"/>
      <c r="E2460" s="65"/>
      <c r="F2460" s="66"/>
      <c r="G2460" s="63"/>
      <c r="H2460" s="67"/>
      <c r="I2460" s="68"/>
      <c r="J2460" s="68"/>
      <c r="K2460" s="32"/>
      <c r="L2460" s="75"/>
      <c r="M2460" s="75"/>
      <c r="N2460" s="70"/>
      <c r="O2460" t="s">
        <v>1568</v>
      </c>
      <c r="P2460" s="76">
        <v>44959.068831018521</v>
      </c>
      <c r="Q2460" t="s">
        <v>2050</v>
      </c>
      <c r="V2460" s="77" t="str">
        <f>HYPERLINK("https://pbs.twimg.com/profile_images/1241465924894560257/34RX4E88_normal.jpg")</f>
        <v>https://pbs.twimg.com/profile_images/1241465924894560257/34RX4E88_normal.jpg</v>
      </c>
      <c r="W2460" s="76">
        <v>44959.068831018521</v>
      </c>
      <c r="X2460" s="80">
        <v>44959</v>
      </c>
      <c r="Y2460" s="78" t="s">
        <v>3144</v>
      </c>
      <c r="Z2460" s="77" t="str">
        <f>HYPERLINK("https://twitter.com/echopulse/status/1620959970912002050")</f>
        <v>https://twitter.com/echopulse/status/1620959970912002050</v>
      </c>
      <c r="AC2460" s="78" t="s">
        <v>4209</v>
      </c>
      <c r="AD2460" s="78" t="s">
        <v>4590</v>
      </c>
      <c r="AE2460" t="b">
        <v>0</v>
      </c>
      <c r="AF2460">
        <v>0</v>
      </c>
      <c r="AG2460" s="78" t="s">
        <v>4763</v>
      </c>
      <c r="AH2460" t="b">
        <v>0</v>
      </c>
      <c r="AI2460" t="s">
        <v>4829</v>
      </c>
      <c r="AK2460" s="78" t="s">
        <v>4640</v>
      </c>
      <c r="AL2460" t="b">
        <v>0</v>
      </c>
      <c r="AM2460">
        <v>0</v>
      </c>
      <c r="AN2460" s="78" t="s">
        <v>4640</v>
      </c>
      <c r="AO2460" s="78" t="s">
        <v>4851</v>
      </c>
      <c r="AP2460" t="b">
        <v>0</v>
      </c>
      <c r="AQ2460" s="78" t="s">
        <v>4590</v>
      </c>
      <c r="AR2460" t="s">
        <v>179</v>
      </c>
      <c r="AS2460">
        <v>0</v>
      </c>
      <c r="AT2460">
        <v>0</v>
      </c>
    </row>
    <row r="2461" spans="1:46" x14ac:dyDescent="0.45">
      <c r="A2461" s="62" t="s">
        <v>883</v>
      </c>
      <c r="B2461" s="62" t="s">
        <v>1194</v>
      </c>
      <c r="C2461" s="63"/>
      <c r="D2461" s="64"/>
      <c r="E2461" s="65"/>
      <c r="F2461" s="66"/>
      <c r="G2461" s="63"/>
      <c r="H2461" s="67"/>
      <c r="I2461" s="68"/>
      <c r="J2461" s="68"/>
      <c r="K2461" s="32"/>
      <c r="L2461" s="75"/>
      <c r="M2461" s="75"/>
      <c r="N2461" s="70"/>
      <c r="O2461" t="s">
        <v>1568</v>
      </c>
      <c r="P2461" s="76">
        <v>44959.068831018521</v>
      </c>
      <c r="Q2461" t="s">
        <v>2050</v>
      </c>
      <c r="V2461" s="77" t="str">
        <f>HYPERLINK("https://pbs.twimg.com/profile_images/1241465924894560257/34RX4E88_normal.jpg")</f>
        <v>https://pbs.twimg.com/profile_images/1241465924894560257/34RX4E88_normal.jpg</v>
      </c>
      <c r="W2461" s="76">
        <v>44959.068831018521</v>
      </c>
      <c r="X2461" s="80">
        <v>44959</v>
      </c>
      <c r="Y2461" s="78" t="s">
        <v>3144</v>
      </c>
      <c r="Z2461" s="77" t="str">
        <f>HYPERLINK("https://twitter.com/echopulse/status/1620959970912002050")</f>
        <v>https://twitter.com/echopulse/status/1620959970912002050</v>
      </c>
      <c r="AC2461" s="78" t="s">
        <v>4209</v>
      </c>
      <c r="AD2461" s="78" t="s">
        <v>4590</v>
      </c>
      <c r="AE2461" t="b">
        <v>0</v>
      </c>
      <c r="AF2461">
        <v>0</v>
      </c>
      <c r="AG2461" s="78" t="s">
        <v>4763</v>
      </c>
      <c r="AH2461" t="b">
        <v>0</v>
      </c>
      <c r="AI2461" t="s">
        <v>4829</v>
      </c>
      <c r="AK2461" s="78" t="s">
        <v>4640</v>
      </c>
      <c r="AL2461" t="b">
        <v>0</v>
      </c>
      <c r="AM2461">
        <v>0</v>
      </c>
      <c r="AN2461" s="78" t="s">
        <v>4640</v>
      </c>
      <c r="AO2461" s="78" t="s">
        <v>4851</v>
      </c>
      <c r="AP2461" t="b">
        <v>0</v>
      </c>
      <c r="AQ2461" s="78" t="s">
        <v>4590</v>
      </c>
      <c r="AR2461" t="s">
        <v>179</v>
      </c>
      <c r="AS2461">
        <v>0</v>
      </c>
      <c r="AT2461">
        <v>0</v>
      </c>
    </row>
    <row r="2462" spans="1:46" x14ac:dyDescent="0.45">
      <c r="A2462" s="62" t="s">
        <v>883</v>
      </c>
      <c r="B2462" s="62" t="s">
        <v>1418</v>
      </c>
      <c r="C2462" s="63"/>
      <c r="D2462" s="64"/>
      <c r="E2462" s="65"/>
      <c r="F2462" s="66"/>
      <c r="G2462" s="63"/>
      <c r="H2462" s="67"/>
      <c r="I2462" s="68"/>
      <c r="J2462" s="68"/>
      <c r="K2462" s="32"/>
      <c r="L2462" s="75"/>
      <c r="M2462" s="75"/>
      <c r="N2462" s="70"/>
      <c r="O2462" t="s">
        <v>1568</v>
      </c>
      <c r="P2462" s="76">
        <v>44959.068831018521</v>
      </c>
      <c r="Q2462" t="s">
        <v>2050</v>
      </c>
      <c r="V2462" s="77" t="str">
        <f>HYPERLINK("https://pbs.twimg.com/profile_images/1241465924894560257/34RX4E88_normal.jpg")</f>
        <v>https://pbs.twimg.com/profile_images/1241465924894560257/34RX4E88_normal.jpg</v>
      </c>
      <c r="W2462" s="76">
        <v>44959.068831018521</v>
      </c>
      <c r="X2462" s="80">
        <v>44959</v>
      </c>
      <c r="Y2462" s="78" t="s">
        <v>3144</v>
      </c>
      <c r="Z2462" s="77" t="str">
        <f>HYPERLINK("https://twitter.com/echopulse/status/1620959970912002050")</f>
        <v>https://twitter.com/echopulse/status/1620959970912002050</v>
      </c>
      <c r="AC2462" s="78" t="s">
        <v>4209</v>
      </c>
      <c r="AD2462" s="78" t="s">
        <v>4590</v>
      </c>
      <c r="AE2462" t="b">
        <v>0</v>
      </c>
      <c r="AF2462">
        <v>0</v>
      </c>
      <c r="AG2462" s="78" t="s">
        <v>4763</v>
      </c>
      <c r="AH2462" t="b">
        <v>0</v>
      </c>
      <c r="AI2462" t="s">
        <v>4829</v>
      </c>
      <c r="AK2462" s="78" t="s">
        <v>4640</v>
      </c>
      <c r="AL2462" t="b">
        <v>0</v>
      </c>
      <c r="AM2462">
        <v>0</v>
      </c>
      <c r="AN2462" s="78" t="s">
        <v>4640</v>
      </c>
      <c r="AO2462" s="78" t="s">
        <v>4851</v>
      </c>
      <c r="AP2462" t="b">
        <v>0</v>
      </c>
      <c r="AQ2462" s="78" t="s">
        <v>4590</v>
      </c>
      <c r="AR2462" t="s">
        <v>179</v>
      </c>
      <c r="AS2462">
        <v>0</v>
      </c>
      <c r="AT2462">
        <v>0</v>
      </c>
    </row>
    <row r="2463" spans="1:46" x14ac:dyDescent="0.45">
      <c r="A2463" s="62" t="s">
        <v>883</v>
      </c>
      <c r="B2463" s="62" t="s">
        <v>1185</v>
      </c>
      <c r="C2463" s="63"/>
      <c r="D2463" s="64"/>
      <c r="E2463" s="65"/>
      <c r="F2463" s="66"/>
      <c r="G2463" s="63"/>
      <c r="H2463" s="67"/>
      <c r="I2463" s="68"/>
      <c r="J2463" s="68"/>
      <c r="K2463" s="32"/>
      <c r="L2463" s="75"/>
      <c r="M2463" s="75"/>
      <c r="N2463" s="70"/>
      <c r="O2463" t="s">
        <v>1568</v>
      </c>
      <c r="P2463" s="76">
        <v>44959.068831018521</v>
      </c>
      <c r="Q2463" t="s">
        <v>2050</v>
      </c>
      <c r="V2463" s="77" t="str">
        <f>HYPERLINK("https://pbs.twimg.com/profile_images/1241465924894560257/34RX4E88_normal.jpg")</f>
        <v>https://pbs.twimg.com/profile_images/1241465924894560257/34RX4E88_normal.jpg</v>
      </c>
      <c r="W2463" s="76">
        <v>44959.068831018521</v>
      </c>
      <c r="X2463" s="80">
        <v>44959</v>
      </c>
      <c r="Y2463" s="78" t="s">
        <v>3144</v>
      </c>
      <c r="Z2463" s="77" t="str">
        <f>HYPERLINK("https://twitter.com/echopulse/status/1620959970912002050")</f>
        <v>https://twitter.com/echopulse/status/1620959970912002050</v>
      </c>
      <c r="AC2463" s="78" t="s">
        <v>4209</v>
      </c>
      <c r="AD2463" s="78" t="s">
        <v>4590</v>
      </c>
      <c r="AE2463" t="b">
        <v>0</v>
      </c>
      <c r="AF2463">
        <v>0</v>
      </c>
      <c r="AG2463" s="78" t="s">
        <v>4763</v>
      </c>
      <c r="AH2463" t="b">
        <v>0</v>
      </c>
      <c r="AI2463" t="s">
        <v>4829</v>
      </c>
      <c r="AK2463" s="78" t="s">
        <v>4640</v>
      </c>
      <c r="AL2463" t="b">
        <v>0</v>
      </c>
      <c r="AM2463">
        <v>0</v>
      </c>
      <c r="AN2463" s="78" t="s">
        <v>4640</v>
      </c>
      <c r="AO2463" s="78" t="s">
        <v>4851</v>
      </c>
      <c r="AP2463" t="b">
        <v>0</v>
      </c>
      <c r="AQ2463" s="78" t="s">
        <v>4590</v>
      </c>
      <c r="AR2463" t="s">
        <v>179</v>
      </c>
      <c r="AS2463">
        <v>0</v>
      </c>
      <c r="AT2463">
        <v>0</v>
      </c>
    </row>
    <row r="2464" spans="1:46" x14ac:dyDescent="0.45">
      <c r="A2464" s="62" t="s">
        <v>883</v>
      </c>
      <c r="B2464" s="62" t="s">
        <v>242</v>
      </c>
      <c r="C2464" s="63"/>
      <c r="D2464" s="64"/>
      <c r="E2464" s="65"/>
      <c r="F2464" s="66"/>
      <c r="G2464" s="63"/>
      <c r="H2464" s="67"/>
      <c r="I2464" s="68"/>
      <c r="J2464" s="68"/>
      <c r="K2464" s="32"/>
      <c r="L2464" s="75"/>
      <c r="M2464" s="75"/>
      <c r="N2464" s="70"/>
      <c r="O2464" t="s">
        <v>1568</v>
      </c>
      <c r="P2464" s="76">
        <v>44959.068831018521</v>
      </c>
      <c r="Q2464" t="s">
        <v>2050</v>
      </c>
      <c r="V2464" s="77" t="str">
        <f>HYPERLINK("https://pbs.twimg.com/profile_images/1241465924894560257/34RX4E88_normal.jpg")</f>
        <v>https://pbs.twimg.com/profile_images/1241465924894560257/34RX4E88_normal.jpg</v>
      </c>
      <c r="W2464" s="76">
        <v>44959.068831018521</v>
      </c>
      <c r="X2464" s="80">
        <v>44959</v>
      </c>
      <c r="Y2464" s="78" t="s">
        <v>3144</v>
      </c>
      <c r="Z2464" s="77" t="str">
        <f>HYPERLINK("https://twitter.com/echopulse/status/1620959970912002050")</f>
        <v>https://twitter.com/echopulse/status/1620959970912002050</v>
      </c>
      <c r="AC2464" s="78" t="s">
        <v>4209</v>
      </c>
      <c r="AD2464" s="78" t="s">
        <v>4590</v>
      </c>
      <c r="AE2464" t="b">
        <v>0</v>
      </c>
      <c r="AF2464">
        <v>0</v>
      </c>
      <c r="AG2464" s="78" t="s">
        <v>4763</v>
      </c>
      <c r="AH2464" t="b">
        <v>0</v>
      </c>
      <c r="AI2464" t="s">
        <v>4829</v>
      </c>
      <c r="AK2464" s="78" t="s">
        <v>4640</v>
      </c>
      <c r="AL2464" t="b">
        <v>0</v>
      </c>
      <c r="AM2464">
        <v>0</v>
      </c>
      <c r="AN2464" s="78" t="s">
        <v>4640</v>
      </c>
      <c r="AO2464" s="78" t="s">
        <v>4851</v>
      </c>
      <c r="AP2464" t="b">
        <v>0</v>
      </c>
      <c r="AQ2464" s="78" t="s">
        <v>4590</v>
      </c>
      <c r="AR2464" t="s">
        <v>179</v>
      </c>
      <c r="AS2464">
        <v>0</v>
      </c>
      <c r="AT2464">
        <v>0</v>
      </c>
    </row>
    <row r="2465" spans="1:54" x14ac:dyDescent="0.45">
      <c r="A2465" s="62" t="s">
        <v>885</v>
      </c>
      <c r="B2465" s="62" t="s">
        <v>1230</v>
      </c>
      <c r="C2465" s="63"/>
      <c r="D2465" s="64"/>
      <c r="E2465" s="65"/>
      <c r="F2465" s="66"/>
      <c r="G2465" s="63"/>
      <c r="H2465" s="67"/>
      <c r="I2465" s="68"/>
      <c r="J2465" s="68"/>
      <c r="K2465" s="32"/>
      <c r="L2465" s="75"/>
      <c r="M2465" s="75"/>
      <c r="N2465" s="70"/>
      <c r="O2465" t="s">
        <v>1570</v>
      </c>
      <c r="P2465" s="76">
        <v>44959.070717592593</v>
      </c>
      <c r="Q2465" t="s">
        <v>1693</v>
      </c>
      <c r="V2465" s="77" t="str">
        <f>HYPERLINK("https://pbs.twimg.com/profile_images/1594514844090306561/rG9gegTz_normal.jpg")</f>
        <v>https://pbs.twimg.com/profile_images/1594514844090306561/rG9gegTz_normal.jpg</v>
      </c>
      <c r="W2465" s="76">
        <v>44959.070717592593</v>
      </c>
      <c r="X2465" s="80">
        <v>44959</v>
      </c>
      <c r="Y2465" s="78" t="s">
        <v>3146</v>
      </c>
      <c r="Z2465" s="77" t="str">
        <f>HYPERLINK("https://twitter.com/stephthegroupie/status/1620960655376515073")</f>
        <v>https://twitter.com/stephthegroupie/status/1620960655376515073</v>
      </c>
      <c r="AC2465" s="78" t="s">
        <v>4211</v>
      </c>
      <c r="AE2465" t="b">
        <v>0</v>
      </c>
      <c r="AF2465">
        <v>0</v>
      </c>
      <c r="AG2465" s="78" t="s">
        <v>4640</v>
      </c>
      <c r="AH2465" t="b">
        <v>0</v>
      </c>
      <c r="AI2465" t="s">
        <v>4829</v>
      </c>
      <c r="AK2465" s="78" t="s">
        <v>4640</v>
      </c>
      <c r="AL2465" t="b">
        <v>0</v>
      </c>
      <c r="AM2465">
        <v>162</v>
      </c>
      <c r="AN2465" s="78" t="s">
        <v>4473</v>
      </c>
      <c r="AO2465" s="78" t="s">
        <v>4851</v>
      </c>
      <c r="AP2465" t="b">
        <v>0</v>
      </c>
      <c r="AQ2465" s="78" t="s">
        <v>4473</v>
      </c>
      <c r="AR2465" t="s">
        <v>179</v>
      </c>
      <c r="AS2465">
        <v>0</v>
      </c>
      <c r="AT2465">
        <v>0</v>
      </c>
    </row>
    <row r="2466" spans="1:54" x14ac:dyDescent="0.45">
      <c r="A2466" s="62" t="s">
        <v>885</v>
      </c>
      <c r="B2466" s="62" t="s">
        <v>242</v>
      </c>
      <c r="C2466" s="63"/>
      <c r="D2466" s="64"/>
      <c r="E2466" s="65"/>
      <c r="F2466" s="66"/>
      <c r="G2466" s="63"/>
      <c r="H2466" s="67"/>
      <c r="I2466" s="68"/>
      <c r="J2466" s="68"/>
      <c r="K2466" s="32"/>
      <c r="L2466" s="75"/>
      <c r="M2466" s="75"/>
      <c r="N2466" s="70"/>
      <c r="O2466" t="s">
        <v>1569</v>
      </c>
      <c r="P2466" s="76">
        <v>44959.070717592593</v>
      </c>
      <c r="Q2466" t="s">
        <v>1693</v>
      </c>
      <c r="V2466" s="77" t="str">
        <f>HYPERLINK("https://pbs.twimg.com/profile_images/1594514844090306561/rG9gegTz_normal.jpg")</f>
        <v>https://pbs.twimg.com/profile_images/1594514844090306561/rG9gegTz_normal.jpg</v>
      </c>
      <c r="W2466" s="76">
        <v>44959.070717592593</v>
      </c>
      <c r="X2466" s="80">
        <v>44959</v>
      </c>
      <c r="Y2466" s="78" t="s">
        <v>3146</v>
      </c>
      <c r="Z2466" s="77" t="str">
        <f>HYPERLINK("https://twitter.com/stephthegroupie/status/1620960655376515073")</f>
        <v>https://twitter.com/stephthegroupie/status/1620960655376515073</v>
      </c>
      <c r="AC2466" s="78" t="s">
        <v>4211</v>
      </c>
      <c r="AE2466" t="b">
        <v>0</v>
      </c>
      <c r="AF2466">
        <v>0</v>
      </c>
      <c r="AG2466" s="78" t="s">
        <v>4640</v>
      </c>
      <c r="AH2466" t="b">
        <v>0</v>
      </c>
      <c r="AI2466" t="s">
        <v>4829</v>
      </c>
      <c r="AK2466" s="78" t="s">
        <v>4640</v>
      </c>
      <c r="AL2466" t="b">
        <v>0</v>
      </c>
      <c r="AM2466">
        <v>162</v>
      </c>
      <c r="AN2466" s="78" t="s">
        <v>4473</v>
      </c>
      <c r="AO2466" s="78" t="s">
        <v>4851</v>
      </c>
      <c r="AP2466" t="b">
        <v>0</v>
      </c>
      <c r="AQ2466" s="78" t="s">
        <v>4473</v>
      </c>
      <c r="AR2466" t="s">
        <v>179</v>
      </c>
      <c r="AS2466">
        <v>0</v>
      </c>
      <c r="AT2466">
        <v>0</v>
      </c>
    </row>
    <row r="2467" spans="1:54" x14ac:dyDescent="0.45">
      <c r="A2467" s="62" t="s">
        <v>886</v>
      </c>
      <c r="B2467" s="62" t="s">
        <v>1419</v>
      </c>
      <c r="C2467" s="63"/>
      <c r="D2467" s="64"/>
      <c r="E2467" s="65"/>
      <c r="F2467" s="66"/>
      <c r="G2467" s="63"/>
      <c r="H2467" s="67"/>
      <c r="I2467" s="68"/>
      <c r="J2467" s="68"/>
      <c r="K2467" s="32"/>
      <c r="L2467" s="75"/>
      <c r="M2467" s="75"/>
      <c r="N2467" s="70"/>
      <c r="O2467" t="s">
        <v>1567</v>
      </c>
      <c r="P2467" s="76">
        <v>44959.070902777778</v>
      </c>
      <c r="Q2467" t="s">
        <v>2052</v>
      </c>
      <c r="V2467" s="77" t="str">
        <f>HYPERLINK("https://pbs.twimg.com/profile_images/1508266920780386316/3vuhX_lS_normal.jpg")</f>
        <v>https://pbs.twimg.com/profile_images/1508266920780386316/3vuhX_lS_normal.jpg</v>
      </c>
      <c r="W2467" s="76">
        <v>44959.070902777778</v>
      </c>
      <c r="X2467" s="80">
        <v>44959</v>
      </c>
      <c r="Y2467" s="78" t="s">
        <v>3147</v>
      </c>
      <c r="Z2467" s="77" t="str">
        <f>HYPERLINK("https://twitter.com/fabulousheathen/status/1620960722250530816")</f>
        <v>https://twitter.com/fabulousheathen/status/1620960722250530816</v>
      </c>
      <c r="AC2467" s="78" t="s">
        <v>4212</v>
      </c>
      <c r="AD2467" s="78" t="s">
        <v>4591</v>
      </c>
      <c r="AE2467" t="b">
        <v>0</v>
      </c>
      <c r="AF2467">
        <v>0</v>
      </c>
      <c r="AG2467" s="78" t="s">
        <v>4764</v>
      </c>
      <c r="AH2467" t="b">
        <v>0</v>
      </c>
      <c r="AI2467" t="s">
        <v>4829</v>
      </c>
      <c r="AK2467" s="78" t="s">
        <v>4640</v>
      </c>
      <c r="AL2467" t="b">
        <v>0</v>
      </c>
      <c r="AM2467">
        <v>0</v>
      </c>
      <c r="AN2467" s="78" t="s">
        <v>4640</v>
      </c>
      <c r="AO2467" s="78" t="s">
        <v>4851</v>
      </c>
      <c r="AP2467" t="b">
        <v>0</v>
      </c>
      <c r="AQ2467" s="78" t="s">
        <v>4591</v>
      </c>
      <c r="AR2467" t="s">
        <v>179</v>
      </c>
      <c r="AS2467">
        <v>0</v>
      </c>
      <c r="AT2467">
        <v>0</v>
      </c>
    </row>
    <row r="2468" spans="1:54" x14ac:dyDescent="0.45">
      <c r="A2468" s="62" t="s">
        <v>886</v>
      </c>
      <c r="B2468" s="62" t="s">
        <v>242</v>
      </c>
      <c r="C2468" s="63"/>
      <c r="D2468" s="64"/>
      <c r="E2468" s="65"/>
      <c r="F2468" s="66"/>
      <c r="G2468" s="63"/>
      <c r="H2468" s="67"/>
      <c r="I2468" s="68"/>
      <c r="J2468" s="68"/>
      <c r="K2468" s="32"/>
      <c r="L2468" s="75"/>
      <c r="M2468" s="75"/>
      <c r="N2468" s="70"/>
      <c r="O2468" t="s">
        <v>1568</v>
      </c>
      <c r="P2468" s="76">
        <v>44959.070902777778</v>
      </c>
      <c r="Q2468" t="s">
        <v>2052</v>
      </c>
      <c r="V2468" s="77" t="str">
        <f>HYPERLINK("https://pbs.twimg.com/profile_images/1508266920780386316/3vuhX_lS_normal.jpg")</f>
        <v>https://pbs.twimg.com/profile_images/1508266920780386316/3vuhX_lS_normal.jpg</v>
      </c>
      <c r="W2468" s="76">
        <v>44959.070902777778</v>
      </c>
      <c r="X2468" s="80">
        <v>44959</v>
      </c>
      <c r="Y2468" s="78" t="s">
        <v>3147</v>
      </c>
      <c r="Z2468" s="77" t="str">
        <f>HYPERLINK("https://twitter.com/fabulousheathen/status/1620960722250530816")</f>
        <v>https://twitter.com/fabulousheathen/status/1620960722250530816</v>
      </c>
      <c r="AC2468" s="78" t="s">
        <v>4212</v>
      </c>
      <c r="AD2468" s="78" t="s">
        <v>4591</v>
      </c>
      <c r="AE2468" t="b">
        <v>0</v>
      </c>
      <c r="AF2468">
        <v>0</v>
      </c>
      <c r="AG2468" s="78" t="s">
        <v>4764</v>
      </c>
      <c r="AH2468" t="b">
        <v>0</v>
      </c>
      <c r="AI2468" t="s">
        <v>4829</v>
      </c>
      <c r="AK2468" s="78" t="s">
        <v>4640</v>
      </c>
      <c r="AL2468" t="b">
        <v>0</v>
      </c>
      <c r="AM2468">
        <v>0</v>
      </c>
      <c r="AN2468" s="78" t="s">
        <v>4640</v>
      </c>
      <c r="AO2468" s="78" t="s">
        <v>4851</v>
      </c>
      <c r="AP2468" t="b">
        <v>0</v>
      </c>
      <c r="AQ2468" s="78" t="s">
        <v>4591</v>
      </c>
      <c r="AR2468" t="s">
        <v>179</v>
      </c>
      <c r="AS2468">
        <v>0</v>
      </c>
      <c r="AT2468">
        <v>0</v>
      </c>
    </row>
    <row r="2469" spans="1:54" x14ac:dyDescent="0.45">
      <c r="A2469" s="62" t="s">
        <v>887</v>
      </c>
      <c r="B2469" s="62" t="s">
        <v>1420</v>
      </c>
      <c r="C2469" s="63"/>
      <c r="D2469" s="64"/>
      <c r="E2469" s="65"/>
      <c r="F2469" s="66"/>
      <c r="G2469" s="63"/>
      <c r="H2469" s="67"/>
      <c r="I2469" s="68"/>
      <c r="J2469" s="68"/>
      <c r="K2469" s="32"/>
      <c r="L2469" s="75"/>
      <c r="M2469" s="75"/>
      <c r="N2469" s="70"/>
      <c r="O2469" t="s">
        <v>1568</v>
      </c>
      <c r="P2469" s="76">
        <v>44959.071018518516</v>
      </c>
      <c r="Q2469" t="s">
        <v>2053</v>
      </c>
      <c r="V2469" s="77" t="str">
        <f>HYPERLINK("https://pbs.twimg.com/profile_images/1554053881264496645/VTbmdQdo_normal.png")</f>
        <v>https://pbs.twimg.com/profile_images/1554053881264496645/VTbmdQdo_normal.png</v>
      </c>
      <c r="W2469" s="76">
        <v>44959.071018518516</v>
      </c>
      <c r="X2469" s="80">
        <v>44959</v>
      </c>
      <c r="Y2469" s="78" t="s">
        <v>3148</v>
      </c>
      <c r="Z2469" s="77" t="str">
        <f>HYPERLINK("https://twitter.com/smtd0/status/1620960763211833344")</f>
        <v>https://twitter.com/smtd0/status/1620960763211833344</v>
      </c>
      <c r="AC2469" s="78" t="s">
        <v>4213</v>
      </c>
      <c r="AD2469" s="78" t="s">
        <v>4592</v>
      </c>
      <c r="AE2469" t="b">
        <v>0</v>
      </c>
      <c r="AF2469">
        <v>0</v>
      </c>
      <c r="AG2469" s="78" t="s">
        <v>4639</v>
      </c>
      <c r="AH2469" t="b">
        <v>0</v>
      </c>
      <c r="AI2469" t="s">
        <v>4829</v>
      </c>
      <c r="AK2469" s="78" t="s">
        <v>4640</v>
      </c>
      <c r="AL2469" t="b">
        <v>0</v>
      </c>
      <c r="AM2469">
        <v>0</v>
      </c>
      <c r="AN2469" s="78" t="s">
        <v>4640</v>
      </c>
      <c r="AO2469" s="78" t="s">
        <v>4850</v>
      </c>
      <c r="AP2469" t="b">
        <v>0</v>
      </c>
      <c r="AQ2469" s="78" t="s">
        <v>4592</v>
      </c>
      <c r="AR2469" t="s">
        <v>179</v>
      </c>
      <c r="AS2469">
        <v>0</v>
      </c>
      <c r="AT2469">
        <v>0</v>
      </c>
    </row>
    <row r="2470" spans="1:54" x14ac:dyDescent="0.45">
      <c r="A2470" s="62" t="s">
        <v>887</v>
      </c>
      <c r="B2470" s="62" t="s">
        <v>242</v>
      </c>
      <c r="C2470" s="63"/>
      <c r="D2470" s="64"/>
      <c r="E2470" s="65"/>
      <c r="F2470" s="66"/>
      <c r="G2470" s="63"/>
      <c r="H2470" s="67"/>
      <c r="I2470" s="68"/>
      <c r="J2470" s="68"/>
      <c r="K2470" s="32"/>
      <c r="L2470" s="75"/>
      <c r="M2470" s="75"/>
      <c r="N2470" s="70"/>
      <c r="O2470" t="s">
        <v>1567</v>
      </c>
      <c r="P2470" s="76">
        <v>44959.071018518516</v>
      </c>
      <c r="Q2470" t="s">
        <v>2053</v>
      </c>
      <c r="V2470" s="77" t="str">
        <f>HYPERLINK("https://pbs.twimg.com/profile_images/1554053881264496645/VTbmdQdo_normal.png")</f>
        <v>https://pbs.twimg.com/profile_images/1554053881264496645/VTbmdQdo_normal.png</v>
      </c>
      <c r="W2470" s="76">
        <v>44959.071018518516</v>
      </c>
      <c r="X2470" s="80">
        <v>44959</v>
      </c>
      <c r="Y2470" s="78" t="s">
        <v>3148</v>
      </c>
      <c r="Z2470" s="77" t="str">
        <f>HYPERLINK("https://twitter.com/smtd0/status/1620960763211833344")</f>
        <v>https://twitter.com/smtd0/status/1620960763211833344</v>
      </c>
      <c r="AC2470" s="78" t="s">
        <v>4213</v>
      </c>
      <c r="AD2470" s="78" t="s">
        <v>4592</v>
      </c>
      <c r="AE2470" t="b">
        <v>0</v>
      </c>
      <c r="AF2470">
        <v>0</v>
      </c>
      <c r="AG2470" s="78" t="s">
        <v>4639</v>
      </c>
      <c r="AH2470" t="b">
        <v>0</v>
      </c>
      <c r="AI2470" t="s">
        <v>4829</v>
      </c>
      <c r="AK2470" s="78" t="s">
        <v>4640</v>
      </c>
      <c r="AL2470" t="b">
        <v>0</v>
      </c>
      <c r="AM2470">
        <v>0</v>
      </c>
      <c r="AN2470" s="78" t="s">
        <v>4640</v>
      </c>
      <c r="AO2470" s="78" t="s">
        <v>4850</v>
      </c>
      <c r="AP2470" t="b">
        <v>0</v>
      </c>
      <c r="AQ2470" s="78" t="s">
        <v>4592</v>
      </c>
      <c r="AR2470" t="s">
        <v>179</v>
      </c>
      <c r="AS2470">
        <v>0</v>
      </c>
      <c r="AT2470">
        <v>0</v>
      </c>
    </row>
    <row r="2471" spans="1:54" x14ac:dyDescent="0.45">
      <c r="A2471" s="62" t="s">
        <v>888</v>
      </c>
      <c r="B2471" s="62" t="s">
        <v>1230</v>
      </c>
      <c r="C2471" s="63"/>
      <c r="D2471" s="64"/>
      <c r="E2471" s="65"/>
      <c r="F2471" s="66"/>
      <c r="G2471" s="63"/>
      <c r="H2471" s="67"/>
      <c r="I2471" s="68"/>
      <c r="J2471" s="68"/>
      <c r="K2471" s="32"/>
      <c r="L2471" s="75"/>
      <c r="M2471" s="75"/>
      <c r="N2471" s="70"/>
      <c r="O2471" t="s">
        <v>1570</v>
      </c>
      <c r="P2471" s="76">
        <v>44959.072222222225</v>
      </c>
      <c r="Q2471" t="s">
        <v>1693</v>
      </c>
      <c r="V2471" s="77" t="str">
        <f>HYPERLINK("https://pbs.twimg.com/profile_images/1027003197519364096/uz_fhupW_normal.jpg")</f>
        <v>https://pbs.twimg.com/profile_images/1027003197519364096/uz_fhupW_normal.jpg</v>
      </c>
      <c r="W2471" s="76">
        <v>44959.072222222225</v>
      </c>
      <c r="X2471" s="80">
        <v>44959</v>
      </c>
      <c r="Y2471" s="78" t="s">
        <v>3149</v>
      </c>
      <c r="Z2471" s="77" t="str">
        <f>HYPERLINK("https://twitter.com/sururdarmadi/status/1620961198064959489")</f>
        <v>https://twitter.com/sururdarmadi/status/1620961198064959489</v>
      </c>
      <c r="AC2471" s="78" t="s">
        <v>4214</v>
      </c>
      <c r="AE2471" t="b">
        <v>0</v>
      </c>
      <c r="AF2471">
        <v>0</v>
      </c>
      <c r="AG2471" s="78" t="s">
        <v>4640</v>
      </c>
      <c r="AH2471" t="b">
        <v>0</v>
      </c>
      <c r="AI2471" t="s">
        <v>4829</v>
      </c>
      <c r="AK2471" s="78" t="s">
        <v>4640</v>
      </c>
      <c r="AL2471" t="b">
        <v>0</v>
      </c>
      <c r="AM2471">
        <v>162</v>
      </c>
      <c r="AN2471" s="78" t="s">
        <v>4473</v>
      </c>
      <c r="AO2471" s="78" t="s">
        <v>4849</v>
      </c>
      <c r="AP2471" t="b">
        <v>0</v>
      </c>
      <c r="AQ2471" s="78" t="s">
        <v>4473</v>
      </c>
      <c r="AR2471" t="s">
        <v>179</v>
      </c>
      <c r="AS2471">
        <v>0</v>
      </c>
      <c r="AT2471">
        <v>0</v>
      </c>
    </row>
    <row r="2472" spans="1:54" x14ac:dyDescent="0.45">
      <c r="A2472" s="62" t="s">
        <v>888</v>
      </c>
      <c r="B2472" s="62" t="s">
        <v>242</v>
      </c>
      <c r="C2472" s="63"/>
      <c r="D2472" s="64"/>
      <c r="E2472" s="65"/>
      <c r="F2472" s="66"/>
      <c r="G2472" s="63"/>
      <c r="H2472" s="67"/>
      <c r="I2472" s="68"/>
      <c r="J2472" s="68"/>
      <c r="K2472" s="32"/>
      <c r="L2472" s="75"/>
      <c r="M2472" s="75"/>
      <c r="N2472" s="70"/>
      <c r="O2472" t="s">
        <v>1569</v>
      </c>
      <c r="P2472" s="76">
        <v>44959.072222222225</v>
      </c>
      <c r="Q2472" t="s">
        <v>1693</v>
      </c>
      <c r="V2472" s="77" t="str">
        <f>HYPERLINK("https://pbs.twimg.com/profile_images/1027003197519364096/uz_fhupW_normal.jpg")</f>
        <v>https://pbs.twimg.com/profile_images/1027003197519364096/uz_fhupW_normal.jpg</v>
      </c>
      <c r="W2472" s="76">
        <v>44959.072222222225</v>
      </c>
      <c r="X2472" s="80">
        <v>44959</v>
      </c>
      <c r="Y2472" s="78" t="s">
        <v>3149</v>
      </c>
      <c r="Z2472" s="77" t="str">
        <f>HYPERLINK("https://twitter.com/sururdarmadi/status/1620961198064959489")</f>
        <v>https://twitter.com/sururdarmadi/status/1620961198064959489</v>
      </c>
      <c r="AC2472" s="78" t="s">
        <v>4214</v>
      </c>
      <c r="AE2472" t="b">
        <v>0</v>
      </c>
      <c r="AF2472">
        <v>0</v>
      </c>
      <c r="AG2472" s="78" t="s">
        <v>4640</v>
      </c>
      <c r="AH2472" t="b">
        <v>0</v>
      </c>
      <c r="AI2472" t="s">
        <v>4829</v>
      </c>
      <c r="AK2472" s="78" t="s">
        <v>4640</v>
      </c>
      <c r="AL2472" t="b">
        <v>0</v>
      </c>
      <c r="AM2472">
        <v>162</v>
      </c>
      <c r="AN2472" s="78" t="s">
        <v>4473</v>
      </c>
      <c r="AO2472" s="78" t="s">
        <v>4849</v>
      </c>
      <c r="AP2472" t="b">
        <v>0</v>
      </c>
      <c r="AQ2472" s="78" t="s">
        <v>4473</v>
      </c>
      <c r="AR2472" t="s">
        <v>179</v>
      </c>
      <c r="AS2472">
        <v>0</v>
      </c>
      <c r="AT2472">
        <v>0</v>
      </c>
    </row>
    <row r="2473" spans="1:54" x14ac:dyDescent="0.45">
      <c r="A2473" s="62" t="s">
        <v>890</v>
      </c>
      <c r="B2473" s="62" t="s">
        <v>242</v>
      </c>
      <c r="C2473" s="63"/>
      <c r="D2473" s="64"/>
      <c r="E2473" s="65"/>
      <c r="F2473" s="66"/>
      <c r="G2473" s="63"/>
      <c r="H2473" s="67"/>
      <c r="I2473" s="68"/>
      <c r="J2473" s="68"/>
      <c r="K2473" s="32"/>
      <c r="L2473" s="75"/>
      <c r="M2473" s="75"/>
      <c r="N2473" s="70"/>
      <c r="O2473" t="s">
        <v>1570</v>
      </c>
      <c r="P2473" s="76">
        <v>44959.077407407407</v>
      </c>
      <c r="Q2473" t="s">
        <v>1597</v>
      </c>
      <c r="U2473" s="77" t="str">
        <f>HYPERLINK("https://pbs.twimg.com/media/Fn21cCpaEAIoT8g.jpg")</f>
        <v>https://pbs.twimg.com/media/Fn21cCpaEAIoT8g.jpg</v>
      </c>
      <c r="V2473" s="77" t="str">
        <f>HYPERLINK("https://pbs.twimg.com/media/Fn21cCpaEAIoT8g.jpg")</f>
        <v>https://pbs.twimg.com/media/Fn21cCpaEAIoT8g.jpg</v>
      </c>
      <c r="W2473" s="76">
        <v>44959.077407407407</v>
      </c>
      <c r="X2473" s="80">
        <v>44959</v>
      </c>
      <c r="Y2473" s="78" t="s">
        <v>3151</v>
      </c>
      <c r="Z2473" s="77" t="str">
        <f>HYPERLINK("https://twitter.com/wolfygangg/status/1620963076823732229")</f>
        <v>https://twitter.com/wolfygangg/status/1620963076823732229</v>
      </c>
      <c r="AC2473" s="78" t="s">
        <v>4216</v>
      </c>
      <c r="AE2473" t="b">
        <v>0</v>
      </c>
      <c r="AF2473">
        <v>0</v>
      </c>
      <c r="AG2473" s="78" t="s">
        <v>4640</v>
      </c>
      <c r="AH2473" t="b">
        <v>0</v>
      </c>
      <c r="AI2473" t="s">
        <v>4829</v>
      </c>
      <c r="AK2473" s="78" t="s">
        <v>4640</v>
      </c>
      <c r="AL2473" t="b">
        <v>0</v>
      </c>
      <c r="AM2473">
        <v>13</v>
      </c>
      <c r="AN2473" s="78" t="s">
        <v>4342</v>
      </c>
      <c r="AO2473" s="78" t="s">
        <v>4849</v>
      </c>
      <c r="AP2473" t="b">
        <v>0</v>
      </c>
      <c r="AQ2473" s="78" t="s">
        <v>4342</v>
      </c>
      <c r="AR2473" t="s">
        <v>179</v>
      </c>
      <c r="AS2473">
        <v>0</v>
      </c>
      <c r="AT2473">
        <v>0</v>
      </c>
    </row>
    <row r="2474" spans="1:54" x14ac:dyDescent="0.45">
      <c r="A2474" s="62" t="s">
        <v>890</v>
      </c>
      <c r="B2474" s="62" t="s">
        <v>992</v>
      </c>
      <c r="C2474" s="63"/>
      <c r="D2474" s="64"/>
      <c r="E2474" s="65"/>
      <c r="F2474" s="66"/>
      <c r="G2474" s="63"/>
      <c r="H2474" s="67"/>
      <c r="I2474" s="68"/>
      <c r="J2474" s="68"/>
      <c r="K2474" s="32"/>
      <c r="L2474" s="75"/>
      <c r="M2474" s="75"/>
      <c r="N2474" s="70"/>
      <c r="O2474" t="s">
        <v>1569</v>
      </c>
      <c r="P2474" s="76">
        <v>44959.077407407407</v>
      </c>
      <c r="Q2474" t="s">
        <v>1597</v>
      </c>
      <c r="U2474" s="77" t="str">
        <f>HYPERLINK("https://pbs.twimg.com/media/Fn21cCpaEAIoT8g.jpg")</f>
        <v>https://pbs.twimg.com/media/Fn21cCpaEAIoT8g.jpg</v>
      </c>
      <c r="V2474" s="77" t="str">
        <f>HYPERLINK("https://pbs.twimg.com/media/Fn21cCpaEAIoT8g.jpg")</f>
        <v>https://pbs.twimg.com/media/Fn21cCpaEAIoT8g.jpg</v>
      </c>
      <c r="W2474" s="76">
        <v>44959.077407407407</v>
      </c>
      <c r="X2474" s="80">
        <v>44959</v>
      </c>
      <c r="Y2474" s="78" t="s">
        <v>3151</v>
      </c>
      <c r="Z2474" s="77" t="str">
        <f>HYPERLINK("https://twitter.com/wolfygangg/status/1620963076823732229")</f>
        <v>https://twitter.com/wolfygangg/status/1620963076823732229</v>
      </c>
      <c r="AC2474" s="78" t="s">
        <v>4216</v>
      </c>
      <c r="AE2474" t="b">
        <v>0</v>
      </c>
      <c r="AF2474">
        <v>0</v>
      </c>
      <c r="AG2474" s="78" t="s">
        <v>4640</v>
      </c>
      <c r="AH2474" t="b">
        <v>0</v>
      </c>
      <c r="AI2474" t="s">
        <v>4829</v>
      </c>
      <c r="AK2474" s="78" t="s">
        <v>4640</v>
      </c>
      <c r="AL2474" t="b">
        <v>0</v>
      </c>
      <c r="AM2474">
        <v>13</v>
      </c>
      <c r="AN2474" s="78" t="s">
        <v>4342</v>
      </c>
      <c r="AO2474" s="78" t="s">
        <v>4849</v>
      </c>
      <c r="AP2474" t="b">
        <v>0</v>
      </c>
      <c r="AQ2474" s="78" t="s">
        <v>4342</v>
      </c>
      <c r="AR2474" t="s">
        <v>179</v>
      </c>
      <c r="AS2474">
        <v>0</v>
      </c>
      <c r="AT2474">
        <v>0</v>
      </c>
    </row>
    <row r="2475" spans="1:54" x14ac:dyDescent="0.45">
      <c r="A2475" s="62" t="s">
        <v>891</v>
      </c>
      <c r="B2475" s="62" t="s">
        <v>1230</v>
      </c>
      <c r="C2475" s="63"/>
      <c r="D2475" s="64"/>
      <c r="E2475" s="65"/>
      <c r="F2475" s="66"/>
      <c r="G2475" s="63"/>
      <c r="H2475" s="67"/>
      <c r="I2475" s="68"/>
      <c r="J2475" s="68"/>
      <c r="K2475" s="32"/>
      <c r="L2475" s="75"/>
      <c r="M2475" s="75"/>
      <c r="N2475" s="70"/>
      <c r="O2475" t="s">
        <v>1570</v>
      </c>
      <c r="P2475" s="76">
        <v>44959.07744212963</v>
      </c>
      <c r="Q2475" t="s">
        <v>1693</v>
      </c>
      <c r="V2475" s="77" t="str">
        <f>HYPERLINK("https://pbs.twimg.com/profile_images/1610261888818122753/zHO3b6p__normal.jpg")</f>
        <v>https://pbs.twimg.com/profile_images/1610261888818122753/zHO3b6p__normal.jpg</v>
      </c>
      <c r="W2475" s="76">
        <v>44959.07744212963</v>
      </c>
      <c r="X2475" s="80">
        <v>44959</v>
      </c>
      <c r="Y2475" s="78" t="s">
        <v>3152</v>
      </c>
      <c r="Z2475" s="77" t="str">
        <f>HYPERLINK("https://twitter.com/mileylegndcyrus/status/1620963090002247681")</f>
        <v>https://twitter.com/mileylegndcyrus/status/1620963090002247681</v>
      </c>
      <c r="AC2475" s="78" t="s">
        <v>4217</v>
      </c>
      <c r="AE2475" t="b">
        <v>0</v>
      </c>
      <c r="AF2475">
        <v>0</v>
      </c>
      <c r="AG2475" s="78" t="s">
        <v>4640</v>
      </c>
      <c r="AH2475" t="b">
        <v>0</v>
      </c>
      <c r="AI2475" t="s">
        <v>4829</v>
      </c>
      <c r="AK2475" s="78" t="s">
        <v>4640</v>
      </c>
      <c r="AL2475" t="b">
        <v>0</v>
      </c>
      <c r="AM2475">
        <v>162</v>
      </c>
      <c r="AN2475" s="78" t="s">
        <v>4473</v>
      </c>
      <c r="AO2475" s="78" t="s">
        <v>4849</v>
      </c>
      <c r="AP2475" t="b">
        <v>0</v>
      </c>
      <c r="AQ2475" s="78" t="s">
        <v>4473</v>
      </c>
      <c r="AR2475" t="s">
        <v>179</v>
      </c>
      <c r="AS2475">
        <v>0</v>
      </c>
      <c r="AT2475">
        <v>0</v>
      </c>
    </row>
    <row r="2476" spans="1:54" x14ac:dyDescent="0.45">
      <c r="A2476" s="62" t="s">
        <v>891</v>
      </c>
      <c r="B2476" s="62" t="s">
        <v>242</v>
      </c>
      <c r="C2476" s="63"/>
      <c r="D2476" s="64"/>
      <c r="E2476" s="65"/>
      <c r="F2476" s="66"/>
      <c r="G2476" s="63"/>
      <c r="H2476" s="67"/>
      <c r="I2476" s="68"/>
      <c r="J2476" s="68"/>
      <c r="K2476" s="32"/>
      <c r="L2476" s="75"/>
      <c r="M2476" s="75"/>
      <c r="N2476" s="70"/>
      <c r="O2476" t="s">
        <v>1569</v>
      </c>
      <c r="P2476" s="76">
        <v>44959.07744212963</v>
      </c>
      <c r="Q2476" t="s">
        <v>1693</v>
      </c>
      <c r="V2476" s="77" t="str">
        <f>HYPERLINK("https://pbs.twimg.com/profile_images/1610261888818122753/zHO3b6p__normal.jpg")</f>
        <v>https://pbs.twimg.com/profile_images/1610261888818122753/zHO3b6p__normal.jpg</v>
      </c>
      <c r="W2476" s="76">
        <v>44959.07744212963</v>
      </c>
      <c r="X2476" s="80">
        <v>44959</v>
      </c>
      <c r="Y2476" s="78" t="s">
        <v>3152</v>
      </c>
      <c r="Z2476" s="77" t="str">
        <f>HYPERLINK("https://twitter.com/mileylegndcyrus/status/1620963090002247681")</f>
        <v>https://twitter.com/mileylegndcyrus/status/1620963090002247681</v>
      </c>
      <c r="AC2476" s="78" t="s">
        <v>4217</v>
      </c>
      <c r="AE2476" t="b">
        <v>0</v>
      </c>
      <c r="AF2476">
        <v>0</v>
      </c>
      <c r="AG2476" s="78" t="s">
        <v>4640</v>
      </c>
      <c r="AH2476" t="b">
        <v>0</v>
      </c>
      <c r="AI2476" t="s">
        <v>4829</v>
      </c>
      <c r="AK2476" s="78" t="s">
        <v>4640</v>
      </c>
      <c r="AL2476" t="b">
        <v>0</v>
      </c>
      <c r="AM2476">
        <v>162</v>
      </c>
      <c r="AN2476" s="78" t="s">
        <v>4473</v>
      </c>
      <c r="AO2476" s="78" t="s">
        <v>4849</v>
      </c>
      <c r="AP2476" t="b">
        <v>0</v>
      </c>
      <c r="AQ2476" s="78" t="s">
        <v>4473</v>
      </c>
      <c r="AR2476" t="s">
        <v>179</v>
      </c>
      <c r="AS2476">
        <v>0</v>
      </c>
      <c r="AT2476">
        <v>0</v>
      </c>
    </row>
    <row r="2477" spans="1:54" x14ac:dyDescent="0.45">
      <c r="A2477" s="62" t="s">
        <v>892</v>
      </c>
      <c r="B2477" s="62" t="s">
        <v>242</v>
      </c>
      <c r="C2477" s="63"/>
      <c r="D2477" s="64"/>
      <c r="E2477" s="65"/>
      <c r="F2477" s="66"/>
      <c r="G2477" s="63"/>
      <c r="H2477" s="67"/>
      <c r="I2477" s="68"/>
      <c r="J2477" s="68"/>
      <c r="K2477" s="32"/>
      <c r="L2477" s="75"/>
      <c r="M2477" s="75"/>
      <c r="N2477" s="70"/>
      <c r="O2477" t="s">
        <v>1568</v>
      </c>
      <c r="P2477" s="76">
        <v>44959.077986111108</v>
      </c>
      <c r="Q2477" t="s">
        <v>2055</v>
      </c>
      <c r="V2477" s="77" t="str">
        <f>HYPERLINK("https://pbs.twimg.com/profile_images/1551469824286523393/-sPUTFy4_normal.jpg")</f>
        <v>https://pbs.twimg.com/profile_images/1551469824286523393/-sPUTFy4_normal.jpg</v>
      </c>
      <c r="W2477" s="76">
        <v>44959.077986111108</v>
      </c>
      <c r="X2477" s="80">
        <v>44959</v>
      </c>
      <c r="Y2477" s="78" t="s">
        <v>3153</v>
      </c>
      <c r="Z2477" s="77" t="str">
        <f>HYPERLINK("https://twitter.com/pattyplainjane/status/1620963285880442882")</f>
        <v>https://twitter.com/pattyplainjane/status/1620963285880442882</v>
      </c>
      <c r="AC2477" s="78" t="s">
        <v>4218</v>
      </c>
      <c r="AE2477" t="b">
        <v>0</v>
      </c>
      <c r="AF2477">
        <v>0</v>
      </c>
      <c r="AG2477" s="78" t="s">
        <v>4765</v>
      </c>
      <c r="AH2477" t="b">
        <v>0</v>
      </c>
      <c r="AI2477" t="s">
        <v>4829</v>
      </c>
      <c r="AK2477" s="78" t="s">
        <v>4640</v>
      </c>
      <c r="AL2477" t="b">
        <v>0</v>
      </c>
      <c r="AM2477">
        <v>0</v>
      </c>
      <c r="AN2477" s="78" t="s">
        <v>4640</v>
      </c>
      <c r="AO2477" s="78" t="s">
        <v>4851</v>
      </c>
      <c r="AP2477" t="b">
        <v>0</v>
      </c>
      <c r="AQ2477" s="78" t="s">
        <v>4218</v>
      </c>
      <c r="AR2477" t="s">
        <v>179</v>
      </c>
      <c r="AS2477">
        <v>0</v>
      </c>
      <c r="AT2477">
        <v>0</v>
      </c>
    </row>
    <row r="2478" spans="1:54" x14ac:dyDescent="0.45">
      <c r="A2478" s="62" t="s">
        <v>892</v>
      </c>
      <c r="B2478" s="62" t="s">
        <v>1185</v>
      </c>
      <c r="C2478" s="63"/>
      <c r="D2478" s="64"/>
      <c r="E2478" s="65"/>
      <c r="F2478" s="66"/>
      <c r="G2478" s="63"/>
      <c r="H2478" s="67"/>
      <c r="I2478" s="68"/>
      <c r="J2478" s="68"/>
      <c r="K2478" s="32"/>
      <c r="L2478" s="75"/>
      <c r="M2478" s="75"/>
      <c r="N2478" s="70"/>
      <c r="O2478" t="s">
        <v>1567</v>
      </c>
      <c r="P2478" s="76">
        <v>44959.077986111108</v>
      </c>
      <c r="Q2478" t="s">
        <v>2055</v>
      </c>
      <c r="V2478" s="77" t="str">
        <f>HYPERLINK("https://pbs.twimg.com/profile_images/1551469824286523393/-sPUTFy4_normal.jpg")</f>
        <v>https://pbs.twimg.com/profile_images/1551469824286523393/-sPUTFy4_normal.jpg</v>
      </c>
      <c r="W2478" s="76">
        <v>44959.077986111108</v>
      </c>
      <c r="X2478" s="80">
        <v>44959</v>
      </c>
      <c r="Y2478" s="78" t="s">
        <v>3153</v>
      </c>
      <c r="Z2478" s="77" t="str">
        <f>HYPERLINK("https://twitter.com/pattyplainjane/status/1620963285880442882")</f>
        <v>https://twitter.com/pattyplainjane/status/1620963285880442882</v>
      </c>
      <c r="AC2478" s="78" t="s">
        <v>4218</v>
      </c>
      <c r="AE2478" t="b">
        <v>0</v>
      </c>
      <c r="AF2478">
        <v>0</v>
      </c>
      <c r="AG2478" s="78" t="s">
        <v>4765</v>
      </c>
      <c r="AH2478" t="b">
        <v>0</v>
      </c>
      <c r="AI2478" t="s">
        <v>4829</v>
      </c>
      <c r="AK2478" s="78" t="s">
        <v>4640</v>
      </c>
      <c r="AL2478" t="b">
        <v>0</v>
      </c>
      <c r="AM2478">
        <v>0</v>
      </c>
      <c r="AN2478" s="78" t="s">
        <v>4640</v>
      </c>
      <c r="AO2478" s="78" t="s">
        <v>4851</v>
      </c>
      <c r="AP2478" t="b">
        <v>0</v>
      </c>
      <c r="AQ2478" s="78" t="s">
        <v>4218</v>
      </c>
      <c r="AR2478" t="s">
        <v>179</v>
      </c>
      <c r="AS2478">
        <v>0</v>
      </c>
      <c r="AT2478">
        <v>0</v>
      </c>
    </row>
    <row r="2479" spans="1:54" x14ac:dyDescent="0.45">
      <c r="A2479" s="62" t="s">
        <v>893</v>
      </c>
      <c r="B2479" s="62" t="s">
        <v>242</v>
      </c>
      <c r="C2479" s="63"/>
      <c r="D2479" s="64"/>
      <c r="E2479" s="65"/>
      <c r="F2479" s="66"/>
      <c r="G2479" s="63"/>
      <c r="H2479" s="67"/>
      <c r="I2479" s="68"/>
      <c r="J2479" s="68"/>
      <c r="K2479" s="32"/>
      <c r="L2479" s="75"/>
      <c r="M2479" s="75"/>
      <c r="N2479" s="70"/>
      <c r="O2479" t="s">
        <v>1567</v>
      </c>
      <c r="P2479" s="76">
        <v>44959.083275462966</v>
      </c>
      <c r="Q2479" t="s">
        <v>2056</v>
      </c>
      <c r="V2479" s="77" t="str">
        <f>HYPERLINK("https://pbs.twimg.com/profile_images/1354557343892033537/TGX-ImIz_normal.jpg")</f>
        <v>https://pbs.twimg.com/profile_images/1354557343892033537/TGX-ImIz_normal.jpg</v>
      </c>
      <c r="W2479" s="76">
        <v>44959.083275462966</v>
      </c>
      <c r="X2479" s="80">
        <v>44959</v>
      </c>
      <c r="Y2479" s="78" t="s">
        <v>3154</v>
      </c>
      <c r="Z2479" s="77" t="str">
        <f>HYPERLINK("https://twitter.com/cornichie/status/1620965203910483969")</f>
        <v>https://twitter.com/cornichie/status/1620965203910483969</v>
      </c>
      <c r="AC2479" s="78" t="s">
        <v>4219</v>
      </c>
      <c r="AE2479" t="b">
        <v>0</v>
      </c>
      <c r="AF2479">
        <v>0</v>
      </c>
      <c r="AG2479" s="78" t="s">
        <v>4639</v>
      </c>
      <c r="AH2479" t="b">
        <v>0</v>
      </c>
      <c r="AI2479" t="s">
        <v>4829</v>
      </c>
      <c r="AK2479" s="78" t="s">
        <v>4640</v>
      </c>
      <c r="AL2479" t="b">
        <v>0</v>
      </c>
      <c r="AM2479">
        <v>0</v>
      </c>
      <c r="AN2479" s="78" t="s">
        <v>4640</v>
      </c>
      <c r="AO2479" s="78" t="s">
        <v>4849</v>
      </c>
      <c r="AP2479" t="b">
        <v>0</v>
      </c>
      <c r="AQ2479" s="78" t="s">
        <v>4219</v>
      </c>
      <c r="AR2479" t="s">
        <v>179</v>
      </c>
      <c r="AS2479">
        <v>0</v>
      </c>
      <c r="AT2479">
        <v>0</v>
      </c>
      <c r="AU2479" t="s">
        <v>4892</v>
      </c>
      <c r="AV2479" t="s">
        <v>4899</v>
      </c>
      <c r="AW2479" t="s">
        <v>4901</v>
      </c>
      <c r="AX2479" t="s">
        <v>4921</v>
      </c>
      <c r="AY2479" t="s">
        <v>4946</v>
      </c>
      <c r="AZ2479" t="s">
        <v>4970</v>
      </c>
      <c r="BA2479" t="s">
        <v>4975</v>
      </c>
      <c r="BB2479" s="77" t="str">
        <f>HYPERLINK("https://api.twitter.com/1.1/geo/id/00430f8519d62c37.json")</f>
        <v>https://api.twitter.com/1.1/geo/id/00430f8519d62c37.json</v>
      </c>
    </row>
    <row r="2480" spans="1:54" x14ac:dyDescent="0.45">
      <c r="A2480" s="62" t="s">
        <v>893</v>
      </c>
      <c r="B2480" s="62" t="s">
        <v>242</v>
      </c>
      <c r="C2480" s="63"/>
      <c r="D2480" s="64"/>
      <c r="E2480" s="65"/>
      <c r="F2480" s="66"/>
      <c r="G2480" s="63"/>
      <c r="H2480" s="67"/>
      <c r="I2480" s="68"/>
      <c r="J2480" s="68"/>
      <c r="K2480" s="32"/>
      <c r="L2480" s="75"/>
      <c r="M2480" s="75"/>
      <c r="N2480" s="70"/>
      <c r="O2480" t="s">
        <v>1567</v>
      </c>
      <c r="P2480" s="76">
        <v>44959.08357638889</v>
      </c>
      <c r="Q2480" t="s">
        <v>2057</v>
      </c>
      <c r="V2480" s="77" t="str">
        <f>HYPERLINK("https://pbs.twimg.com/profile_images/1354557343892033537/TGX-ImIz_normal.jpg")</f>
        <v>https://pbs.twimg.com/profile_images/1354557343892033537/TGX-ImIz_normal.jpg</v>
      </c>
      <c r="W2480" s="76">
        <v>44959.08357638889</v>
      </c>
      <c r="X2480" s="80">
        <v>44959</v>
      </c>
      <c r="Y2480" s="78" t="s">
        <v>3155</v>
      </c>
      <c r="Z2480" s="77" t="str">
        <f>HYPERLINK("https://twitter.com/cornichie/status/1620965313818009600")</f>
        <v>https://twitter.com/cornichie/status/1620965313818009600</v>
      </c>
      <c r="AC2480" s="78" t="s">
        <v>4220</v>
      </c>
      <c r="AE2480" t="b">
        <v>0</v>
      </c>
      <c r="AF2480">
        <v>0</v>
      </c>
      <c r="AG2480" s="78" t="s">
        <v>4639</v>
      </c>
      <c r="AH2480" t="b">
        <v>0</v>
      </c>
      <c r="AI2480" t="s">
        <v>4829</v>
      </c>
      <c r="AK2480" s="78" t="s">
        <v>4640</v>
      </c>
      <c r="AL2480" t="b">
        <v>0</v>
      </c>
      <c r="AM2480">
        <v>0</v>
      </c>
      <c r="AN2480" s="78" t="s">
        <v>4640</v>
      </c>
      <c r="AO2480" s="78" t="s">
        <v>4849</v>
      </c>
      <c r="AP2480" t="b">
        <v>0</v>
      </c>
      <c r="AQ2480" s="78" t="s">
        <v>4220</v>
      </c>
      <c r="AR2480" t="s">
        <v>179</v>
      </c>
      <c r="AS2480">
        <v>0</v>
      </c>
      <c r="AT2480">
        <v>0</v>
      </c>
      <c r="AU2480" t="s">
        <v>4892</v>
      </c>
      <c r="AV2480" t="s">
        <v>4899</v>
      </c>
      <c r="AW2480" t="s">
        <v>4901</v>
      </c>
      <c r="AX2480" t="s">
        <v>4921</v>
      </c>
      <c r="AY2480" t="s">
        <v>4946</v>
      </c>
      <c r="AZ2480" t="s">
        <v>4970</v>
      </c>
      <c r="BA2480" t="s">
        <v>4975</v>
      </c>
      <c r="BB2480" s="77" t="str">
        <f>HYPERLINK("https://api.twitter.com/1.1/geo/id/00430f8519d62c37.json")</f>
        <v>https://api.twitter.com/1.1/geo/id/00430f8519d62c37.json</v>
      </c>
    </row>
    <row r="2481" spans="1:46" x14ac:dyDescent="0.45">
      <c r="A2481" s="62" t="s">
        <v>894</v>
      </c>
      <c r="B2481" s="62" t="s">
        <v>1230</v>
      </c>
      <c r="C2481" s="63"/>
      <c r="D2481" s="64"/>
      <c r="E2481" s="65"/>
      <c r="F2481" s="66"/>
      <c r="G2481" s="63"/>
      <c r="H2481" s="67"/>
      <c r="I2481" s="68"/>
      <c r="J2481" s="68"/>
      <c r="K2481" s="32"/>
      <c r="L2481" s="75"/>
      <c r="M2481" s="75"/>
      <c r="N2481" s="70"/>
      <c r="O2481" t="s">
        <v>1570</v>
      </c>
      <c r="P2481" s="76">
        <v>44959.08421296296</v>
      </c>
      <c r="Q2481" t="s">
        <v>1693</v>
      </c>
      <c r="V2481" s="77" t="str">
        <f>HYPERLINK("https://pbs.twimg.com/profile_images/1583538127230144512/YX1V1idT_normal.jpg")</f>
        <v>https://pbs.twimg.com/profile_images/1583538127230144512/YX1V1idT_normal.jpg</v>
      </c>
      <c r="W2481" s="76">
        <v>44959.08421296296</v>
      </c>
      <c r="X2481" s="80">
        <v>44959</v>
      </c>
      <c r="Y2481" s="78" t="s">
        <v>3156</v>
      </c>
      <c r="Z2481" s="77" t="str">
        <f>HYPERLINK("https://twitter.com/illiano938/status/1620965544089501696")</f>
        <v>https://twitter.com/illiano938/status/1620965544089501696</v>
      </c>
      <c r="AC2481" s="78" t="s">
        <v>4221</v>
      </c>
      <c r="AE2481" t="b">
        <v>0</v>
      </c>
      <c r="AF2481">
        <v>0</v>
      </c>
      <c r="AG2481" s="78" t="s">
        <v>4640</v>
      </c>
      <c r="AH2481" t="b">
        <v>0</v>
      </c>
      <c r="AI2481" t="s">
        <v>4829</v>
      </c>
      <c r="AK2481" s="78" t="s">
        <v>4640</v>
      </c>
      <c r="AL2481" t="b">
        <v>0</v>
      </c>
      <c r="AM2481">
        <v>162</v>
      </c>
      <c r="AN2481" s="78" t="s">
        <v>4473</v>
      </c>
      <c r="AO2481" s="78" t="s">
        <v>4849</v>
      </c>
      <c r="AP2481" t="b">
        <v>0</v>
      </c>
      <c r="AQ2481" s="78" t="s">
        <v>4473</v>
      </c>
      <c r="AR2481" t="s">
        <v>179</v>
      </c>
      <c r="AS2481">
        <v>0</v>
      </c>
      <c r="AT2481">
        <v>0</v>
      </c>
    </row>
    <row r="2482" spans="1:46" x14ac:dyDescent="0.45">
      <c r="A2482" s="62" t="s">
        <v>894</v>
      </c>
      <c r="B2482" s="62" t="s">
        <v>242</v>
      </c>
      <c r="C2482" s="63"/>
      <c r="D2482" s="64"/>
      <c r="E2482" s="65"/>
      <c r="F2482" s="66"/>
      <c r="G2482" s="63"/>
      <c r="H2482" s="67"/>
      <c r="I2482" s="68"/>
      <c r="J2482" s="68"/>
      <c r="K2482" s="32"/>
      <c r="L2482" s="75"/>
      <c r="M2482" s="75"/>
      <c r="N2482" s="70"/>
      <c r="O2482" t="s">
        <v>1569</v>
      </c>
      <c r="P2482" s="76">
        <v>44959.08421296296</v>
      </c>
      <c r="Q2482" t="s">
        <v>1693</v>
      </c>
      <c r="V2482" s="77" t="str">
        <f>HYPERLINK("https://pbs.twimg.com/profile_images/1583538127230144512/YX1V1idT_normal.jpg")</f>
        <v>https://pbs.twimg.com/profile_images/1583538127230144512/YX1V1idT_normal.jpg</v>
      </c>
      <c r="W2482" s="76">
        <v>44959.08421296296</v>
      </c>
      <c r="X2482" s="80">
        <v>44959</v>
      </c>
      <c r="Y2482" s="78" t="s">
        <v>3156</v>
      </c>
      <c r="Z2482" s="77" t="str">
        <f>HYPERLINK("https://twitter.com/illiano938/status/1620965544089501696")</f>
        <v>https://twitter.com/illiano938/status/1620965544089501696</v>
      </c>
      <c r="AC2482" s="78" t="s">
        <v>4221</v>
      </c>
      <c r="AE2482" t="b">
        <v>0</v>
      </c>
      <c r="AF2482">
        <v>0</v>
      </c>
      <c r="AG2482" s="78" t="s">
        <v>4640</v>
      </c>
      <c r="AH2482" t="b">
        <v>0</v>
      </c>
      <c r="AI2482" t="s">
        <v>4829</v>
      </c>
      <c r="AK2482" s="78" t="s">
        <v>4640</v>
      </c>
      <c r="AL2482" t="b">
        <v>0</v>
      </c>
      <c r="AM2482">
        <v>162</v>
      </c>
      <c r="AN2482" s="78" t="s">
        <v>4473</v>
      </c>
      <c r="AO2482" s="78" t="s">
        <v>4849</v>
      </c>
      <c r="AP2482" t="b">
        <v>0</v>
      </c>
      <c r="AQ2482" s="78" t="s">
        <v>4473</v>
      </c>
      <c r="AR2482" t="s">
        <v>179</v>
      </c>
      <c r="AS2482">
        <v>0</v>
      </c>
      <c r="AT2482">
        <v>0</v>
      </c>
    </row>
    <row r="2483" spans="1:46" x14ac:dyDescent="0.45">
      <c r="A2483" s="62" t="s">
        <v>895</v>
      </c>
      <c r="B2483" s="62" t="s">
        <v>1421</v>
      </c>
      <c r="C2483" s="63"/>
      <c r="D2483" s="64"/>
      <c r="E2483" s="65"/>
      <c r="F2483" s="66"/>
      <c r="G2483" s="63"/>
      <c r="H2483" s="67"/>
      <c r="I2483" s="68"/>
      <c r="J2483" s="68"/>
      <c r="K2483" s="32"/>
      <c r="L2483" s="75"/>
      <c r="M2483" s="75"/>
      <c r="N2483" s="70"/>
      <c r="O2483" t="s">
        <v>1568</v>
      </c>
      <c r="P2483" s="76">
        <v>44959.088148148148</v>
      </c>
      <c r="Q2483" t="s">
        <v>2058</v>
      </c>
      <c r="V2483" s="77" t="str">
        <f>HYPERLINK("https://pbs.twimg.com/profile_images/1653190419/David_and_Verletta_-_Copy_normal.jpg")</f>
        <v>https://pbs.twimg.com/profile_images/1653190419/David_and_Verletta_-_Copy_normal.jpg</v>
      </c>
      <c r="W2483" s="76">
        <v>44959.088148148148</v>
      </c>
      <c r="X2483" s="80">
        <v>44959</v>
      </c>
      <c r="Y2483" s="78" t="s">
        <v>3157</v>
      </c>
      <c r="Z2483" s="77" t="str">
        <f>HYPERLINK("https://twitter.com/d1v3dd/status/1620966970622459906")</f>
        <v>https://twitter.com/d1v3dd/status/1620966970622459906</v>
      </c>
      <c r="AC2483" s="78" t="s">
        <v>4222</v>
      </c>
      <c r="AE2483" t="b">
        <v>0</v>
      </c>
      <c r="AF2483">
        <v>0</v>
      </c>
      <c r="AG2483" s="78" t="s">
        <v>4640</v>
      </c>
      <c r="AH2483" t="b">
        <v>0</v>
      </c>
      <c r="AI2483" t="s">
        <v>4829</v>
      </c>
      <c r="AK2483" s="78" t="s">
        <v>4640</v>
      </c>
      <c r="AL2483" t="b">
        <v>0</v>
      </c>
      <c r="AM2483">
        <v>0</v>
      </c>
      <c r="AN2483" s="78" t="s">
        <v>4640</v>
      </c>
      <c r="AO2483" s="78" t="s">
        <v>4851</v>
      </c>
      <c r="AP2483" t="b">
        <v>0</v>
      </c>
      <c r="AQ2483" s="78" t="s">
        <v>4222</v>
      </c>
      <c r="AR2483" t="s">
        <v>179</v>
      </c>
      <c r="AS2483">
        <v>0</v>
      </c>
      <c r="AT2483">
        <v>0</v>
      </c>
    </row>
    <row r="2484" spans="1:46" x14ac:dyDescent="0.45">
      <c r="A2484" s="62" t="s">
        <v>895</v>
      </c>
      <c r="B2484" s="62" t="s">
        <v>1422</v>
      </c>
      <c r="C2484" s="63"/>
      <c r="D2484" s="64"/>
      <c r="E2484" s="65"/>
      <c r="F2484" s="66"/>
      <c r="G2484" s="63"/>
      <c r="H2484" s="67"/>
      <c r="I2484" s="68"/>
      <c r="J2484" s="68"/>
      <c r="K2484" s="32"/>
      <c r="L2484" s="75"/>
      <c r="M2484" s="75"/>
      <c r="N2484" s="70"/>
      <c r="O2484" t="s">
        <v>1568</v>
      </c>
      <c r="P2484" s="76">
        <v>44959.088148148148</v>
      </c>
      <c r="Q2484" t="s">
        <v>2058</v>
      </c>
      <c r="V2484" s="77" t="str">
        <f>HYPERLINK("https://pbs.twimg.com/profile_images/1653190419/David_and_Verletta_-_Copy_normal.jpg")</f>
        <v>https://pbs.twimg.com/profile_images/1653190419/David_and_Verletta_-_Copy_normal.jpg</v>
      </c>
      <c r="W2484" s="76">
        <v>44959.088148148148</v>
      </c>
      <c r="X2484" s="80">
        <v>44959</v>
      </c>
      <c r="Y2484" s="78" t="s">
        <v>3157</v>
      </c>
      <c r="Z2484" s="77" t="str">
        <f>HYPERLINK("https://twitter.com/d1v3dd/status/1620966970622459906")</f>
        <v>https://twitter.com/d1v3dd/status/1620966970622459906</v>
      </c>
      <c r="AC2484" s="78" t="s">
        <v>4222</v>
      </c>
      <c r="AE2484" t="b">
        <v>0</v>
      </c>
      <c r="AF2484">
        <v>0</v>
      </c>
      <c r="AG2484" s="78" t="s">
        <v>4640</v>
      </c>
      <c r="AH2484" t="b">
        <v>0</v>
      </c>
      <c r="AI2484" t="s">
        <v>4829</v>
      </c>
      <c r="AK2484" s="78" t="s">
        <v>4640</v>
      </c>
      <c r="AL2484" t="b">
        <v>0</v>
      </c>
      <c r="AM2484">
        <v>0</v>
      </c>
      <c r="AN2484" s="78" t="s">
        <v>4640</v>
      </c>
      <c r="AO2484" s="78" t="s">
        <v>4851</v>
      </c>
      <c r="AP2484" t="b">
        <v>0</v>
      </c>
      <c r="AQ2484" s="78" t="s">
        <v>4222</v>
      </c>
      <c r="AR2484" t="s">
        <v>179</v>
      </c>
      <c r="AS2484">
        <v>0</v>
      </c>
      <c r="AT2484">
        <v>0</v>
      </c>
    </row>
    <row r="2485" spans="1:46" x14ac:dyDescent="0.45">
      <c r="A2485" s="62" t="s">
        <v>895</v>
      </c>
      <c r="B2485" s="62" t="s">
        <v>242</v>
      </c>
      <c r="C2485" s="63"/>
      <c r="D2485" s="64"/>
      <c r="E2485" s="65"/>
      <c r="F2485" s="66"/>
      <c r="G2485" s="63"/>
      <c r="H2485" s="67"/>
      <c r="I2485" s="68"/>
      <c r="J2485" s="68"/>
      <c r="K2485" s="32"/>
      <c r="L2485" s="75"/>
      <c r="M2485" s="75"/>
      <c r="N2485" s="70"/>
      <c r="O2485" t="s">
        <v>1568</v>
      </c>
      <c r="P2485" s="76">
        <v>44959.088148148148</v>
      </c>
      <c r="Q2485" t="s">
        <v>2058</v>
      </c>
      <c r="V2485" s="77" t="str">
        <f>HYPERLINK("https://pbs.twimg.com/profile_images/1653190419/David_and_Verletta_-_Copy_normal.jpg")</f>
        <v>https://pbs.twimg.com/profile_images/1653190419/David_and_Verletta_-_Copy_normal.jpg</v>
      </c>
      <c r="W2485" s="76">
        <v>44959.088148148148</v>
      </c>
      <c r="X2485" s="80">
        <v>44959</v>
      </c>
      <c r="Y2485" s="78" t="s">
        <v>3157</v>
      </c>
      <c r="Z2485" s="77" t="str">
        <f>HYPERLINK("https://twitter.com/d1v3dd/status/1620966970622459906")</f>
        <v>https://twitter.com/d1v3dd/status/1620966970622459906</v>
      </c>
      <c r="AC2485" s="78" t="s">
        <v>4222</v>
      </c>
      <c r="AE2485" t="b">
        <v>0</v>
      </c>
      <c r="AF2485">
        <v>0</v>
      </c>
      <c r="AG2485" s="78" t="s">
        <v>4640</v>
      </c>
      <c r="AH2485" t="b">
        <v>0</v>
      </c>
      <c r="AI2485" t="s">
        <v>4829</v>
      </c>
      <c r="AK2485" s="78" t="s">
        <v>4640</v>
      </c>
      <c r="AL2485" t="b">
        <v>0</v>
      </c>
      <c r="AM2485">
        <v>0</v>
      </c>
      <c r="AN2485" s="78" t="s">
        <v>4640</v>
      </c>
      <c r="AO2485" s="78" t="s">
        <v>4851</v>
      </c>
      <c r="AP2485" t="b">
        <v>0</v>
      </c>
      <c r="AQ2485" s="78" t="s">
        <v>4222</v>
      </c>
      <c r="AR2485" t="s">
        <v>179</v>
      </c>
      <c r="AS2485">
        <v>0</v>
      </c>
      <c r="AT2485">
        <v>0</v>
      </c>
    </row>
    <row r="2486" spans="1:46" x14ac:dyDescent="0.45">
      <c r="A2486" s="62" t="s">
        <v>896</v>
      </c>
      <c r="B2486" s="62" t="s">
        <v>1423</v>
      </c>
      <c r="C2486" s="63"/>
      <c r="D2486" s="64"/>
      <c r="E2486" s="65"/>
      <c r="F2486" s="66"/>
      <c r="G2486" s="63"/>
      <c r="H2486" s="67"/>
      <c r="I2486" s="68"/>
      <c r="J2486" s="68"/>
      <c r="K2486" s="32"/>
      <c r="L2486" s="75"/>
      <c r="M2486" s="75"/>
      <c r="N2486" s="70"/>
      <c r="O2486" t="s">
        <v>1567</v>
      </c>
      <c r="P2486" s="76">
        <v>44959.088333333333</v>
      </c>
      <c r="Q2486" t="s">
        <v>2059</v>
      </c>
      <c r="V2486" s="77" t="str">
        <f>HYPERLINK("https://pbs.twimg.com/profile_images/1157721285297881089/CNY5sAEG_normal.jpg")</f>
        <v>https://pbs.twimg.com/profile_images/1157721285297881089/CNY5sAEG_normal.jpg</v>
      </c>
      <c r="W2486" s="76">
        <v>44959.088333333333</v>
      </c>
      <c r="X2486" s="80">
        <v>44959</v>
      </c>
      <c r="Y2486" s="78" t="s">
        <v>3158</v>
      </c>
      <c r="Z2486" s="77" t="str">
        <f>HYPERLINK("https://twitter.com/earwaxcandy/status/1620967038528233472")</f>
        <v>https://twitter.com/earwaxcandy/status/1620967038528233472</v>
      </c>
      <c r="AC2486" s="78" t="s">
        <v>4223</v>
      </c>
      <c r="AD2486" s="78" t="s">
        <v>4593</v>
      </c>
      <c r="AE2486" t="b">
        <v>0</v>
      </c>
      <c r="AF2486">
        <v>0</v>
      </c>
      <c r="AG2486" s="78" t="s">
        <v>4766</v>
      </c>
      <c r="AH2486" t="b">
        <v>0</v>
      </c>
      <c r="AI2486" t="s">
        <v>4829</v>
      </c>
      <c r="AK2486" s="78" t="s">
        <v>4640</v>
      </c>
      <c r="AL2486" t="b">
        <v>0</v>
      </c>
      <c r="AM2486">
        <v>0</v>
      </c>
      <c r="AN2486" s="78" t="s">
        <v>4640</v>
      </c>
      <c r="AO2486" s="78" t="s">
        <v>4850</v>
      </c>
      <c r="AP2486" t="b">
        <v>0</v>
      </c>
      <c r="AQ2486" s="78" t="s">
        <v>4593</v>
      </c>
      <c r="AR2486" t="s">
        <v>179</v>
      </c>
      <c r="AS2486">
        <v>0</v>
      </c>
      <c r="AT2486">
        <v>0</v>
      </c>
    </row>
    <row r="2487" spans="1:46" x14ac:dyDescent="0.45">
      <c r="A2487" s="62" t="s">
        <v>896</v>
      </c>
      <c r="B2487" s="62" t="s">
        <v>242</v>
      </c>
      <c r="C2487" s="63"/>
      <c r="D2487" s="64"/>
      <c r="E2487" s="65"/>
      <c r="F2487" s="66"/>
      <c r="G2487" s="63"/>
      <c r="H2487" s="67"/>
      <c r="I2487" s="68"/>
      <c r="J2487" s="68"/>
      <c r="K2487" s="32"/>
      <c r="L2487" s="75"/>
      <c r="M2487" s="75"/>
      <c r="N2487" s="70"/>
      <c r="O2487" t="s">
        <v>1568</v>
      </c>
      <c r="P2487" s="76">
        <v>44959.088333333333</v>
      </c>
      <c r="Q2487" t="s">
        <v>2059</v>
      </c>
      <c r="V2487" s="77" t="str">
        <f>HYPERLINK("https://pbs.twimg.com/profile_images/1157721285297881089/CNY5sAEG_normal.jpg")</f>
        <v>https://pbs.twimg.com/profile_images/1157721285297881089/CNY5sAEG_normal.jpg</v>
      </c>
      <c r="W2487" s="76">
        <v>44959.088333333333</v>
      </c>
      <c r="X2487" s="80">
        <v>44959</v>
      </c>
      <c r="Y2487" s="78" t="s">
        <v>3158</v>
      </c>
      <c r="Z2487" s="77" t="str">
        <f>HYPERLINK("https://twitter.com/earwaxcandy/status/1620967038528233472")</f>
        <v>https://twitter.com/earwaxcandy/status/1620967038528233472</v>
      </c>
      <c r="AC2487" s="78" t="s">
        <v>4223</v>
      </c>
      <c r="AD2487" s="78" t="s">
        <v>4593</v>
      </c>
      <c r="AE2487" t="b">
        <v>0</v>
      </c>
      <c r="AF2487">
        <v>0</v>
      </c>
      <c r="AG2487" s="78" t="s">
        <v>4766</v>
      </c>
      <c r="AH2487" t="b">
        <v>0</v>
      </c>
      <c r="AI2487" t="s">
        <v>4829</v>
      </c>
      <c r="AK2487" s="78" t="s">
        <v>4640</v>
      </c>
      <c r="AL2487" t="b">
        <v>0</v>
      </c>
      <c r="AM2487">
        <v>0</v>
      </c>
      <c r="AN2487" s="78" t="s">
        <v>4640</v>
      </c>
      <c r="AO2487" s="78" t="s">
        <v>4850</v>
      </c>
      <c r="AP2487" t="b">
        <v>0</v>
      </c>
      <c r="AQ2487" s="78" t="s">
        <v>4593</v>
      </c>
      <c r="AR2487" t="s">
        <v>179</v>
      </c>
      <c r="AS2487">
        <v>0</v>
      </c>
      <c r="AT2487">
        <v>0</v>
      </c>
    </row>
    <row r="2488" spans="1:46" x14ac:dyDescent="0.45">
      <c r="A2488" s="62" t="s">
        <v>896</v>
      </c>
      <c r="B2488" s="62" t="s">
        <v>1424</v>
      </c>
      <c r="C2488" s="63"/>
      <c r="D2488" s="64"/>
      <c r="E2488" s="65"/>
      <c r="F2488" s="66"/>
      <c r="G2488" s="63"/>
      <c r="H2488" s="67"/>
      <c r="I2488" s="68"/>
      <c r="J2488" s="68"/>
      <c r="K2488" s="32"/>
      <c r="L2488" s="75"/>
      <c r="M2488" s="75"/>
      <c r="N2488" s="70"/>
      <c r="O2488" t="s">
        <v>1568</v>
      </c>
      <c r="P2488" s="76">
        <v>44959.088333333333</v>
      </c>
      <c r="Q2488" t="s">
        <v>2059</v>
      </c>
      <c r="V2488" s="77" t="str">
        <f>HYPERLINK("https://pbs.twimg.com/profile_images/1157721285297881089/CNY5sAEG_normal.jpg")</f>
        <v>https://pbs.twimg.com/profile_images/1157721285297881089/CNY5sAEG_normal.jpg</v>
      </c>
      <c r="W2488" s="76">
        <v>44959.088333333333</v>
      </c>
      <c r="X2488" s="80">
        <v>44959</v>
      </c>
      <c r="Y2488" s="78" t="s">
        <v>3158</v>
      </c>
      <c r="Z2488" s="77" t="str">
        <f>HYPERLINK("https://twitter.com/earwaxcandy/status/1620967038528233472")</f>
        <v>https://twitter.com/earwaxcandy/status/1620967038528233472</v>
      </c>
      <c r="AC2488" s="78" t="s">
        <v>4223</v>
      </c>
      <c r="AD2488" s="78" t="s">
        <v>4593</v>
      </c>
      <c r="AE2488" t="b">
        <v>0</v>
      </c>
      <c r="AF2488">
        <v>0</v>
      </c>
      <c r="AG2488" s="78" t="s">
        <v>4766</v>
      </c>
      <c r="AH2488" t="b">
        <v>0</v>
      </c>
      <c r="AI2488" t="s">
        <v>4829</v>
      </c>
      <c r="AK2488" s="78" t="s">
        <v>4640</v>
      </c>
      <c r="AL2488" t="b">
        <v>0</v>
      </c>
      <c r="AM2488">
        <v>0</v>
      </c>
      <c r="AN2488" s="78" t="s">
        <v>4640</v>
      </c>
      <c r="AO2488" s="78" t="s">
        <v>4850</v>
      </c>
      <c r="AP2488" t="b">
        <v>0</v>
      </c>
      <c r="AQ2488" s="78" t="s">
        <v>4593</v>
      </c>
      <c r="AR2488" t="s">
        <v>179</v>
      </c>
      <c r="AS2488">
        <v>0</v>
      </c>
      <c r="AT2488">
        <v>0</v>
      </c>
    </row>
    <row r="2489" spans="1:46" x14ac:dyDescent="0.45">
      <c r="A2489" s="62" t="s">
        <v>900</v>
      </c>
      <c r="B2489" s="62" t="s">
        <v>242</v>
      </c>
      <c r="C2489" s="63"/>
      <c r="D2489" s="64"/>
      <c r="E2489" s="65"/>
      <c r="F2489" s="66"/>
      <c r="G2489" s="63"/>
      <c r="H2489" s="67"/>
      <c r="I2489" s="68"/>
      <c r="J2489" s="68"/>
      <c r="K2489" s="32"/>
      <c r="L2489" s="75"/>
      <c r="M2489" s="75"/>
      <c r="N2489" s="70"/>
      <c r="O2489" t="s">
        <v>1570</v>
      </c>
      <c r="P2489" s="76">
        <v>44958.988333333335</v>
      </c>
      <c r="Q2489" t="s">
        <v>2061</v>
      </c>
      <c r="U2489" s="77" t="str">
        <f>HYPERLINK("https://pbs.twimg.com/media/Fn6qvSzaMAA6y2k.jpg")</f>
        <v>https://pbs.twimg.com/media/Fn6qvSzaMAA6y2k.jpg</v>
      </c>
      <c r="V2489" s="77" t="str">
        <f>HYPERLINK("https://pbs.twimg.com/media/Fn6qvSzaMAA6y2k.jpg")</f>
        <v>https://pbs.twimg.com/media/Fn6qvSzaMAA6y2k.jpg</v>
      </c>
      <c r="W2489" s="76">
        <v>44958.988333333335</v>
      </c>
      <c r="X2489" s="80">
        <v>44958</v>
      </c>
      <c r="Y2489" s="78" t="s">
        <v>3163</v>
      </c>
      <c r="Z2489" s="77" t="str">
        <f>HYPERLINK("https://twitter.com/o_aidee/status/1620930799229976576")</f>
        <v>https://twitter.com/o_aidee/status/1620930799229976576</v>
      </c>
      <c r="AC2489" s="78" t="s">
        <v>4228</v>
      </c>
      <c r="AE2489" t="b">
        <v>0</v>
      </c>
      <c r="AF2489">
        <v>0</v>
      </c>
      <c r="AG2489" s="78" t="s">
        <v>4640</v>
      </c>
      <c r="AH2489" t="b">
        <v>0</v>
      </c>
      <c r="AI2489" t="s">
        <v>4829</v>
      </c>
      <c r="AK2489" s="78" t="s">
        <v>4640</v>
      </c>
      <c r="AL2489" t="b">
        <v>0</v>
      </c>
      <c r="AM2489">
        <v>2</v>
      </c>
      <c r="AN2489" s="78" t="s">
        <v>4248</v>
      </c>
      <c r="AO2489" s="78" t="s">
        <v>4851</v>
      </c>
      <c r="AP2489" t="b">
        <v>0</v>
      </c>
      <c r="AQ2489" s="78" t="s">
        <v>4248</v>
      </c>
      <c r="AR2489" t="s">
        <v>179</v>
      </c>
      <c r="AS2489">
        <v>0</v>
      </c>
      <c r="AT2489">
        <v>0</v>
      </c>
    </row>
    <row r="2490" spans="1:46" x14ac:dyDescent="0.45">
      <c r="A2490" s="62" t="s">
        <v>900</v>
      </c>
      <c r="B2490" s="62" t="s">
        <v>918</v>
      </c>
      <c r="C2490" s="63"/>
      <c r="D2490" s="64"/>
      <c r="E2490" s="65"/>
      <c r="F2490" s="66"/>
      <c r="G2490" s="63"/>
      <c r="H2490" s="67"/>
      <c r="I2490" s="68"/>
      <c r="J2490" s="68"/>
      <c r="K2490" s="32"/>
      <c r="L2490" s="75"/>
      <c r="M2490" s="75"/>
      <c r="N2490" s="70"/>
      <c r="O2490" t="s">
        <v>1569</v>
      </c>
      <c r="P2490" s="76">
        <v>44958.988333333335</v>
      </c>
      <c r="Q2490" t="s">
        <v>2061</v>
      </c>
      <c r="U2490" s="77" t="str">
        <f>HYPERLINK("https://pbs.twimg.com/media/Fn6qvSzaMAA6y2k.jpg")</f>
        <v>https://pbs.twimg.com/media/Fn6qvSzaMAA6y2k.jpg</v>
      </c>
      <c r="V2490" s="77" t="str">
        <f>HYPERLINK("https://pbs.twimg.com/media/Fn6qvSzaMAA6y2k.jpg")</f>
        <v>https://pbs.twimg.com/media/Fn6qvSzaMAA6y2k.jpg</v>
      </c>
      <c r="W2490" s="76">
        <v>44958.988333333335</v>
      </c>
      <c r="X2490" s="80">
        <v>44958</v>
      </c>
      <c r="Y2490" s="78" t="s">
        <v>3163</v>
      </c>
      <c r="Z2490" s="77" t="str">
        <f>HYPERLINK("https://twitter.com/o_aidee/status/1620930799229976576")</f>
        <v>https://twitter.com/o_aidee/status/1620930799229976576</v>
      </c>
      <c r="AC2490" s="78" t="s">
        <v>4228</v>
      </c>
      <c r="AE2490" t="b">
        <v>0</v>
      </c>
      <c r="AF2490">
        <v>0</v>
      </c>
      <c r="AG2490" s="78" t="s">
        <v>4640</v>
      </c>
      <c r="AH2490" t="b">
        <v>0</v>
      </c>
      <c r="AI2490" t="s">
        <v>4829</v>
      </c>
      <c r="AK2490" s="78" t="s">
        <v>4640</v>
      </c>
      <c r="AL2490" t="b">
        <v>0</v>
      </c>
      <c r="AM2490">
        <v>2</v>
      </c>
      <c r="AN2490" s="78" t="s">
        <v>4248</v>
      </c>
      <c r="AO2490" s="78" t="s">
        <v>4851</v>
      </c>
      <c r="AP2490" t="b">
        <v>0</v>
      </c>
      <c r="AQ2490" s="78" t="s">
        <v>4248</v>
      </c>
      <c r="AR2490" t="s">
        <v>179</v>
      </c>
      <c r="AS2490">
        <v>0</v>
      </c>
      <c r="AT2490">
        <v>0</v>
      </c>
    </row>
    <row r="2491" spans="1:46" x14ac:dyDescent="0.45">
      <c r="A2491" s="62" t="s">
        <v>903</v>
      </c>
      <c r="B2491" s="62" t="s">
        <v>1230</v>
      </c>
      <c r="C2491" s="63"/>
      <c r="D2491" s="64"/>
      <c r="E2491" s="65"/>
      <c r="F2491" s="66"/>
      <c r="G2491" s="63"/>
      <c r="H2491" s="67"/>
      <c r="I2491" s="68"/>
      <c r="J2491" s="68"/>
      <c r="K2491" s="32"/>
      <c r="L2491" s="75"/>
      <c r="M2491" s="75"/>
      <c r="N2491" s="70"/>
      <c r="O2491" t="s">
        <v>1570</v>
      </c>
      <c r="P2491" s="76">
        <v>44959.090046296296</v>
      </c>
      <c r="Q2491" t="s">
        <v>1693</v>
      </c>
      <c r="V2491" s="77" t="str">
        <f>HYPERLINK("https://pbs.twimg.com/profile_images/1607756625590231040/Bg7bUaWx_normal.jpg")</f>
        <v>https://pbs.twimg.com/profile_images/1607756625590231040/Bg7bUaWx_normal.jpg</v>
      </c>
      <c r="W2491" s="76">
        <v>44959.090046296296</v>
      </c>
      <c r="X2491" s="80">
        <v>44959</v>
      </c>
      <c r="Y2491" s="78" t="s">
        <v>3166</v>
      </c>
      <c r="Z2491" s="77" t="str">
        <f>HYPERLINK("https://twitter.com/anabm9anabm10/status/1620967656282279938")</f>
        <v>https://twitter.com/anabm9anabm10/status/1620967656282279938</v>
      </c>
      <c r="AC2491" s="78" t="s">
        <v>4231</v>
      </c>
      <c r="AE2491" t="b">
        <v>0</v>
      </c>
      <c r="AF2491">
        <v>0</v>
      </c>
      <c r="AG2491" s="78" t="s">
        <v>4640</v>
      </c>
      <c r="AH2491" t="b">
        <v>0</v>
      </c>
      <c r="AI2491" t="s">
        <v>4829</v>
      </c>
      <c r="AK2491" s="78" t="s">
        <v>4640</v>
      </c>
      <c r="AL2491" t="b">
        <v>0</v>
      </c>
      <c r="AM2491">
        <v>162</v>
      </c>
      <c r="AN2491" s="78" t="s">
        <v>4473</v>
      </c>
      <c r="AO2491" s="78" t="s">
        <v>4849</v>
      </c>
      <c r="AP2491" t="b">
        <v>0</v>
      </c>
      <c r="AQ2491" s="78" t="s">
        <v>4473</v>
      </c>
      <c r="AR2491" t="s">
        <v>179</v>
      </c>
      <c r="AS2491">
        <v>0</v>
      </c>
      <c r="AT2491">
        <v>0</v>
      </c>
    </row>
    <row r="2492" spans="1:46" x14ac:dyDescent="0.45">
      <c r="A2492" s="62" t="s">
        <v>903</v>
      </c>
      <c r="B2492" s="62" t="s">
        <v>242</v>
      </c>
      <c r="C2492" s="63"/>
      <c r="D2492" s="64"/>
      <c r="E2492" s="65"/>
      <c r="F2492" s="66"/>
      <c r="G2492" s="63"/>
      <c r="H2492" s="67"/>
      <c r="I2492" s="68"/>
      <c r="J2492" s="68"/>
      <c r="K2492" s="32"/>
      <c r="L2492" s="75"/>
      <c r="M2492" s="75"/>
      <c r="N2492" s="70"/>
      <c r="O2492" t="s">
        <v>1569</v>
      </c>
      <c r="P2492" s="76">
        <v>44959.090046296296</v>
      </c>
      <c r="Q2492" t="s">
        <v>1693</v>
      </c>
      <c r="V2492" s="77" t="str">
        <f>HYPERLINK("https://pbs.twimg.com/profile_images/1607756625590231040/Bg7bUaWx_normal.jpg")</f>
        <v>https://pbs.twimg.com/profile_images/1607756625590231040/Bg7bUaWx_normal.jpg</v>
      </c>
      <c r="W2492" s="76">
        <v>44959.090046296296</v>
      </c>
      <c r="X2492" s="80">
        <v>44959</v>
      </c>
      <c r="Y2492" s="78" t="s">
        <v>3166</v>
      </c>
      <c r="Z2492" s="77" t="str">
        <f>HYPERLINK("https://twitter.com/anabm9anabm10/status/1620967656282279938")</f>
        <v>https://twitter.com/anabm9anabm10/status/1620967656282279938</v>
      </c>
      <c r="AC2492" s="78" t="s">
        <v>4231</v>
      </c>
      <c r="AE2492" t="b">
        <v>0</v>
      </c>
      <c r="AF2492">
        <v>0</v>
      </c>
      <c r="AG2492" s="78" t="s">
        <v>4640</v>
      </c>
      <c r="AH2492" t="b">
        <v>0</v>
      </c>
      <c r="AI2492" t="s">
        <v>4829</v>
      </c>
      <c r="AK2492" s="78" t="s">
        <v>4640</v>
      </c>
      <c r="AL2492" t="b">
        <v>0</v>
      </c>
      <c r="AM2492">
        <v>162</v>
      </c>
      <c r="AN2492" s="78" t="s">
        <v>4473</v>
      </c>
      <c r="AO2492" s="78" t="s">
        <v>4849</v>
      </c>
      <c r="AP2492" t="b">
        <v>0</v>
      </c>
      <c r="AQ2492" s="78" t="s">
        <v>4473</v>
      </c>
      <c r="AR2492" t="s">
        <v>179</v>
      </c>
      <c r="AS2492">
        <v>0</v>
      </c>
      <c r="AT2492">
        <v>0</v>
      </c>
    </row>
    <row r="2493" spans="1:46" x14ac:dyDescent="0.45">
      <c r="A2493" s="62" t="s">
        <v>906</v>
      </c>
      <c r="B2493" s="62" t="s">
        <v>1427</v>
      </c>
      <c r="C2493" s="63"/>
      <c r="D2493" s="64"/>
      <c r="E2493" s="65"/>
      <c r="F2493" s="66"/>
      <c r="G2493" s="63"/>
      <c r="H2493" s="67"/>
      <c r="I2493" s="68"/>
      <c r="J2493" s="68"/>
      <c r="K2493" s="32"/>
      <c r="L2493" s="75"/>
      <c r="M2493" s="75"/>
      <c r="N2493" s="70"/>
      <c r="O2493" t="s">
        <v>1568</v>
      </c>
      <c r="P2493" s="76">
        <v>44959.092881944445</v>
      </c>
      <c r="Q2493" t="s">
        <v>2064</v>
      </c>
      <c r="U2493" s="77" t="str">
        <f>HYPERLINK("https://pbs.twimg.com/media/Fn7WbRUXkAA6ogo.jpg")</f>
        <v>https://pbs.twimg.com/media/Fn7WbRUXkAA6ogo.jpg</v>
      </c>
      <c r="V2493" s="77" t="str">
        <f>HYPERLINK("https://pbs.twimg.com/media/Fn7WbRUXkAA6ogo.jpg")</f>
        <v>https://pbs.twimg.com/media/Fn7WbRUXkAA6ogo.jpg</v>
      </c>
      <c r="W2493" s="76">
        <v>44959.092881944445</v>
      </c>
      <c r="X2493" s="80">
        <v>44959</v>
      </c>
      <c r="Y2493" s="78" t="s">
        <v>3169</v>
      </c>
      <c r="Z2493" s="77" t="str">
        <f>HYPERLINK("https://twitter.com/john_graham19/status/1620968685769981952")</f>
        <v>https://twitter.com/john_graham19/status/1620968685769981952</v>
      </c>
      <c r="AC2493" s="78" t="s">
        <v>4234</v>
      </c>
      <c r="AE2493" t="b">
        <v>0</v>
      </c>
      <c r="AF2493">
        <v>0</v>
      </c>
      <c r="AG2493" s="78" t="s">
        <v>4640</v>
      </c>
      <c r="AH2493" t="b">
        <v>0</v>
      </c>
      <c r="AI2493" t="s">
        <v>4829</v>
      </c>
      <c r="AK2493" s="78" t="s">
        <v>4640</v>
      </c>
      <c r="AL2493" t="b">
        <v>0</v>
      </c>
      <c r="AM2493">
        <v>0</v>
      </c>
      <c r="AN2493" s="78" t="s">
        <v>4640</v>
      </c>
      <c r="AO2493" s="78" t="s">
        <v>4849</v>
      </c>
      <c r="AP2493" t="b">
        <v>0</v>
      </c>
      <c r="AQ2493" s="78" t="s">
        <v>4234</v>
      </c>
      <c r="AR2493" t="s">
        <v>179</v>
      </c>
      <c r="AS2493">
        <v>0</v>
      </c>
      <c r="AT2493">
        <v>0</v>
      </c>
    </row>
    <row r="2494" spans="1:46" x14ac:dyDescent="0.45">
      <c r="A2494" s="62" t="s">
        <v>906</v>
      </c>
      <c r="B2494" s="62" t="s">
        <v>1428</v>
      </c>
      <c r="C2494" s="63"/>
      <c r="D2494" s="64"/>
      <c r="E2494" s="65"/>
      <c r="F2494" s="66"/>
      <c r="G2494" s="63"/>
      <c r="H2494" s="67"/>
      <c r="I2494" s="68"/>
      <c r="J2494" s="68"/>
      <c r="K2494" s="32"/>
      <c r="L2494" s="75"/>
      <c r="M2494" s="75"/>
      <c r="N2494" s="70"/>
      <c r="O2494" t="s">
        <v>1568</v>
      </c>
      <c r="P2494" s="76">
        <v>44959.094155092593</v>
      </c>
      <c r="Q2494" t="s">
        <v>2065</v>
      </c>
      <c r="U2494" s="77" t="str">
        <f>HYPERLINK("https://pbs.twimg.com/media/Fn7W2GiXoAEgRQ7.jpg")</f>
        <v>https://pbs.twimg.com/media/Fn7W2GiXoAEgRQ7.jpg</v>
      </c>
      <c r="V2494" s="77" t="str">
        <f>HYPERLINK("https://pbs.twimg.com/media/Fn7W2GiXoAEgRQ7.jpg")</f>
        <v>https://pbs.twimg.com/media/Fn7W2GiXoAEgRQ7.jpg</v>
      </c>
      <c r="W2494" s="76">
        <v>44959.094155092593</v>
      </c>
      <c r="X2494" s="80">
        <v>44959</v>
      </c>
      <c r="Y2494" s="78" t="s">
        <v>3170</v>
      </c>
      <c r="Z2494" s="77" t="str">
        <f>HYPERLINK("https://twitter.com/john_graham19/status/1620969147097305088")</f>
        <v>https://twitter.com/john_graham19/status/1620969147097305088</v>
      </c>
      <c r="AC2494" s="78" t="s">
        <v>4235</v>
      </c>
      <c r="AE2494" t="b">
        <v>0</v>
      </c>
      <c r="AF2494">
        <v>0</v>
      </c>
      <c r="AG2494" s="78" t="s">
        <v>4640</v>
      </c>
      <c r="AH2494" t="b">
        <v>0</v>
      </c>
      <c r="AI2494" t="s">
        <v>4829</v>
      </c>
      <c r="AK2494" s="78" t="s">
        <v>4640</v>
      </c>
      <c r="AL2494" t="b">
        <v>0</v>
      </c>
      <c r="AM2494">
        <v>0</v>
      </c>
      <c r="AN2494" s="78" t="s">
        <v>4640</v>
      </c>
      <c r="AO2494" s="78" t="s">
        <v>4849</v>
      </c>
      <c r="AP2494" t="b">
        <v>0</v>
      </c>
      <c r="AQ2494" s="78" t="s">
        <v>4235</v>
      </c>
      <c r="AR2494" t="s">
        <v>179</v>
      </c>
      <c r="AS2494">
        <v>0</v>
      </c>
      <c r="AT2494">
        <v>0</v>
      </c>
    </row>
    <row r="2495" spans="1:46" x14ac:dyDescent="0.45">
      <c r="A2495" s="62" t="s">
        <v>906</v>
      </c>
      <c r="B2495" s="62" t="s">
        <v>242</v>
      </c>
      <c r="C2495" s="63"/>
      <c r="D2495" s="64"/>
      <c r="E2495" s="65"/>
      <c r="F2495" s="66"/>
      <c r="G2495" s="63"/>
      <c r="H2495" s="67"/>
      <c r="I2495" s="68"/>
      <c r="J2495" s="68"/>
      <c r="K2495" s="32"/>
      <c r="L2495" s="75"/>
      <c r="M2495" s="75"/>
      <c r="N2495" s="70"/>
      <c r="O2495" t="s">
        <v>1568</v>
      </c>
      <c r="P2495" s="76">
        <v>44959.092881944445</v>
      </c>
      <c r="Q2495" t="s">
        <v>2064</v>
      </c>
      <c r="U2495" s="77" t="str">
        <f>HYPERLINK("https://pbs.twimg.com/media/Fn7WbRUXkAA6ogo.jpg")</f>
        <v>https://pbs.twimg.com/media/Fn7WbRUXkAA6ogo.jpg</v>
      </c>
      <c r="V2495" s="77" t="str">
        <f>HYPERLINK("https://pbs.twimg.com/media/Fn7WbRUXkAA6ogo.jpg")</f>
        <v>https://pbs.twimg.com/media/Fn7WbRUXkAA6ogo.jpg</v>
      </c>
      <c r="W2495" s="76">
        <v>44959.092881944445</v>
      </c>
      <c r="X2495" s="80">
        <v>44959</v>
      </c>
      <c r="Y2495" s="78" t="s">
        <v>3169</v>
      </c>
      <c r="Z2495" s="77" t="str">
        <f>HYPERLINK("https://twitter.com/john_graham19/status/1620968685769981952")</f>
        <v>https://twitter.com/john_graham19/status/1620968685769981952</v>
      </c>
      <c r="AC2495" s="78" t="s">
        <v>4234</v>
      </c>
      <c r="AE2495" t="b">
        <v>0</v>
      </c>
      <c r="AF2495">
        <v>0</v>
      </c>
      <c r="AG2495" s="78" t="s">
        <v>4640</v>
      </c>
      <c r="AH2495" t="b">
        <v>0</v>
      </c>
      <c r="AI2495" t="s">
        <v>4829</v>
      </c>
      <c r="AK2495" s="78" t="s">
        <v>4640</v>
      </c>
      <c r="AL2495" t="b">
        <v>0</v>
      </c>
      <c r="AM2495">
        <v>0</v>
      </c>
      <c r="AN2495" s="78" t="s">
        <v>4640</v>
      </c>
      <c r="AO2495" s="78" t="s">
        <v>4849</v>
      </c>
      <c r="AP2495" t="b">
        <v>0</v>
      </c>
      <c r="AQ2495" s="78" t="s">
        <v>4234</v>
      </c>
      <c r="AR2495" t="s">
        <v>179</v>
      </c>
      <c r="AS2495">
        <v>0</v>
      </c>
      <c r="AT2495">
        <v>0</v>
      </c>
    </row>
    <row r="2496" spans="1:46" x14ac:dyDescent="0.45">
      <c r="A2496" s="62" t="s">
        <v>906</v>
      </c>
      <c r="B2496" s="62" t="s">
        <v>242</v>
      </c>
      <c r="C2496" s="63"/>
      <c r="D2496" s="64"/>
      <c r="E2496" s="65"/>
      <c r="F2496" s="66"/>
      <c r="G2496" s="63"/>
      <c r="H2496" s="67"/>
      <c r="I2496" s="68"/>
      <c r="J2496" s="68"/>
      <c r="K2496" s="32"/>
      <c r="L2496" s="75"/>
      <c r="M2496" s="75"/>
      <c r="N2496" s="70"/>
      <c r="O2496" t="s">
        <v>1568</v>
      </c>
      <c r="P2496" s="76">
        <v>44959.094155092593</v>
      </c>
      <c r="Q2496" t="s">
        <v>2065</v>
      </c>
      <c r="U2496" s="77" t="str">
        <f>HYPERLINK("https://pbs.twimg.com/media/Fn7W2GiXoAEgRQ7.jpg")</f>
        <v>https://pbs.twimg.com/media/Fn7W2GiXoAEgRQ7.jpg</v>
      </c>
      <c r="V2496" s="77" t="str">
        <f>HYPERLINK("https://pbs.twimg.com/media/Fn7W2GiXoAEgRQ7.jpg")</f>
        <v>https://pbs.twimg.com/media/Fn7W2GiXoAEgRQ7.jpg</v>
      </c>
      <c r="W2496" s="76">
        <v>44959.094155092593</v>
      </c>
      <c r="X2496" s="80">
        <v>44959</v>
      </c>
      <c r="Y2496" s="78" t="s">
        <v>3170</v>
      </c>
      <c r="Z2496" s="77" t="str">
        <f>HYPERLINK("https://twitter.com/john_graham19/status/1620969147097305088")</f>
        <v>https://twitter.com/john_graham19/status/1620969147097305088</v>
      </c>
      <c r="AC2496" s="78" t="s">
        <v>4235</v>
      </c>
      <c r="AE2496" t="b">
        <v>0</v>
      </c>
      <c r="AF2496">
        <v>0</v>
      </c>
      <c r="AG2496" s="78" t="s">
        <v>4640</v>
      </c>
      <c r="AH2496" t="b">
        <v>0</v>
      </c>
      <c r="AI2496" t="s">
        <v>4829</v>
      </c>
      <c r="AK2496" s="78" t="s">
        <v>4640</v>
      </c>
      <c r="AL2496" t="b">
        <v>0</v>
      </c>
      <c r="AM2496">
        <v>0</v>
      </c>
      <c r="AN2496" s="78" t="s">
        <v>4640</v>
      </c>
      <c r="AO2496" s="78" t="s">
        <v>4849</v>
      </c>
      <c r="AP2496" t="b">
        <v>0</v>
      </c>
      <c r="AQ2496" s="78" t="s">
        <v>4235</v>
      </c>
      <c r="AR2496" t="s">
        <v>179</v>
      </c>
      <c r="AS2496">
        <v>0</v>
      </c>
      <c r="AT2496">
        <v>0</v>
      </c>
    </row>
    <row r="2497" spans="1:46" x14ac:dyDescent="0.45">
      <c r="A2497" s="62" t="s">
        <v>907</v>
      </c>
      <c r="B2497" s="62" t="s">
        <v>242</v>
      </c>
      <c r="C2497" s="63"/>
      <c r="D2497" s="64"/>
      <c r="E2497" s="65"/>
      <c r="F2497" s="66"/>
      <c r="G2497" s="63"/>
      <c r="H2497" s="67"/>
      <c r="I2497" s="68"/>
      <c r="J2497" s="68"/>
      <c r="K2497" s="32"/>
      <c r="L2497" s="75"/>
      <c r="M2497" s="75"/>
      <c r="N2497" s="70"/>
      <c r="O2497" t="s">
        <v>1568</v>
      </c>
      <c r="P2497" s="76">
        <v>44959.094699074078</v>
      </c>
      <c r="Q2497" t="s">
        <v>2066</v>
      </c>
      <c r="V2497" s="77" t="str">
        <f>HYPERLINK("https://pbs.twimg.com/profile_images/1620879295265574912/g4ytD-MK_normal.jpg")</f>
        <v>https://pbs.twimg.com/profile_images/1620879295265574912/g4ytD-MK_normal.jpg</v>
      </c>
      <c r="W2497" s="76">
        <v>44959.094699074078</v>
      </c>
      <c r="X2497" s="80">
        <v>44959</v>
      </c>
      <c r="Y2497" s="78" t="s">
        <v>3171</v>
      </c>
      <c r="Z2497" s="77" t="str">
        <f>HYPERLINK("https://twitter.com/1mmastatistic/status/1620969342337777665")</f>
        <v>https://twitter.com/1mmastatistic/status/1620969342337777665</v>
      </c>
      <c r="AC2497" s="78" t="s">
        <v>4236</v>
      </c>
      <c r="AE2497" t="b">
        <v>0</v>
      </c>
      <c r="AF2497">
        <v>0</v>
      </c>
      <c r="AG2497" s="78" t="s">
        <v>4640</v>
      </c>
      <c r="AH2497" t="b">
        <v>0</v>
      </c>
      <c r="AI2497" t="s">
        <v>4829</v>
      </c>
      <c r="AK2497" s="78" t="s">
        <v>4640</v>
      </c>
      <c r="AL2497" t="b">
        <v>0</v>
      </c>
      <c r="AM2497">
        <v>0</v>
      </c>
      <c r="AN2497" s="78" t="s">
        <v>4640</v>
      </c>
      <c r="AO2497" s="78" t="s">
        <v>4851</v>
      </c>
      <c r="AP2497" t="b">
        <v>0</v>
      </c>
      <c r="AQ2497" s="78" t="s">
        <v>4236</v>
      </c>
      <c r="AR2497" t="s">
        <v>179</v>
      </c>
      <c r="AS2497">
        <v>0</v>
      </c>
      <c r="AT2497">
        <v>0</v>
      </c>
    </row>
    <row r="2498" spans="1:46" x14ac:dyDescent="0.45">
      <c r="A2498" s="62" t="s">
        <v>907</v>
      </c>
      <c r="B2498" s="62" t="s">
        <v>1113</v>
      </c>
      <c r="C2498" s="63"/>
      <c r="D2498" s="64"/>
      <c r="E2498" s="65"/>
      <c r="F2498" s="66"/>
      <c r="G2498" s="63"/>
      <c r="H2498" s="67"/>
      <c r="I2498" s="68"/>
      <c r="J2498" s="68"/>
      <c r="K2498" s="32"/>
      <c r="L2498" s="75"/>
      <c r="M2498" s="75"/>
      <c r="N2498" s="70"/>
      <c r="O2498" t="s">
        <v>1568</v>
      </c>
      <c r="P2498" s="76">
        <v>44959.094699074078</v>
      </c>
      <c r="Q2498" t="s">
        <v>2066</v>
      </c>
      <c r="V2498" s="77" t="str">
        <f>HYPERLINK("https://pbs.twimg.com/profile_images/1620879295265574912/g4ytD-MK_normal.jpg")</f>
        <v>https://pbs.twimg.com/profile_images/1620879295265574912/g4ytD-MK_normal.jpg</v>
      </c>
      <c r="W2498" s="76">
        <v>44959.094699074078</v>
      </c>
      <c r="X2498" s="80">
        <v>44959</v>
      </c>
      <c r="Y2498" s="78" t="s">
        <v>3171</v>
      </c>
      <c r="Z2498" s="77" t="str">
        <f>HYPERLINK("https://twitter.com/1mmastatistic/status/1620969342337777665")</f>
        <v>https://twitter.com/1mmastatistic/status/1620969342337777665</v>
      </c>
      <c r="AC2498" s="78" t="s">
        <v>4236</v>
      </c>
      <c r="AE2498" t="b">
        <v>0</v>
      </c>
      <c r="AF2498">
        <v>0</v>
      </c>
      <c r="AG2498" s="78" t="s">
        <v>4640</v>
      </c>
      <c r="AH2498" t="b">
        <v>0</v>
      </c>
      <c r="AI2498" t="s">
        <v>4829</v>
      </c>
      <c r="AK2498" s="78" t="s">
        <v>4640</v>
      </c>
      <c r="AL2498" t="b">
        <v>0</v>
      </c>
      <c r="AM2498">
        <v>0</v>
      </c>
      <c r="AN2498" s="78" t="s">
        <v>4640</v>
      </c>
      <c r="AO2498" s="78" t="s">
        <v>4851</v>
      </c>
      <c r="AP2498" t="b">
        <v>0</v>
      </c>
      <c r="AQ2498" s="78" t="s">
        <v>4236</v>
      </c>
      <c r="AR2498" t="s">
        <v>179</v>
      </c>
      <c r="AS2498">
        <v>0</v>
      </c>
      <c r="AT2498">
        <v>0</v>
      </c>
    </row>
    <row r="2499" spans="1:46" x14ac:dyDescent="0.45">
      <c r="A2499" s="62" t="s">
        <v>908</v>
      </c>
      <c r="B2499" s="62" t="s">
        <v>242</v>
      </c>
      <c r="C2499" s="63"/>
      <c r="D2499" s="64"/>
      <c r="E2499" s="65"/>
      <c r="F2499" s="66"/>
      <c r="G2499" s="63"/>
      <c r="H2499" s="67"/>
      <c r="I2499" s="68"/>
      <c r="J2499" s="68"/>
      <c r="K2499" s="32"/>
      <c r="L2499" s="75"/>
      <c r="M2499" s="75"/>
      <c r="N2499" s="70"/>
      <c r="O2499" t="s">
        <v>1569</v>
      </c>
      <c r="P2499" s="76">
        <v>44959.096770833334</v>
      </c>
      <c r="Q2499" t="s">
        <v>2067</v>
      </c>
      <c r="V2499" s="77" t="str">
        <f>HYPERLINK("https://pbs.twimg.com/profile_images/1597131814451101696/2ioK-0vF_normal.jpg")</f>
        <v>https://pbs.twimg.com/profile_images/1597131814451101696/2ioK-0vF_normal.jpg</v>
      </c>
      <c r="W2499" s="76">
        <v>44959.096770833334</v>
      </c>
      <c r="X2499" s="80">
        <v>44959</v>
      </c>
      <c r="Y2499" s="78" t="s">
        <v>3172</v>
      </c>
      <c r="Z2499" s="77" t="str">
        <f>HYPERLINK("https://twitter.com/fanyuksze35355/status/1620970094225686529")</f>
        <v>https://twitter.com/fanyuksze35355/status/1620970094225686529</v>
      </c>
      <c r="AC2499" s="78" t="s">
        <v>4237</v>
      </c>
      <c r="AE2499" t="b">
        <v>0</v>
      </c>
      <c r="AF2499">
        <v>0</v>
      </c>
      <c r="AG2499" s="78" t="s">
        <v>4640</v>
      </c>
      <c r="AH2499" t="b">
        <v>0</v>
      </c>
      <c r="AI2499" t="s">
        <v>4829</v>
      </c>
      <c r="AK2499" s="78" t="s">
        <v>4640</v>
      </c>
      <c r="AL2499" t="b">
        <v>0</v>
      </c>
      <c r="AM2499">
        <v>14</v>
      </c>
      <c r="AN2499" s="78" t="s">
        <v>4496</v>
      </c>
      <c r="AO2499" s="78" t="s">
        <v>4851</v>
      </c>
      <c r="AP2499" t="b">
        <v>0</v>
      </c>
      <c r="AQ2499" s="78" t="s">
        <v>4496</v>
      </c>
      <c r="AR2499" t="s">
        <v>179</v>
      </c>
      <c r="AS2499">
        <v>0</v>
      </c>
      <c r="AT2499">
        <v>0</v>
      </c>
    </row>
    <row r="2500" spans="1:46" x14ac:dyDescent="0.45">
      <c r="A2500" s="62" t="s">
        <v>910</v>
      </c>
      <c r="B2500" s="62" t="s">
        <v>242</v>
      </c>
      <c r="C2500" s="63"/>
      <c r="D2500" s="64"/>
      <c r="E2500" s="65"/>
      <c r="F2500" s="66"/>
      <c r="G2500" s="63"/>
      <c r="H2500" s="67"/>
      <c r="I2500" s="68"/>
      <c r="J2500" s="68"/>
      <c r="K2500" s="32"/>
      <c r="L2500" s="75"/>
      <c r="M2500" s="75"/>
      <c r="N2500" s="70"/>
      <c r="O2500" t="s">
        <v>1567</v>
      </c>
      <c r="P2500" s="76">
        <v>44959.099131944444</v>
      </c>
      <c r="Q2500" t="s">
        <v>2069</v>
      </c>
      <c r="V2500" s="77" t="str">
        <f>HYPERLINK("https://pbs.twimg.com/profile_images/1578917223279874048/yGvB1EO7_normal.jpg")</f>
        <v>https://pbs.twimg.com/profile_images/1578917223279874048/yGvB1EO7_normal.jpg</v>
      </c>
      <c r="W2500" s="76">
        <v>44959.099131944444</v>
      </c>
      <c r="X2500" s="80">
        <v>44959</v>
      </c>
      <c r="Y2500" s="78" t="s">
        <v>3174</v>
      </c>
      <c r="Z2500" s="77" t="str">
        <f>HYPERLINK("https://twitter.com/haideriam5/status/1620970949129691136")</f>
        <v>https://twitter.com/haideriam5/status/1620970949129691136</v>
      </c>
      <c r="AC2500" s="78" t="s">
        <v>4239</v>
      </c>
      <c r="AE2500" t="b">
        <v>0</v>
      </c>
      <c r="AF2500">
        <v>0</v>
      </c>
      <c r="AG2500" s="78" t="s">
        <v>4639</v>
      </c>
      <c r="AH2500" t="b">
        <v>0</v>
      </c>
      <c r="AI2500" t="s">
        <v>4829</v>
      </c>
      <c r="AK2500" s="78" t="s">
        <v>4640</v>
      </c>
      <c r="AL2500" t="b">
        <v>0</v>
      </c>
      <c r="AM2500">
        <v>0</v>
      </c>
      <c r="AN2500" s="78" t="s">
        <v>4640</v>
      </c>
      <c r="AO2500" s="78" t="s">
        <v>4851</v>
      </c>
      <c r="AP2500" t="b">
        <v>0</v>
      </c>
      <c r="AQ2500" s="78" t="s">
        <v>4239</v>
      </c>
      <c r="AR2500" t="s">
        <v>179</v>
      </c>
      <c r="AS2500">
        <v>0</v>
      </c>
      <c r="AT2500">
        <v>0</v>
      </c>
    </row>
    <row r="2501" spans="1:46" x14ac:dyDescent="0.45">
      <c r="A2501" s="62" t="s">
        <v>919</v>
      </c>
      <c r="B2501" s="62" t="s">
        <v>918</v>
      </c>
      <c r="C2501" s="63"/>
      <c r="D2501" s="64"/>
      <c r="E2501" s="65"/>
      <c r="F2501" s="66"/>
      <c r="G2501" s="63"/>
      <c r="H2501" s="67"/>
      <c r="I2501" s="68"/>
      <c r="J2501" s="68"/>
      <c r="K2501" s="32"/>
      <c r="L2501" s="75"/>
      <c r="M2501" s="75"/>
      <c r="N2501" s="70"/>
      <c r="O2501" t="s">
        <v>1569</v>
      </c>
      <c r="P2501" s="76">
        <v>44959.114236111112</v>
      </c>
      <c r="Q2501" t="s">
        <v>2061</v>
      </c>
      <c r="U2501" s="77" t="str">
        <f>HYPERLINK("https://pbs.twimg.com/media/Fn6qvSzaMAA6y2k.jpg")</f>
        <v>https://pbs.twimg.com/media/Fn6qvSzaMAA6y2k.jpg</v>
      </c>
      <c r="V2501" s="77" t="str">
        <f>HYPERLINK("https://pbs.twimg.com/media/Fn6qvSzaMAA6y2k.jpg")</f>
        <v>https://pbs.twimg.com/media/Fn6qvSzaMAA6y2k.jpg</v>
      </c>
      <c r="W2501" s="76">
        <v>44959.114236111112</v>
      </c>
      <c r="X2501" s="80">
        <v>44959</v>
      </c>
      <c r="Y2501" s="78" t="s">
        <v>3184</v>
      </c>
      <c r="Z2501" s="77" t="str">
        <f>HYPERLINK("https://twitter.com/drhorrid/status/1620976423937908736")</f>
        <v>https://twitter.com/drhorrid/status/1620976423937908736</v>
      </c>
      <c r="AC2501" s="78" t="s">
        <v>4249</v>
      </c>
      <c r="AE2501" t="b">
        <v>0</v>
      </c>
      <c r="AF2501">
        <v>0</v>
      </c>
      <c r="AG2501" s="78" t="s">
        <v>4640</v>
      </c>
      <c r="AH2501" t="b">
        <v>0</v>
      </c>
      <c r="AI2501" t="s">
        <v>4829</v>
      </c>
      <c r="AK2501" s="78" t="s">
        <v>4640</v>
      </c>
      <c r="AL2501" t="b">
        <v>0</v>
      </c>
      <c r="AM2501">
        <v>2</v>
      </c>
      <c r="AN2501" s="78" t="s">
        <v>4248</v>
      </c>
      <c r="AO2501" s="78" t="s">
        <v>4849</v>
      </c>
      <c r="AP2501" t="b">
        <v>0</v>
      </c>
      <c r="AQ2501" s="78" t="s">
        <v>4248</v>
      </c>
      <c r="AR2501" t="s">
        <v>179</v>
      </c>
      <c r="AS2501">
        <v>0</v>
      </c>
      <c r="AT2501">
        <v>0</v>
      </c>
    </row>
    <row r="2502" spans="1:46" x14ac:dyDescent="0.45">
      <c r="A2502" s="62" t="s">
        <v>919</v>
      </c>
      <c r="B2502" s="62" t="s">
        <v>242</v>
      </c>
      <c r="C2502" s="63"/>
      <c r="D2502" s="64"/>
      <c r="E2502" s="65"/>
      <c r="F2502" s="66"/>
      <c r="G2502" s="63"/>
      <c r="H2502" s="67"/>
      <c r="I2502" s="68"/>
      <c r="J2502" s="68"/>
      <c r="K2502" s="32"/>
      <c r="L2502" s="75"/>
      <c r="M2502" s="75"/>
      <c r="N2502" s="70"/>
      <c r="O2502" t="s">
        <v>1570</v>
      </c>
      <c r="P2502" s="76">
        <v>44959.114236111112</v>
      </c>
      <c r="Q2502" t="s">
        <v>2061</v>
      </c>
      <c r="U2502" s="77" t="str">
        <f>HYPERLINK("https://pbs.twimg.com/media/Fn6qvSzaMAA6y2k.jpg")</f>
        <v>https://pbs.twimg.com/media/Fn6qvSzaMAA6y2k.jpg</v>
      </c>
      <c r="V2502" s="77" t="str">
        <f>HYPERLINK("https://pbs.twimg.com/media/Fn6qvSzaMAA6y2k.jpg")</f>
        <v>https://pbs.twimg.com/media/Fn6qvSzaMAA6y2k.jpg</v>
      </c>
      <c r="W2502" s="76">
        <v>44959.114236111112</v>
      </c>
      <c r="X2502" s="80">
        <v>44959</v>
      </c>
      <c r="Y2502" s="78" t="s">
        <v>3184</v>
      </c>
      <c r="Z2502" s="77" t="str">
        <f>HYPERLINK("https://twitter.com/drhorrid/status/1620976423937908736")</f>
        <v>https://twitter.com/drhorrid/status/1620976423937908736</v>
      </c>
      <c r="AC2502" s="78" t="s">
        <v>4249</v>
      </c>
      <c r="AE2502" t="b">
        <v>0</v>
      </c>
      <c r="AF2502">
        <v>0</v>
      </c>
      <c r="AG2502" s="78" t="s">
        <v>4640</v>
      </c>
      <c r="AH2502" t="b">
        <v>0</v>
      </c>
      <c r="AI2502" t="s">
        <v>4829</v>
      </c>
      <c r="AK2502" s="78" t="s">
        <v>4640</v>
      </c>
      <c r="AL2502" t="b">
        <v>0</v>
      </c>
      <c r="AM2502">
        <v>2</v>
      </c>
      <c r="AN2502" s="78" t="s">
        <v>4248</v>
      </c>
      <c r="AO2502" s="78" t="s">
        <v>4849</v>
      </c>
      <c r="AP2502" t="b">
        <v>0</v>
      </c>
      <c r="AQ2502" s="78" t="s">
        <v>4248</v>
      </c>
      <c r="AR2502" t="s">
        <v>179</v>
      </c>
      <c r="AS2502">
        <v>0</v>
      </c>
      <c r="AT2502">
        <v>0</v>
      </c>
    </row>
    <row r="2503" spans="1:46" x14ac:dyDescent="0.45">
      <c r="A2503" s="62" t="s">
        <v>922</v>
      </c>
      <c r="B2503" s="62" t="s">
        <v>242</v>
      </c>
      <c r="C2503" s="63"/>
      <c r="D2503" s="64"/>
      <c r="E2503" s="65"/>
      <c r="F2503" s="66"/>
      <c r="G2503" s="63"/>
      <c r="H2503" s="67"/>
      <c r="I2503" s="68"/>
      <c r="J2503" s="68"/>
      <c r="K2503" s="32"/>
      <c r="L2503" s="75"/>
      <c r="M2503" s="75"/>
      <c r="N2503" s="70"/>
      <c r="O2503" t="s">
        <v>1567</v>
      </c>
      <c r="P2503" s="76">
        <v>44959.113761574074</v>
      </c>
      <c r="Q2503" t="s">
        <v>2082</v>
      </c>
      <c r="V2503" s="77" t="str">
        <f>HYPERLINK("https://pbs.twimg.com/profile_images/1620975024181055489/EKjrCEk__normal.png")</f>
        <v>https://pbs.twimg.com/profile_images/1620975024181055489/EKjrCEk__normal.png</v>
      </c>
      <c r="W2503" s="76">
        <v>44959.113761574074</v>
      </c>
      <c r="X2503" s="80">
        <v>44959</v>
      </c>
      <c r="Y2503" s="78" t="s">
        <v>3189</v>
      </c>
      <c r="Z2503" s="77" t="str">
        <f>HYPERLINK("https://twitter.com/ballengee_herb/status/1620976251866599425")</f>
        <v>https://twitter.com/ballengee_herb/status/1620976251866599425</v>
      </c>
      <c r="AC2503" s="78" t="s">
        <v>4254</v>
      </c>
      <c r="AD2503" s="78" t="s">
        <v>4498</v>
      </c>
      <c r="AE2503" t="b">
        <v>0</v>
      </c>
      <c r="AF2503">
        <v>0</v>
      </c>
      <c r="AG2503" s="78" t="s">
        <v>4639</v>
      </c>
      <c r="AH2503" t="b">
        <v>0</v>
      </c>
      <c r="AI2503" t="s">
        <v>4829</v>
      </c>
      <c r="AK2503" s="78" t="s">
        <v>4640</v>
      </c>
      <c r="AL2503" t="b">
        <v>0</v>
      </c>
      <c r="AM2503">
        <v>0</v>
      </c>
      <c r="AN2503" s="78" t="s">
        <v>4640</v>
      </c>
      <c r="AO2503" s="78" t="s">
        <v>4851</v>
      </c>
      <c r="AP2503" t="b">
        <v>0</v>
      </c>
      <c r="AQ2503" s="78" t="s">
        <v>4498</v>
      </c>
      <c r="AR2503" t="s">
        <v>179</v>
      </c>
      <c r="AS2503">
        <v>0</v>
      </c>
      <c r="AT2503">
        <v>0</v>
      </c>
    </row>
    <row r="2504" spans="1:46" x14ac:dyDescent="0.45">
      <c r="A2504" s="62" t="s">
        <v>923</v>
      </c>
      <c r="B2504" s="62" t="s">
        <v>1230</v>
      </c>
      <c r="C2504" s="63"/>
      <c r="D2504" s="64"/>
      <c r="E2504" s="65"/>
      <c r="F2504" s="66"/>
      <c r="G2504" s="63"/>
      <c r="H2504" s="67"/>
      <c r="I2504" s="68"/>
      <c r="J2504" s="68"/>
      <c r="K2504" s="32"/>
      <c r="L2504" s="75"/>
      <c r="M2504" s="75"/>
      <c r="N2504" s="70"/>
      <c r="O2504" t="s">
        <v>1568</v>
      </c>
      <c r="P2504" s="76">
        <v>44959.124212962961</v>
      </c>
      <c r="Q2504" t="s">
        <v>2084</v>
      </c>
      <c r="V2504" s="77" t="str">
        <f>HYPERLINK("https://pbs.twimg.com/profile_images/1559156441780477952/3Y6VBogq_normal.jpg")</f>
        <v>https://pbs.twimg.com/profile_images/1559156441780477952/3Y6VBogq_normal.jpg</v>
      </c>
      <c r="W2504" s="76">
        <v>44959.124212962961</v>
      </c>
      <c r="X2504" s="80">
        <v>44959</v>
      </c>
      <c r="Y2504" s="78" t="s">
        <v>3191</v>
      </c>
      <c r="Z2504" s="77" t="str">
        <f>HYPERLINK("https://twitter.com/gus37884863/status/1620980041114066945")</f>
        <v>https://twitter.com/gus37884863/status/1620980041114066945</v>
      </c>
      <c r="AC2504" s="78" t="s">
        <v>4256</v>
      </c>
      <c r="AD2504" s="78" t="s">
        <v>4473</v>
      </c>
      <c r="AE2504" t="b">
        <v>0</v>
      </c>
      <c r="AF2504">
        <v>0</v>
      </c>
      <c r="AG2504" s="78" t="s">
        <v>4639</v>
      </c>
      <c r="AH2504" t="b">
        <v>0</v>
      </c>
      <c r="AI2504" t="s">
        <v>4829</v>
      </c>
      <c r="AK2504" s="78" t="s">
        <v>4640</v>
      </c>
      <c r="AL2504" t="b">
        <v>0</v>
      </c>
      <c r="AM2504">
        <v>0</v>
      </c>
      <c r="AN2504" s="78" t="s">
        <v>4640</v>
      </c>
      <c r="AO2504" s="78" t="s">
        <v>4850</v>
      </c>
      <c r="AP2504" t="b">
        <v>0</v>
      </c>
      <c r="AQ2504" s="78" t="s">
        <v>4473</v>
      </c>
      <c r="AR2504" t="s">
        <v>179</v>
      </c>
      <c r="AS2504">
        <v>0</v>
      </c>
      <c r="AT2504">
        <v>0</v>
      </c>
    </row>
    <row r="2505" spans="1:46" x14ac:dyDescent="0.45">
      <c r="A2505" s="62" t="s">
        <v>923</v>
      </c>
      <c r="B2505" s="62" t="s">
        <v>242</v>
      </c>
      <c r="C2505" s="63"/>
      <c r="D2505" s="64"/>
      <c r="E2505" s="65"/>
      <c r="F2505" s="66"/>
      <c r="G2505" s="63"/>
      <c r="H2505" s="67"/>
      <c r="I2505" s="68"/>
      <c r="J2505" s="68"/>
      <c r="K2505" s="32"/>
      <c r="L2505" s="75"/>
      <c r="M2505" s="75"/>
      <c r="N2505" s="70"/>
      <c r="O2505" t="s">
        <v>1567</v>
      </c>
      <c r="P2505" s="76">
        <v>44959.124212962961</v>
      </c>
      <c r="Q2505" t="s">
        <v>2084</v>
      </c>
      <c r="V2505" s="77" t="str">
        <f>HYPERLINK("https://pbs.twimg.com/profile_images/1559156441780477952/3Y6VBogq_normal.jpg")</f>
        <v>https://pbs.twimg.com/profile_images/1559156441780477952/3Y6VBogq_normal.jpg</v>
      </c>
      <c r="W2505" s="76">
        <v>44959.124212962961</v>
      </c>
      <c r="X2505" s="80">
        <v>44959</v>
      </c>
      <c r="Y2505" s="78" t="s">
        <v>3191</v>
      </c>
      <c r="Z2505" s="77" t="str">
        <f>HYPERLINK("https://twitter.com/gus37884863/status/1620980041114066945")</f>
        <v>https://twitter.com/gus37884863/status/1620980041114066945</v>
      </c>
      <c r="AC2505" s="78" t="s">
        <v>4256</v>
      </c>
      <c r="AD2505" s="78" t="s">
        <v>4473</v>
      </c>
      <c r="AE2505" t="b">
        <v>0</v>
      </c>
      <c r="AF2505">
        <v>0</v>
      </c>
      <c r="AG2505" s="78" t="s">
        <v>4639</v>
      </c>
      <c r="AH2505" t="b">
        <v>0</v>
      </c>
      <c r="AI2505" t="s">
        <v>4829</v>
      </c>
      <c r="AK2505" s="78" t="s">
        <v>4640</v>
      </c>
      <c r="AL2505" t="b">
        <v>0</v>
      </c>
      <c r="AM2505">
        <v>0</v>
      </c>
      <c r="AN2505" s="78" t="s">
        <v>4640</v>
      </c>
      <c r="AO2505" s="78" t="s">
        <v>4850</v>
      </c>
      <c r="AP2505" t="b">
        <v>0</v>
      </c>
      <c r="AQ2505" s="78" t="s">
        <v>4473</v>
      </c>
      <c r="AR2505" t="s">
        <v>179</v>
      </c>
      <c r="AS2505">
        <v>0</v>
      </c>
      <c r="AT2505">
        <v>0</v>
      </c>
    </row>
    <row r="2506" spans="1:46" x14ac:dyDescent="0.45">
      <c r="A2506" s="62" t="s">
        <v>925</v>
      </c>
      <c r="B2506" s="62" t="s">
        <v>1230</v>
      </c>
      <c r="C2506" s="63"/>
      <c r="D2506" s="64"/>
      <c r="E2506" s="65"/>
      <c r="F2506" s="66"/>
      <c r="G2506" s="63"/>
      <c r="H2506" s="67"/>
      <c r="I2506" s="68"/>
      <c r="J2506" s="68"/>
      <c r="K2506" s="32"/>
      <c r="L2506" s="75"/>
      <c r="M2506" s="75"/>
      <c r="N2506" s="70"/>
      <c r="O2506" t="s">
        <v>1568</v>
      </c>
      <c r="P2506" s="76">
        <v>44959.12636574074</v>
      </c>
      <c r="Q2506" t="s">
        <v>2086</v>
      </c>
      <c r="V2506" s="77" t="str">
        <f>HYPERLINK("https://pbs.twimg.com/profile_images/1547450861164576768/Pfxs3w2l_normal.jpg")</f>
        <v>https://pbs.twimg.com/profile_images/1547450861164576768/Pfxs3w2l_normal.jpg</v>
      </c>
      <c r="W2506" s="76">
        <v>44959.12636574074</v>
      </c>
      <c r="X2506" s="80">
        <v>44959</v>
      </c>
      <c r="Y2506" s="78" t="s">
        <v>3193</v>
      </c>
      <c r="Z2506" s="77" t="str">
        <f>HYPERLINK("https://twitter.com/smilingtomiley/status/1620980820897923072")</f>
        <v>https://twitter.com/smilingtomiley/status/1620980820897923072</v>
      </c>
      <c r="AC2506" s="78" t="s">
        <v>4258</v>
      </c>
      <c r="AD2506" s="78" t="s">
        <v>4473</v>
      </c>
      <c r="AE2506" t="b">
        <v>0</v>
      </c>
      <c r="AF2506">
        <v>0</v>
      </c>
      <c r="AG2506" s="78" t="s">
        <v>4639</v>
      </c>
      <c r="AH2506" t="b">
        <v>0</v>
      </c>
      <c r="AI2506" t="s">
        <v>4829</v>
      </c>
      <c r="AK2506" s="78" t="s">
        <v>4640</v>
      </c>
      <c r="AL2506" t="b">
        <v>0</v>
      </c>
      <c r="AM2506">
        <v>0</v>
      </c>
      <c r="AN2506" s="78" t="s">
        <v>4640</v>
      </c>
      <c r="AO2506" s="78" t="s">
        <v>4849</v>
      </c>
      <c r="AP2506" t="b">
        <v>0</v>
      </c>
      <c r="AQ2506" s="78" t="s">
        <v>4473</v>
      </c>
      <c r="AR2506" t="s">
        <v>179</v>
      </c>
      <c r="AS2506">
        <v>0</v>
      </c>
      <c r="AT2506">
        <v>0</v>
      </c>
    </row>
    <row r="2507" spans="1:46" x14ac:dyDescent="0.45">
      <c r="A2507" s="62" t="s">
        <v>925</v>
      </c>
      <c r="B2507" s="62" t="s">
        <v>242</v>
      </c>
      <c r="C2507" s="63"/>
      <c r="D2507" s="64"/>
      <c r="E2507" s="65"/>
      <c r="F2507" s="66"/>
      <c r="G2507" s="63"/>
      <c r="H2507" s="67"/>
      <c r="I2507" s="68"/>
      <c r="J2507" s="68"/>
      <c r="K2507" s="32"/>
      <c r="L2507" s="75"/>
      <c r="M2507" s="75"/>
      <c r="N2507" s="70"/>
      <c r="O2507" t="s">
        <v>1567</v>
      </c>
      <c r="P2507" s="76">
        <v>44959.12636574074</v>
      </c>
      <c r="Q2507" t="s">
        <v>2086</v>
      </c>
      <c r="V2507" s="77" t="str">
        <f>HYPERLINK("https://pbs.twimg.com/profile_images/1547450861164576768/Pfxs3w2l_normal.jpg")</f>
        <v>https://pbs.twimg.com/profile_images/1547450861164576768/Pfxs3w2l_normal.jpg</v>
      </c>
      <c r="W2507" s="76">
        <v>44959.12636574074</v>
      </c>
      <c r="X2507" s="80">
        <v>44959</v>
      </c>
      <c r="Y2507" s="78" t="s">
        <v>3193</v>
      </c>
      <c r="Z2507" s="77" t="str">
        <f>HYPERLINK("https://twitter.com/smilingtomiley/status/1620980820897923072")</f>
        <v>https://twitter.com/smilingtomiley/status/1620980820897923072</v>
      </c>
      <c r="AC2507" s="78" t="s">
        <v>4258</v>
      </c>
      <c r="AD2507" s="78" t="s">
        <v>4473</v>
      </c>
      <c r="AE2507" t="b">
        <v>0</v>
      </c>
      <c r="AF2507">
        <v>0</v>
      </c>
      <c r="AG2507" s="78" t="s">
        <v>4639</v>
      </c>
      <c r="AH2507" t="b">
        <v>0</v>
      </c>
      <c r="AI2507" t="s">
        <v>4829</v>
      </c>
      <c r="AK2507" s="78" t="s">
        <v>4640</v>
      </c>
      <c r="AL2507" t="b">
        <v>0</v>
      </c>
      <c r="AM2507">
        <v>0</v>
      </c>
      <c r="AN2507" s="78" t="s">
        <v>4640</v>
      </c>
      <c r="AO2507" s="78" t="s">
        <v>4849</v>
      </c>
      <c r="AP2507" t="b">
        <v>0</v>
      </c>
      <c r="AQ2507" s="78" t="s">
        <v>4473</v>
      </c>
      <c r="AR2507" t="s">
        <v>179</v>
      </c>
      <c r="AS2507">
        <v>0</v>
      </c>
      <c r="AT2507">
        <v>0</v>
      </c>
    </row>
    <row r="2508" spans="1:46" x14ac:dyDescent="0.45">
      <c r="A2508" s="62" t="s">
        <v>927</v>
      </c>
      <c r="B2508" s="62" t="s">
        <v>242</v>
      </c>
      <c r="C2508" s="63"/>
      <c r="D2508" s="64"/>
      <c r="E2508" s="65"/>
      <c r="F2508" s="66"/>
      <c r="G2508" s="63"/>
      <c r="H2508" s="67"/>
      <c r="I2508" s="68"/>
      <c r="J2508" s="68"/>
      <c r="K2508" s="32"/>
      <c r="L2508" s="75"/>
      <c r="M2508" s="75"/>
      <c r="N2508" s="70"/>
      <c r="O2508" t="s">
        <v>1568</v>
      </c>
      <c r="P2508" s="76">
        <v>44959.129421296297</v>
      </c>
      <c r="Q2508" t="s">
        <v>2088</v>
      </c>
      <c r="V2508" s="77" t="str">
        <f>HYPERLINK("https://pbs.twimg.com/profile_images/1569555195482484737/LfbUjM6Z_normal.jpg")</f>
        <v>https://pbs.twimg.com/profile_images/1569555195482484737/LfbUjM6Z_normal.jpg</v>
      </c>
      <c r="W2508" s="76">
        <v>44959.129421296297</v>
      </c>
      <c r="X2508" s="80">
        <v>44959</v>
      </c>
      <c r="Y2508" s="78" t="s">
        <v>3195</v>
      </c>
      <c r="Z2508" s="77" t="str">
        <f>HYPERLINK("https://twitter.com/chaco661/status/1620981926818627584")</f>
        <v>https://twitter.com/chaco661/status/1620981926818627584</v>
      </c>
      <c r="AC2508" s="78" t="s">
        <v>4260</v>
      </c>
      <c r="AE2508" t="b">
        <v>0</v>
      </c>
      <c r="AF2508">
        <v>0</v>
      </c>
      <c r="AG2508" s="78" t="s">
        <v>4640</v>
      </c>
      <c r="AH2508" t="b">
        <v>0</v>
      </c>
      <c r="AI2508" t="s">
        <v>4829</v>
      </c>
      <c r="AK2508" s="78" t="s">
        <v>4640</v>
      </c>
      <c r="AL2508" t="b">
        <v>0</v>
      </c>
      <c r="AM2508">
        <v>0</v>
      </c>
      <c r="AN2508" s="78" t="s">
        <v>4640</v>
      </c>
      <c r="AO2508" s="78" t="s">
        <v>4849</v>
      </c>
      <c r="AP2508" t="b">
        <v>0</v>
      </c>
      <c r="AQ2508" s="78" t="s">
        <v>4260</v>
      </c>
      <c r="AR2508" t="s">
        <v>179</v>
      </c>
      <c r="AS2508">
        <v>0</v>
      </c>
      <c r="AT2508">
        <v>0</v>
      </c>
    </row>
    <row r="2509" spans="1:46" x14ac:dyDescent="0.45">
      <c r="A2509" s="62" t="s">
        <v>928</v>
      </c>
      <c r="B2509" s="62" t="s">
        <v>242</v>
      </c>
      <c r="C2509" s="63"/>
      <c r="D2509" s="64"/>
      <c r="E2509" s="65"/>
      <c r="F2509" s="66"/>
      <c r="G2509" s="63"/>
      <c r="H2509" s="67"/>
      <c r="I2509" s="68"/>
      <c r="J2509" s="68"/>
      <c r="K2509" s="32"/>
      <c r="L2509" s="75"/>
      <c r="M2509" s="75"/>
      <c r="N2509" s="70"/>
      <c r="O2509" t="s">
        <v>1568</v>
      </c>
      <c r="P2509" s="76">
        <v>44959.129988425928</v>
      </c>
      <c r="Q2509" t="s">
        <v>2089</v>
      </c>
      <c r="V2509" s="77" t="str">
        <f>HYPERLINK("https://pbs.twimg.com/profile_images/1495596307934851074/lMpwqXD2_normal.jpg")</f>
        <v>https://pbs.twimg.com/profile_images/1495596307934851074/lMpwqXD2_normal.jpg</v>
      </c>
      <c r="W2509" s="76">
        <v>44959.129988425928</v>
      </c>
      <c r="X2509" s="80">
        <v>44959</v>
      </c>
      <c r="Y2509" s="78" t="s">
        <v>3196</v>
      </c>
      <c r="Z2509" s="77" t="str">
        <f>HYPERLINK("https://twitter.com/_sara_noh/status/1620982134029848583")</f>
        <v>https://twitter.com/_sara_noh/status/1620982134029848583</v>
      </c>
      <c r="AC2509" s="78" t="s">
        <v>4261</v>
      </c>
      <c r="AE2509" t="b">
        <v>0</v>
      </c>
      <c r="AF2509">
        <v>0</v>
      </c>
      <c r="AG2509" s="78" t="s">
        <v>4640</v>
      </c>
      <c r="AH2509" t="b">
        <v>0</v>
      </c>
      <c r="AI2509" t="s">
        <v>4829</v>
      </c>
      <c r="AK2509" s="78" t="s">
        <v>4640</v>
      </c>
      <c r="AL2509" t="b">
        <v>0</v>
      </c>
      <c r="AM2509">
        <v>0</v>
      </c>
      <c r="AN2509" s="78" t="s">
        <v>4640</v>
      </c>
      <c r="AO2509" s="78" t="s">
        <v>4849</v>
      </c>
      <c r="AP2509" t="b">
        <v>0</v>
      </c>
      <c r="AQ2509" s="78" t="s">
        <v>4261</v>
      </c>
      <c r="AR2509" t="s">
        <v>179</v>
      </c>
      <c r="AS2509">
        <v>0</v>
      </c>
      <c r="AT2509">
        <v>0</v>
      </c>
    </row>
    <row r="2510" spans="1:46" x14ac:dyDescent="0.45">
      <c r="A2510" s="62" t="s">
        <v>930</v>
      </c>
      <c r="B2510" s="62" t="s">
        <v>1442</v>
      </c>
      <c r="C2510" s="63"/>
      <c r="D2510" s="64"/>
      <c r="E2510" s="65"/>
      <c r="F2510" s="66"/>
      <c r="G2510" s="63"/>
      <c r="H2510" s="67"/>
      <c r="I2510" s="68"/>
      <c r="J2510" s="68"/>
      <c r="K2510" s="32"/>
      <c r="L2510" s="75"/>
      <c r="M2510" s="75"/>
      <c r="N2510" s="70"/>
      <c r="O2510" t="s">
        <v>1568</v>
      </c>
      <c r="P2510" s="76">
        <v>44959.135601851849</v>
      </c>
      <c r="Q2510" t="s">
        <v>2091</v>
      </c>
      <c r="U2510" s="77" t="str">
        <f>HYPERLINK("https://pbs.twimg.com/media/Fn7kgQpaAAEX6lP.jpg")</f>
        <v>https://pbs.twimg.com/media/Fn7kgQpaAAEX6lP.jpg</v>
      </c>
      <c r="V2510" s="77" t="str">
        <f>HYPERLINK("https://pbs.twimg.com/media/Fn7kgQpaAAEX6lP.jpg")</f>
        <v>https://pbs.twimg.com/media/Fn7kgQpaAAEX6lP.jpg</v>
      </c>
      <c r="W2510" s="76">
        <v>44959.135601851849</v>
      </c>
      <c r="X2510" s="80">
        <v>44959</v>
      </c>
      <c r="Y2510" s="78" t="s">
        <v>3198</v>
      </c>
      <c r="Z2510" s="77" t="str">
        <f>HYPERLINK("https://twitter.com/that1tman/status/1620984165020893185")</f>
        <v>https://twitter.com/that1tman/status/1620984165020893185</v>
      </c>
      <c r="AC2510" s="78" t="s">
        <v>4263</v>
      </c>
      <c r="AE2510" t="b">
        <v>0</v>
      </c>
      <c r="AF2510">
        <v>0</v>
      </c>
      <c r="AG2510" s="78" t="s">
        <v>4640</v>
      </c>
      <c r="AH2510" t="b">
        <v>0</v>
      </c>
      <c r="AI2510" t="s">
        <v>4829</v>
      </c>
      <c r="AK2510" s="78" t="s">
        <v>4640</v>
      </c>
      <c r="AL2510" t="b">
        <v>0</v>
      </c>
      <c r="AM2510">
        <v>0</v>
      </c>
      <c r="AN2510" s="78" t="s">
        <v>4640</v>
      </c>
      <c r="AO2510" s="78" t="s">
        <v>4849</v>
      </c>
      <c r="AP2510" t="b">
        <v>0</v>
      </c>
      <c r="AQ2510" s="78" t="s">
        <v>4263</v>
      </c>
      <c r="AR2510" t="s">
        <v>179</v>
      </c>
      <c r="AS2510">
        <v>0</v>
      </c>
      <c r="AT2510">
        <v>0</v>
      </c>
    </row>
    <row r="2511" spans="1:46" x14ac:dyDescent="0.45">
      <c r="A2511" s="62" t="s">
        <v>930</v>
      </c>
      <c r="B2511" s="62" t="s">
        <v>242</v>
      </c>
      <c r="C2511" s="63"/>
      <c r="D2511" s="64"/>
      <c r="E2511" s="65"/>
      <c r="F2511" s="66"/>
      <c r="G2511" s="63"/>
      <c r="H2511" s="67"/>
      <c r="I2511" s="68"/>
      <c r="J2511" s="68"/>
      <c r="K2511" s="32"/>
      <c r="L2511" s="75"/>
      <c r="M2511" s="75"/>
      <c r="N2511" s="70"/>
      <c r="O2511" t="s">
        <v>1568</v>
      </c>
      <c r="P2511" s="76">
        <v>44959.135601851849</v>
      </c>
      <c r="Q2511" t="s">
        <v>2091</v>
      </c>
      <c r="U2511" s="77" t="str">
        <f>HYPERLINK("https://pbs.twimg.com/media/Fn7kgQpaAAEX6lP.jpg")</f>
        <v>https://pbs.twimg.com/media/Fn7kgQpaAAEX6lP.jpg</v>
      </c>
      <c r="V2511" s="77" t="str">
        <f>HYPERLINK("https://pbs.twimg.com/media/Fn7kgQpaAAEX6lP.jpg")</f>
        <v>https://pbs.twimg.com/media/Fn7kgQpaAAEX6lP.jpg</v>
      </c>
      <c r="W2511" s="76">
        <v>44959.135601851849</v>
      </c>
      <c r="X2511" s="80">
        <v>44959</v>
      </c>
      <c r="Y2511" s="78" t="s">
        <v>3198</v>
      </c>
      <c r="Z2511" s="77" t="str">
        <f>HYPERLINK("https://twitter.com/that1tman/status/1620984165020893185")</f>
        <v>https://twitter.com/that1tman/status/1620984165020893185</v>
      </c>
      <c r="AC2511" s="78" t="s">
        <v>4263</v>
      </c>
      <c r="AE2511" t="b">
        <v>0</v>
      </c>
      <c r="AF2511">
        <v>0</v>
      </c>
      <c r="AG2511" s="78" t="s">
        <v>4640</v>
      </c>
      <c r="AH2511" t="b">
        <v>0</v>
      </c>
      <c r="AI2511" t="s">
        <v>4829</v>
      </c>
      <c r="AK2511" s="78" t="s">
        <v>4640</v>
      </c>
      <c r="AL2511" t="b">
        <v>0</v>
      </c>
      <c r="AM2511">
        <v>0</v>
      </c>
      <c r="AN2511" s="78" t="s">
        <v>4640</v>
      </c>
      <c r="AO2511" s="78" t="s">
        <v>4849</v>
      </c>
      <c r="AP2511" t="b">
        <v>0</v>
      </c>
      <c r="AQ2511" s="78" t="s">
        <v>4263</v>
      </c>
      <c r="AR2511" t="s">
        <v>179</v>
      </c>
      <c r="AS2511">
        <v>0</v>
      </c>
      <c r="AT2511">
        <v>0</v>
      </c>
    </row>
    <row r="2512" spans="1:46" x14ac:dyDescent="0.45">
      <c r="A2512" s="62" t="s">
        <v>931</v>
      </c>
      <c r="B2512" s="62" t="s">
        <v>1230</v>
      </c>
      <c r="C2512" s="63"/>
      <c r="D2512" s="64"/>
      <c r="E2512" s="65"/>
      <c r="F2512" s="66"/>
      <c r="G2512" s="63"/>
      <c r="H2512" s="67"/>
      <c r="I2512" s="68"/>
      <c r="J2512" s="68"/>
      <c r="K2512" s="32"/>
      <c r="L2512" s="75"/>
      <c r="M2512" s="75"/>
      <c r="N2512" s="70"/>
      <c r="O2512" t="s">
        <v>1570</v>
      </c>
      <c r="P2512" s="76">
        <v>44959.13590277778</v>
      </c>
      <c r="Q2512" t="s">
        <v>1693</v>
      </c>
      <c r="V2512" s="77" t="str">
        <f>HYPERLINK("https://pbs.twimg.com/profile_images/1616812550989172736/EP7L5l2r_normal.jpg")</f>
        <v>https://pbs.twimg.com/profile_images/1616812550989172736/EP7L5l2r_normal.jpg</v>
      </c>
      <c r="W2512" s="76">
        <v>44959.13590277778</v>
      </c>
      <c r="X2512" s="80">
        <v>44959</v>
      </c>
      <c r="Y2512" s="78" t="s">
        <v>3199</v>
      </c>
      <c r="Z2512" s="77" t="str">
        <f>HYPERLINK("https://twitter.com/vgag77/status/1620984278053167107")</f>
        <v>https://twitter.com/vgag77/status/1620984278053167107</v>
      </c>
      <c r="AC2512" s="78" t="s">
        <v>4264</v>
      </c>
      <c r="AE2512" t="b">
        <v>0</v>
      </c>
      <c r="AF2512">
        <v>0</v>
      </c>
      <c r="AG2512" s="78" t="s">
        <v>4640</v>
      </c>
      <c r="AH2512" t="b">
        <v>0</v>
      </c>
      <c r="AI2512" t="s">
        <v>4829</v>
      </c>
      <c r="AK2512" s="78" t="s">
        <v>4640</v>
      </c>
      <c r="AL2512" t="b">
        <v>0</v>
      </c>
      <c r="AM2512">
        <v>162</v>
      </c>
      <c r="AN2512" s="78" t="s">
        <v>4473</v>
      </c>
      <c r="AO2512" s="78" t="s">
        <v>4849</v>
      </c>
      <c r="AP2512" t="b">
        <v>0</v>
      </c>
      <c r="AQ2512" s="78" t="s">
        <v>4473</v>
      </c>
      <c r="AR2512" t="s">
        <v>179</v>
      </c>
      <c r="AS2512">
        <v>0</v>
      </c>
      <c r="AT2512">
        <v>0</v>
      </c>
    </row>
    <row r="2513" spans="1:46" x14ac:dyDescent="0.45">
      <c r="A2513" s="62" t="s">
        <v>931</v>
      </c>
      <c r="B2513" s="62" t="s">
        <v>242</v>
      </c>
      <c r="C2513" s="63"/>
      <c r="D2513" s="64"/>
      <c r="E2513" s="65"/>
      <c r="F2513" s="66"/>
      <c r="G2513" s="63"/>
      <c r="H2513" s="67"/>
      <c r="I2513" s="68"/>
      <c r="J2513" s="68"/>
      <c r="K2513" s="32"/>
      <c r="L2513" s="75"/>
      <c r="M2513" s="75"/>
      <c r="N2513" s="70"/>
      <c r="O2513" t="s">
        <v>1569</v>
      </c>
      <c r="P2513" s="76">
        <v>44959.13590277778</v>
      </c>
      <c r="Q2513" t="s">
        <v>1693</v>
      </c>
      <c r="V2513" s="77" t="str">
        <f>HYPERLINK("https://pbs.twimg.com/profile_images/1616812550989172736/EP7L5l2r_normal.jpg")</f>
        <v>https://pbs.twimg.com/profile_images/1616812550989172736/EP7L5l2r_normal.jpg</v>
      </c>
      <c r="W2513" s="76">
        <v>44959.13590277778</v>
      </c>
      <c r="X2513" s="80">
        <v>44959</v>
      </c>
      <c r="Y2513" s="78" t="s">
        <v>3199</v>
      </c>
      <c r="Z2513" s="77" t="str">
        <f>HYPERLINK("https://twitter.com/vgag77/status/1620984278053167107")</f>
        <v>https://twitter.com/vgag77/status/1620984278053167107</v>
      </c>
      <c r="AC2513" s="78" t="s">
        <v>4264</v>
      </c>
      <c r="AE2513" t="b">
        <v>0</v>
      </c>
      <c r="AF2513">
        <v>0</v>
      </c>
      <c r="AG2513" s="78" t="s">
        <v>4640</v>
      </c>
      <c r="AH2513" t="b">
        <v>0</v>
      </c>
      <c r="AI2513" t="s">
        <v>4829</v>
      </c>
      <c r="AK2513" s="78" t="s">
        <v>4640</v>
      </c>
      <c r="AL2513" t="b">
        <v>0</v>
      </c>
      <c r="AM2513">
        <v>162</v>
      </c>
      <c r="AN2513" s="78" t="s">
        <v>4473</v>
      </c>
      <c r="AO2513" s="78" t="s">
        <v>4849</v>
      </c>
      <c r="AP2513" t="b">
        <v>0</v>
      </c>
      <c r="AQ2513" s="78" t="s">
        <v>4473</v>
      </c>
      <c r="AR2513" t="s">
        <v>179</v>
      </c>
      <c r="AS2513">
        <v>0</v>
      </c>
      <c r="AT2513">
        <v>0</v>
      </c>
    </row>
    <row r="2514" spans="1:46" x14ac:dyDescent="0.45">
      <c r="A2514" s="62" t="s">
        <v>932</v>
      </c>
      <c r="B2514" s="62" t="s">
        <v>1230</v>
      </c>
      <c r="C2514" s="63"/>
      <c r="D2514" s="64"/>
      <c r="E2514" s="65"/>
      <c r="F2514" s="66"/>
      <c r="G2514" s="63"/>
      <c r="H2514" s="67"/>
      <c r="I2514" s="68"/>
      <c r="J2514" s="68"/>
      <c r="K2514" s="32"/>
      <c r="L2514" s="75"/>
      <c r="M2514" s="75"/>
      <c r="N2514" s="70"/>
      <c r="O2514" t="s">
        <v>1570</v>
      </c>
      <c r="P2514" s="76">
        <v>44959.139699074076</v>
      </c>
      <c r="Q2514" t="s">
        <v>1693</v>
      </c>
      <c r="V2514" s="77" t="str">
        <f>HYPERLINK("https://pbs.twimg.com/profile_images/1502244913701801991/l_pJm4Di_normal.jpg")</f>
        <v>https://pbs.twimg.com/profile_images/1502244913701801991/l_pJm4Di_normal.jpg</v>
      </c>
      <c r="W2514" s="76">
        <v>44959.139699074076</v>
      </c>
      <c r="X2514" s="80">
        <v>44959</v>
      </c>
      <c r="Y2514" s="78" t="s">
        <v>3200</v>
      </c>
      <c r="Z2514" s="77" t="str">
        <f>HYPERLINK("https://twitter.com/jewelnadua/status/1620985649997426690")</f>
        <v>https://twitter.com/jewelnadua/status/1620985649997426690</v>
      </c>
      <c r="AC2514" s="78" t="s">
        <v>4265</v>
      </c>
      <c r="AE2514" t="b">
        <v>0</v>
      </c>
      <c r="AF2514">
        <v>0</v>
      </c>
      <c r="AG2514" s="78" t="s">
        <v>4640</v>
      </c>
      <c r="AH2514" t="b">
        <v>0</v>
      </c>
      <c r="AI2514" t="s">
        <v>4829</v>
      </c>
      <c r="AK2514" s="78" t="s">
        <v>4640</v>
      </c>
      <c r="AL2514" t="b">
        <v>0</v>
      </c>
      <c r="AM2514">
        <v>162</v>
      </c>
      <c r="AN2514" s="78" t="s">
        <v>4473</v>
      </c>
      <c r="AO2514" s="78" t="s">
        <v>4849</v>
      </c>
      <c r="AP2514" t="b">
        <v>0</v>
      </c>
      <c r="AQ2514" s="78" t="s">
        <v>4473</v>
      </c>
      <c r="AR2514" t="s">
        <v>179</v>
      </c>
      <c r="AS2514">
        <v>0</v>
      </c>
      <c r="AT2514">
        <v>0</v>
      </c>
    </row>
    <row r="2515" spans="1:46" x14ac:dyDescent="0.45">
      <c r="A2515" s="62" t="s">
        <v>932</v>
      </c>
      <c r="B2515" s="62" t="s">
        <v>242</v>
      </c>
      <c r="C2515" s="63"/>
      <c r="D2515" s="64"/>
      <c r="E2515" s="65"/>
      <c r="F2515" s="66"/>
      <c r="G2515" s="63"/>
      <c r="H2515" s="67"/>
      <c r="I2515" s="68"/>
      <c r="J2515" s="68"/>
      <c r="K2515" s="32"/>
      <c r="L2515" s="75"/>
      <c r="M2515" s="75"/>
      <c r="N2515" s="70"/>
      <c r="O2515" t="s">
        <v>1569</v>
      </c>
      <c r="P2515" s="76">
        <v>44959.139699074076</v>
      </c>
      <c r="Q2515" t="s">
        <v>1693</v>
      </c>
      <c r="V2515" s="77" t="str">
        <f>HYPERLINK("https://pbs.twimg.com/profile_images/1502244913701801991/l_pJm4Di_normal.jpg")</f>
        <v>https://pbs.twimg.com/profile_images/1502244913701801991/l_pJm4Di_normal.jpg</v>
      </c>
      <c r="W2515" s="76">
        <v>44959.139699074076</v>
      </c>
      <c r="X2515" s="80">
        <v>44959</v>
      </c>
      <c r="Y2515" s="78" t="s">
        <v>3200</v>
      </c>
      <c r="Z2515" s="77" t="str">
        <f>HYPERLINK("https://twitter.com/jewelnadua/status/1620985649997426690")</f>
        <v>https://twitter.com/jewelnadua/status/1620985649997426690</v>
      </c>
      <c r="AC2515" s="78" t="s">
        <v>4265</v>
      </c>
      <c r="AE2515" t="b">
        <v>0</v>
      </c>
      <c r="AF2515">
        <v>0</v>
      </c>
      <c r="AG2515" s="78" t="s">
        <v>4640</v>
      </c>
      <c r="AH2515" t="b">
        <v>0</v>
      </c>
      <c r="AI2515" t="s">
        <v>4829</v>
      </c>
      <c r="AK2515" s="78" t="s">
        <v>4640</v>
      </c>
      <c r="AL2515" t="b">
        <v>0</v>
      </c>
      <c r="AM2515">
        <v>162</v>
      </c>
      <c r="AN2515" s="78" t="s">
        <v>4473</v>
      </c>
      <c r="AO2515" s="78" t="s">
        <v>4849</v>
      </c>
      <c r="AP2515" t="b">
        <v>0</v>
      </c>
      <c r="AQ2515" s="78" t="s">
        <v>4473</v>
      </c>
      <c r="AR2515" t="s">
        <v>179</v>
      </c>
      <c r="AS2515">
        <v>0</v>
      </c>
      <c r="AT2515">
        <v>0</v>
      </c>
    </row>
    <row r="2516" spans="1:46" x14ac:dyDescent="0.45">
      <c r="A2516" s="62" t="s">
        <v>933</v>
      </c>
      <c r="B2516" s="62" t="s">
        <v>1230</v>
      </c>
      <c r="C2516" s="63"/>
      <c r="D2516" s="64"/>
      <c r="E2516" s="65"/>
      <c r="F2516" s="66"/>
      <c r="G2516" s="63"/>
      <c r="H2516" s="67"/>
      <c r="I2516" s="68"/>
      <c r="J2516" s="68"/>
      <c r="K2516" s="32"/>
      <c r="L2516" s="75"/>
      <c r="M2516" s="75"/>
      <c r="N2516" s="70"/>
      <c r="O2516" t="s">
        <v>1570</v>
      </c>
      <c r="P2516" s="76">
        <v>44959.139780092592</v>
      </c>
      <c r="Q2516" t="s">
        <v>1693</v>
      </c>
      <c r="V2516" s="77" t="str">
        <f>HYPERLINK("https://pbs.twimg.com/profile_images/1555054156540428288/W1OtUil1_normal.jpg")</f>
        <v>https://pbs.twimg.com/profile_images/1555054156540428288/W1OtUil1_normal.jpg</v>
      </c>
      <c r="W2516" s="76">
        <v>44959.139780092592</v>
      </c>
      <c r="X2516" s="80">
        <v>44959</v>
      </c>
      <c r="Y2516" s="78" t="s">
        <v>3201</v>
      </c>
      <c r="Z2516" s="77" t="str">
        <f>HYPERLINK("https://twitter.com/luisfgalicia/status/1620985682662690818")</f>
        <v>https://twitter.com/luisfgalicia/status/1620985682662690818</v>
      </c>
      <c r="AC2516" s="78" t="s">
        <v>4266</v>
      </c>
      <c r="AE2516" t="b">
        <v>0</v>
      </c>
      <c r="AF2516">
        <v>0</v>
      </c>
      <c r="AG2516" s="78" t="s">
        <v>4640</v>
      </c>
      <c r="AH2516" t="b">
        <v>0</v>
      </c>
      <c r="AI2516" t="s">
        <v>4829</v>
      </c>
      <c r="AK2516" s="78" t="s">
        <v>4640</v>
      </c>
      <c r="AL2516" t="b">
        <v>0</v>
      </c>
      <c r="AM2516">
        <v>162</v>
      </c>
      <c r="AN2516" s="78" t="s">
        <v>4473</v>
      </c>
      <c r="AO2516" s="78" t="s">
        <v>4849</v>
      </c>
      <c r="AP2516" t="b">
        <v>0</v>
      </c>
      <c r="AQ2516" s="78" t="s">
        <v>4473</v>
      </c>
      <c r="AR2516" t="s">
        <v>179</v>
      </c>
      <c r="AS2516">
        <v>0</v>
      </c>
      <c r="AT2516">
        <v>0</v>
      </c>
    </row>
    <row r="2517" spans="1:46" x14ac:dyDescent="0.45">
      <c r="A2517" s="62" t="s">
        <v>933</v>
      </c>
      <c r="B2517" s="62" t="s">
        <v>242</v>
      </c>
      <c r="C2517" s="63"/>
      <c r="D2517" s="64"/>
      <c r="E2517" s="65"/>
      <c r="F2517" s="66"/>
      <c r="G2517" s="63"/>
      <c r="H2517" s="67"/>
      <c r="I2517" s="68"/>
      <c r="J2517" s="68"/>
      <c r="K2517" s="32"/>
      <c r="L2517" s="75"/>
      <c r="M2517" s="75"/>
      <c r="N2517" s="70"/>
      <c r="O2517" t="s">
        <v>1569</v>
      </c>
      <c r="P2517" s="76">
        <v>44959.139780092592</v>
      </c>
      <c r="Q2517" t="s">
        <v>1693</v>
      </c>
      <c r="V2517" s="77" t="str">
        <f>HYPERLINK("https://pbs.twimg.com/profile_images/1555054156540428288/W1OtUil1_normal.jpg")</f>
        <v>https://pbs.twimg.com/profile_images/1555054156540428288/W1OtUil1_normal.jpg</v>
      </c>
      <c r="W2517" s="76">
        <v>44959.139780092592</v>
      </c>
      <c r="X2517" s="80">
        <v>44959</v>
      </c>
      <c r="Y2517" s="78" t="s">
        <v>3201</v>
      </c>
      <c r="Z2517" s="77" t="str">
        <f>HYPERLINK("https://twitter.com/luisfgalicia/status/1620985682662690818")</f>
        <v>https://twitter.com/luisfgalicia/status/1620985682662690818</v>
      </c>
      <c r="AC2517" s="78" t="s">
        <v>4266</v>
      </c>
      <c r="AE2517" t="b">
        <v>0</v>
      </c>
      <c r="AF2517">
        <v>0</v>
      </c>
      <c r="AG2517" s="78" t="s">
        <v>4640</v>
      </c>
      <c r="AH2517" t="b">
        <v>0</v>
      </c>
      <c r="AI2517" t="s">
        <v>4829</v>
      </c>
      <c r="AK2517" s="78" t="s">
        <v>4640</v>
      </c>
      <c r="AL2517" t="b">
        <v>0</v>
      </c>
      <c r="AM2517">
        <v>162</v>
      </c>
      <c r="AN2517" s="78" t="s">
        <v>4473</v>
      </c>
      <c r="AO2517" s="78" t="s">
        <v>4849</v>
      </c>
      <c r="AP2517" t="b">
        <v>0</v>
      </c>
      <c r="AQ2517" s="78" t="s">
        <v>4473</v>
      </c>
      <c r="AR2517" t="s">
        <v>179</v>
      </c>
      <c r="AS2517">
        <v>0</v>
      </c>
      <c r="AT2517">
        <v>0</v>
      </c>
    </row>
    <row r="2518" spans="1:46" x14ac:dyDescent="0.45">
      <c r="A2518" s="62" t="s">
        <v>935</v>
      </c>
      <c r="B2518" s="62" t="s">
        <v>1230</v>
      </c>
      <c r="C2518" s="63"/>
      <c r="D2518" s="64"/>
      <c r="E2518" s="65"/>
      <c r="F2518" s="66"/>
      <c r="G2518" s="63"/>
      <c r="H2518" s="67"/>
      <c r="I2518" s="68"/>
      <c r="J2518" s="68"/>
      <c r="K2518" s="32"/>
      <c r="L2518" s="75"/>
      <c r="M2518" s="75"/>
      <c r="N2518" s="70"/>
      <c r="O2518" t="s">
        <v>1570</v>
      </c>
      <c r="P2518" s="76">
        <v>44959.155289351853</v>
      </c>
      <c r="Q2518" t="s">
        <v>1693</v>
      </c>
      <c r="V2518" s="77" t="str">
        <f>HYPERLINK("https://pbs.twimg.com/profile_images/1496731250874322946/oGeAir5o_normal.jpg")</f>
        <v>https://pbs.twimg.com/profile_images/1496731250874322946/oGeAir5o_normal.jpg</v>
      </c>
      <c r="W2518" s="76">
        <v>44959.155289351853</v>
      </c>
      <c r="X2518" s="80">
        <v>44959</v>
      </c>
      <c r="Y2518" s="78" t="s">
        <v>3203</v>
      </c>
      <c r="Z2518" s="77" t="str">
        <f>HYPERLINK("https://twitter.com/imdanian/status/1620991302933577728")</f>
        <v>https://twitter.com/imdanian/status/1620991302933577728</v>
      </c>
      <c r="AC2518" s="78" t="s">
        <v>4268</v>
      </c>
      <c r="AE2518" t="b">
        <v>0</v>
      </c>
      <c r="AF2518">
        <v>0</v>
      </c>
      <c r="AG2518" s="78" t="s">
        <v>4640</v>
      </c>
      <c r="AH2518" t="b">
        <v>0</v>
      </c>
      <c r="AI2518" t="s">
        <v>4829</v>
      </c>
      <c r="AK2518" s="78" t="s">
        <v>4640</v>
      </c>
      <c r="AL2518" t="b">
        <v>0</v>
      </c>
      <c r="AM2518">
        <v>162</v>
      </c>
      <c r="AN2518" s="78" t="s">
        <v>4473</v>
      </c>
      <c r="AO2518" s="78" t="s">
        <v>4849</v>
      </c>
      <c r="AP2518" t="b">
        <v>0</v>
      </c>
      <c r="AQ2518" s="78" t="s">
        <v>4473</v>
      </c>
      <c r="AR2518" t="s">
        <v>179</v>
      </c>
      <c r="AS2518">
        <v>0</v>
      </c>
      <c r="AT2518">
        <v>0</v>
      </c>
    </row>
    <row r="2519" spans="1:46" x14ac:dyDescent="0.45">
      <c r="A2519" s="62" t="s">
        <v>935</v>
      </c>
      <c r="B2519" s="62" t="s">
        <v>242</v>
      </c>
      <c r="C2519" s="63"/>
      <c r="D2519" s="64"/>
      <c r="E2519" s="65"/>
      <c r="F2519" s="66"/>
      <c r="G2519" s="63"/>
      <c r="H2519" s="67"/>
      <c r="I2519" s="68"/>
      <c r="J2519" s="68"/>
      <c r="K2519" s="32"/>
      <c r="L2519" s="75"/>
      <c r="M2519" s="75"/>
      <c r="N2519" s="70"/>
      <c r="O2519" t="s">
        <v>1569</v>
      </c>
      <c r="P2519" s="76">
        <v>44959.155289351853</v>
      </c>
      <c r="Q2519" t="s">
        <v>1693</v>
      </c>
      <c r="V2519" s="77" t="str">
        <f>HYPERLINK("https://pbs.twimg.com/profile_images/1496731250874322946/oGeAir5o_normal.jpg")</f>
        <v>https://pbs.twimg.com/profile_images/1496731250874322946/oGeAir5o_normal.jpg</v>
      </c>
      <c r="W2519" s="76">
        <v>44959.155289351853</v>
      </c>
      <c r="X2519" s="80">
        <v>44959</v>
      </c>
      <c r="Y2519" s="78" t="s">
        <v>3203</v>
      </c>
      <c r="Z2519" s="77" t="str">
        <f>HYPERLINK("https://twitter.com/imdanian/status/1620991302933577728")</f>
        <v>https://twitter.com/imdanian/status/1620991302933577728</v>
      </c>
      <c r="AC2519" s="78" t="s">
        <v>4268</v>
      </c>
      <c r="AE2519" t="b">
        <v>0</v>
      </c>
      <c r="AF2519">
        <v>0</v>
      </c>
      <c r="AG2519" s="78" t="s">
        <v>4640</v>
      </c>
      <c r="AH2519" t="b">
        <v>0</v>
      </c>
      <c r="AI2519" t="s">
        <v>4829</v>
      </c>
      <c r="AK2519" s="78" t="s">
        <v>4640</v>
      </c>
      <c r="AL2519" t="b">
        <v>0</v>
      </c>
      <c r="AM2519">
        <v>162</v>
      </c>
      <c r="AN2519" s="78" t="s">
        <v>4473</v>
      </c>
      <c r="AO2519" s="78" t="s">
        <v>4849</v>
      </c>
      <c r="AP2519" t="b">
        <v>0</v>
      </c>
      <c r="AQ2519" s="78" t="s">
        <v>4473</v>
      </c>
      <c r="AR2519" t="s">
        <v>179</v>
      </c>
      <c r="AS2519">
        <v>0</v>
      </c>
      <c r="AT2519">
        <v>0</v>
      </c>
    </row>
    <row r="2520" spans="1:46" x14ac:dyDescent="0.45">
      <c r="A2520" s="62" t="s">
        <v>935</v>
      </c>
      <c r="B2520" s="62" t="s">
        <v>1230</v>
      </c>
      <c r="C2520" s="63"/>
      <c r="D2520" s="64"/>
      <c r="E2520" s="65"/>
      <c r="F2520" s="66"/>
      <c r="G2520" s="63"/>
      <c r="H2520" s="67"/>
      <c r="I2520" s="68"/>
      <c r="J2520" s="68"/>
      <c r="K2520" s="32"/>
      <c r="L2520" s="75"/>
      <c r="M2520" s="75"/>
      <c r="N2520" s="70"/>
      <c r="O2520" t="s">
        <v>1568</v>
      </c>
      <c r="P2520" s="76">
        <v>44959.155509259261</v>
      </c>
      <c r="Q2520" t="s">
        <v>2093</v>
      </c>
      <c r="V2520" s="77" t="str">
        <f>HYPERLINK("https://pbs.twimg.com/profile_images/1496731250874322946/oGeAir5o_normal.jpg")</f>
        <v>https://pbs.twimg.com/profile_images/1496731250874322946/oGeAir5o_normal.jpg</v>
      </c>
      <c r="W2520" s="76">
        <v>44959.155509259261</v>
      </c>
      <c r="X2520" s="80">
        <v>44959</v>
      </c>
      <c r="Y2520" s="78" t="s">
        <v>3204</v>
      </c>
      <c r="Z2520" s="77" t="str">
        <f>HYPERLINK("https://twitter.com/imdanian/status/1620991381593559042")</f>
        <v>https://twitter.com/imdanian/status/1620991381593559042</v>
      </c>
      <c r="AC2520" s="78" t="s">
        <v>4269</v>
      </c>
      <c r="AD2520" s="78" t="s">
        <v>4473</v>
      </c>
      <c r="AE2520" t="b">
        <v>0</v>
      </c>
      <c r="AF2520">
        <v>0</v>
      </c>
      <c r="AG2520" s="78" t="s">
        <v>4639</v>
      </c>
      <c r="AH2520" t="b">
        <v>0</v>
      </c>
      <c r="AI2520" t="s">
        <v>4829</v>
      </c>
      <c r="AK2520" s="78" t="s">
        <v>4640</v>
      </c>
      <c r="AL2520" t="b">
        <v>0</v>
      </c>
      <c r="AM2520">
        <v>0</v>
      </c>
      <c r="AN2520" s="78" t="s">
        <v>4640</v>
      </c>
      <c r="AO2520" s="78" t="s">
        <v>4849</v>
      </c>
      <c r="AP2520" t="b">
        <v>0</v>
      </c>
      <c r="AQ2520" s="78" t="s">
        <v>4473</v>
      </c>
      <c r="AR2520" t="s">
        <v>179</v>
      </c>
      <c r="AS2520">
        <v>0</v>
      </c>
      <c r="AT2520">
        <v>0</v>
      </c>
    </row>
    <row r="2521" spans="1:46" x14ac:dyDescent="0.45">
      <c r="A2521" s="62" t="s">
        <v>935</v>
      </c>
      <c r="B2521" s="62" t="s">
        <v>242</v>
      </c>
      <c r="C2521" s="63"/>
      <c r="D2521" s="64"/>
      <c r="E2521" s="65"/>
      <c r="F2521" s="66"/>
      <c r="G2521" s="63"/>
      <c r="H2521" s="67"/>
      <c r="I2521" s="68"/>
      <c r="J2521" s="68"/>
      <c r="K2521" s="32"/>
      <c r="L2521" s="75"/>
      <c r="M2521" s="75"/>
      <c r="N2521" s="70"/>
      <c r="O2521" t="s">
        <v>1567</v>
      </c>
      <c r="P2521" s="76">
        <v>44959.155509259261</v>
      </c>
      <c r="Q2521" t="s">
        <v>2093</v>
      </c>
      <c r="V2521" s="77" t="str">
        <f>HYPERLINK("https://pbs.twimg.com/profile_images/1496731250874322946/oGeAir5o_normal.jpg")</f>
        <v>https://pbs.twimg.com/profile_images/1496731250874322946/oGeAir5o_normal.jpg</v>
      </c>
      <c r="W2521" s="76">
        <v>44959.155509259261</v>
      </c>
      <c r="X2521" s="80">
        <v>44959</v>
      </c>
      <c r="Y2521" s="78" t="s">
        <v>3204</v>
      </c>
      <c r="Z2521" s="77" t="str">
        <f>HYPERLINK("https://twitter.com/imdanian/status/1620991381593559042")</f>
        <v>https://twitter.com/imdanian/status/1620991381593559042</v>
      </c>
      <c r="AC2521" s="78" t="s">
        <v>4269</v>
      </c>
      <c r="AD2521" s="78" t="s">
        <v>4473</v>
      </c>
      <c r="AE2521" t="b">
        <v>0</v>
      </c>
      <c r="AF2521">
        <v>0</v>
      </c>
      <c r="AG2521" s="78" t="s">
        <v>4639</v>
      </c>
      <c r="AH2521" t="b">
        <v>0</v>
      </c>
      <c r="AI2521" t="s">
        <v>4829</v>
      </c>
      <c r="AK2521" s="78" t="s">
        <v>4640</v>
      </c>
      <c r="AL2521" t="b">
        <v>0</v>
      </c>
      <c r="AM2521">
        <v>0</v>
      </c>
      <c r="AN2521" s="78" t="s">
        <v>4640</v>
      </c>
      <c r="AO2521" s="78" t="s">
        <v>4849</v>
      </c>
      <c r="AP2521" t="b">
        <v>0</v>
      </c>
      <c r="AQ2521" s="78" t="s">
        <v>4473</v>
      </c>
      <c r="AR2521" t="s">
        <v>179</v>
      </c>
      <c r="AS2521">
        <v>0</v>
      </c>
      <c r="AT2521">
        <v>0</v>
      </c>
    </row>
    <row r="2522" spans="1:46" x14ac:dyDescent="0.45">
      <c r="A2522" s="62" t="s">
        <v>936</v>
      </c>
      <c r="B2522" s="62" t="s">
        <v>242</v>
      </c>
      <c r="C2522" s="63"/>
      <c r="D2522" s="64"/>
      <c r="E2522" s="65"/>
      <c r="F2522" s="66"/>
      <c r="G2522" s="63"/>
      <c r="H2522" s="67"/>
      <c r="I2522" s="68"/>
      <c r="J2522" s="68"/>
      <c r="K2522" s="32"/>
      <c r="L2522" s="75"/>
      <c r="M2522" s="75"/>
      <c r="N2522" s="70"/>
      <c r="O2522" t="s">
        <v>1568</v>
      </c>
      <c r="P2522" s="76">
        <v>44959.138460648152</v>
      </c>
      <c r="Q2522" t="s">
        <v>2094</v>
      </c>
      <c r="V2522" s="77" t="str">
        <f>HYPERLINK("https://pbs.twimg.com/profile_images/1571215858843717633/dNB3EiB6_normal.jpg")</f>
        <v>https://pbs.twimg.com/profile_images/1571215858843717633/dNB3EiB6_normal.jpg</v>
      </c>
      <c r="W2522" s="76">
        <v>44959.138460648152</v>
      </c>
      <c r="X2522" s="80">
        <v>44959</v>
      </c>
      <c r="Y2522" s="78" t="s">
        <v>3205</v>
      </c>
      <c r="Z2522" s="77" t="str">
        <f>HYPERLINK("https://twitter.com/schlottgsarah/status/1620985203085950976")</f>
        <v>https://twitter.com/schlottgsarah/status/1620985203085950976</v>
      </c>
      <c r="AC2522" s="78" t="s">
        <v>4270</v>
      </c>
      <c r="AD2522" s="78" t="s">
        <v>4272</v>
      </c>
      <c r="AE2522" t="b">
        <v>0</v>
      </c>
      <c r="AF2522">
        <v>0</v>
      </c>
      <c r="AG2522" s="78" t="s">
        <v>4772</v>
      </c>
      <c r="AH2522" t="b">
        <v>0</v>
      </c>
      <c r="AI2522" t="s">
        <v>4829</v>
      </c>
      <c r="AK2522" s="78" t="s">
        <v>4640</v>
      </c>
      <c r="AL2522" t="b">
        <v>0</v>
      </c>
      <c r="AM2522">
        <v>0</v>
      </c>
      <c r="AN2522" s="78" t="s">
        <v>4640</v>
      </c>
      <c r="AO2522" s="78" t="s">
        <v>4851</v>
      </c>
      <c r="AP2522" t="b">
        <v>0</v>
      </c>
      <c r="AQ2522" s="78" t="s">
        <v>4272</v>
      </c>
      <c r="AR2522" t="s">
        <v>179</v>
      </c>
      <c r="AS2522">
        <v>0</v>
      </c>
      <c r="AT2522">
        <v>0</v>
      </c>
    </row>
    <row r="2523" spans="1:46" x14ac:dyDescent="0.45">
      <c r="A2523" s="62" t="s">
        <v>936</v>
      </c>
      <c r="B2523" s="62" t="s">
        <v>937</v>
      </c>
      <c r="C2523" s="63"/>
      <c r="D2523" s="64"/>
      <c r="E2523" s="65"/>
      <c r="F2523" s="66"/>
      <c r="G2523" s="63"/>
      <c r="H2523" s="67"/>
      <c r="I2523" s="68"/>
      <c r="J2523" s="68"/>
      <c r="K2523" s="32"/>
      <c r="L2523" s="75"/>
      <c r="M2523" s="75"/>
      <c r="N2523" s="70"/>
      <c r="O2523" t="s">
        <v>1567</v>
      </c>
      <c r="P2523" s="76">
        <v>44959.138460648152</v>
      </c>
      <c r="Q2523" t="s">
        <v>2094</v>
      </c>
      <c r="V2523" s="77" t="str">
        <f>HYPERLINK("https://pbs.twimg.com/profile_images/1571215858843717633/dNB3EiB6_normal.jpg")</f>
        <v>https://pbs.twimg.com/profile_images/1571215858843717633/dNB3EiB6_normal.jpg</v>
      </c>
      <c r="W2523" s="76">
        <v>44959.138460648152</v>
      </c>
      <c r="X2523" s="80">
        <v>44959</v>
      </c>
      <c r="Y2523" s="78" t="s">
        <v>3205</v>
      </c>
      <c r="Z2523" s="77" t="str">
        <f>HYPERLINK("https://twitter.com/schlottgsarah/status/1620985203085950976")</f>
        <v>https://twitter.com/schlottgsarah/status/1620985203085950976</v>
      </c>
      <c r="AC2523" s="78" t="s">
        <v>4270</v>
      </c>
      <c r="AD2523" s="78" t="s">
        <v>4272</v>
      </c>
      <c r="AE2523" t="b">
        <v>0</v>
      </c>
      <c r="AF2523">
        <v>0</v>
      </c>
      <c r="AG2523" s="78" t="s">
        <v>4772</v>
      </c>
      <c r="AH2523" t="b">
        <v>0</v>
      </c>
      <c r="AI2523" t="s">
        <v>4829</v>
      </c>
      <c r="AK2523" s="78" t="s">
        <v>4640</v>
      </c>
      <c r="AL2523" t="b">
        <v>0</v>
      </c>
      <c r="AM2523">
        <v>0</v>
      </c>
      <c r="AN2523" s="78" t="s">
        <v>4640</v>
      </c>
      <c r="AO2523" s="78" t="s">
        <v>4851</v>
      </c>
      <c r="AP2523" t="b">
        <v>0</v>
      </c>
      <c r="AQ2523" s="78" t="s">
        <v>4272</v>
      </c>
      <c r="AR2523" t="s">
        <v>179</v>
      </c>
      <c r="AS2523">
        <v>0</v>
      </c>
      <c r="AT2523">
        <v>0</v>
      </c>
    </row>
    <row r="2524" spans="1:46" x14ac:dyDescent="0.45">
      <c r="A2524" s="62" t="s">
        <v>936</v>
      </c>
      <c r="B2524" s="62" t="s">
        <v>242</v>
      </c>
      <c r="C2524" s="63"/>
      <c r="D2524" s="64"/>
      <c r="E2524" s="65"/>
      <c r="F2524" s="66"/>
      <c r="G2524" s="63"/>
      <c r="H2524" s="67"/>
      <c r="I2524" s="68"/>
      <c r="J2524" s="68"/>
      <c r="K2524" s="32"/>
      <c r="L2524" s="75"/>
      <c r="M2524" s="75"/>
      <c r="N2524" s="70"/>
      <c r="O2524" t="s">
        <v>1568</v>
      </c>
      <c r="P2524" s="76">
        <v>44959.154861111114</v>
      </c>
      <c r="Q2524" t="s">
        <v>2095</v>
      </c>
      <c r="V2524" s="77" t="str">
        <f>HYPERLINK("https://pbs.twimg.com/profile_images/1571215858843717633/dNB3EiB6_normal.jpg")</f>
        <v>https://pbs.twimg.com/profile_images/1571215858843717633/dNB3EiB6_normal.jpg</v>
      </c>
      <c r="W2524" s="76">
        <v>44959.154861111114</v>
      </c>
      <c r="X2524" s="80">
        <v>44959</v>
      </c>
      <c r="Y2524" s="78" t="s">
        <v>3206</v>
      </c>
      <c r="Z2524" s="77" t="str">
        <f>HYPERLINK("https://twitter.com/schlottgsarah/status/1620991148096626690")</f>
        <v>https://twitter.com/schlottgsarah/status/1620991148096626690</v>
      </c>
      <c r="AC2524" s="78" t="s">
        <v>4271</v>
      </c>
      <c r="AD2524" s="78" t="s">
        <v>4273</v>
      </c>
      <c r="AE2524" t="b">
        <v>0</v>
      </c>
      <c r="AF2524">
        <v>0</v>
      </c>
      <c r="AG2524" s="78" t="s">
        <v>4772</v>
      </c>
      <c r="AH2524" t="b">
        <v>0</v>
      </c>
      <c r="AI2524" t="s">
        <v>4829</v>
      </c>
      <c r="AK2524" s="78" t="s">
        <v>4640</v>
      </c>
      <c r="AL2524" t="b">
        <v>0</v>
      </c>
      <c r="AM2524">
        <v>0</v>
      </c>
      <c r="AN2524" s="78" t="s">
        <v>4640</v>
      </c>
      <c r="AO2524" s="78" t="s">
        <v>4851</v>
      </c>
      <c r="AP2524" t="b">
        <v>0</v>
      </c>
      <c r="AQ2524" s="78" t="s">
        <v>4273</v>
      </c>
      <c r="AR2524" t="s">
        <v>179</v>
      </c>
      <c r="AS2524">
        <v>0</v>
      </c>
      <c r="AT2524">
        <v>0</v>
      </c>
    </row>
    <row r="2525" spans="1:46" x14ac:dyDescent="0.45">
      <c r="A2525" s="62" t="s">
        <v>936</v>
      </c>
      <c r="B2525" s="62" t="s">
        <v>937</v>
      </c>
      <c r="C2525" s="63"/>
      <c r="D2525" s="64"/>
      <c r="E2525" s="65"/>
      <c r="F2525" s="66"/>
      <c r="G2525" s="63"/>
      <c r="H2525" s="67"/>
      <c r="I2525" s="68"/>
      <c r="J2525" s="68"/>
      <c r="K2525" s="32"/>
      <c r="L2525" s="75"/>
      <c r="M2525" s="75"/>
      <c r="N2525" s="70"/>
      <c r="O2525" t="s">
        <v>1567</v>
      </c>
      <c r="P2525" s="76">
        <v>44959.154861111114</v>
      </c>
      <c r="Q2525" t="s">
        <v>2095</v>
      </c>
      <c r="V2525" s="77" t="str">
        <f>HYPERLINK("https://pbs.twimg.com/profile_images/1571215858843717633/dNB3EiB6_normal.jpg")</f>
        <v>https://pbs.twimg.com/profile_images/1571215858843717633/dNB3EiB6_normal.jpg</v>
      </c>
      <c r="W2525" s="76">
        <v>44959.154861111114</v>
      </c>
      <c r="X2525" s="80">
        <v>44959</v>
      </c>
      <c r="Y2525" s="78" t="s">
        <v>3206</v>
      </c>
      <c r="Z2525" s="77" t="str">
        <f>HYPERLINK("https://twitter.com/schlottgsarah/status/1620991148096626690")</f>
        <v>https://twitter.com/schlottgsarah/status/1620991148096626690</v>
      </c>
      <c r="AC2525" s="78" t="s">
        <v>4271</v>
      </c>
      <c r="AD2525" s="78" t="s">
        <v>4273</v>
      </c>
      <c r="AE2525" t="b">
        <v>0</v>
      </c>
      <c r="AF2525">
        <v>0</v>
      </c>
      <c r="AG2525" s="78" t="s">
        <v>4772</v>
      </c>
      <c r="AH2525" t="b">
        <v>0</v>
      </c>
      <c r="AI2525" t="s">
        <v>4829</v>
      </c>
      <c r="AK2525" s="78" t="s">
        <v>4640</v>
      </c>
      <c r="AL2525" t="b">
        <v>0</v>
      </c>
      <c r="AM2525">
        <v>0</v>
      </c>
      <c r="AN2525" s="78" t="s">
        <v>4640</v>
      </c>
      <c r="AO2525" s="78" t="s">
        <v>4851</v>
      </c>
      <c r="AP2525" t="b">
        <v>0</v>
      </c>
      <c r="AQ2525" s="78" t="s">
        <v>4273</v>
      </c>
      <c r="AR2525" t="s">
        <v>179</v>
      </c>
      <c r="AS2525">
        <v>0</v>
      </c>
      <c r="AT2525">
        <v>0</v>
      </c>
    </row>
    <row r="2526" spans="1:46" x14ac:dyDescent="0.45">
      <c r="A2526" s="62" t="s">
        <v>937</v>
      </c>
      <c r="B2526" s="62" t="s">
        <v>936</v>
      </c>
      <c r="C2526" s="63"/>
      <c r="D2526" s="64"/>
      <c r="E2526" s="65"/>
      <c r="F2526" s="66"/>
      <c r="G2526" s="63"/>
      <c r="H2526" s="67"/>
      <c r="I2526" s="68"/>
      <c r="J2526" s="68"/>
      <c r="K2526" s="32"/>
      <c r="L2526" s="75"/>
      <c r="M2526" s="75"/>
      <c r="N2526" s="70"/>
      <c r="O2526" t="s">
        <v>1567</v>
      </c>
      <c r="P2526" s="76">
        <v>44959.129629629628</v>
      </c>
      <c r="Q2526" t="s">
        <v>2096</v>
      </c>
      <c r="V2526" s="77" t="str">
        <f>HYPERLINK("https://pbs.twimg.com/profile_images/1589799915936415744/3C1bghAh_normal.jpg")</f>
        <v>https://pbs.twimg.com/profile_images/1589799915936415744/3C1bghAh_normal.jpg</v>
      </c>
      <c r="W2526" s="76">
        <v>44959.129629629628</v>
      </c>
      <c r="X2526" s="80">
        <v>44959</v>
      </c>
      <c r="Y2526" s="78" t="s">
        <v>3207</v>
      </c>
      <c r="Z2526" s="77" t="str">
        <f>HYPERLINK("https://twitter.com/ellydelacruz22/status/1620982004690075649")</f>
        <v>https://twitter.com/ellydelacruz22/status/1620982004690075649</v>
      </c>
      <c r="AC2526" s="78" t="s">
        <v>4272</v>
      </c>
      <c r="AD2526" s="78" t="s">
        <v>4597</v>
      </c>
      <c r="AE2526" t="b">
        <v>0</v>
      </c>
      <c r="AF2526">
        <v>0</v>
      </c>
      <c r="AG2526" s="78" t="s">
        <v>4773</v>
      </c>
      <c r="AH2526" t="b">
        <v>0</v>
      </c>
      <c r="AI2526" t="s">
        <v>4829</v>
      </c>
      <c r="AK2526" s="78" t="s">
        <v>4640</v>
      </c>
      <c r="AL2526" t="b">
        <v>0</v>
      </c>
      <c r="AM2526">
        <v>0</v>
      </c>
      <c r="AN2526" s="78" t="s">
        <v>4640</v>
      </c>
      <c r="AO2526" s="78" t="s">
        <v>4849</v>
      </c>
      <c r="AP2526" t="b">
        <v>0</v>
      </c>
      <c r="AQ2526" s="78" t="s">
        <v>4597</v>
      </c>
      <c r="AR2526" t="s">
        <v>179</v>
      </c>
      <c r="AS2526">
        <v>0</v>
      </c>
      <c r="AT2526">
        <v>0</v>
      </c>
    </row>
    <row r="2527" spans="1:46" x14ac:dyDescent="0.45">
      <c r="A2527" s="62" t="s">
        <v>937</v>
      </c>
      <c r="B2527" s="62" t="s">
        <v>936</v>
      </c>
      <c r="C2527" s="63"/>
      <c r="D2527" s="64"/>
      <c r="E2527" s="65"/>
      <c r="F2527" s="66"/>
      <c r="G2527" s="63"/>
      <c r="H2527" s="67"/>
      <c r="I2527" s="68"/>
      <c r="J2527" s="68"/>
      <c r="K2527" s="32"/>
      <c r="L2527" s="75"/>
      <c r="M2527" s="75"/>
      <c r="N2527" s="70"/>
      <c r="O2527" t="s">
        <v>1567</v>
      </c>
      <c r="P2527" s="76">
        <v>44959.148854166669</v>
      </c>
      <c r="Q2527" t="s">
        <v>2097</v>
      </c>
      <c r="V2527" s="77" t="str">
        <f>HYPERLINK("https://pbs.twimg.com/profile_images/1589799915936415744/3C1bghAh_normal.jpg")</f>
        <v>https://pbs.twimg.com/profile_images/1589799915936415744/3C1bghAh_normal.jpg</v>
      </c>
      <c r="W2527" s="76">
        <v>44959.148854166669</v>
      </c>
      <c r="X2527" s="80">
        <v>44959</v>
      </c>
      <c r="Y2527" s="78" t="s">
        <v>3208</v>
      </c>
      <c r="Z2527" s="77" t="str">
        <f>HYPERLINK("https://twitter.com/ellydelacruz22/status/1620988968165863426")</f>
        <v>https://twitter.com/ellydelacruz22/status/1620988968165863426</v>
      </c>
      <c r="AC2527" s="78" t="s">
        <v>4273</v>
      </c>
      <c r="AD2527" s="78" t="s">
        <v>4270</v>
      </c>
      <c r="AE2527" t="b">
        <v>0</v>
      </c>
      <c r="AF2527">
        <v>0</v>
      </c>
      <c r="AG2527" s="78" t="s">
        <v>4773</v>
      </c>
      <c r="AH2527" t="b">
        <v>0</v>
      </c>
      <c r="AI2527" t="s">
        <v>4829</v>
      </c>
      <c r="AK2527" s="78" t="s">
        <v>4640</v>
      </c>
      <c r="AL2527" t="b">
        <v>0</v>
      </c>
      <c r="AM2527">
        <v>0</v>
      </c>
      <c r="AN2527" s="78" t="s">
        <v>4640</v>
      </c>
      <c r="AO2527" s="78" t="s">
        <v>4849</v>
      </c>
      <c r="AP2527" t="b">
        <v>0</v>
      </c>
      <c r="AQ2527" s="78" t="s">
        <v>4270</v>
      </c>
      <c r="AR2527" t="s">
        <v>179</v>
      </c>
      <c r="AS2527">
        <v>0</v>
      </c>
      <c r="AT2527">
        <v>0</v>
      </c>
    </row>
    <row r="2528" spans="1:46" x14ac:dyDescent="0.45">
      <c r="A2528" s="62" t="s">
        <v>937</v>
      </c>
      <c r="B2528" s="62" t="s">
        <v>936</v>
      </c>
      <c r="C2528" s="63"/>
      <c r="D2528" s="64"/>
      <c r="E2528" s="65"/>
      <c r="F2528" s="66"/>
      <c r="G2528" s="63"/>
      <c r="H2528" s="67"/>
      <c r="I2528" s="68"/>
      <c r="J2528" s="68"/>
      <c r="K2528" s="32"/>
      <c r="L2528" s="75"/>
      <c r="M2528" s="75"/>
      <c r="N2528" s="70"/>
      <c r="O2528" t="s">
        <v>1567</v>
      </c>
      <c r="P2528" s="76">
        <v>44959.158819444441</v>
      </c>
      <c r="Q2528" t="s">
        <v>2098</v>
      </c>
      <c r="V2528" s="77" t="str">
        <f>HYPERLINK("https://pbs.twimg.com/profile_images/1589799915936415744/3C1bghAh_normal.jpg")</f>
        <v>https://pbs.twimg.com/profile_images/1589799915936415744/3C1bghAh_normal.jpg</v>
      </c>
      <c r="W2528" s="76">
        <v>44959.158819444441</v>
      </c>
      <c r="X2528" s="80">
        <v>44959</v>
      </c>
      <c r="Y2528" s="78" t="s">
        <v>3209</v>
      </c>
      <c r="Z2528" s="77" t="str">
        <f>HYPERLINK("https://twitter.com/ellydelacruz22/status/1620992582061854721")</f>
        <v>https://twitter.com/ellydelacruz22/status/1620992582061854721</v>
      </c>
      <c r="AC2528" s="78" t="s">
        <v>4274</v>
      </c>
      <c r="AD2528" s="78" t="s">
        <v>4271</v>
      </c>
      <c r="AE2528" t="b">
        <v>0</v>
      </c>
      <c r="AF2528">
        <v>0</v>
      </c>
      <c r="AG2528" s="78" t="s">
        <v>4773</v>
      </c>
      <c r="AH2528" t="b">
        <v>0</v>
      </c>
      <c r="AI2528" t="s">
        <v>4829</v>
      </c>
      <c r="AK2528" s="78" t="s">
        <v>4640</v>
      </c>
      <c r="AL2528" t="b">
        <v>0</v>
      </c>
      <c r="AM2528">
        <v>0</v>
      </c>
      <c r="AN2528" s="78" t="s">
        <v>4640</v>
      </c>
      <c r="AO2528" s="78" t="s">
        <v>4849</v>
      </c>
      <c r="AP2528" t="b">
        <v>0</v>
      </c>
      <c r="AQ2528" s="78" t="s">
        <v>4271</v>
      </c>
      <c r="AR2528" t="s">
        <v>179</v>
      </c>
      <c r="AS2528">
        <v>0</v>
      </c>
      <c r="AT2528">
        <v>0</v>
      </c>
    </row>
    <row r="2529" spans="1:46" x14ac:dyDescent="0.45">
      <c r="A2529" s="62" t="s">
        <v>937</v>
      </c>
      <c r="B2529" s="62" t="s">
        <v>242</v>
      </c>
      <c r="C2529" s="63"/>
      <c r="D2529" s="64"/>
      <c r="E2529" s="65"/>
      <c r="F2529" s="66"/>
      <c r="G2529" s="63"/>
      <c r="H2529" s="67"/>
      <c r="I2529" s="68"/>
      <c r="J2529" s="68"/>
      <c r="K2529" s="32"/>
      <c r="L2529" s="75"/>
      <c r="M2529" s="75"/>
      <c r="N2529" s="70"/>
      <c r="O2529" t="s">
        <v>1568</v>
      </c>
      <c r="P2529" s="76">
        <v>44959.129629629628</v>
      </c>
      <c r="Q2529" t="s">
        <v>2096</v>
      </c>
      <c r="V2529" s="77" t="str">
        <f>HYPERLINK("https://pbs.twimg.com/profile_images/1589799915936415744/3C1bghAh_normal.jpg")</f>
        <v>https://pbs.twimg.com/profile_images/1589799915936415744/3C1bghAh_normal.jpg</v>
      </c>
      <c r="W2529" s="76">
        <v>44959.129629629628</v>
      </c>
      <c r="X2529" s="80">
        <v>44959</v>
      </c>
      <c r="Y2529" s="78" t="s">
        <v>3207</v>
      </c>
      <c r="Z2529" s="77" t="str">
        <f>HYPERLINK("https://twitter.com/ellydelacruz22/status/1620982004690075649")</f>
        <v>https://twitter.com/ellydelacruz22/status/1620982004690075649</v>
      </c>
      <c r="AC2529" s="78" t="s">
        <v>4272</v>
      </c>
      <c r="AD2529" s="78" t="s">
        <v>4597</v>
      </c>
      <c r="AE2529" t="b">
        <v>0</v>
      </c>
      <c r="AF2529">
        <v>0</v>
      </c>
      <c r="AG2529" s="78" t="s">
        <v>4773</v>
      </c>
      <c r="AH2529" t="b">
        <v>0</v>
      </c>
      <c r="AI2529" t="s">
        <v>4829</v>
      </c>
      <c r="AK2529" s="78" t="s">
        <v>4640</v>
      </c>
      <c r="AL2529" t="b">
        <v>0</v>
      </c>
      <c r="AM2529">
        <v>0</v>
      </c>
      <c r="AN2529" s="78" t="s">
        <v>4640</v>
      </c>
      <c r="AO2529" s="78" t="s">
        <v>4849</v>
      </c>
      <c r="AP2529" t="b">
        <v>0</v>
      </c>
      <c r="AQ2529" s="78" t="s">
        <v>4597</v>
      </c>
      <c r="AR2529" t="s">
        <v>179</v>
      </c>
      <c r="AS2529">
        <v>0</v>
      </c>
      <c r="AT2529">
        <v>0</v>
      </c>
    </row>
    <row r="2530" spans="1:46" x14ac:dyDescent="0.45">
      <c r="A2530" s="62" t="s">
        <v>937</v>
      </c>
      <c r="B2530" s="62" t="s">
        <v>242</v>
      </c>
      <c r="C2530" s="63"/>
      <c r="D2530" s="64"/>
      <c r="E2530" s="65"/>
      <c r="F2530" s="66"/>
      <c r="G2530" s="63"/>
      <c r="H2530" s="67"/>
      <c r="I2530" s="68"/>
      <c r="J2530" s="68"/>
      <c r="K2530" s="32"/>
      <c r="L2530" s="75"/>
      <c r="M2530" s="75"/>
      <c r="N2530" s="70"/>
      <c r="O2530" t="s">
        <v>1568</v>
      </c>
      <c r="P2530" s="76">
        <v>44959.148854166669</v>
      </c>
      <c r="Q2530" t="s">
        <v>2097</v>
      </c>
      <c r="V2530" s="77" t="str">
        <f>HYPERLINK("https://pbs.twimg.com/profile_images/1589799915936415744/3C1bghAh_normal.jpg")</f>
        <v>https://pbs.twimg.com/profile_images/1589799915936415744/3C1bghAh_normal.jpg</v>
      </c>
      <c r="W2530" s="76">
        <v>44959.148854166669</v>
      </c>
      <c r="X2530" s="80">
        <v>44959</v>
      </c>
      <c r="Y2530" s="78" t="s">
        <v>3208</v>
      </c>
      <c r="Z2530" s="77" t="str">
        <f>HYPERLINK("https://twitter.com/ellydelacruz22/status/1620988968165863426")</f>
        <v>https://twitter.com/ellydelacruz22/status/1620988968165863426</v>
      </c>
      <c r="AC2530" s="78" t="s">
        <v>4273</v>
      </c>
      <c r="AD2530" s="78" t="s">
        <v>4270</v>
      </c>
      <c r="AE2530" t="b">
        <v>0</v>
      </c>
      <c r="AF2530">
        <v>0</v>
      </c>
      <c r="AG2530" s="78" t="s">
        <v>4773</v>
      </c>
      <c r="AH2530" t="b">
        <v>0</v>
      </c>
      <c r="AI2530" t="s">
        <v>4829</v>
      </c>
      <c r="AK2530" s="78" t="s">
        <v>4640</v>
      </c>
      <c r="AL2530" t="b">
        <v>0</v>
      </c>
      <c r="AM2530">
        <v>0</v>
      </c>
      <c r="AN2530" s="78" t="s">
        <v>4640</v>
      </c>
      <c r="AO2530" s="78" t="s">
        <v>4849</v>
      </c>
      <c r="AP2530" t="b">
        <v>0</v>
      </c>
      <c r="AQ2530" s="78" t="s">
        <v>4270</v>
      </c>
      <c r="AR2530" t="s">
        <v>179</v>
      </c>
      <c r="AS2530">
        <v>0</v>
      </c>
      <c r="AT2530">
        <v>0</v>
      </c>
    </row>
    <row r="2531" spans="1:46" x14ac:dyDescent="0.45">
      <c r="A2531" s="62" t="s">
        <v>937</v>
      </c>
      <c r="B2531" s="62" t="s">
        <v>242</v>
      </c>
      <c r="C2531" s="63"/>
      <c r="D2531" s="64"/>
      <c r="E2531" s="65"/>
      <c r="F2531" s="66"/>
      <c r="G2531" s="63"/>
      <c r="H2531" s="67"/>
      <c r="I2531" s="68"/>
      <c r="J2531" s="68"/>
      <c r="K2531" s="32"/>
      <c r="L2531" s="75"/>
      <c r="M2531" s="75"/>
      <c r="N2531" s="70"/>
      <c r="O2531" t="s">
        <v>1568</v>
      </c>
      <c r="P2531" s="76">
        <v>44959.158819444441</v>
      </c>
      <c r="Q2531" t="s">
        <v>2098</v>
      </c>
      <c r="V2531" s="77" t="str">
        <f>HYPERLINK("https://pbs.twimg.com/profile_images/1589799915936415744/3C1bghAh_normal.jpg")</f>
        <v>https://pbs.twimg.com/profile_images/1589799915936415744/3C1bghAh_normal.jpg</v>
      </c>
      <c r="W2531" s="76">
        <v>44959.158819444441</v>
      </c>
      <c r="X2531" s="80">
        <v>44959</v>
      </c>
      <c r="Y2531" s="78" t="s">
        <v>3209</v>
      </c>
      <c r="Z2531" s="77" t="str">
        <f>HYPERLINK("https://twitter.com/ellydelacruz22/status/1620992582061854721")</f>
        <v>https://twitter.com/ellydelacruz22/status/1620992582061854721</v>
      </c>
      <c r="AC2531" s="78" t="s">
        <v>4274</v>
      </c>
      <c r="AD2531" s="78" t="s">
        <v>4271</v>
      </c>
      <c r="AE2531" t="b">
        <v>0</v>
      </c>
      <c r="AF2531">
        <v>0</v>
      </c>
      <c r="AG2531" s="78" t="s">
        <v>4773</v>
      </c>
      <c r="AH2531" t="b">
        <v>0</v>
      </c>
      <c r="AI2531" t="s">
        <v>4829</v>
      </c>
      <c r="AK2531" s="78" t="s">
        <v>4640</v>
      </c>
      <c r="AL2531" t="b">
        <v>0</v>
      </c>
      <c r="AM2531">
        <v>0</v>
      </c>
      <c r="AN2531" s="78" t="s">
        <v>4640</v>
      </c>
      <c r="AO2531" s="78" t="s">
        <v>4849</v>
      </c>
      <c r="AP2531" t="b">
        <v>0</v>
      </c>
      <c r="AQ2531" s="78" t="s">
        <v>4271</v>
      </c>
      <c r="AR2531" t="s">
        <v>179</v>
      </c>
      <c r="AS2531">
        <v>0</v>
      </c>
      <c r="AT2531">
        <v>0</v>
      </c>
    </row>
    <row r="2532" spans="1:46" x14ac:dyDescent="0.45">
      <c r="A2532" s="62" t="s">
        <v>940</v>
      </c>
      <c r="B2532" s="62" t="s">
        <v>1230</v>
      </c>
      <c r="C2532" s="63"/>
      <c r="D2532" s="64"/>
      <c r="E2532" s="65"/>
      <c r="F2532" s="66"/>
      <c r="G2532" s="63"/>
      <c r="H2532" s="67"/>
      <c r="I2532" s="68"/>
      <c r="J2532" s="68"/>
      <c r="K2532" s="32"/>
      <c r="L2532" s="75"/>
      <c r="M2532" s="75"/>
      <c r="N2532" s="70"/>
      <c r="O2532" t="s">
        <v>1570</v>
      </c>
      <c r="P2532" s="76">
        <v>44959.161805555559</v>
      </c>
      <c r="Q2532" t="s">
        <v>1693</v>
      </c>
      <c r="V2532" s="77" t="str">
        <f>HYPERLINK("https://pbs.twimg.com/profile_images/1618534051509403808/IZzO7LjM_normal.jpg")</f>
        <v>https://pbs.twimg.com/profile_images/1618534051509403808/IZzO7LjM_normal.jpg</v>
      </c>
      <c r="W2532" s="76">
        <v>44959.161805555559</v>
      </c>
      <c r="X2532" s="80">
        <v>44959</v>
      </c>
      <c r="Y2532" s="78" t="s">
        <v>3212</v>
      </c>
      <c r="Z2532" s="77" t="str">
        <f>HYPERLINK("https://twitter.com/lourdes61179889/status/1620993663781449728")</f>
        <v>https://twitter.com/lourdes61179889/status/1620993663781449728</v>
      </c>
      <c r="AC2532" s="78" t="s">
        <v>4277</v>
      </c>
      <c r="AE2532" t="b">
        <v>0</v>
      </c>
      <c r="AF2532">
        <v>0</v>
      </c>
      <c r="AG2532" s="78" t="s">
        <v>4640</v>
      </c>
      <c r="AH2532" t="b">
        <v>0</v>
      </c>
      <c r="AI2532" t="s">
        <v>4829</v>
      </c>
      <c r="AK2532" s="78" t="s">
        <v>4640</v>
      </c>
      <c r="AL2532" t="b">
        <v>0</v>
      </c>
      <c r="AM2532">
        <v>162</v>
      </c>
      <c r="AN2532" s="78" t="s">
        <v>4473</v>
      </c>
      <c r="AO2532" s="78" t="s">
        <v>4850</v>
      </c>
      <c r="AP2532" t="b">
        <v>0</v>
      </c>
      <c r="AQ2532" s="78" t="s">
        <v>4473</v>
      </c>
      <c r="AR2532" t="s">
        <v>179</v>
      </c>
      <c r="AS2532">
        <v>0</v>
      </c>
      <c r="AT2532">
        <v>0</v>
      </c>
    </row>
    <row r="2533" spans="1:46" x14ac:dyDescent="0.45">
      <c r="A2533" s="62" t="s">
        <v>940</v>
      </c>
      <c r="B2533" s="62" t="s">
        <v>242</v>
      </c>
      <c r="C2533" s="63"/>
      <c r="D2533" s="64"/>
      <c r="E2533" s="65"/>
      <c r="F2533" s="66"/>
      <c r="G2533" s="63"/>
      <c r="H2533" s="67"/>
      <c r="I2533" s="68"/>
      <c r="J2533" s="68"/>
      <c r="K2533" s="32"/>
      <c r="L2533" s="75"/>
      <c r="M2533" s="75"/>
      <c r="N2533" s="70"/>
      <c r="O2533" t="s">
        <v>1569</v>
      </c>
      <c r="P2533" s="76">
        <v>44959.161805555559</v>
      </c>
      <c r="Q2533" t="s">
        <v>1693</v>
      </c>
      <c r="V2533" s="77" t="str">
        <f>HYPERLINK("https://pbs.twimg.com/profile_images/1618534051509403808/IZzO7LjM_normal.jpg")</f>
        <v>https://pbs.twimg.com/profile_images/1618534051509403808/IZzO7LjM_normal.jpg</v>
      </c>
      <c r="W2533" s="76">
        <v>44959.161805555559</v>
      </c>
      <c r="X2533" s="80">
        <v>44959</v>
      </c>
      <c r="Y2533" s="78" t="s">
        <v>3212</v>
      </c>
      <c r="Z2533" s="77" t="str">
        <f>HYPERLINK("https://twitter.com/lourdes61179889/status/1620993663781449728")</f>
        <v>https://twitter.com/lourdes61179889/status/1620993663781449728</v>
      </c>
      <c r="AC2533" s="78" t="s">
        <v>4277</v>
      </c>
      <c r="AE2533" t="b">
        <v>0</v>
      </c>
      <c r="AF2533">
        <v>0</v>
      </c>
      <c r="AG2533" s="78" t="s">
        <v>4640</v>
      </c>
      <c r="AH2533" t="b">
        <v>0</v>
      </c>
      <c r="AI2533" t="s">
        <v>4829</v>
      </c>
      <c r="AK2533" s="78" t="s">
        <v>4640</v>
      </c>
      <c r="AL2533" t="b">
        <v>0</v>
      </c>
      <c r="AM2533">
        <v>162</v>
      </c>
      <c r="AN2533" s="78" t="s">
        <v>4473</v>
      </c>
      <c r="AO2533" s="78" t="s">
        <v>4850</v>
      </c>
      <c r="AP2533" t="b">
        <v>0</v>
      </c>
      <c r="AQ2533" s="78" t="s">
        <v>4473</v>
      </c>
      <c r="AR2533" t="s">
        <v>179</v>
      </c>
      <c r="AS2533">
        <v>0</v>
      </c>
      <c r="AT2533">
        <v>0</v>
      </c>
    </row>
    <row r="2534" spans="1:46" x14ac:dyDescent="0.45">
      <c r="A2534" s="62" t="s">
        <v>941</v>
      </c>
      <c r="B2534" s="62" t="s">
        <v>1448</v>
      </c>
      <c r="C2534" s="63"/>
      <c r="D2534" s="64"/>
      <c r="E2534" s="65"/>
      <c r="F2534" s="66"/>
      <c r="G2534" s="63"/>
      <c r="H2534" s="67"/>
      <c r="I2534" s="68"/>
      <c r="J2534" s="68"/>
      <c r="K2534" s="32"/>
      <c r="L2534" s="75"/>
      <c r="M2534" s="75"/>
      <c r="N2534" s="70"/>
      <c r="O2534" t="s">
        <v>1568</v>
      </c>
      <c r="P2534" s="76">
        <v>44959.170532407406</v>
      </c>
      <c r="Q2534" t="s">
        <v>2100</v>
      </c>
      <c r="V2534" s="77" t="str">
        <f>HYPERLINK("https://pbs.twimg.com/profile_images/1368430989282836480/tfRyUpkH_normal.jpg")</f>
        <v>https://pbs.twimg.com/profile_images/1368430989282836480/tfRyUpkH_normal.jpg</v>
      </c>
      <c r="W2534" s="76">
        <v>44959.170532407406</v>
      </c>
      <c r="X2534" s="80">
        <v>44959</v>
      </c>
      <c r="Y2534" s="78" t="s">
        <v>3213</v>
      </c>
      <c r="Z2534" s="77" t="str">
        <f>HYPERLINK("https://twitter.com/tiffcavanaugh/status/1620996824717991939")</f>
        <v>https://twitter.com/tiffcavanaugh/status/1620996824717991939</v>
      </c>
      <c r="AC2534" s="78" t="s">
        <v>4278</v>
      </c>
      <c r="AD2534" s="78" t="s">
        <v>4598</v>
      </c>
      <c r="AE2534" t="b">
        <v>0</v>
      </c>
      <c r="AF2534">
        <v>0</v>
      </c>
      <c r="AG2534" s="78" t="s">
        <v>4774</v>
      </c>
      <c r="AH2534" t="b">
        <v>0</v>
      </c>
      <c r="AI2534" t="s">
        <v>4829</v>
      </c>
      <c r="AK2534" s="78" t="s">
        <v>4640</v>
      </c>
      <c r="AL2534" t="b">
        <v>0</v>
      </c>
      <c r="AM2534">
        <v>0</v>
      </c>
      <c r="AN2534" s="78" t="s">
        <v>4640</v>
      </c>
      <c r="AO2534" s="78" t="s">
        <v>4849</v>
      </c>
      <c r="AP2534" t="b">
        <v>0</v>
      </c>
      <c r="AQ2534" s="78" t="s">
        <v>4598</v>
      </c>
      <c r="AR2534" t="s">
        <v>179</v>
      </c>
      <c r="AS2534">
        <v>0</v>
      </c>
      <c r="AT2534">
        <v>0</v>
      </c>
    </row>
    <row r="2535" spans="1:46" x14ac:dyDescent="0.45">
      <c r="A2535" s="62" t="s">
        <v>941</v>
      </c>
      <c r="B2535" s="62" t="s">
        <v>1449</v>
      </c>
      <c r="C2535" s="63"/>
      <c r="D2535" s="64"/>
      <c r="E2535" s="65"/>
      <c r="F2535" s="66"/>
      <c r="G2535" s="63"/>
      <c r="H2535" s="67"/>
      <c r="I2535" s="68"/>
      <c r="J2535" s="68"/>
      <c r="K2535" s="32"/>
      <c r="L2535" s="75"/>
      <c r="M2535" s="75"/>
      <c r="N2535" s="70"/>
      <c r="O2535" t="s">
        <v>1567</v>
      </c>
      <c r="P2535" s="76">
        <v>44959.170532407406</v>
      </c>
      <c r="Q2535" t="s">
        <v>2100</v>
      </c>
      <c r="V2535" s="77" t="str">
        <f>HYPERLINK("https://pbs.twimg.com/profile_images/1368430989282836480/tfRyUpkH_normal.jpg")</f>
        <v>https://pbs.twimg.com/profile_images/1368430989282836480/tfRyUpkH_normal.jpg</v>
      </c>
      <c r="W2535" s="76">
        <v>44959.170532407406</v>
      </c>
      <c r="X2535" s="80">
        <v>44959</v>
      </c>
      <c r="Y2535" s="78" t="s">
        <v>3213</v>
      </c>
      <c r="Z2535" s="77" t="str">
        <f>HYPERLINK("https://twitter.com/tiffcavanaugh/status/1620996824717991939")</f>
        <v>https://twitter.com/tiffcavanaugh/status/1620996824717991939</v>
      </c>
      <c r="AC2535" s="78" t="s">
        <v>4278</v>
      </c>
      <c r="AD2535" s="78" t="s">
        <v>4598</v>
      </c>
      <c r="AE2535" t="b">
        <v>0</v>
      </c>
      <c r="AF2535">
        <v>0</v>
      </c>
      <c r="AG2535" s="78" t="s">
        <v>4774</v>
      </c>
      <c r="AH2535" t="b">
        <v>0</v>
      </c>
      <c r="AI2535" t="s">
        <v>4829</v>
      </c>
      <c r="AK2535" s="78" t="s">
        <v>4640</v>
      </c>
      <c r="AL2535" t="b">
        <v>0</v>
      </c>
      <c r="AM2535">
        <v>0</v>
      </c>
      <c r="AN2535" s="78" t="s">
        <v>4640</v>
      </c>
      <c r="AO2535" s="78" t="s">
        <v>4849</v>
      </c>
      <c r="AP2535" t="b">
        <v>0</v>
      </c>
      <c r="AQ2535" s="78" t="s">
        <v>4598</v>
      </c>
      <c r="AR2535" t="s">
        <v>179</v>
      </c>
      <c r="AS2535">
        <v>0</v>
      </c>
      <c r="AT2535">
        <v>0</v>
      </c>
    </row>
    <row r="2536" spans="1:46" x14ac:dyDescent="0.45">
      <c r="A2536" s="62" t="s">
        <v>941</v>
      </c>
      <c r="B2536" s="62" t="s">
        <v>242</v>
      </c>
      <c r="C2536" s="63"/>
      <c r="D2536" s="64"/>
      <c r="E2536" s="65"/>
      <c r="F2536" s="66"/>
      <c r="G2536" s="63"/>
      <c r="H2536" s="67"/>
      <c r="I2536" s="68"/>
      <c r="J2536" s="68"/>
      <c r="K2536" s="32"/>
      <c r="L2536" s="75"/>
      <c r="M2536" s="75"/>
      <c r="N2536" s="70"/>
      <c r="O2536" t="s">
        <v>1568</v>
      </c>
      <c r="P2536" s="76">
        <v>44959.170532407406</v>
      </c>
      <c r="Q2536" t="s">
        <v>2100</v>
      </c>
      <c r="V2536" s="77" t="str">
        <f>HYPERLINK("https://pbs.twimg.com/profile_images/1368430989282836480/tfRyUpkH_normal.jpg")</f>
        <v>https://pbs.twimg.com/profile_images/1368430989282836480/tfRyUpkH_normal.jpg</v>
      </c>
      <c r="W2536" s="76">
        <v>44959.170532407406</v>
      </c>
      <c r="X2536" s="80">
        <v>44959</v>
      </c>
      <c r="Y2536" s="78" t="s">
        <v>3213</v>
      </c>
      <c r="Z2536" s="77" t="str">
        <f>HYPERLINK("https://twitter.com/tiffcavanaugh/status/1620996824717991939")</f>
        <v>https://twitter.com/tiffcavanaugh/status/1620996824717991939</v>
      </c>
      <c r="AC2536" s="78" t="s">
        <v>4278</v>
      </c>
      <c r="AD2536" s="78" t="s">
        <v>4598</v>
      </c>
      <c r="AE2536" t="b">
        <v>0</v>
      </c>
      <c r="AF2536">
        <v>0</v>
      </c>
      <c r="AG2536" s="78" t="s">
        <v>4774</v>
      </c>
      <c r="AH2536" t="b">
        <v>0</v>
      </c>
      <c r="AI2536" t="s">
        <v>4829</v>
      </c>
      <c r="AK2536" s="78" t="s">
        <v>4640</v>
      </c>
      <c r="AL2536" t="b">
        <v>0</v>
      </c>
      <c r="AM2536">
        <v>0</v>
      </c>
      <c r="AN2536" s="78" t="s">
        <v>4640</v>
      </c>
      <c r="AO2536" s="78" t="s">
        <v>4849</v>
      </c>
      <c r="AP2536" t="b">
        <v>0</v>
      </c>
      <c r="AQ2536" s="78" t="s">
        <v>4598</v>
      </c>
      <c r="AR2536" t="s">
        <v>179</v>
      </c>
      <c r="AS2536">
        <v>0</v>
      </c>
      <c r="AT2536">
        <v>0</v>
      </c>
    </row>
    <row r="2537" spans="1:46" x14ac:dyDescent="0.45">
      <c r="A2537" s="62" t="s">
        <v>941</v>
      </c>
      <c r="B2537" s="62" t="s">
        <v>1181</v>
      </c>
      <c r="C2537" s="63"/>
      <c r="D2537" s="64"/>
      <c r="E2537" s="65"/>
      <c r="F2537" s="66"/>
      <c r="G2537" s="63"/>
      <c r="H2537" s="67"/>
      <c r="I2537" s="68"/>
      <c r="J2537" s="68"/>
      <c r="K2537" s="32"/>
      <c r="L2537" s="75"/>
      <c r="M2537" s="75"/>
      <c r="N2537" s="70"/>
      <c r="O2537" t="s">
        <v>1568</v>
      </c>
      <c r="P2537" s="76">
        <v>44959.170532407406</v>
      </c>
      <c r="Q2537" t="s">
        <v>2100</v>
      </c>
      <c r="V2537" s="77" t="str">
        <f>HYPERLINK("https://pbs.twimg.com/profile_images/1368430989282836480/tfRyUpkH_normal.jpg")</f>
        <v>https://pbs.twimg.com/profile_images/1368430989282836480/tfRyUpkH_normal.jpg</v>
      </c>
      <c r="W2537" s="76">
        <v>44959.170532407406</v>
      </c>
      <c r="X2537" s="80">
        <v>44959</v>
      </c>
      <c r="Y2537" s="78" t="s">
        <v>3213</v>
      </c>
      <c r="Z2537" s="77" t="str">
        <f>HYPERLINK("https://twitter.com/tiffcavanaugh/status/1620996824717991939")</f>
        <v>https://twitter.com/tiffcavanaugh/status/1620996824717991939</v>
      </c>
      <c r="AC2537" s="78" t="s">
        <v>4278</v>
      </c>
      <c r="AD2537" s="78" t="s">
        <v>4598</v>
      </c>
      <c r="AE2537" t="b">
        <v>0</v>
      </c>
      <c r="AF2537">
        <v>0</v>
      </c>
      <c r="AG2537" s="78" t="s">
        <v>4774</v>
      </c>
      <c r="AH2537" t="b">
        <v>0</v>
      </c>
      <c r="AI2537" t="s">
        <v>4829</v>
      </c>
      <c r="AK2537" s="78" t="s">
        <v>4640</v>
      </c>
      <c r="AL2537" t="b">
        <v>0</v>
      </c>
      <c r="AM2537">
        <v>0</v>
      </c>
      <c r="AN2537" s="78" t="s">
        <v>4640</v>
      </c>
      <c r="AO2537" s="78" t="s">
        <v>4849</v>
      </c>
      <c r="AP2537" t="b">
        <v>0</v>
      </c>
      <c r="AQ2537" s="78" t="s">
        <v>4598</v>
      </c>
      <c r="AR2537" t="s">
        <v>179</v>
      </c>
      <c r="AS2537">
        <v>0</v>
      </c>
      <c r="AT2537">
        <v>0</v>
      </c>
    </row>
    <row r="2538" spans="1:46" x14ac:dyDescent="0.45">
      <c r="A2538" s="62" t="s">
        <v>943</v>
      </c>
      <c r="B2538" s="62" t="s">
        <v>942</v>
      </c>
      <c r="C2538" s="63"/>
      <c r="D2538" s="64"/>
      <c r="E2538" s="65"/>
      <c r="F2538" s="66"/>
      <c r="G2538" s="63"/>
      <c r="H2538" s="67"/>
      <c r="I2538" s="68"/>
      <c r="J2538" s="68"/>
      <c r="K2538" s="32"/>
      <c r="L2538" s="75"/>
      <c r="M2538" s="75"/>
      <c r="N2538" s="70"/>
      <c r="O2538" t="s">
        <v>1569</v>
      </c>
      <c r="P2538" s="76">
        <v>44959.171423611115</v>
      </c>
      <c r="Q2538" t="s">
        <v>1733</v>
      </c>
      <c r="U2538" s="77" t="str">
        <f>HYPERLINK("https://pbs.twimg.com/media/Fn2oQeVXoAIkJQK.jpg")</f>
        <v>https://pbs.twimg.com/media/Fn2oQeVXoAIkJQK.jpg</v>
      </c>
      <c r="V2538" s="77" t="str">
        <f>HYPERLINK("https://pbs.twimg.com/media/Fn2oQeVXoAIkJQK.jpg")</f>
        <v>https://pbs.twimg.com/media/Fn2oQeVXoAIkJQK.jpg</v>
      </c>
      <c r="W2538" s="76">
        <v>44959.171423611115</v>
      </c>
      <c r="X2538" s="80">
        <v>44959</v>
      </c>
      <c r="Y2538" s="78" t="s">
        <v>3215</v>
      </c>
      <c r="Z2538" s="77" t="str">
        <f>HYPERLINK("https://twitter.com/brenman8scott/status/1620997149453590529")</f>
        <v>https://twitter.com/brenman8scott/status/1620997149453590529</v>
      </c>
      <c r="AC2538" s="78" t="s">
        <v>4280</v>
      </c>
      <c r="AE2538" t="b">
        <v>0</v>
      </c>
      <c r="AF2538">
        <v>0</v>
      </c>
      <c r="AG2538" s="78" t="s">
        <v>4640</v>
      </c>
      <c r="AH2538" t="b">
        <v>0</v>
      </c>
      <c r="AI2538" t="s">
        <v>4829</v>
      </c>
      <c r="AK2538" s="78" t="s">
        <v>4640</v>
      </c>
      <c r="AL2538" t="b">
        <v>0</v>
      </c>
      <c r="AM2538">
        <v>2</v>
      </c>
      <c r="AN2538" s="78" t="s">
        <v>4279</v>
      </c>
      <c r="AO2538" s="78" t="s">
        <v>4849</v>
      </c>
      <c r="AP2538" t="b">
        <v>0</v>
      </c>
      <c r="AQ2538" s="78" t="s">
        <v>4279</v>
      </c>
      <c r="AR2538" t="s">
        <v>179</v>
      </c>
      <c r="AS2538">
        <v>0</v>
      </c>
      <c r="AT2538">
        <v>0</v>
      </c>
    </row>
    <row r="2539" spans="1:46" x14ac:dyDescent="0.45">
      <c r="A2539" s="62" t="s">
        <v>943</v>
      </c>
      <c r="B2539" s="62" t="s">
        <v>242</v>
      </c>
      <c r="C2539" s="63"/>
      <c r="D2539" s="64"/>
      <c r="E2539" s="65"/>
      <c r="F2539" s="66"/>
      <c r="G2539" s="63"/>
      <c r="H2539" s="67"/>
      <c r="I2539" s="68"/>
      <c r="J2539" s="68"/>
      <c r="K2539" s="32"/>
      <c r="L2539" s="75"/>
      <c r="M2539" s="75"/>
      <c r="N2539" s="70"/>
      <c r="O2539" t="s">
        <v>1570</v>
      </c>
      <c r="P2539" s="76">
        <v>44959.171423611115</v>
      </c>
      <c r="Q2539" t="s">
        <v>1733</v>
      </c>
      <c r="U2539" s="77" t="str">
        <f>HYPERLINK("https://pbs.twimg.com/media/Fn2oQeVXoAIkJQK.jpg")</f>
        <v>https://pbs.twimg.com/media/Fn2oQeVXoAIkJQK.jpg</v>
      </c>
      <c r="V2539" s="77" t="str">
        <f>HYPERLINK("https://pbs.twimg.com/media/Fn2oQeVXoAIkJQK.jpg")</f>
        <v>https://pbs.twimg.com/media/Fn2oQeVXoAIkJQK.jpg</v>
      </c>
      <c r="W2539" s="76">
        <v>44959.171423611115</v>
      </c>
      <c r="X2539" s="80">
        <v>44959</v>
      </c>
      <c r="Y2539" s="78" t="s">
        <v>3215</v>
      </c>
      <c r="Z2539" s="77" t="str">
        <f>HYPERLINK("https://twitter.com/brenman8scott/status/1620997149453590529")</f>
        <v>https://twitter.com/brenman8scott/status/1620997149453590529</v>
      </c>
      <c r="AC2539" s="78" t="s">
        <v>4280</v>
      </c>
      <c r="AE2539" t="b">
        <v>0</v>
      </c>
      <c r="AF2539">
        <v>0</v>
      </c>
      <c r="AG2539" s="78" t="s">
        <v>4640</v>
      </c>
      <c r="AH2539" t="b">
        <v>0</v>
      </c>
      <c r="AI2539" t="s">
        <v>4829</v>
      </c>
      <c r="AK2539" s="78" t="s">
        <v>4640</v>
      </c>
      <c r="AL2539" t="b">
        <v>0</v>
      </c>
      <c r="AM2539">
        <v>2</v>
      </c>
      <c r="AN2539" s="78" t="s">
        <v>4279</v>
      </c>
      <c r="AO2539" s="78" t="s">
        <v>4849</v>
      </c>
      <c r="AP2539" t="b">
        <v>0</v>
      </c>
      <c r="AQ2539" s="78" t="s">
        <v>4279</v>
      </c>
      <c r="AR2539" t="s">
        <v>179</v>
      </c>
      <c r="AS2539">
        <v>0</v>
      </c>
      <c r="AT2539">
        <v>0</v>
      </c>
    </row>
    <row r="2540" spans="1:46" x14ac:dyDescent="0.45">
      <c r="A2540" s="62" t="s">
        <v>944</v>
      </c>
      <c r="B2540" s="62" t="s">
        <v>1230</v>
      </c>
      <c r="C2540" s="63"/>
      <c r="D2540" s="64"/>
      <c r="E2540" s="65"/>
      <c r="F2540" s="66"/>
      <c r="G2540" s="63"/>
      <c r="H2540" s="67"/>
      <c r="I2540" s="68"/>
      <c r="J2540" s="68"/>
      <c r="K2540" s="32"/>
      <c r="L2540" s="75"/>
      <c r="M2540" s="75"/>
      <c r="N2540" s="70"/>
      <c r="O2540" t="s">
        <v>1570</v>
      </c>
      <c r="P2540" s="76">
        <v>44959.174826388888</v>
      </c>
      <c r="Q2540" t="s">
        <v>1693</v>
      </c>
      <c r="V2540" s="77" t="str">
        <f>HYPERLINK("https://pbs.twimg.com/profile_images/1600461186994143233/XCfOg8BW_normal.jpg")</f>
        <v>https://pbs.twimg.com/profile_images/1600461186994143233/XCfOg8BW_normal.jpg</v>
      </c>
      <c r="W2540" s="76">
        <v>44959.174826388888</v>
      </c>
      <c r="X2540" s="80">
        <v>44959</v>
      </c>
      <c r="Y2540" s="78" t="s">
        <v>3216</v>
      </c>
      <c r="Z2540" s="77" t="str">
        <f>HYPERLINK("https://twitter.com/arteinoz/status/1620998381966614529")</f>
        <v>https://twitter.com/arteinoz/status/1620998381966614529</v>
      </c>
      <c r="AC2540" s="78" t="s">
        <v>4281</v>
      </c>
      <c r="AE2540" t="b">
        <v>0</v>
      </c>
      <c r="AF2540">
        <v>0</v>
      </c>
      <c r="AG2540" s="78" t="s">
        <v>4640</v>
      </c>
      <c r="AH2540" t="b">
        <v>0</v>
      </c>
      <c r="AI2540" t="s">
        <v>4829</v>
      </c>
      <c r="AK2540" s="78" t="s">
        <v>4640</v>
      </c>
      <c r="AL2540" t="b">
        <v>0</v>
      </c>
      <c r="AM2540">
        <v>162</v>
      </c>
      <c r="AN2540" s="78" t="s">
        <v>4473</v>
      </c>
      <c r="AO2540" s="78" t="s">
        <v>4850</v>
      </c>
      <c r="AP2540" t="b">
        <v>0</v>
      </c>
      <c r="AQ2540" s="78" t="s">
        <v>4473</v>
      </c>
      <c r="AR2540" t="s">
        <v>179</v>
      </c>
      <c r="AS2540">
        <v>0</v>
      </c>
      <c r="AT2540">
        <v>0</v>
      </c>
    </row>
    <row r="2541" spans="1:46" x14ac:dyDescent="0.45">
      <c r="A2541" s="62" t="s">
        <v>944</v>
      </c>
      <c r="B2541" s="62" t="s">
        <v>242</v>
      </c>
      <c r="C2541" s="63"/>
      <c r="D2541" s="64"/>
      <c r="E2541" s="65"/>
      <c r="F2541" s="66"/>
      <c r="G2541" s="63"/>
      <c r="H2541" s="67"/>
      <c r="I2541" s="68"/>
      <c r="J2541" s="68"/>
      <c r="K2541" s="32"/>
      <c r="L2541" s="75"/>
      <c r="M2541" s="75"/>
      <c r="N2541" s="70"/>
      <c r="O2541" t="s">
        <v>1569</v>
      </c>
      <c r="P2541" s="76">
        <v>44959.174826388888</v>
      </c>
      <c r="Q2541" t="s">
        <v>1693</v>
      </c>
      <c r="V2541" s="77" t="str">
        <f>HYPERLINK("https://pbs.twimg.com/profile_images/1600461186994143233/XCfOg8BW_normal.jpg")</f>
        <v>https://pbs.twimg.com/profile_images/1600461186994143233/XCfOg8BW_normal.jpg</v>
      </c>
      <c r="W2541" s="76">
        <v>44959.174826388888</v>
      </c>
      <c r="X2541" s="80">
        <v>44959</v>
      </c>
      <c r="Y2541" s="78" t="s">
        <v>3216</v>
      </c>
      <c r="Z2541" s="77" t="str">
        <f>HYPERLINK("https://twitter.com/arteinoz/status/1620998381966614529")</f>
        <v>https://twitter.com/arteinoz/status/1620998381966614529</v>
      </c>
      <c r="AC2541" s="78" t="s">
        <v>4281</v>
      </c>
      <c r="AE2541" t="b">
        <v>0</v>
      </c>
      <c r="AF2541">
        <v>0</v>
      </c>
      <c r="AG2541" s="78" t="s">
        <v>4640</v>
      </c>
      <c r="AH2541" t="b">
        <v>0</v>
      </c>
      <c r="AI2541" t="s">
        <v>4829</v>
      </c>
      <c r="AK2541" s="78" t="s">
        <v>4640</v>
      </c>
      <c r="AL2541" t="b">
        <v>0</v>
      </c>
      <c r="AM2541">
        <v>162</v>
      </c>
      <c r="AN2541" s="78" t="s">
        <v>4473</v>
      </c>
      <c r="AO2541" s="78" t="s">
        <v>4850</v>
      </c>
      <c r="AP2541" t="b">
        <v>0</v>
      </c>
      <c r="AQ2541" s="78" t="s">
        <v>4473</v>
      </c>
      <c r="AR2541" t="s">
        <v>179</v>
      </c>
      <c r="AS2541">
        <v>0</v>
      </c>
      <c r="AT2541">
        <v>0</v>
      </c>
    </row>
    <row r="2542" spans="1:46" x14ac:dyDescent="0.45">
      <c r="A2542" s="62" t="s">
        <v>945</v>
      </c>
      <c r="B2542" s="62" t="s">
        <v>242</v>
      </c>
      <c r="C2542" s="63"/>
      <c r="D2542" s="64"/>
      <c r="E2542" s="65"/>
      <c r="F2542" s="66"/>
      <c r="G2542" s="63"/>
      <c r="H2542" s="67"/>
      <c r="I2542" s="68"/>
      <c r="J2542" s="68"/>
      <c r="K2542" s="32"/>
      <c r="L2542" s="75"/>
      <c r="M2542" s="75"/>
      <c r="N2542" s="70"/>
      <c r="O2542" t="s">
        <v>1567</v>
      </c>
      <c r="P2542" s="76">
        <v>44959.176226851851</v>
      </c>
      <c r="Q2542" t="s">
        <v>2101</v>
      </c>
      <c r="U2542" s="77" t="str">
        <f>HYPERLINK("https://pbs.twimg.com/media/Fn7x5QkaIAABhQ7.jpg")</f>
        <v>https://pbs.twimg.com/media/Fn7x5QkaIAABhQ7.jpg</v>
      </c>
      <c r="V2542" s="77" t="str">
        <f>HYPERLINK("https://pbs.twimg.com/media/Fn7x5QkaIAABhQ7.jpg")</f>
        <v>https://pbs.twimg.com/media/Fn7x5QkaIAABhQ7.jpg</v>
      </c>
      <c r="W2542" s="76">
        <v>44959.176226851851</v>
      </c>
      <c r="X2542" s="80">
        <v>44959</v>
      </c>
      <c r="Y2542" s="78" t="s">
        <v>3217</v>
      </c>
      <c r="Z2542" s="77" t="str">
        <f>HYPERLINK("https://twitter.com/ohdangitsnate/status/1620998887896121344")</f>
        <v>https://twitter.com/ohdangitsnate/status/1620998887896121344</v>
      </c>
      <c r="AC2542" s="78" t="s">
        <v>4282</v>
      </c>
      <c r="AE2542" t="b">
        <v>0</v>
      </c>
      <c r="AF2542">
        <v>0</v>
      </c>
      <c r="AG2542" s="78" t="s">
        <v>4639</v>
      </c>
      <c r="AH2542" t="b">
        <v>0</v>
      </c>
      <c r="AI2542" t="s">
        <v>4829</v>
      </c>
      <c r="AK2542" s="78" t="s">
        <v>4640</v>
      </c>
      <c r="AL2542" t="b">
        <v>0</v>
      </c>
      <c r="AM2542">
        <v>0</v>
      </c>
      <c r="AN2542" s="78" t="s">
        <v>4640</v>
      </c>
      <c r="AO2542" s="78" t="s">
        <v>4851</v>
      </c>
      <c r="AP2542" t="b">
        <v>0</v>
      </c>
      <c r="AQ2542" s="78" t="s">
        <v>4282</v>
      </c>
      <c r="AR2542" t="s">
        <v>179</v>
      </c>
      <c r="AS2542">
        <v>0</v>
      </c>
      <c r="AT2542">
        <v>0</v>
      </c>
    </row>
    <row r="2543" spans="1:46" x14ac:dyDescent="0.45">
      <c r="A2543" s="62" t="s">
        <v>947</v>
      </c>
      <c r="B2543" s="62" t="s">
        <v>1230</v>
      </c>
      <c r="C2543" s="63"/>
      <c r="D2543" s="64"/>
      <c r="E2543" s="65"/>
      <c r="F2543" s="66"/>
      <c r="G2543" s="63"/>
      <c r="H2543" s="67"/>
      <c r="I2543" s="68"/>
      <c r="J2543" s="68"/>
      <c r="K2543" s="32"/>
      <c r="L2543" s="75"/>
      <c r="M2543" s="75"/>
      <c r="N2543" s="70"/>
      <c r="O2543" t="s">
        <v>1568</v>
      </c>
      <c r="P2543" s="76">
        <v>44959.179884259262</v>
      </c>
      <c r="Q2543" t="s">
        <v>2103</v>
      </c>
      <c r="U2543" s="77" t="str">
        <f>HYPERLINK("https://pbs.twimg.com/media/Fn7zGo4X0AATFwV.jpg")</f>
        <v>https://pbs.twimg.com/media/Fn7zGo4X0AATFwV.jpg</v>
      </c>
      <c r="V2543" s="77" t="str">
        <f>HYPERLINK("https://pbs.twimg.com/media/Fn7zGo4X0AATFwV.jpg")</f>
        <v>https://pbs.twimg.com/media/Fn7zGo4X0AATFwV.jpg</v>
      </c>
      <c r="W2543" s="76">
        <v>44959.179884259262</v>
      </c>
      <c r="X2543" s="80">
        <v>44959</v>
      </c>
      <c r="Y2543" s="78" t="s">
        <v>3219</v>
      </c>
      <c r="Z2543" s="77" t="str">
        <f>HYPERLINK("https://twitter.com/explica_miley/status/1621000213174554624")</f>
        <v>https://twitter.com/explica_miley/status/1621000213174554624</v>
      </c>
      <c r="AC2543" s="78" t="s">
        <v>4284</v>
      </c>
      <c r="AD2543" s="78" t="s">
        <v>4473</v>
      </c>
      <c r="AE2543" t="b">
        <v>0</v>
      </c>
      <c r="AF2543">
        <v>0</v>
      </c>
      <c r="AG2543" s="78" t="s">
        <v>4639</v>
      </c>
      <c r="AH2543" t="b">
        <v>0</v>
      </c>
      <c r="AI2543" t="s">
        <v>4829</v>
      </c>
      <c r="AK2543" s="78" t="s">
        <v>4640</v>
      </c>
      <c r="AL2543" t="b">
        <v>0</v>
      </c>
      <c r="AM2543">
        <v>0</v>
      </c>
      <c r="AN2543" s="78" t="s">
        <v>4640</v>
      </c>
      <c r="AO2543" s="78" t="s">
        <v>4850</v>
      </c>
      <c r="AP2543" t="b">
        <v>0</v>
      </c>
      <c r="AQ2543" s="78" t="s">
        <v>4473</v>
      </c>
      <c r="AR2543" t="s">
        <v>179</v>
      </c>
      <c r="AS2543">
        <v>0</v>
      </c>
      <c r="AT2543">
        <v>0</v>
      </c>
    </row>
    <row r="2544" spans="1:46" x14ac:dyDescent="0.45">
      <c r="A2544" s="62" t="s">
        <v>947</v>
      </c>
      <c r="B2544" s="62" t="s">
        <v>242</v>
      </c>
      <c r="C2544" s="63"/>
      <c r="D2544" s="64"/>
      <c r="E2544" s="65"/>
      <c r="F2544" s="66"/>
      <c r="G2544" s="63"/>
      <c r="H2544" s="67"/>
      <c r="I2544" s="68"/>
      <c r="J2544" s="68"/>
      <c r="K2544" s="32"/>
      <c r="L2544" s="75"/>
      <c r="M2544" s="75"/>
      <c r="N2544" s="70"/>
      <c r="O2544" t="s">
        <v>1567</v>
      </c>
      <c r="P2544" s="76">
        <v>44959.179884259262</v>
      </c>
      <c r="Q2544" t="s">
        <v>2103</v>
      </c>
      <c r="U2544" s="77" t="str">
        <f>HYPERLINK("https://pbs.twimg.com/media/Fn7zGo4X0AATFwV.jpg")</f>
        <v>https://pbs.twimg.com/media/Fn7zGo4X0AATFwV.jpg</v>
      </c>
      <c r="V2544" s="77" t="str">
        <f>HYPERLINK("https://pbs.twimg.com/media/Fn7zGo4X0AATFwV.jpg")</f>
        <v>https://pbs.twimg.com/media/Fn7zGo4X0AATFwV.jpg</v>
      </c>
      <c r="W2544" s="76">
        <v>44959.179884259262</v>
      </c>
      <c r="X2544" s="80">
        <v>44959</v>
      </c>
      <c r="Y2544" s="78" t="s">
        <v>3219</v>
      </c>
      <c r="Z2544" s="77" t="str">
        <f>HYPERLINK("https://twitter.com/explica_miley/status/1621000213174554624")</f>
        <v>https://twitter.com/explica_miley/status/1621000213174554624</v>
      </c>
      <c r="AC2544" s="78" t="s">
        <v>4284</v>
      </c>
      <c r="AD2544" s="78" t="s">
        <v>4473</v>
      </c>
      <c r="AE2544" t="b">
        <v>0</v>
      </c>
      <c r="AF2544">
        <v>0</v>
      </c>
      <c r="AG2544" s="78" t="s">
        <v>4639</v>
      </c>
      <c r="AH2544" t="b">
        <v>0</v>
      </c>
      <c r="AI2544" t="s">
        <v>4829</v>
      </c>
      <c r="AK2544" s="78" t="s">
        <v>4640</v>
      </c>
      <c r="AL2544" t="b">
        <v>0</v>
      </c>
      <c r="AM2544">
        <v>0</v>
      </c>
      <c r="AN2544" s="78" t="s">
        <v>4640</v>
      </c>
      <c r="AO2544" s="78" t="s">
        <v>4850</v>
      </c>
      <c r="AP2544" t="b">
        <v>0</v>
      </c>
      <c r="AQ2544" s="78" t="s">
        <v>4473</v>
      </c>
      <c r="AR2544" t="s">
        <v>179</v>
      </c>
      <c r="AS2544">
        <v>0</v>
      </c>
      <c r="AT2544">
        <v>0</v>
      </c>
    </row>
    <row r="2545" spans="1:46" x14ac:dyDescent="0.45">
      <c r="A2545" s="62" t="s">
        <v>948</v>
      </c>
      <c r="B2545" s="62" t="s">
        <v>242</v>
      </c>
      <c r="C2545" s="63"/>
      <c r="D2545" s="64"/>
      <c r="E2545" s="65"/>
      <c r="F2545" s="66"/>
      <c r="G2545" s="63"/>
      <c r="H2545" s="67"/>
      <c r="I2545" s="68"/>
      <c r="J2545" s="68"/>
      <c r="K2545" s="32"/>
      <c r="L2545" s="75"/>
      <c r="M2545" s="75"/>
      <c r="N2545" s="70"/>
      <c r="O2545" t="s">
        <v>1568</v>
      </c>
      <c r="P2545" s="76">
        <v>44958.801585648151</v>
      </c>
      <c r="Q2545" t="s">
        <v>2104</v>
      </c>
      <c r="V2545" s="77" t="str">
        <f>HYPERLINK("https://pbs.twimg.com/profile_images/1419755883337330692/B6VsU0ie_normal.jpg")</f>
        <v>https://pbs.twimg.com/profile_images/1419755883337330692/B6VsU0ie_normal.jpg</v>
      </c>
      <c r="W2545" s="76">
        <v>44958.801585648151</v>
      </c>
      <c r="X2545" s="80">
        <v>44958</v>
      </c>
      <c r="Y2545" s="78" t="s">
        <v>3220</v>
      </c>
      <c r="Z2545" s="77" t="str">
        <f>HYPERLINK("https://twitter.com/ghostpantsdaily/status/1620863122058928128")</f>
        <v>https://twitter.com/ghostpantsdaily/status/1620863122058928128</v>
      </c>
      <c r="AC2545" s="78" t="s">
        <v>4285</v>
      </c>
      <c r="AD2545" s="78" t="s">
        <v>4574</v>
      </c>
      <c r="AE2545" t="b">
        <v>0</v>
      </c>
      <c r="AF2545">
        <v>0</v>
      </c>
      <c r="AG2545" s="78" t="s">
        <v>4743</v>
      </c>
      <c r="AH2545" t="b">
        <v>0</v>
      </c>
      <c r="AI2545" t="s">
        <v>4829</v>
      </c>
      <c r="AK2545" s="78" t="s">
        <v>4640</v>
      </c>
      <c r="AL2545" t="b">
        <v>0</v>
      </c>
      <c r="AM2545">
        <v>0</v>
      </c>
      <c r="AN2545" s="78" t="s">
        <v>4640</v>
      </c>
      <c r="AO2545" s="78" t="s">
        <v>4850</v>
      </c>
      <c r="AP2545" t="b">
        <v>0</v>
      </c>
      <c r="AQ2545" s="78" t="s">
        <v>4574</v>
      </c>
      <c r="AR2545" t="s">
        <v>179</v>
      </c>
      <c r="AS2545">
        <v>0</v>
      </c>
      <c r="AT2545">
        <v>0</v>
      </c>
    </row>
    <row r="2546" spans="1:46" x14ac:dyDescent="0.45">
      <c r="A2546" s="62" t="s">
        <v>948</v>
      </c>
      <c r="B2546" s="62" t="s">
        <v>1365</v>
      </c>
      <c r="C2546" s="63"/>
      <c r="D2546" s="64"/>
      <c r="E2546" s="65"/>
      <c r="F2546" s="66"/>
      <c r="G2546" s="63"/>
      <c r="H2546" s="67"/>
      <c r="I2546" s="68"/>
      <c r="J2546" s="68"/>
      <c r="K2546" s="32"/>
      <c r="L2546" s="75"/>
      <c r="M2546" s="75"/>
      <c r="N2546" s="70"/>
      <c r="O2546" t="s">
        <v>1568</v>
      </c>
      <c r="P2546" s="76">
        <v>44958.801585648151</v>
      </c>
      <c r="Q2546" t="s">
        <v>2104</v>
      </c>
      <c r="V2546" s="77" t="str">
        <f>HYPERLINK("https://pbs.twimg.com/profile_images/1419755883337330692/B6VsU0ie_normal.jpg")</f>
        <v>https://pbs.twimg.com/profile_images/1419755883337330692/B6VsU0ie_normal.jpg</v>
      </c>
      <c r="W2546" s="76">
        <v>44958.801585648151</v>
      </c>
      <c r="X2546" s="80">
        <v>44958</v>
      </c>
      <c r="Y2546" s="78" t="s">
        <v>3220</v>
      </c>
      <c r="Z2546" s="77" t="str">
        <f>HYPERLINK("https://twitter.com/ghostpantsdaily/status/1620863122058928128")</f>
        <v>https://twitter.com/ghostpantsdaily/status/1620863122058928128</v>
      </c>
      <c r="AC2546" s="78" t="s">
        <v>4285</v>
      </c>
      <c r="AD2546" s="78" t="s">
        <v>4574</v>
      </c>
      <c r="AE2546" t="b">
        <v>0</v>
      </c>
      <c r="AF2546">
        <v>0</v>
      </c>
      <c r="AG2546" s="78" t="s">
        <v>4743</v>
      </c>
      <c r="AH2546" t="b">
        <v>0</v>
      </c>
      <c r="AI2546" t="s">
        <v>4829</v>
      </c>
      <c r="AK2546" s="78" t="s">
        <v>4640</v>
      </c>
      <c r="AL2546" t="b">
        <v>0</v>
      </c>
      <c r="AM2546">
        <v>0</v>
      </c>
      <c r="AN2546" s="78" t="s">
        <v>4640</v>
      </c>
      <c r="AO2546" s="78" t="s">
        <v>4850</v>
      </c>
      <c r="AP2546" t="b">
        <v>0</v>
      </c>
      <c r="AQ2546" s="78" t="s">
        <v>4574</v>
      </c>
      <c r="AR2546" t="s">
        <v>179</v>
      </c>
      <c r="AS2546">
        <v>0</v>
      </c>
      <c r="AT2546">
        <v>0</v>
      </c>
    </row>
    <row r="2547" spans="1:46" x14ac:dyDescent="0.45">
      <c r="A2547" s="62" t="s">
        <v>948</v>
      </c>
      <c r="B2547" s="62" t="s">
        <v>1211</v>
      </c>
      <c r="C2547" s="63"/>
      <c r="D2547" s="64"/>
      <c r="E2547" s="65"/>
      <c r="F2547" s="66"/>
      <c r="G2547" s="63"/>
      <c r="H2547" s="67"/>
      <c r="I2547" s="68"/>
      <c r="J2547" s="68"/>
      <c r="K2547" s="32"/>
      <c r="L2547" s="75"/>
      <c r="M2547" s="75"/>
      <c r="N2547" s="70"/>
      <c r="O2547" t="s">
        <v>1567</v>
      </c>
      <c r="P2547" s="76">
        <v>44958.801585648151</v>
      </c>
      <c r="Q2547" t="s">
        <v>2104</v>
      </c>
      <c r="V2547" s="77" t="str">
        <f>HYPERLINK("https://pbs.twimg.com/profile_images/1419755883337330692/B6VsU0ie_normal.jpg")</f>
        <v>https://pbs.twimg.com/profile_images/1419755883337330692/B6VsU0ie_normal.jpg</v>
      </c>
      <c r="W2547" s="76">
        <v>44958.801585648151</v>
      </c>
      <c r="X2547" s="80">
        <v>44958</v>
      </c>
      <c r="Y2547" s="78" t="s">
        <v>3220</v>
      </c>
      <c r="Z2547" s="77" t="str">
        <f>HYPERLINK("https://twitter.com/ghostpantsdaily/status/1620863122058928128")</f>
        <v>https://twitter.com/ghostpantsdaily/status/1620863122058928128</v>
      </c>
      <c r="AC2547" s="78" t="s">
        <v>4285</v>
      </c>
      <c r="AD2547" s="78" t="s">
        <v>4574</v>
      </c>
      <c r="AE2547" t="b">
        <v>0</v>
      </c>
      <c r="AF2547">
        <v>0</v>
      </c>
      <c r="AG2547" s="78" t="s">
        <v>4743</v>
      </c>
      <c r="AH2547" t="b">
        <v>0</v>
      </c>
      <c r="AI2547" t="s">
        <v>4829</v>
      </c>
      <c r="AK2547" s="78" t="s">
        <v>4640</v>
      </c>
      <c r="AL2547" t="b">
        <v>0</v>
      </c>
      <c r="AM2547">
        <v>0</v>
      </c>
      <c r="AN2547" s="78" t="s">
        <v>4640</v>
      </c>
      <c r="AO2547" s="78" t="s">
        <v>4850</v>
      </c>
      <c r="AP2547" t="b">
        <v>0</v>
      </c>
      <c r="AQ2547" s="78" t="s">
        <v>4574</v>
      </c>
      <c r="AR2547" t="s">
        <v>179</v>
      </c>
      <c r="AS2547">
        <v>0</v>
      </c>
      <c r="AT2547">
        <v>0</v>
      </c>
    </row>
    <row r="2548" spans="1:46" x14ac:dyDescent="0.45">
      <c r="A2548" s="62" t="s">
        <v>949</v>
      </c>
      <c r="B2548" s="62" t="s">
        <v>948</v>
      </c>
      <c r="C2548" s="63"/>
      <c r="D2548" s="64"/>
      <c r="E2548" s="65"/>
      <c r="F2548" s="66"/>
      <c r="G2548" s="63"/>
      <c r="H2548" s="67"/>
      <c r="I2548" s="68"/>
      <c r="J2548" s="68"/>
      <c r="K2548" s="32"/>
      <c r="L2548" s="75"/>
      <c r="M2548" s="75"/>
      <c r="N2548" s="70"/>
      <c r="O2548" t="s">
        <v>1567</v>
      </c>
      <c r="P2548" s="76">
        <v>44959.183854166666</v>
      </c>
      <c r="Q2548" t="s">
        <v>2105</v>
      </c>
      <c r="V2548" s="77" t="str">
        <f>HYPERLINK("https://pbs.twimg.com/profile_images/1456714089103769612/v7Fput3W_normal.jpg")</f>
        <v>https://pbs.twimg.com/profile_images/1456714089103769612/v7Fput3W_normal.jpg</v>
      </c>
      <c r="W2548" s="76">
        <v>44959.183854166666</v>
      </c>
      <c r="X2548" s="80">
        <v>44959</v>
      </c>
      <c r="Y2548" s="78" t="s">
        <v>3221</v>
      </c>
      <c r="Z2548" s="77" t="str">
        <f>HYPERLINK("https://twitter.com/justanother_ofc/status/1621001653867397124")</f>
        <v>https://twitter.com/justanother_ofc/status/1621001653867397124</v>
      </c>
      <c r="AC2548" s="78" t="s">
        <v>4286</v>
      </c>
      <c r="AD2548" s="78" t="s">
        <v>4285</v>
      </c>
      <c r="AE2548" t="b">
        <v>0</v>
      </c>
      <c r="AF2548">
        <v>0</v>
      </c>
      <c r="AG2548" s="78" t="s">
        <v>4775</v>
      </c>
      <c r="AH2548" t="b">
        <v>0</v>
      </c>
      <c r="AI2548" t="s">
        <v>4829</v>
      </c>
      <c r="AK2548" s="78" t="s">
        <v>4640</v>
      </c>
      <c r="AL2548" t="b">
        <v>0</v>
      </c>
      <c r="AM2548">
        <v>0</v>
      </c>
      <c r="AN2548" s="78" t="s">
        <v>4640</v>
      </c>
      <c r="AO2548" s="78" t="s">
        <v>4849</v>
      </c>
      <c r="AP2548" t="b">
        <v>0</v>
      </c>
      <c r="AQ2548" s="78" t="s">
        <v>4285</v>
      </c>
      <c r="AR2548" t="s">
        <v>179</v>
      </c>
      <c r="AS2548">
        <v>0</v>
      </c>
      <c r="AT2548">
        <v>0</v>
      </c>
    </row>
    <row r="2549" spans="1:46" x14ac:dyDescent="0.45">
      <c r="A2549" s="62" t="s">
        <v>949</v>
      </c>
      <c r="B2549" s="62" t="s">
        <v>242</v>
      </c>
      <c r="C2549" s="63"/>
      <c r="D2549" s="64"/>
      <c r="E2549" s="65"/>
      <c r="F2549" s="66"/>
      <c r="G2549" s="63"/>
      <c r="H2549" s="67"/>
      <c r="I2549" s="68"/>
      <c r="J2549" s="68"/>
      <c r="K2549" s="32"/>
      <c r="L2549" s="75"/>
      <c r="M2549" s="75"/>
      <c r="N2549" s="70"/>
      <c r="O2549" t="s">
        <v>1568</v>
      </c>
      <c r="P2549" s="76">
        <v>44959.183854166666</v>
      </c>
      <c r="Q2549" t="s">
        <v>2105</v>
      </c>
      <c r="V2549" s="77" t="str">
        <f>HYPERLINK("https://pbs.twimg.com/profile_images/1456714089103769612/v7Fput3W_normal.jpg")</f>
        <v>https://pbs.twimg.com/profile_images/1456714089103769612/v7Fput3W_normal.jpg</v>
      </c>
      <c r="W2549" s="76">
        <v>44959.183854166666</v>
      </c>
      <c r="X2549" s="80">
        <v>44959</v>
      </c>
      <c r="Y2549" s="78" t="s">
        <v>3221</v>
      </c>
      <c r="Z2549" s="77" t="str">
        <f>HYPERLINK("https://twitter.com/justanother_ofc/status/1621001653867397124")</f>
        <v>https://twitter.com/justanother_ofc/status/1621001653867397124</v>
      </c>
      <c r="AC2549" s="78" t="s">
        <v>4286</v>
      </c>
      <c r="AD2549" s="78" t="s">
        <v>4285</v>
      </c>
      <c r="AE2549" t="b">
        <v>0</v>
      </c>
      <c r="AF2549">
        <v>0</v>
      </c>
      <c r="AG2549" s="78" t="s">
        <v>4775</v>
      </c>
      <c r="AH2549" t="b">
        <v>0</v>
      </c>
      <c r="AI2549" t="s">
        <v>4829</v>
      </c>
      <c r="AK2549" s="78" t="s">
        <v>4640</v>
      </c>
      <c r="AL2549" t="b">
        <v>0</v>
      </c>
      <c r="AM2549">
        <v>0</v>
      </c>
      <c r="AN2549" s="78" t="s">
        <v>4640</v>
      </c>
      <c r="AO2549" s="78" t="s">
        <v>4849</v>
      </c>
      <c r="AP2549" t="b">
        <v>0</v>
      </c>
      <c r="AQ2549" s="78" t="s">
        <v>4285</v>
      </c>
      <c r="AR2549" t="s">
        <v>179</v>
      </c>
      <c r="AS2549">
        <v>0</v>
      </c>
      <c r="AT2549">
        <v>0</v>
      </c>
    </row>
    <row r="2550" spans="1:46" x14ac:dyDescent="0.45">
      <c r="A2550" s="62" t="s">
        <v>949</v>
      </c>
      <c r="B2550" s="62" t="s">
        <v>1365</v>
      </c>
      <c r="C2550" s="63"/>
      <c r="D2550" s="64"/>
      <c r="E2550" s="65"/>
      <c r="F2550" s="66"/>
      <c r="G2550" s="63"/>
      <c r="H2550" s="67"/>
      <c r="I2550" s="68"/>
      <c r="J2550" s="68"/>
      <c r="K2550" s="32"/>
      <c r="L2550" s="75"/>
      <c r="M2550" s="75"/>
      <c r="N2550" s="70"/>
      <c r="O2550" t="s">
        <v>1568</v>
      </c>
      <c r="P2550" s="76">
        <v>44959.183854166666</v>
      </c>
      <c r="Q2550" t="s">
        <v>2105</v>
      </c>
      <c r="V2550" s="77" t="str">
        <f>HYPERLINK("https://pbs.twimg.com/profile_images/1456714089103769612/v7Fput3W_normal.jpg")</f>
        <v>https://pbs.twimg.com/profile_images/1456714089103769612/v7Fput3W_normal.jpg</v>
      </c>
      <c r="W2550" s="76">
        <v>44959.183854166666</v>
      </c>
      <c r="X2550" s="80">
        <v>44959</v>
      </c>
      <c r="Y2550" s="78" t="s">
        <v>3221</v>
      </c>
      <c r="Z2550" s="77" t="str">
        <f>HYPERLINK("https://twitter.com/justanother_ofc/status/1621001653867397124")</f>
        <v>https://twitter.com/justanother_ofc/status/1621001653867397124</v>
      </c>
      <c r="AC2550" s="78" t="s">
        <v>4286</v>
      </c>
      <c r="AD2550" s="78" t="s">
        <v>4285</v>
      </c>
      <c r="AE2550" t="b">
        <v>0</v>
      </c>
      <c r="AF2550">
        <v>0</v>
      </c>
      <c r="AG2550" s="78" t="s">
        <v>4775</v>
      </c>
      <c r="AH2550" t="b">
        <v>0</v>
      </c>
      <c r="AI2550" t="s">
        <v>4829</v>
      </c>
      <c r="AK2550" s="78" t="s">
        <v>4640</v>
      </c>
      <c r="AL2550" t="b">
        <v>0</v>
      </c>
      <c r="AM2550">
        <v>0</v>
      </c>
      <c r="AN2550" s="78" t="s">
        <v>4640</v>
      </c>
      <c r="AO2550" s="78" t="s">
        <v>4849</v>
      </c>
      <c r="AP2550" t="b">
        <v>0</v>
      </c>
      <c r="AQ2550" s="78" t="s">
        <v>4285</v>
      </c>
      <c r="AR2550" t="s">
        <v>179</v>
      </c>
      <c r="AS2550">
        <v>0</v>
      </c>
      <c r="AT2550">
        <v>0</v>
      </c>
    </row>
    <row r="2551" spans="1:46" x14ac:dyDescent="0.45">
      <c r="A2551" s="62" t="s">
        <v>949</v>
      </c>
      <c r="B2551" s="62" t="s">
        <v>1211</v>
      </c>
      <c r="C2551" s="63"/>
      <c r="D2551" s="64"/>
      <c r="E2551" s="65"/>
      <c r="F2551" s="66"/>
      <c r="G2551" s="63"/>
      <c r="H2551" s="67"/>
      <c r="I2551" s="68"/>
      <c r="J2551" s="68"/>
      <c r="K2551" s="32"/>
      <c r="L2551" s="75"/>
      <c r="M2551" s="75"/>
      <c r="N2551" s="70"/>
      <c r="O2551" t="s">
        <v>1568</v>
      </c>
      <c r="P2551" s="76">
        <v>44959.183854166666</v>
      </c>
      <c r="Q2551" t="s">
        <v>2105</v>
      </c>
      <c r="V2551" s="77" t="str">
        <f>HYPERLINK("https://pbs.twimg.com/profile_images/1456714089103769612/v7Fput3W_normal.jpg")</f>
        <v>https://pbs.twimg.com/profile_images/1456714089103769612/v7Fput3W_normal.jpg</v>
      </c>
      <c r="W2551" s="76">
        <v>44959.183854166666</v>
      </c>
      <c r="X2551" s="80">
        <v>44959</v>
      </c>
      <c r="Y2551" s="78" t="s">
        <v>3221</v>
      </c>
      <c r="Z2551" s="77" t="str">
        <f>HYPERLINK("https://twitter.com/justanother_ofc/status/1621001653867397124")</f>
        <v>https://twitter.com/justanother_ofc/status/1621001653867397124</v>
      </c>
      <c r="AC2551" s="78" t="s">
        <v>4286</v>
      </c>
      <c r="AD2551" s="78" t="s">
        <v>4285</v>
      </c>
      <c r="AE2551" t="b">
        <v>0</v>
      </c>
      <c r="AF2551">
        <v>0</v>
      </c>
      <c r="AG2551" s="78" t="s">
        <v>4775</v>
      </c>
      <c r="AH2551" t="b">
        <v>0</v>
      </c>
      <c r="AI2551" t="s">
        <v>4829</v>
      </c>
      <c r="AK2551" s="78" t="s">
        <v>4640</v>
      </c>
      <c r="AL2551" t="b">
        <v>0</v>
      </c>
      <c r="AM2551">
        <v>0</v>
      </c>
      <c r="AN2551" s="78" t="s">
        <v>4640</v>
      </c>
      <c r="AO2551" s="78" t="s">
        <v>4849</v>
      </c>
      <c r="AP2551" t="b">
        <v>0</v>
      </c>
      <c r="AQ2551" s="78" t="s">
        <v>4285</v>
      </c>
      <c r="AR2551" t="s">
        <v>179</v>
      </c>
      <c r="AS2551">
        <v>0</v>
      </c>
      <c r="AT2551">
        <v>0</v>
      </c>
    </row>
    <row r="2552" spans="1:46" x14ac:dyDescent="0.45">
      <c r="A2552" s="62" t="s">
        <v>950</v>
      </c>
      <c r="B2552" s="62" t="s">
        <v>242</v>
      </c>
      <c r="C2552" s="63"/>
      <c r="D2552" s="64"/>
      <c r="E2552" s="65"/>
      <c r="F2552" s="66"/>
      <c r="G2552" s="63"/>
      <c r="H2552" s="67"/>
      <c r="I2552" s="68"/>
      <c r="J2552" s="68"/>
      <c r="K2552" s="32"/>
      <c r="L2552" s="75"/>
      <c r="M2552" s="75"/>
      <c r="N2552" s="70"/>
      <c r="O2552" t="s">
        <v>1568</v>
      </c>
      <c r="P2552" s="76">
        <v>44959.185474537036</v>
      </c>
      <c r="Q2552" t="s">
        <v>2106</v>
      </c>
      <c r="V2552" s="77" t="str">
        <f>HYPERLINK("https://pbs.twimg.com/profile_images/1610120645022519296/OIdR4O0D_normal.jpg")</f>
        <v>https://pbs.twimg.com/profile_images/1610120645022519296/OIdR4O0D_normal.jpg</v>
      </c>
      <c r="W2552" s="76">
        <v>44959.185474537036</v>
      </c>
      <c r="X2552" s="80">
        <v>44959</v>
      </c>
      <c r="Y2552" s="78" t="s">
        <v>3222</v>
      </c>
      <c r="Z2552" s="77" t="str">
        <f>HYPERLINK("https://twitter.com/officialmillye/status/1621002238712766464")</f>
        <v>https://twitter.com/officialmillye/status/1621002238712766464</v>
      </c>
      <c r="AC2552" s="78" t="s">
        <v>4287</v>
      </c>
      <c r="AE2552" t="b">
        <v>0</v>
      </c>
      <c r="AF2552">
        <v>0</v>
      </c>
      <c r="AG2552" s="78" t="s">
        <v>4640</v>
      </c>
      <c r="AH2552" t="b">
        <v>0</v>
      </c>
      <c r="AI2552" t="s">
        <v>4829</v>
      </c>
      <c r="AK2552" s="78" t="s">
        <v>4640</v>
      </c>
      <c r="AL2552" t="b">
        <v>0</v>
      </c>
      <c r="AM2552">
        <v>0</v>
      </c>
      <c r="AN2552" s="78" t="s">
        <v>4640</v>
      </c>
      <c r="AO2552" s="78" t="s">
        <v>4849</v>
      </c>
      <c r="AP2552" t="b">
        <v>0</v>
      </c>
      <c r="AQ2552" s="78" t="s">
        <v>4287</v>
      </c>
      <c r="AR2552" t="s">
        <v>179</v>
      </c>
      <c r="AS2552">
        <v>0</v>
      </c>
      <c r="AT2552">
        <v>0</v>
      </c>
    </row>
    <row r="2553" spans="1:46" x14ac:dyDescent="0.45">
      <c r="A2553" s="62" t="s">
        <v>951</v>
      </c>
      <c r="B2553" s="62" t="s">
        <v>1460</v>
      </c>
      <c r="C2553" s="63"/>
      <c r="D2553" s="64"/>
      <c r="E2553" s="65"/>
      <c r="F2553" s="66"/>
      <c r="G2553" s="63"/>
      <c r="H2553" s="67"/>
      <c r="I2553" s="68"/>
      <c r="J2553" s="68"/>
      <c r="K2553" s="32"/>
      <c r="L2553" s="75"/>
      <c r="M2553" s="75"/>
      <c r="N2553" s="70"/>
      <c r="O2553" t="s">
        <v>1568</v>
      </c>
      <c r="P2553" s="76">
        <v>44959.190243055556</v>
      </c>
      <c r="Q2553" t="s">
        <v>2108</v>
      </c>
      <c r="U2553" s="77" t="str">
        <f>HYPERLINK("https://pbs.twimg.com/media/Fn72ANyWQAQ13mL.jpg")</f>
        <v>https://pbs.twimg.com/media/Fn72ANyWQAQ13mL.jpg</v>
      </c>
      <c r="V2553" s="77" t="str">
        <f>HYPERLINK("https://pbs.twimg.com/media/Fn72ANyWQAQ13mL.jpg")</f>
        <v>https://pbs.twimg.com/media/Fn72ANyWQAQ13mL.jpg</v>
      </c>
      <c r="W2553" s="76">
        <v>44959.190243055556</v>
      </c>
      <c r="X2553" s="80">
        <v>44959</v>
      </c>
      <c r="Y2553" s="78" t="s">
        <v>3224</v>
      </c>
      <c r="Z2553" s="77" t="str">
        <f>HYPERLINK("https://twitter.com/ctrapawomen/status/1621003967701610496")</f>
        <v>https://twitter.com/ctrapawomen/status/1621003967701610496</v>
      </c>
      <c r="AC2553" s="78" t="s">
        <v>4289</v>
      </c>
      <c r="AE2553" t="b">
        <v>0</v>
      </c>
      <c r="AF2553">
        <v>0</v>
      </c>
      <c r="AG2553" s="78" t="s">
        <v>4640</v>
      </c>
      <c r="AH2553" t="b">
        <v>0</v>
      </c>
      <c r="AI2553" t="s">
        <v>4829</v>
      </c>
      <c r="AK2553" s="78" t="s">
        <v>4640</v>
      </c>
      <c r="AL2553" t="b">
        <v>0</v>
      </c>
      <c r="AM2553">
        <v>0</v>
      </c>
      <c r="AN2553" s="78" t="s">
        <v>4640</v>
      </c>
      <c r="AO2553" s="78" t="s">
        <v>4851</v>
      </c>
      <c r="AP2553" t="b">
        <v>0</v>
      </c>
      <c r="AQ2553" s="78" t="s">
        <v>4289</v>
      </c>
      <c r="AR2553" t="s">
        <v>179</v>
      </c>
      <c r="AS2553">
        <v>0</v>
      </c>
      <c r="AT2553">
        <v>0</v>
      </c>
    </row>
    <row r="2554" spans="1:46" x14ac:dyDescent="0.45">
      <c r="A2554" s="62" t="s">
        <v>951</v>
      </c>
      <c r="B2554" s="62" t="s">
        <v>1461</v>
      </c>
      <c r="C2554" s="63"/>
      <c r="D2554" s="64"/>
      <c r="E2554" s="65"/>
      <c r="F2554" s="66"/>
      <c r="G2554" s="63"/>
      <c r="H2554" s="67"/>
      <c r="I2554" s="68"/>
      <c r="J2554" s="68"/>
      <c r="K2554" s="32"/>
      <c r="L2554" s="75"/>
      <c r="M2554" s="75"/>
      <c r="N2554" s="70"/>
      <c r="O2554" t="s">
        <v>1568</v>
      </c>
      <c r="P2554" s="76">
        <v>44959.190243055556</v>
      </c>
      <c r="Q2554" t="s">
        <v>2108</v>
      </c>
      <c r="U2554" s="77" t="str">
        <f>HYPERLINK("https://pbs.twimg.com/media/Fn72ANyWQAQ13mL.jpg")</f>
        <v>https://pbs.twimg.com/media/Fn72ANyWQAQ13mL.jpg</v>
      </c>
      <c r="V2554" s="77" t="str">
        <f>HYPERLINK("https://pbs.twimg.com/media/Fn72ANyWQAQ13mL.jpg")</f>
        <v>https://pbs.twimg.com/media/Fn72ANyWQAQ13mL.jpg</v>
      </c>
      <c r="W2554" s="76">
        <v>44959.190243055556</v>
      </c>
      <c r="X2554" s="80">
        <v>44959</v>
      </c>
      <c r="Y2554" s="78" t="s">
        <v>3224</v>
      </c>
      <c r="Z2554" s="77" t="str">
        <f>HYPERLINK("https://twitter.com/ctrapawomen/status/1621003967701610496")</f>
        <v>https://twitter.com/ctrapawomen/status/1621003967701610496</v>
      </c>
      <c r="AC2554" s="78" t="s">
        <v>4289</v>
      </c>
      <c r="AE2554" t="b">
        <v>0</v>
      </c>
      <c r="AF2554">
        <v>0</v>
      </c>
      <c r="AG2554" s="78" t="s">
        <v>4640</v>
      </c>
      <c r="AH2554" t="b">
        <v>0</v>
      </c>
      <c r="AI2554" t="s">
        <v>4829</v>
      </c>
      <c r="AK2554" s="78" t="s">
        <v>4640</v>
      </c>
      <c r="AL2554" t="b">
        <v>0</v>
      </c>
      <c r="AM2554">
        <v>0</v>
      </c>
      <c r="AN2554" s="78" t="s">
        <v>4640</v>
      </c>
      <c r="AO2554" s="78" t="s">
        <v>4851</v>
      </c>
      <c r="AP2554" t="b">
        <v>0</v>
      </c>
      <c r="AQ2554" s="78" t="s">
        <v>4289</v>
      </c>
      <c r="AR2554" t="s">
        <v>179</v>
      </c>
      <c r="AS2554">
        <v>0</v>
      </c>
      <c r="AT2554">
        <v>0</v>
      </c>
    </row>
    <row r="2555" spans="1:46" x14ac:dyDescent="0.45">
      <c r="A2555" s="62" t="s">
        <v>951</v>
      </c>
      <c r="B2555" s="62" t="s">
        <v>1262</v>
      </c>
      <c r="C2555" s="63"/>
      <c r="D2555" s="64"/>
      <c r="E2555" s="65"/>
      <c r="F2555" s="66"/>
      <c r="G2555" s="63"/>
      <c r="H2555" s="67"/>
      <c r="I2555" s="68"/>
      <c r="J2555" s="68"/>
      <c r="K2555" s="32"/>
      <c r="L2555" s="75"/>
      <c r="M2555" s="75"/>
      <c r="N2555" s="70"/>
      <c r="O2555" t="s">
        <v>1568</v>
      </c>
      <c r="P2555" s="76">
        <v>44959.190243055556</v>
      </c>
      <c r="Q2555" t="s">
        <v>2108</v>
      </c>
      <c r="U2555" s="77" t="str">
        <f>HYPERLINK("https://pbs.twimg.com/media/Fn72ANyWQAQ13mL.jpg")</f>
        <v>https://pbs.twimg.com/media/Fn72ANyWQAQ13mL.jpg</v>
      </c>
      <c r="V2555" s="77" t="str">
        <f>HYPERLINK("https://pbs.twimg.com/media/Fn72ANyWQAQ13mL.jpg")</f>
        <v>https://pbs.twimg.com/media/Fn72ANyWQAQ13mL.jpg</v>
      </c>
      <c r="W2555" s="76">
        <v>44959.190243055556</v>
      </c>
      <c r="X2555" s="80">
        <v>44959</v>
      </c>
      <c r="Y2555" s="78" t="s">
        <v>3224</v>
      </c>
      <c r="Z2555" s="77" t="str">
        <f>HYPERLINK("https://twitter.com/ctrapawomen/status/1621003967701610496")</f>
        <v>https://twitter.com/ctrapawomen/status/1621003967701610496</v>
      </c>
      <c r="AC2555" s="78" t="s">
        <v>4289</v>
      </c>
      <c r="AE2555" t="b">
        <v>0</v>
      </c>
      <c r="AF2555">
        <v>0</v>
      </c>
      <c r="AG2555" s="78" t="s">
        <v>4640</v>
      </c>
      <c r="AH2555" t="b">
        <v>0</v>
      </c>
      <c r="AI2555" t="s">
        <v>4829</v>
      </c>
      <c r="AK2555" s="78" t="s">
        <v>4640</v>
      </c>
      <c r="AL2555" t="b">
        <v>0</v>
      </c>
      <c r="AM2555">
        <v>0</v>
      </c>
      <c r="AN2555" s="78" t="s">
        <v>4640</v>
      </c>
      <c r="AO2555" s="78" t="s">
        <v>4851</v>
      </c>
      <c r="AP2555" t="b">
        <v>0</v>
      </c>
      <c r="AQ2555" s="78" t="s">
        <v>4289</v>
      </c>
      <c r="AR2555" t="s">
        <v>179</v>
      </c>
      <c r="AS2555">
        <v>0</v>
      </c>
      <c r="AT2555">
        <v>0</v>
      </c>
    </row>
    <row r="2556" spans="1:46" x14ac:dyDescent="0.45">
      <c r="A2556" s="62" t="s">
        <v>951</v>
      </c>
      <c r="B2556" s="62" t="s">
        <v>242</v>
      </c>
      <c r="C2556" s="63"/>
      <c r="D2556" s="64"/>
      <c r="E2556" s="65"/>
      <c r="F2556" s="66"/>
      <c r="G2556" s="63"/>
      <c r="H2556" s="67"/>
      <c r="I2556" s="68"/>
      <c r="J2556" s="68"/>
      <c r="K2556" s="32"/>
      <c r="L2556" s="75"/>
      <c r="M2556" s="75"/>
      <c r="N2556" s="70"/>
      <c r="O2556" t="s">
        <v>1568</v>
      </c>
      <c r="P2556" s="76">
        <v>44959.190243055556</v>
      </c>
      <c r="Q2556" t="s">
        <v>2108</v>
      </c>
      <c r="U2556" s="77" t="str">
        <f>HYPERLINK("https://pbs.twimg.com/media/Fn72ANyWQAQ13mL.jpg")</f>
        <v>https://pbs.twimg.com/media/Fn72ANyWQAQ13mL.jpg</v>
      </c>
      <c r="V2556" s="77" t="str">
        <f>HYPERLINK("https://pbs.twimg.com/media/Fn72ANyWQAQ13mL.jpg")</f>
        <v>https://pbs.twimg.com/media/Fn72ANyWQAQ13mL.jpg</v>
      </c>
      <c r="W2556" s="76">
        <v>44959.190243055556</v>
      </c>
      <c r="X2556" s="80">
        <v>44959</v>
      </c>
      <c r="Y2556" s="78" t="s">
        <v>3224</v>
      </c>
      <c r="Z2556" s="77" t="str">
        <f>HYPERLINK("https://twitter.com/ctrapawomen/status/1621003967701610496")</f>
        <v>https://twitter.com/ctrapawomen/status/1621003967701610496</v>
      </c>
      <c r="AC2556" s="78" t="s">
        <v>4289</v>
      </c>
      <c r="AE2556" t="b">
        <v>0</v>
      </c>
      <c r="AF2556">
        <v>0</v>
      </c>
      <c r="AG2556" s="78" t="s">
        <v>4640</v>
      </c>
      <c r="AH2556" t="b">
        <v>0</v>
      </c>
      <c r="AI2556" t="s">
        <v>4829</v>
      </c>
      <c r="AK2556" s="78" t="s">
        <v>4640</v>
      </c>
      <c r="AL2556" t="b">
        <v>0</v>
      </c>
      <c r="AM2556">
        <v>0</v>
      </c>
      <c r="AN2556" s="78" t="s">
        <v>4640</v>
      </c>
      <c r="AO2556" s="78" t="s">
        <v>4851</v>
      </c>
      <c r="AP2556" t="b">
        <v>0</v>
      </c>
      <c r="AQ2556" s="78" t="s">
        <v>4289</v>
      </c>
      <c r="AR2556" t="s">
        <v>179</v>
      </c>
      <c r="AS2556">
        <v>0</v>
      </c>
      <c r="AT2556">
        <v>0</v>
      </c>
    </row>
    <row r="2557" spans="1:46" x14ac:dyDescent="0.45">
      <c r="A2557" s="62" t="s">
        <v>952</v>
      </c>
      <c r="B2557" s="62" t="s">
        <v>1438</v>
      </c>
      <c r="C2557" s="63"/>
      <c r="D2557" s="64"/>
      <c r="E2557" s="65"/>
      <c r="F2557" s="66"/>
      <c r="G2557" s="63"/>
      <c r="H2557" s="67"/>
      <c r="I2557" s="68"/>
      <c r="J2557" s="68"/>
      <c r="K2557" s="32"/>
      <c r="L2557" s="75"/>
      <c r="M2557" s="75"/>
      <c r="N2557" s="70"/>
      <c r="O2557" t="s">
        <v>1568</v>
      </c>
      <c r="P2557" s="76">
        <v>44959.190949074073</v>
      </c>
      <c r="Q2557" t="s">
        <v>2112</v>
      </c>
      <c r="V2557" s="77" t="str">
        <f>HYPERLINK("https://pbs.twimg.com/profile_images/1381143945942458371/KJq2Lo_x_normal.jpg")</f>
        <v>https://pbs.twimg.com/profile_images/1381143945942458371/KJq2Lo_x_normal.jpg</v>
      </c>
      <c r="W2557" s="76">
        <v>44959.190949074073</v>
      </c>
      <c r="X2557" s="80">
        <v>44959</v>
      </c>
      <c r="Y2557" s="78" t="s">
        <v>3228</v>
      </c>
      <c r="Z2557" s="77" t="str">
        <f>HYPERLINK("https://twitter.com/sourabhcjain/status/1621004222367166464")</f>
        <v>https://twitter.com/sourabhcjain/status/1621004222367166464</v>
      </c>
      <c r="AC2557" s="78" t="s">
        <v>4293</v>
      </c>
      <c r="AD2557" s="78" t="s">
        <v>4599</v>
      </c>
      <c r="AE2557" t="b">
        <v>0</v>
      </c>
      <c r="AF2557">
        <v>0</v>
      </c>
      <c r="AG2557" s="78" t="s">
        <v>4777</v>
      </c>
      <c r="AH2557" t="b">
        <v>0</v>
      </c>
      <c r="AI2557" t="s">
        <v>4829</v>
      </c>
      <c r="AK2557" s="78" t="s">
        <v>4640</v>
      </c>
      <c r="AL2557" t="b">
        <v>0</v>
      </c>
      <c r="AM2557">
        <v>0</v>
      </c>
      <c r="AN2557" s="78" t="s">
        <v>4640</v>
      </c>
      <c r="AO2557" s="78" t="s">
        <v>4850</v>
      </c>
      <c r="AP2557" t="b">
        <v>0</v>
      </c>
      <c r="AQ2557" s="78" t="s">
        <v>4599</v>
      </c>
      <c r="AR2557" t="s">
        <v>179</v>
      </c>
      <c r="AS2557">
        <v>0</v>
      </c>
      <c r="AT2557">
        <v>0</v>
      </c>
    </row>
    <row r="2558" spans="1:46" x14ac:dyDescent="0.45">
      <c r="A2558" s="62" t="s">
        <v>952</v>
      </c>
      <c r="B2558" s="62" t="s">
        <v>1111</v>
      </c>
      <c r="C2558" s="63"/>
      <c r="D2558" s="64"/>
      <c r="E2558" s="65"/>
      <c r="F2558" s="66"/>
      <c r="G2558" s="63"/>
      <c r="H2558" s="67"/>
      <c r="I2558" s="68"/>
      <c r="J2558" s="68"/>
      <c r="K2558" s="32"/>
      <c r="L2558" s="75"/>
      <c r="M2558" s="75"/>
      <c r="N2558" s="70"/>
      <c r="O2558" t="s">
        <v>1568</v>
      </c>
      <c r="P2558" s="76">
        <v>44959.190949074073</v>
      </c>
      <c r="Q2558" t="s">
        <v>2112</v>
      </c>
      <c r="V2558" s="77" t="str">
        <f>HYPERLINK("https://pbs.twimg.com/profile_images/1381143945942458371/KJq2Lo_x_normal.jpg")</f>
        <v>https://pbs.twimg.com/profile_images/1381143945942458371/KJq2Lo_x_normal.jpg</v>
      </c>
      <c r="W2558" s="76">
        <v>44959.190949074073</v>
      </c>
      <c r="X2558" s="80">
        <v>44959</v>
      </c>
      <c r="Y2558" s="78" t="s">
        <v>3228</v>
      </c>
      <c r="Z2558" s="77" t="str">
        <f>HYPERLINK("https://twitter.com/sourabhcjain/status/1621004222367166464")</f>
        <v>https://twitter.com/sourabhcjain/status/1621004222367166464</v>
      </c>
      <c r="AC2558" s="78" t="s">
        <v>4293</v>
      </c>
      <c r="AD2558" s="78" t="s">
        <v>4599</v>
      </c>
      <c r="AE2558" t="b">
        <v>0</v>
      </c>
      <c r="AF2558">
        <v>0</v>
      </c>
      <c r="AG2558" s="78" t="s">
        <v>4777</v>
      </c>
      <c r="AH2558" t="b">
        <v>0</v>
      </c>
      <c r="AI2558" t="s">
        <v>4829</v>
      </c>
      <c r="AK2558" s="78" t="s">
        <v>4640</v>
      </c>
      <c r="AL2558" t="b">
        <v>0</v>
      </c>
      <c r="AM2558">
        <v>0</v>
      </c>
      <c r="AN2558" s="78" t="s">
        <v>4640</v>
      </c>
      <c r="AO2558" s="78" t="s">
        <v>4850</v>
      </c>
      <c r="AP2558" t="b">
        <v>0</v>
      </c>
      <c r="AQ2558" s="78" t="s">
        <v>4599</v>
      </c>
      <c r="AR2558" t="s">
        <v>179</v>
      </c>
      <c r="AS2558">
        <v>0</v>
      </c>
      <c r="AT2558">
        <v>0</v>
      </c>
    </row>
    <row r="2559" spans="1:46" x14ac:dyDescent="0.45">
      <c r="A2559" s="62" t="s">
        <v>952</v>
      </c>
      <c r="B2559" s="62" t="s">
        <v>1202</v>
      </c>
      <c r="C2559" s="63"/>
      <c r="D2559" s="64"/>
      <c r="E2559" s="65"/>
      <c r="F2559" s="66"/>
      <c r="G2559" s="63"/>
      <c r="H2559" s="67"/>
      <c r="I2559" s="68"/>
      <c r="J2559" s="68"/>
      <c r="K2559" s="32"/>
      <c r="L2559" s="75"/>
      <c r="M2559" s="75"/>
      <c r="N2559" s="70"/>
      <c r="O2559" t="s">
        <v>1568</v>
      </c>
      <c r="P2559" s="76">
        <v>44959.190949074073</v>
      </c>
      <c r="Q2559" t="s">
        <v>2112</v>
      </c>
      <c r="V2559" s="77" t="str">
        <f>HYPERLINK("https://pbs.twimg.com/profile_images/1381143945942458371/KJq2Lo_x_normal.jpg")</f>
        <v>https://pbs.twimg.com/profile_images/1381143945942458371/KJq2Lo_x_normal.jpg</v>
      </c>
      <c r="W2559" s="76">
        <v>44959.190949074073</v>
      </c>
      <c r="X2559" s="80">
        <v>44959</v>
      </c>
      <c r="Y2559" s="78" t="s">
        <v>3228</v>
      </c>
      <c r="Z2559" s="77" t="str">
        <f>HYPERLINK("https://twitter.com/sourabhcjain/status/1621004222367166464")</f>
        <v>https://twitter.com/sourabhcjain/status/1621004222367166464</v>
      </c>
      <c r="AC2559" s="78" t="s">
        <v>4293</v>
      </c>
      <c r="AD2559" s="78" t="s">
        <v>4599</v>
      </c>
      <c r="AE2559" t="b">
        <v>0</v>
      </c>
      <c r="AF2559">
        <v>0</v>
      </c>
      <c r="AG2559" s="78" t="s">
        <v>4777</v>
      </c>
      <c r="AH2559" t="b">
        <v>0</v>
      </c>
      <c r="AI2559" t="s">
        <v>4829</v>
      </c>
      <c r="AK2559" s="78" t="s">
        <v>4640</v>
      </c>
      <c r="AL2559" t="b">
        <v>0</v>
      </c>
      <c r="AM2559">
        <v>0</v>
      </c>
      <c r="AN2559" s="78" t="s">
        <v>4640</v>
      </c>
      <c r="AO2559" s="78" t="s">
        <v>4850</v>
      </c>
      <c r="AP2559" t="b">
        <v>0</v>
      </c>
      <c r="AQ2559" s="78" t="s">
        <v>4599</v>
      </c>
      <c r="AR2559" t="s">
        <v>179</v>
      </c>
      <c r="AS2559">
        <v>0</v>
      </c>
      <c r="AT2559">
        <v>0</v>
      </c>
    </row>
    <row r="2560" spans="1:46" x14ac:dyDescent="0.45">
      <c r="A2560" s="62" t="s">
        <v>952</v>
      </c>
      <c r="B2560" s="62" t="s">
        <v>1204</v>
      </c>
      <c r="C2560" s="63"/>
      <c r="D2560" s="64"/>
      <c r="E2560" s="65"/>
      <c r="F2560" s="66"/>
      <c r="G2560" s="63"/>
      <c r="H2560" s="67"/>
      <c r="I2560" s="68"/>
      <c r="J2560" s="68"/>
      <c r="K2560" s="32"/>
      <c r="L2560" s="75"/>
      <c r="M2560" s="75"/>
      <c r="N2560" s="70"/>
      <c r="O2560" t="s">
        <v>1568</v>
      </c>
      <c r="P2560" s="76">
        <v>44959.190949074073</v>
      </c>
      <c r="Q2560" t="s">
        <v>2112</v>
      </c>
      <c r="V2560" s="77" t="str">
        <f>HYPERLINK("https://pbs.twimg.com/profile_images/1381143945942458371/KJq2Lo_x_normal.jpg")</f>
        <v>https://pbs.twimg.com/profile_images/1381143945942458371/KJq2Lo_x_normal.jpg</v>
      </c>
      <c r="W2560" s="76">
        <v>44959.190949074073</v>
      </c>
      <c r="X2560" s="80">
        <v>44959</v>
      </c>
      <c r="Y2560" s="78" t="s">
        <v>3228</v>
      </c>
      <c r="Z2560" s="77" t="str">
        <f>HYPERLINK("https://twitter.com/sourabhcjain/status/1621004222367166464")</f>
        <v>https://twitter.com/sourabhcjain/status/1621004222367166464</v>
      </c>
      <c r="AC2560" s="78" t="s">
        <v>4293</v>
      </c>
      <c r="AD2560" s="78" t="s">
        <v>4599</v>
      </c>
      <c r="AE2560" t="b">
        <v>0</v>
      </c>
      <c r="AF2560">
        <v>0</v>
      </c>
      <c r="AG2560" s="78" t="s">
        <v>4777</v>
      </c>
      <c r="AH2560" t="b">
        <v>0</v>
      </c>
      <c r="AI2560" t="s">
        <v>4829</v>
      </c>
      <c r="AK2560" s="78" t="s">
        <v>4640</v>
      </c>
      <c r="AL2560" t="b">
        <v>0</v>
      </c>
      <c r="AM2560">
        <v>0</v>
      </c>
      <c r="AN2560" s="78" t="s">
        <v>4640</v>
      </c>
      <c r="AO2560" s="78" t="s">
        <v>4850</v>
      </c>
      <c r="AP2560" t="b">
        <v>0</v>
      </c>
      <c r="AQ2560" s="78" t="s">
        <v>4599</v>
      </c>
      <c r="AR2560" t="s">
        <v>179</v>
      </c>
      <c r="AS2560">
        <v>0</v>
      </c>
      <c r="AT2560">
        <v>0</v>
      </c>
    </row>
    <row r="2561" spans="1:46" x14ac:dyDescent="0.45">
      <c r="A2561" s="62" t="s">
        <v>952</v>
      </c>
      <c r="B2561" s="62" t="s">
        <v>242</v>
      </c>
      <c r="C2561" s="63"/>
      <c r="D2561" s="64"/>
      <c r="E2561" s="65"/>
      <c r="F2561" s="66"/>
      <c r="G2561" s="63"/>
      <c r="H2561" s="67"/>
      <c r="I2561" s="68"/>
      <c r="J2561" s="68"/>
      <c r="K2561" s="32"/>
      <c r="L2561" s="75"/>
      <c r="M2561" s="75"/>
      <c r="N2561" s="70"/>
      <c r="O2561" t="s">
        <v>1568</v>
      </c>
      <c r="P2561" s="76">
        <v>44959.190949074073</v>
      </c>
      <c r="Q2561" t="s">
        <v>2112</v>
      </c>
      <c r="V2561" s="77" t="str">
        <f>HYPERLINK("https://pbs.twimg.com/profile_images/1381143945942458371/KJq2Lo_x_normal.jpg")</f>
        <v>https://pbs.twimg.com/profile_images/1381143945942458371/KJq2Lo_x_normal.jpg</v>
      </c>
      <c r="W2561" s="76">
        <v>44959.190949074073</v>
      </c>
      <c r="X2561" s="80">
        <v>44959</v>
      </c>
      <c r="Y2561" s="78" t="s">
        <v>3228</v>
      </c>
      <c r="Z2561" s="77" t="str">
        <f>HYPERLINK("https://twitter.com/sourabhcjain/status/1621004222367166464")</f>
        <v>https://twitter.com/sourabhcjain/status/1621004222367166464</v>
      </c>
      <c r="AC2561" s="78" t="s">
        <v>4293</v>
      </c>
      <c r="AD2561" s="78" t="s">
        <v>4599</v>
      </c>
      <c r="AE2561" t="b">
        <v>0</v>
      </c>
      <c r="AF2561">
        <v>0</v>
      </c>
      <c r="AG2561" s="78" t="s">
        <v>4777</v>
      </c>
      <c r="AH2561" t="b">
        <v>0</v>
      </c>
      <c r="AI2561" t="s">
        <v>4829</v>
      </c>
      <c r="AK2561" s="78" t="s">
        <v>4640</v>
      </c>
      <c r="AL2561" t="b">
        <v>0</v>
      </c>
      <c r="AM2561">
        <v>0</v>
      </c>
      <c r="AN2561" s="78" t="s">
        <v>4640</v>
      </c>
      <c r="AO2561" s="78" t="s">
        <v>4850</v>
      </c>
      <c r="AP2561" t="b">
        <v>0</v>
      </c>
      <c r="AQ2561" s="78" t="s">
        <v>4599</v>
      </c>
      <c r="AR2561" t="s">
        <v>179</v>
      </c>
      <c r="AS2561">
        <v>0</v>
      </c>
      <c r="AT2561">
        <v>0</v>
      </c>
    </row>
    <row r="2562" spans="1:46" x14ac:dyDescent="0.45">
      <c r="A2562" s="62" t="s">
        <v>952</v>
      </c>
      <c r="B2562" s="62" t="s">
        <v>1109</v>
      </c>
      <c r="C2562" s="63"/>
      <c r="D2562" s="64"/>
      <c r="E2562" s="65"/>
      <c r="F2562" s="66"/>
      <c r="G2562" s="63"/>
      <c r="H2562" s="67"/>
      <c r="I2562" s="68"/>
      <c r="J2562" s="68"/>
      <c r="K2562" s="32"/>
      <c r="L2562" s="75"/>
      <c r="M2562" s="75"/>
      <c r="N2562" s="70"/>
      <c r="O2562" t="s">
        <v>1568</v>
      </c>
      <c r="P2562" s="76">
        <v>44959.190949074073</v>
      </c>
      <c r="Q2562" t="s">
        <v>2112</v>
      </c>
      <c r="V2562" s="77" t="str">
        <f>HYPERLINK("https://pbs.twimg.com/profile_images/1381143945942458371/KJq2Lo_x_normal.jpg")</f>
        <v>https://pbs.twimg.com/profile_images/1381143945942458371/KJq2Lo_x_normal.jpg</v>
      </c>
      <c r="W2562" s="76">
        <v>44959.190949074073</v>
      </c>
      <c r="X2562" s="80">
        <v>44959</v>
      </c>
      <c r="Y2562" s="78" t="s">
        <v>3228</v>
      </c>
      <c r="Z2562" s="77" t="str">
        <f>HYPERLINK("https://twitter.com/sourabhcjain/status/1621004222367166464")</f>
        <v>https://twitter.com/sourabhcjain/status/1621004222367166464</v>
      </c>
      <c r="AC2562" s="78" t="s">
        <v>4293</v>
      </c>
      <c r="AD2562" s="78" t="s">
        <v>4599</v>
      </c>
      <c r="AE2562" t="b">
        <v>0</v>
      </c>
      <c r="AF2562">
        <v>0</v>
      </c>
      <c r="AG2562" s="78" t="s">
        <v>4777</v>
      </c>
      <c r="AH2562" t="b">
        <v>0</v>
      </c>
      <c r="AI2562" t="s">
        <v>4829</v>
      </c>
      <c r="AK2562" s="78" t="s">
        <v>4640</v>
      </c>
      <c r="AL2562" t="b">
        <v>0</v>
      </c>
      <c r="AM2562">
        <v>0</v>
      </c>
      <c r="AN2562" s="78" t="s">
        <v>4640</v>
      </c>
      <c r="AO2562" s="78" t="s">
        <v>4850</v>
      </c>
      <c r="AP2562" t="b">
        <v>0</v>
      </c>
      <c r="AQ2562" s="78" t="s">
        <v>4599</v>
      </c>
      <c r="AR2562" t="s">
        <v>179</v>
      </c>
      <c r="AS2562">
        <v>0</v>
      </c>
      <c r="AT2562">
        <v>0</v>
      </c>
    </row>
    <row r="2563" spans="1:46" x14ac:dyDescent="0.45">
      <c r="A2563" s="62" t="s">
        <v>952</v>
      </c>
      <c r="B2563" s="62" t="s">
        <v>1110</v>
      </c>
      <c r="C2563" s="63"/>
      <c r="D2563" s="64"/>
      <c r="E2563" s="65"/>
      <c r="F2563" s="66"/>
      <c r="G2563" s="63"/>
      <c r="H2563" s="67"/>
      <c r="I2563" s="68"/>
      <c r="J2563" s="68"/>
      <c r="K2563" s="32"/>
      <c r="L2563" s="75"/>
      <c r="M2563" s="75"/>
      <c r="N2563" s="70"/>
      <c r="O2563" t="s">
        <v>1568</v>
      </c>
      <c r="P2563" s="76">
        <v>44959.190949074073</v>
      </c>
      <c r="Q2563" t="s">
        <v>2112</v>
      </c>
      <c r="V2563" s="77" t="str">
        <f>HYPERLINK("https://pbs.twimg.com/profile_images/1381143945942458371/KJq2Lo_x_normal.jpg")</f>
        <v>https://pbs.twimg.com/profile_images/1381143945942458371/KJq2Lo_x_normal.jpg</v>
      </c>
      <c r="W2563" s="76">
        <v>44959.190949074073</v>
      </c>
      <c r="X2563" s="80">
        <v>44959</v>
      </c>
      <c r="Y2563" s="78" t="s">
        <v>3228</v>
      </c>
      <c r="Z2563" s="77" t="str">
        <f>HYPERLINK("https://twitter.com/sourabhcjain/status/1621004222367166464")</f>
        <v>https://twitter.com/sourabhcjain/status/1621004222367166464</v>
      </c>
      <c r="AC2563" s="78" t="s">
        <v>4293</v>
      </c>
      <c r="AD2563" s="78" t="s">
        <v>4599</v>
      </c>
      <c r="AE2563" t="b">
        <v>0</v>
      </c>
      <c r="AF2563">
        <v>0</v>
      </c>
      <c r="AG2563" s="78" t="s">
        <v>4777</v>
      </c>
      <c r="AH2563" t="b">
        <v>0</v>
      </c>
      <c r="AI2563" t="s">
        <v>4829</v>
      </c>
      <c r="AK2563" s="78" t="s">
        <v>4640</v>
      </c>
      <c r="AL2563" t="b">
        <v>0</v>
      </c>
      <c r="AM2563">
        <v>0</v>
      </c>
      <c r="AN2563" s="78" t="s">
        <v>4640</v>
      </c>
      <c r="AO2563" s="78" t="s">
        <v>4850</v>
      </c>
      <c r="AP2563" t="b">
        <v>0</v>
      </c>
      <c r="AQ2563" s="78" t="s">
        <v>4599</v>
      </c>
      <c r="AR2563" t="s">
        <v>179</v>
      </c>
      <c r="AS2563">
        <v>0</v>
      </c>
      <c r="AT2563">
        <v>0</v>
      </c>
    </row>
    <row r="2564" spans="1:46" x14ac:dyDescent="0.45">
      <c r="A2564" s="62" t="s">
        <v>954</v>
      </c>
      <c r="B2564" s="62" t="s">
        <v>1463</v>
      </c>
      <c r="C2564" s="63"/>
      <c r="D2564" s="64"/>
      <c r="E2564" s="65"/>
      <c r="F2564" s="66"/>
      <c r="G2564" s="63"/>
      <c r="H2564" s="67"/>
      <c r="I2564" s="68"/>
      <c r="J2564" s="68"/>
      <c r="K2564" s="32"/>
      <c r="L2564" s="75"/>
      <c r="M2564" s="75"/>
      <c r="N2564" s="70"/>
      <c r="O2564" t="s">
        <v>1568</v>
      </c>
      <c r="P2564" s="76">
        <v>44959.193043981482</v>
      </c>
      <c r="Q2564" t="s">
        <v>2114</v>
      </c>
      <c r="V2564" s="77" t="str">
        <f>HYPERLINK("https://pbs.twimg.com/profile_images/772574041928413184/3DMpdROH_normal.jpg")</f>
        <v>https://pbs.twimg.com/profile_images/772574041928413184/3DMpdROH_normal.jpg</v>
      </c>
      <c r="W2564" s="76">
        <v>44959.193043981482</v>
      </c>
      <c r="X2564" s="80">
        <v>44959</v>
      </c>
      <c r="Y2564" s="78" t="s">
        <v>3230</v>
      </c>
      <c r="Z2564" s="77" t="str">
        <f>HYPERLINK("https://twitter.com/rhuntington3/status/1621004983507505152")</f>
        <v>https://twitter.com/rhuntington3/status/1621004983507505152</v>
      </c>
      <c r="AC2564" s="78" t="s">
        <v>4295</v>
      </c>
      <c r="AD2564" s="78" t="s">
        <v>4294</v>
      </c>
      <c r="AE2564" t="b">
        <v>0</v>
      </c>
      <c r="AF2564">
        <v>0</v>
      </c>
      <c r="AG2564" s="78" t="s">
        <v>4778</v>
      </c>
      <c r="AH2564" t="b">
        <v>0</v>
      </c>
      <c r="AI2564" t="s">
        <v>4829</v>
      </c>
      <c r="AK2564" s="78" t="s">
        <v>4640</v>
      </c>
      <c r="AL2564" t="b">
        <v>0</v>
      </c>
      <c r="AM2564">
        <v>0</v>
      </c>
      <c r="AN2564" s="78" t="s">
        <v>4640</v>
      </c>
      <c r="AO2564" s="78" t="s">
        <v>4852</v>
      </c>
      <c r="AP2564" t="b">
        <v>0</v>
      </c>
      <c r="AQ2564" s="78" t="s">
        <v>4294</v>
      </c>
      <c r="AR2564" t="s">
        <v>179</v>
      </c>
      <c r="AS2564">
        <v>0</v>
      </c>
      <c r="AT2564">
        <v>0</v>
      </c>
    </row>
    <row r="2565" spans="1:46" x14ac:dyDescent="0.45">
      <c r="A2565" s="62" t="s">
        <v>954</v>
      </c>
      <c r="B2565" s="62" t="s">
        <v>1464</v>
      </c>
      <c r="C2565" s="63"/>
      <c r="D2565" s="64"/>
      <c r="E2565" s="65"/>
      <c r="F2565" s="66"/>
      <c r="G2565" s="63"/>
      <c r="H2565" s="67"/>
      <c r="I2565" s="68"/>
      <c r="J2565" s="68"/>
      <c r="K2565" s="32"/>
      <c r="L2565" s="75"/>
      <c r="M2565" s="75"/>
      <c r="N2565" s="70"/>
      <c r="O2565" t="s">
        <v>1568</v>
      </c>
      <c r="P2565" s="76">
        <v>44959.193043981482</v>
      </c>
      <c r="Q2565" t="s">
        <v>2114</v>
      </c>
      <c r="V2565" s="77" t="str">
        <f>HYPERLINK("https://pbs.twimg.com/profile_images/772574041928413184/3DMpdROH_normal.jpg")</f>
        <v>https://pbs.twimg.com/profile_images/772574041928413184/3DMpdROH_normal.jpg</v>
      </c>
      <c r="W2565" s="76">
        <v>44959.193043981482</v>
      </c>
      <c r="X2565" s="80">
        <v>44959</v>
      </c>
      <c r="Y2565" s="78" t="s">
        <v>3230</v>
      </c>
      <c r="Z2565" s="77" t="str">
        <f>HYPERLINK("https://twitter.com/rhuntington3/status/1621004983507505152")</f>
        <v>https://twitter.com/rhuntington3/status/1621004983507505152</v>
      </c>
      <c r="AC2565" s="78" t="s">
        <v>4295</v>
      </c>
      <c r="AD2565" s="78" t="s">
        <v>4294</v>
      </c>
      <c r="AE2565" t="b">
        <v>0</v>
      </c>
      <c r="AF2565">
        <v>0</v>
      </c>
      <c r="AG2565" s="78" t="s">
        <v>4778</v>
      </c>
      <c r="AH2565" t="b">
        <v>0</v>
      </c>
      <c r="AI2565" t="s">
        <v>4829</v>
      </c>
      <c r="AK2565" s="78" t="s">
        <v>4640</v>
      </c>
      <c r="AL2565" t="b">
        <v>0</v>
      </c>
      <c r="AM2565">
        <v>0</v>
      </c>
      <c r="AN2565" s="78" t="s">
        <v>4640</v>
      </c>
      <c r="AO2565" s="78" t="s">
        <v>4852</v>
      </c>
      <c r="AP2565" t="b">
        <v>0</v>
      </c>
      <c r="AQ2565" s="78" t="s">
        <v>4294</v>
      </c>
      <c r="AR2565" t="s">
        <v>179</v>
      </c>
      <c r="AS2565">
        <v>0</v>
      </c>
      <c r="AT2565">
        <v>0</v>
      </c>
    </row>
    <row r="2566" spans="1:46" x14ac:dyDescent="0.45">
      <c r="A2566" s="62" t="s">
        <v>954</v>
      </c>
      <c r="B2566" s="62" t="s">
        <v>953</v>
      </c>
      <c r="C2566" s="63"/>
      <c r="D2566" s="64"/>
      <c r="E2566" s="65"/>
      <c r="F2566" s="66"/>
      <c r="G2566" s="63"/>
      <c r="H2566" s="67"/>
      <c r="I2566" s="68"/>
      <c r="J2566" s="68"/>
      <c r="K2566" s="32"/>
      <c r="L2566" s="75"/>
      <c r="M2566" s="75"/>
      <c r="N2566" s="70"/>
      <c r="O2566" t="s">
        <v>1567</v>
      </c>
      <c r="P2566" s="76">
        <v>44959.193043981482</v>
      </c>
      <c r="Q2566" t="s">
        <v>2114</v>
      </c>
      <c r="V2566" s="77" t="str">
        <f>HYPERLINK("https://pbs.twimg.com/profile_images/772574041928413184/3DMpdROH_normal.jpg")</f>
        <v>https://pbs.twimg.com/profile_images/772574041928413184/3DMpdROH_normal.jpg</v>
      </c>
      <c r="W2566" s="76">
        <v>44959.193043981482</v>
      </c>
      <c r="X2566" s="80">
        <v>44959</v>
      </c>
      <c r="Y2566" s="78" t="s">
        <v>3230</v>
      </c>
      <c r="Z2566" s="77" t="str">
        <f>HYPERLINK("https://twitter.com/rhuntington3/status/1621004983507505152")</f>
        <v>https://twitter.com/rhuntington3/status/1621004983507505152</v>
      </c>
      <c r="AC2566" s="78" t="s">
        <v>4295</v>
      </c>
      <c r="AD2566" s="78" t="s">
        <v>4294</v>
      </c>
      <c r="AE2566" t="b">
        <v>0</v>
      </c>
      <c r="AF2566">
        <v>0</v>
      </c>
      <c r="AG2566" s="78" t="s">
        <v>4778</v>
      </c>
      <c r="AH2566" t="b">
        <v>0</v>
      </c>
      <c r="AI2566" t="s">
        <v>4829</v>
      </c>
      <c r="AK2566" s="78" t="s">
        <v>4640</v>
      </c>
      <c r="AL2566" t="b">
        <v>0</v>
      </c>
      <c r="AM2566">
        <v>0</v>
      </c>
      <c r="AN2566" s="78" t="s">
        <v>4640</v>
      </c>
      <c r="AO2566" s="78" t="s">
        <v>4852</v>
      </c>
      <c r="AP2566" t="b">
        <v>0</v>
      </c>
      <c r="AQ2566" s="78" t="s">
        <v>4294</v>
      </c>
      <c r="AR2566" t="s">
        <v>179</v>
      </c>
      <c r="AS2566">
        <v>0</v>
      </c>
      <c r="AT2566">
        <v>0</v>
      </c>
    </row>
    <row r="2567" spans="1:46" x14ac:dyDescent="0.45">
      <c r="A2567" s="62" t="s">
        <v>954</v>
      </c>
      <c r="B2567" s="62" t="s">
        <v>242</v>
      </c>
      <c r="C2567" s="63"/>
      <c r="D2567" s="64"/>
      <c r="E2567" s="65"/>
      <c r="F2567" s="66"/>
      <c r="G2567" s="63"/>
      <c r="H2567" s="67"/>
      <c r="I2567" s="68"/>
      <c r="J2567" s="68"/>
      <c r="K2567" s="32"/>
      <c r="L2567" s="75"/>
      <c r="M2567" s="75"/>
      <c r="N2567" s="70"/>
      <c r="O2567" t="s">
        <v>1568</v>
      </c>
      <c r="P2567" s="76">
        <v>44959.193043981482</v>
      </c>
      <c r="Q2567" t="s">
        <v>2114</v>
      </c>
      <c r="V2567" s="77" t="str">
        <f>HYPERLINK("https://pbs.twimg.com/profile_images/772574041928413184/3DMpdROH_normal.jpg")</f>
        <v>https://pbs.twimg.com/profile_images/772574041928413184/3DMpdROH_normal.jpg</v>
      </c>
      <c r="W2567" s="76">
        <v>44959.193043981482</v>
      </c>
      <c r="X2567" s="80">
        <v>44959</v>
      </c>
      <c r="Y2567" s="78" t="s">
        <v>3230</v>
      </c>
      <c r="Z2567" s="77" t="str">
        <f>HYPERLINK("https://twitter.com/rhuntington3/status/1621004983507505152")</f>
        <v>https://twitter.com/rhuntington3/status/1621004983507505152</v>
      </c>
      <c r="AC2567" s="78" t="s">
        <v>4295</v>
      </c>
      <c r="AD2567" s="78" t="s">
        <v>4294</v>
      </c>
      <c r="AE2567" t="b">
        <v>0</v>
      </c>
      <c r="AF2567">
        <v>0</v>
      </c>
      <c r="AG2567" s="78" t="s">
        <v>4778</v>
      </c>
      <c r="AH2567" t="b">
        <v>0</v>
      </c>
      <c r="AI2567" t="s">
        <v>4829</v>
      </c>
      <c r="AK2567" s="78" t="s">
        <v>4640</v>
      </c>
      <c r="AL2567" t="b">
        <v>0</v>
      </c>
      <c r="AM2567">
        <v>0</v>
      </c>
      <c r="AN2567" s="78" t="s">
        <v>4640</v>
      </c>
      <c r="AO2567" s="78" t="s">
        <v>4852</v>
      </c>
      <c r="AP2567" t="b">
        <v>0</v>
      </c>
      <c r="AQ2567" s="78" t="s">
        <v>4294</v>
      </c>
      <c r="AR2567" t="s">
        <v>179</v>
      </c>
      <c r="AS2567">
        <v>0</v>
      </c>
      <c r="AT2567">
        <v>0</v>
      </c>
    </row>
    <row r="2568" spans="1:46" x14ac:dyDescent="0.45">
      <c r="A2568" s="62" t="s">
        <v>955</v>
      </c>
      <c r="B2568" s="62" t="s">
        <v>242</v>
      </c>
      <c r="C2568" s="63"/>
      <c r="D2568" s="64"/>
      <c r="E2568" s="65"/>
      <c r="F2568" s="66"/>
      <c r="G2568" s="63"/>
      <c r="H2568" s="67"/>
      <c r="I2568" s="68"/>
      <c r="J2568" s="68"/>
      <c r="K2568" s="32"/>
      <c r="L2568" s="75"/>
      <c r="M2568" s="75"/>
      <c r="N2568" s="70"/>
      <c r="O2568" t="s">
        <v>1567</v>
      </c>
      <c r="P2568" s="76">
        <v>44959.194143518522</v>
      </c>
      <c r="Q2568" t="s">
        <v>2115</v>
      </c>
      <c r="V2568" s="77" t="str">
        <f>HYPERLINK("https://pbs.twimg.com/profile_images/1528604766028255232/tzY9mB65_normal.jpg")</f>
        <v>https://pbs.twimg.com/profile_images/1528604766028255232/tzY9mB65_normal.jpg</v>
      </c>
      <c r="W2568" s="76">
        <v>44959.194143518522</v>
      </c>
      <c r="X2568" s="80">
        <v>44959</v>
      </c>
      <c r="Y2568" s="78" t="s">
        <v>3231</v>
      </c>
      <c r="Z2568" s="77" t="str">
        <f>HYPERLINK("https://twitter.com/pickle_thebeast/status/1621005381228175362")</f>
        <v>https://twitter.com/pickle_thebeast/status/1621005381228175362</v>
      </c>
      <c r="AC2568" s="78" t="s">
        <v>4296</v>
      </c>
      <c r="AE2568" t="b">
        <v>0</v>
      </c>
      <c r="AF2568">
        <v>0</v>
      </c>
      <c r="AG2568" s="78" t="s">
        <v>4639</v>
      </c>
      <c r="AH2568" t="b">
        <v>0</v>
      </c>
      <c r="AI2568" t="s">
        <v>4829</v>
      </c>
      <c r="AK2568" s="78" t="s">
        <v>4640</v>
      </c>
      <c r="AL2568" t="b">
        <v>0</v>
      </c>
      <c r="AM2568">
        <v>0</v>
      </c>
      <c r="AN2568" s="78" t="s">
        <v>4640</v>
      </c>
      <c r="AO2568" s="78" t="s">
        <v>4849</v>
      </c>
      <c r="AP2568" t="b">
        <v>0</v>
      </c>
      <c r="AQ2568" s="78" t="s">
        <v>4296</v>
      </c>
      <c r="AR2568" t="s">
        <v>179</v>
      </c>
      <c r="AS2568">
        <v>0</v>
      </c>
      <c r="AT2568">
        <v>0</v>
      </c>
    </row>
    <row r="2569" spans="1:46" x14ac:dyDescent="0.45">
      <c r="A2569" s="62" t="s">
        <v>956</v>
      </c>
      <c r="B2569" s="62" t="s">
        <v>1465</v>
      </c>
      <c r="C2569" s="63"/>
      <c r="D2569" s="64"/>
      <c r="E2569" s="65"/>
      <c r="F2569" s="66"/>
      <c r="G2569" s="63"/>
      <c r="H2569" s="67"/>
      <c r="I2569" s="68"/>
      <c r="J2569" s="68"/>
      <c r="K2569" s="32"/>
      <c r="L2569" s="75"/>
      <c r="M2569" s="75"/>
      <c r="N2569" s="70"/>
      <c r="O2569" t="s">
        <v>1567</v>
      </c>
      <c r="P2569" s="76">
        <v>44959.194606481484</v>
      </c>
      <c r="Q2569" t="s">
        <v>2116</v>
      </c>
      <c r="V2569" s="77" t="str">
        <f>HYPERLINK("https://pbs.twimg.com/profile_images/1620026713756385282/qqine8-s_normal.jpg")</f>
        <v>https://pbs.twimg.com/profile_images/1620026713756385282/qqine8-s_normal.jpg</v>
      </c>
      <c r="W2569" s="76">
        <v>44959.194606481484</v>
      </c>
      <c r="X2569" s="80">
        <v>44959</v>
      </c>
      <c r="Y2569" s="78" t="s">
        <v>3232</v>
      </c>
      <c r="Z2569" s="77" t="str">
        <f>HYPERLINK("https://twitter.com/joyce5775linda/status/1621005551214956544")</f>
        <v>https://twitter.com/joyce5775linda/status/1621005551214956544</v>
      </c>
      <c r="AC2569" s="78" t="s">
        <v>4297</v>
      </c>
      <c r="AD2569" s="78" t="s">
        <v>4600</v>
      </c>
      <c r="AE2569" t="b">
        <v>0</v>
      </c>
      <c r="AF2569">
        <v>0</v>
      </c>
      <c r="AG2569" s="78" t="s">
        <v>4779</v>
      </c>
      <c r="AH2569" t="b">
        <v>0</v>
      </c>
      <c r="AI2569" t="s">
        <v>4829</v>
      </c>
      <c r="AK2569" s="78" t="s">
        <v>4640</v>
      </c>
      <c r="AL2569" t="b">
        <v>0</v>
      </c>
      <c r="AM2569">
        <v>0</v>
      </c>
      <c r="AN2569" s="78" t="s">
        <v>4640</v>
      </c>
      <c r="AO2569" s="78" t="s">
        <v>4849</v>
      </c>
      <c r="AP2569" t="b">
        <v>0</v>
      </c>
      <c r="AQ2569" s="78" t="s">
        <v>4600</v>
      </c>
      <c r="AR2569" t="s">
        <v>179</v>
      </c>
      <c r="AS2569">
        <v>0</v>
      </c>
      <c r="AT2569">
        <v>0</v>
      </c>
    </row>
    <row r="2570" spans="1:46" x14ac:dyDescent="0.45">
      <c r="A2570" s="62" t="s">
        <v>956</v>
      </c>
      <c r="B2570" s="62" t="s">
        <v>242</v>
      </c>
      <c r="C2570" s="63"/>
      <c r="D2570" s="64"/>
      <c r="E2570" s="65"/>
      <c r="F2570" s="66"/>
      <c r="G2570" s="63"/>
      <c r="H2570" s="67"/>
      <c r="I2570" s="68"/>
      <c r="J2570" s="68"/>
      <c r="K2570" s="32"/>
      <c r="L2570" s="75"/>
      <c r="M2570" s="75"/>
      <c r="N2570" s="70"/>
      <c r="O2570" t="s">
        <v>1568</v>
      </c>
      <c r="P2570" s="76">
        <v>44959.194606481484</v>
      </c>
      <c r="Q2570" t="s">
        <v>2116</v>
      </c>
      <c r="V2570" s="77" t="str">
        <f>HYPERLINK("https://pbs.twimg.com/profile_images/1620026713756385282/qqine8-s_normal.jpg")</f>
        <v>https://pbs.twimg.com/profile_images/1620026713756385282/qqine8-s_normal.jpg</v>
      </c>
      <c r="W2570" s="76">
        <v>44959.194606481484</v>
      </c>
      <c r="X2570" s="80">
        <v>44959</v>
      </c>
      <c r="Y2570" s="78" t="s">
        <v>3232</v>
      </c>
      <c r="Z2570" s="77" t="str">
        <f>HYPERLINK("https://twitter.com/joyce5775linda/status/1621005551214956544")</f>
        <v>https://twitter.com/joyce5775linda/status/1621005551214956544</v>
      </c>
      <c r="AC2570" s="78" t="s">
        <v>4297</v>
      </c>
      <c r="AD2570" s="78" t="s">
        <v>4600</v>
      </c>
      <c r="AE2570" t="b">
        <v>0</v>
      </c>
      <c r="AF2570">
        <v>0</v>
      </c>
      <c r="AG2570" s="78" t="s">
        <v>4779</v>
      </c>
      <c r="AH2570" t="b">
        <v>0</v>
      </c>
      <c r="AI2570" t="s">
        <v>4829</v>
      </c>
      <c r="AK2570" s="78" t="s">
        <v>4640</v>
      </c>
      <c r="AL2570" t="b">
        <v>0</v>
      </c>
      <c r="AM2570">
        <v>0</v>
      </c>
      <c r="AN2570" s="78" t="s">
        <v>4640</v>
      </c>
      <c r="AO2570" s="78" t="s">
        <v>4849</v>
      </c>
      <c r="AP2570" t="b">
        <v>0</v>
      </c>
      <c r="AQ2570" s="78" t="s">
        <v>4600</v>
      </c>
      <c r="AR2570" t="s">
        <v>179</v>
      </c>
      <c r="AS2570">
        <v>0</v>
      </c>
      <c r="AT2570">
        <v>0</v>
      </c>
    </row>
    <row r="2571" spans="1:46" x14ac:dyDescent="0.45">
      <c r="A2571" s="62" t="s">
        <v>959</v>
      </c>
      <c r="B2571" s="62" t="s">
        <v>242</v>
      </c>
      <c r="C2571" s="63"/>
      <c r="D2571" s="64"/>
      <c r="E2571" s="65"/>
      <c r="F2571" s="66"/>
      <c r="G2571" s="63"/>
      <c r="H2571" s="67"/>
      <c r="I2571" s="68"/>
      <c r="J2571" s="68"/>
      <c r="K2571" s="32"/>
      <c r="L2571" s="75"/>
      <c r="M2571" s="75"/>
      <c r="N2571" s="70"/>
      <c r="O2571" t="s">
        <v>1567</v>
      </c>
      <c r="P2571" s="76">
        <v>44959.195324074077</v>
      </c>
      <c r="Q2571" t="s">
        <v>2118</v>
      </c>
      <c r="V2571" s="77" t="str">
        <f>HYPERLINK("https://pbs.twimg.com/profile_images/804807007387717633/tsNtdqtl_normal.jpg")</f>
        <v>https://pbs.twimg.com/profile_images/804807007387717633/tsNtdqtl_normal.jpg</v>
      </c>
      <c r="W2571" s="76">
        <v>44959.195324074077</v>
      </c>
      <c r="X2571" s="80">
        <v>44959</v>
      </c>
      <c r="Y2571" s="78" t="s">
        <v>3235</v>
      </c>
      <c r="Z2571" s="77" t="str">
        <f>HYPERLINK("https://twitter.com/banker____/status/1621005811148550144")</f>
        <v>https://twitter.com/banker____/status/1621005811148550144</v>
      </c>
      <c r="AC2571" s="78" t="s">
        <v>4300</v>
      </c>
      <c r="AE2571" t="b">
        <v>0</v>
      </c>
      <c r="AF2571">
        <v>0</v>
      </c>
      <c r="AG2571" s="78" t="s">
        <v>4639</v>
      </c>
      <c r="AH2571" t="b">
        <v>0</v>
      </c>
      <c r="AI2571" t="s">
        <v>4829</v>
      </c>
      <c r="AK2571" s="78" t="s">
        <v>4640</v>
      </c>
      <c r="AL2571" t="b">
        <v>0</v>
      </c>
      <c r="AM2571">
        <v>0</v>
      </c>
      <c r="AN2571" s="78" t="s">
        <v>4640</v>
      </c>
      <c r="AO2571" s="78" t="s">
        <v>4849</v>
      </c>
      <c r="AP2571" t="b">
        <v>0</v>
      </c>
      <c r="AQ2571" s="78" t="s">
        <v>4300</v>
      </c>
      <c r="AR2571" t="s">
        <v>179</v>
      </c>
      <c r="AS2571">
        <v>0</v>
      </c>
      <c r="AT2571">
        <v>0</v>
      </c>
    </row>
    <row r="2572" spans="1:46" x14ac:dyDescent="0.45">
      <c r="A2572" s="62" t="s">
        <v>960</v>
      </c>
      <c r="B2572" s="62" t="s">
        <v>242</v>
      </c>
      <c r="C2572" s="63"/>
      <c r="D2572" s="64"/>
      <c r="E2572" s="65"/>
      <c r="F2572" s="66"/>
      <c r="G2572" s="63"/>
      <c r="H2572" s="67"/>
      <c r="I2572" s="68"/>
      <c r="J2572" s="68"/>
      <c r="K2572" s="32"/>
      <c r="L2572" s="75"/>
      <c r="M2572" s="75"/>
      <c r="N2572" s="70"/>
      <c r="O2572" t="s">
        <v>1568</v>
      </c>
      <c r="P2572" s="76">
        <v>44959.202777777777</v>
      </c>
      <c r="Q2572" t="s">
        <v>2119</v>
      </c>
      <c r="V2572" s="77" t="str">
        <f>HYPERLINK("https://pbs.twimg.com/profile_images/606081072770646016/npc_gQfn_normal.jpg")</f>
        <v>https://pbs.twimg.com/profile_images/606081072770646016/npc_gQfn_normal.jpg</v>
      </c>
      <c r="W2572" s="76">
        <v>44959.202777777777</v>
      </c>
      <c r="X2572" s="80">
        <v>44959</v>
      </c>
      <c r="Y2572" s="78" t="s">
        <v>3236</v>
      </c>
      <c r="Z2572" s="77" t="str">
        <f>HYPERLINK("https://twitter.com/gyancita/status/1621008509646299137")</f>
        <v>https://twitter.com/gyancita/status/1621008509646299137</v>
      </c>
      <c r="AC2572" s="78" t="s">
        <v>4301</v>
      </c>
      <c r="AD2572" s="78" t="s">
        <v>4566</v>
      </c>
      <c r="AE2572" t="b">
        <v>0</v>
      </c>
      <c r="AF2572">
        <v>0</v>
      </c>
      <c r="AG2572" s="78" t="s">
        <v>4735</v>
      </c>
      <c r="AH2572" t="b">
        <v>0</v>
      </c>
      <c r="AI2572" t="s">
        <v>4829</v>
      </c>
      <c r="AK2572" s="78" t="s">
        <v>4640</v>
      </c>
      <c r="AL2572" t="b">
        <v>0</v>
      </c>
      <c r="AM2572">
        <v>0</v>
      </c>
      <c r="AN2572" s="78" t="s">
        <v>4640</v>
      </c>
      <c r="AO2572" s="78" t="s">
        <v>4850</v>
      </c>
      <c r="AP2572" t="b">
        <v>0</v>
      </c>
      <c r="AQ2572" s="78" t="s">
        <v>4566</v>
      </c>
      <c r="AR2572" t="s">
        <v>179</v>
      </c>
      <c r="AS2572">
        <v>0</v>
      </c>
      <c r="AT2572">
        <v>0</v>
      </c>
    </row>
    <row r="2573" spans="1:46" x14ac:dyDescent="0.45">
      <c r="A2573" s="62" t="s">
        <v>960</v>
      </c>
      <c r="B2573" s="62" t="s">
        <v>1353</v>
      </c>
      <c r="C2573" s="63"/>
      <c r="D2573" s="64"/>
      <c r="E2573" s="65"/>
      <c r="F2573" s="66"/>
      <c r="G2573" s="63"/>
      <c r="H2573" s="67"/>
      <c r="I2573" s="68"/>
      <c r="J2573" s="68"/>
      <c r="K2573" s="32"/>
      <c r="L2573" s="75"/>
      <c r="M2573" s="75"/>
      <c r="N2573" s="70"/>
      <c r="O2573" t="s">
        <v>1567</v>
      </c>
      <c r="P2573" s="76">
        <v>44959.202777777777</v>
      </c>
      <c r="Q2573" t="s">
        <v>2119</v>
      </c>
      <c r="V2573" s="77" t="str">
        <f>HYPERLINK("https://pbs.twimg.com/profile_images/606081072770646016/npc_gQfn_normal.jpg")</f>
        <v>https://pbs.twimg.com/profile_images/606081072770646016/npc_gQfn_normal.jpg</v>
      </c>
      <c r="W2573" s="76">
        <v>44959.202777777777</v>
      </c>
      <c r="X2573" s="80">
        <v>44959</v>
      </c>
      <c r="Y2573" s="78" t="s">
        <v>3236</v>
      </c>
      <c r="Z2573" s="77" t="str">
        <f>HYPERLINK("https://twitter.com/gyancita/status/1621008509646299137")</f>
        <v>https://twitter.com/gyancita/status/1621008509646299137</v>
      </c>
      <c r="AC2573" s="78" t="s">
        <v>4301</v>
      </c>
      <c r="AD2573" s="78" t="s">
        <v>4566</v>
      </c>
      <c r="AE2573" t="b">
        <v>0</v>
      </c>
      <c r="AF2573">
        <v>0</v>
      </c>
      <c r="AG2573" s="78" t="s">
        <v>4735</v>
      </c>
      <c r="AH2573" t="b">
        <v>0</v>
      </c>
      <c r="AI2573" t="s">
        <v>4829</v>
      </c>
      <c r="AK2573" s="78" t="s">
        <v>4640</v>
      </c>
      <c r="AL2573" t="b">
        <v>0</v>
      </c>
      <c r="AM2573">
        <v>0</v>
      </c>
      <c r="AN2573" s="78" t="s">
        <v>4640</v>
      </c>
      <c r="AO2573" s="78" t="s">
        <v>4850</v>
      </c>
      <c r="AP2573" t="b">
        <v>0</v>
      </c>
      <c r="AQ2573" s="78" t="s">
        <v>4566</v>
      </c>
      <c r="AR2573" t="s">
        <v>179</v>
      </c>
      <c r="AS2573">
        <v>0</v>
      </c>
      <c r="AT2573">
        <v>0</v>
      </c>
    </row>
    <row r="2574" spans="1:46" x14ac:dyDescent="0.45">
      <c r="A2574" s="62" t="s">
        <v>961</v>
      </c>
      <c r="B2574" s="62" t="s">
        <v>1468</v>
      </c>
      <c r="C2574" s="63"/>
      <c r="D2574" s="64"/>
      <c r="E2574" s="65"/>
      <c r="F2574" s="66"/>
      <c r="G2574" s="63"/>
      <c r="H2574" s="67"/>
      <c r="I2574" s="68"/>
      <c r="J2574" s="68"/>
      <c r="K2574" s="32"/>
      <c r="L2574" s="75"/>
      <c r="M2574" s="75"/>
      <c r="N2574" s="70"/>
      <c r="O2574" t="s">
        <v>1568</v>
      </c>
      <c r="P2574" s="76">
        <v>44959.203981481478</v>
      </c>
      <c r="Q2574" t="s">
        <v>2120</v>
      </c>
      <c r="U2574" s="77" t="str">
        <f>HYPERLINK("https://pbs.twimg.com/media/Fn76_PwXwAE54uv.jpg")</f>
        <v>https://pbs.twimg.com/media/Fn76_PwXwAE54uv.jpg</v>
      </c>
      <c r="V2574" s="77" t="str">
        <f>HYPERLINK("https://pbs.twimg.com/media/Fn76_PwXwAE54uv.jpg")</f>
        <v>https://pbs.twimg.com/media/Fn76_PwXwAE54uv.jpg</v>
      </c>
      <c r="W2574" s="76">
        <v>44959.203981481478</v>
      </c>
      <c r="X2574" s="80">
        <v>44959</v>
      </c>
      <c r="Y2574" s="78" t="s">
        <v>3237</v>
      </c>
      <c r="Z2574" s="77" t="str">
        <f>HYPERLINK("https://twitter.com/piramgoole/status/1621008947179290625")</f>
        <v>https://twitter.com/piramgoole/status/1621008947179290625</v>
      </c>
      <c r="AC2574" s="78" t="s">
        <v>4302</v>
      </c>
      <c r="AE2574" t="b">
        <v>0</v>
      </c>
      <c r="AF2574">
        <v>0</v>
      </c>
      <c r="AG2574" s="78" t="s">
        <v>4639</v>
      </c>
      <c r="AH2574" t="b">
        <v>0</v>
      </c>
      <c r="AI2574" t="s">
        <v>4829</v>
      </c>
      <c r="AK2574" s="78" t="s">
        <v>4640</v>
      </c>
      <c r="AL2574" t="b">
        <v>0</v>
      </c>
      <c r="AM2574">
        <v>0</v>
      </c>
      <c r="AN2574" s="78" t="s">
        <v>4640</v>
      </c>
      <c r="AO2574" s="78" t="s">
        <v>4850</v>
      </c>
      <c r="AP2574" t="b">
        <v>0</v>
      </c>
      <c r="AQ2574" s="78" t="s">
        <v>4302</v>
      </c>
      <c r="AR2574" t="s">
        <v>179</v>
      </c>
      <c r="AS2574">
        <v>0</v>
      </c>
      <c r="AT2574">
        <v>0</v>
      </c>
    </row>
    <row r="2575" spans="1:46" x14ac:dyDescent="0.45">
      <c r="A2575" s="62" t="s">
        <v>961</v>
      </c>
      <c r="B2575" s="62" t="s">
        <v>1469</v>
      </c>
      <c r="C2575" s="63"/>
      <c r="D2575" s="64"/>
      <c r="E2575" s="65"/>
      <c r="F2575" s="66"/>
      <c r="G2575" s="63"/>
      <c r="H2575" s="67"/>
      <c r="I2575" s="68"/>
      <c r="J2575" s="68"/>
      <c r="K2575" s="32"/>
      <c r="L2575" s="75"/>
      <c r="M2575" s="75"/>
      <c r="N2575" s="70"/>
      <c r="O2575" t="s">
        <v>1568</v>
      </c>
      <c r="P2575" s="76">
        <v>44959.203981481478</v>
      </c>
      <c r="Q2575" t="s">
        <v>2120</v>
      </c>
      <c r="U2575" s="77" t="str">
        <f>HYPERLINK("https://pbs.twimg.com/media/Fn76_PwXwAE54uv.jpg")</f>
        <v>https://pbs.twimg.com/media/Fn76_PwXwAE54uv.jpg</v>
      </c>
      <c r="V2575" s="77" t="str">
        <f>HYPERLINK("https://pbs.twimg.com/media/Fn76_PwXwAE54uv.jpg")</f>
        <v>https://pbs.twimg.com/media/Fn76_PwXwAE54uv.jpg</v>
      </c>
      <c r="W2575" s="76">
        <v>44959.203981481478</v>
      </c>
      <c r="X2575" s="80">
        <v>44959</v>
      </c>
      <c r="Y2575" s="78" t="s">
        <v>3237</v>
      </c>
      <c r="Z2575" s="77" t="str">
        <f>HYPERLINK("https://twitter.com/piramgoole/status/1621008947179290625")</f>
        <v>https://twitter.com/piramgoole/status/1621008947179290625</v>
      </c>
      <c r="AC2575" s="78" t="s">
        <v>4302</v>
      </c>
      <c r="AE2575" t="b">
        <v>0</v>
      </c>
      <c r="AF2575">
        <v>0</v>
      </c>
      <c r="AG2575" s="78" t="s">
        <v>4639</v>
      </c>
      <c r="AH2575" t="b">
        <v>0</v>
      </c>
      <c r="AI2575" t="s">
        <v>4829</v>
      </c>
      <c r="AK2575" s="78" t="s">
        <v>4640</v>
      </c>
      <c r="AL2575" t="b">
        <v>0</v>
      </c>
      <c r="AM2575">
        <v>0</v>
      </c>
      <c r="AN2575" s="78" t="s">
        <v>4640</v>
      </c>
      <c r="AO2575" s="78" t="s">
        <v>4850</v>
      </c>
      <c r="AP2575" t="b">
        <v>0</v>
      </c>
      <c r="AQ2575" s="78" t="s">
        <v>4302</v>
      </c>
      <c r="AR2575" t="s">
        <v>179</v>
      </c>
      <c r="AS2575">
        <v>0</v>
      </c>
      <c r="AT2575">
        <v>0</v>
      </c>
    </row>
    <row r="2576" spans="1:46" x14ac:dyDescent="0.45">
      <c r="A2576" s="62" t="s">
        <v>961</v>
      </c>
      <c r="B2576" s="62" t="s">
        <v>1470</v>
      </c>
      <c r="C2576" s="63"/>
      <c r="D2576" s="64"/>
      <c r="E2576" s="65"/>
      <c r="F2576" s="66"/>
      <c r="G2576" s="63"/>
      <c r="H2576" s="67"/>
      <c r="I2576" s="68"/>
      <c r="J2576" s="68"/>
      <c r="K2576" s="32"/>
      <c r="L2576" s="75"/>
      <c r="M2576" s="75"/>
      <c r="N2576" s="70"/>
      <c r="O2576" t="s">
        <v>1568</v>
      </c>
      <c r="P2576" s="76">
        <v>44959.203981481478</v>
      </c>
      <c r="Q2576" t="s">
        <v>2120</v>
      </c>
      <c r="U2576" s="77" t="str">
        <f>HYPERLINK("https://pbs.twimg.com/media/Fn76_PwXwAE54uv.jpg")</f>
        <v>https://pbs.twimg.com/media/Fn76_PwXwAE54uv.jpg</v>
      </c>
      <c r="V2576" s="77" t="str">
        <f>HYPERLINK("https://pbs.twimg.com/media/Fn76_PwXwAE54uv.jpg")</f>
        <v>https://pbs.twimg.com/media/Fn76_PwXwAE54uv.jpg</v>
      </c>
      <c r="W2576" s="76">
        <v>44959.203981481478</v>
      </c>
      <c r="X2576" s="80">
        <v>44959</v>
      </c>
      <c r="Y2576" s="78" t="s">
        <v>3237</v>
      </c>
      <c r="Z2576" s="77" t="str">
        <f>HYPERLINK("https://twitter.com/piramgoole/status/1621008947179290625")</f>
        <v>https://twitter.com/piramgoole/status/1621008947179290625</v>
      </c>
      <c r="AC2576" s="78" t="s">
        <v>4302</v>
      </c>
      <c r="AE2576" t="b">
        <v>0</v>
      </c>
      <c r="AF2576">
        <v>0</v>
      </c>
      <c r="AG2576" s="78" t="s">
        <v>4639</v>
      </c>
      <c r="AH2576" t="b">
        <v>0</v>
      </c>
      <c r="AI2576" t="s">
        <v>4829</v>
      </c>
      <c r="AK2576" s="78" t="s">
        <v>4640</v>
      </c>
      <c r="AL2576" t="b">
        <v>0</v>
      </c>
      <c r="AM2576">
        <v>0</v>
      </c>
      <c r="AN2576" s="78" t="s">
        <v>4640</v>
      </c>
      <c r="AO2576" s="78" t="s">
        <v>4850</v>
      </c>
      <c r="AP2576" t="b">
        <v>0</v>
      </c>
      <c r="AQ2576" s="78" t="s">
        <v>4302</v>
      </c>
      <c r="AR2576" t="s">
        <v>179</v>
      </c>
      <c r="AS2576">
        <v>0</v>
      </c>
      <c r="AT2576">
        <v>0</v>
      </c>
    </row>
    <row r="2577" spans="1:46" x14ac:dyDescent="0.45">
      <c r="A2577" s="62" t="s">
        <v>961</v>
      </c>
      <c r="B2577" s="62" t="s">
        <v>1471</v>
      </c>
      <c r="C2577" s="63"/>
      <c r="D2577" s="64"/>
      <c r="E2577" s="65"/>
      <c r="F2577" s="66"/>
      <c r="G2577" s="63"/>
      <c r="H2577" s="67"/>
      <c r="I2577" s="68"/>
      <c r="J2577" s="68"/>
      <c r="K2577" s="32"/>
      <c r="L2577" s="75"/>
      <c r="M2577" s="75"/>
      <c r="N2577" s="70"/>
      <c r="O2577" t="s">
        <v>1568</v>
      </c>
      <c r="P2577" s="76">
        <v>44959.203981481478</v>
      </c>
      <c r="Q2577" t="s">
        <v>2120</v>
      </c>
      <c r="U2577" s="77" t="str">
        <f>HYPERLINK("https://pbs.twimg.com/media/Fn76_PwXwAE54uv.jpg")</f>
        <v>https://pbs.twimg.com/media/Fn76_PwXwAE54uv.jpg</v>
      </c>
      <c r="V2577" s="77" t="str">
        <f>HYPERLINK("https://pbs.twimg.com/media/Fn76_PwXwAE54uv.jpg")</f>
        <v>https://pbs.twimg.com/media/Fn76_PwXwAE54uv.jpg</v>
      </c>
      <c r="W2577" s="76">
        <v>44959.203981481478</v>
      </c>
      <c r="X2577" s="80">
        <v>44959</v>
      </c>
      <c r="Y2577" s="78" t="s">
        <v>3237</v>
      </c>
      <c r="Z2577" s="77" t="str">
        <f>HYPERLINK("https://twitter.com/piramgoole/status/1621008947179290625")</f>
        <v>https://twitter.com/piramgoole/status/1621008947179290625</v>
      </c>
      <c r="AC2577" s="78" t="s">
        <v>4302</v>
      </c>
      <c r="AE2577" t="b">
        <v>0</v>
      </c>
      <c r="AF2577">
        <v>0</v>
      </c>
      <c r="AG2577" s="78" t="s">
        <v>4639</v>
      </c>
      <c r="AH2577" t="b">
        <v>0</v>
      </c>
      <c r="AI2577" t="s">
        <v>4829</v>
      </c>
      <c r="AK2577" s="78" t="s">
        <v>4640</v>
      </c>
      <c r="AL2577" t="b">
        <v>0</v>
      </c>
      <c r="AM2577">
        <v>0</v>
      </c>
      <c r="AN2577" s="78" t="s">
        <v>4640</v>
      </c>
      <c r="AO2577" s="78" t="s">
        <v>4850</v>
      </c>
      <c r="AP2577" t="b">
        <v>0</v>
      </c>
      <c r="AQ2577" s="78" t="s">
        <v>4302</v>
      </c>
      <c r="AR2577" t="s">
        <v>179</v>
      </c>
      <c r="AS2577">
        <v>0</v>
      </c>
      <c r="AT2577">
        <v>0</v>
      </c>
    </row>
    <row r="2578" spans="1:46" x14ac:dyDescent="0.45">
      <c r="A2578" s="62" t="s">
        <v>961</v>
      </c>
      <c r="B2578" s="62" t="s">
        <v>1472</v>
      </c>
      <c r="C2578" s="63"/>
      <c r="D2578" s="64"/>
      <c r="E2578" s="65"/>
      <c r="F2578" s="66"/>
      <c r="G2578" s="63"/>
      <c r="H2578" s="67"/>
      <c r="I2578" s="68"/>
      <c r="J2578" s="68"/>
      <c r="K2578" s="32"/>
      <c r="L2578" s="75"/>
      <c r="M2578" s="75"/>
      <c r="N2578" s="70"/>
      <c r="O2578" t="s">
        <v>1568</v>
      </c>
      <c r="P2578" s="76">
        <v>44959.203981481478</v>
      </c>
      <c r="Q2578" t="s">
        <v>2120</v>
      </c>
      <c r="U2578" s="77" t="str">
        <f>HYPERLINK("https://pbs.twimg.com/media/Fn76_PwXwAE54uv.jpg")</f>
        <v>https://pbs.twimg.com/media/Fn76_PwXwAE54uv.jpg</v>
      </c>
      <c r="V2578" s="77" t="str">
        <f>HYPERLINK("https://pbs.twimg.com/media/Fn76_PwXwAE54uv.jpg")</f>
        <v>https://pbs.twimg.com/media/Fn76_PwXwAE54uv.jpg</v>
      </c>
      <c r="W2578" s="76">
        <v>44959.203981481478</v>
      </c>
      <c r="X2578" s="80">
        <v>44959</v>
      </c>
      <c r="Y2578" s="78" t="s">
        <v>3237</v>
      </c>
      <c r="Z2578" s="77" t="str">
        <f>HYPERLINK("https://twitter.com/piramgoole/status/1621008947179290625")</f>
        <v>https://twitter.com/piramgoole/status/1621008947179290625</v>
      </c>
      <c r="AC2578" s="78" t="s">
        <v>4302</v>
      </c>
      <c r="AE2578" t="b">
        <v>0</v>
      </c>
      <c r="AF2578">
        <v>0</v>
      </c>
      <c r="AG2578" s="78" t="s">
        <v>4639</v>
      </c>
      <c r="AH2578" t="b">
        <v>0</v>
      </c>
      <c r="AI2578" t="s">
        <v>4829</v>
      </c>
      <c r="AK2578" s="78" t="s">
        <v>4640</v>
      </c>
      <c r="AL2578" t="b">
        <v>0</v>
      </c>
      <c r="AM2578">
        <v>0</v>
      </c>
      <c r="AN2578" s="78" t="s">
        <v>4640</v>
      </c>
      <c r="AO2578" s="78" t="s">
        <v>4850</v>
      </c>
      <c r="AP2578" t="b">
        <v>0</v>
      </c>
      <c r="AQ2578" s="78" t="s">
        <v>4302</v>
      </c>
      <c r="AR2578" t="s">
        <v>179</v>
      </c>
      <c r="AS2578">
        <v>0</v>
      </c>
      <c r="AT2578">
        <v>0</v>
      </c>
    </row>
    <row r="2579" spans="1:46" x14ac:dyDescent="0.45">
      <c r="A2579" s="62" t="s">
        <v>961</v>
      </c>
      <c r="B2579" s="62" t="s">
        <v>242</v>
      </c>
      <c r="C2579" s="63"/>
      <c r="D2579" s="64"/>
      <c r="E2579" s="65"/>
      <c r="F2579" s="66"/>
      <c r="G2579" s="63"/>
      <c r="H2579" s="67"/>
      <c r="I2579" s="68"/>
      <c r="J2579" s="68"/>
      <c r="K2579" s="32"/>
      <c r="L2579" s="75"/>
      <c r="M2579" s="75"/>
      <c r="N2579" s="70"/>
      <c r="O2579" t="s">
        <v>1567</v>
      </c>
      <c r="P2579" s="76">
        <v>44959.203981481478</v>
      </c>
      <c r="Q2579" t="s">
        <v>2120</v>
      </c>
      <c r="U2579" s="77" t="str">
        <f>HYPERLINK("https://pbs.twimg.com/media/Fn76_PwXwAE54uv.jpg")</f>
        <v>https://pbs.twimg.com/media/Fn76_PwXwAE54uv.jpg</v>
      </c>
      <c r="V2579" s="77" t="str">
        <f>HYPERLINK("https://pbs.twimg.com/media/Fn76_PwXwAE54uv.jpg")</f>
        <v>https://pbs.twimg.com/media/Fn76_PwXwAE54uv.jpg</v>
      </c>
      <c r="W2579" s="76">
        <v>44959.203981481478</v>
      </c>
      <c r="X2579" s="80">
        <v>44959</v>
      </c>
      <c r="Y2579" s="78" t="s">
        <v>3237</v>
      </c>
      <c r="Z2579" s="77" t="str">
        <f>HYPERLINK("https://twitter.com/piramgoole/status/1621008947179290625")</f>
        <v>https://twitter.com/piramgoole/status/1621008947179290625</v>
      </c>
      <c r="AC2579" s="78" t="s">
        <v>4302</v>
      </c>
      <c r="AE2579" t="b">
        <v>0</v>
      </c>
      <c r="AF2579">
        <v>0</v>
      </c>
      <c r="AG2579" s="78" t="s">
        <v>4639</v>
      </c>
      <c r="AH2579" t="b">
        <v>0</v>
      </c>
      <c r="AI2579" t="s">
        <v>4829</v>
      </c>
      <c r="AK2579" s="78" t="s">
        <v>4640</v>
      </c>
      <c r="AL2579" t="b">
        <v>0</v>
      </c>
      <c r="AM2579">
        <v>0</v>
      </c>
      <c r="AN2579" s="78" t="s">
        <v>4640</v>
      </c>
      <c r="AO2579" s="78" t="s">
        <v>4850</v>
      </c>
      <c r="AP2579" t="b">
        <v>0</v>
      </c>
      <c r="AQ2579" s="78" t="s">
        <v>4302</v>
      </c>
      <c r="AR2579" t="s">
        <v>179</v>
      </c>
      <c r="AS2579">
        <v>0</v>
      </c>
      <c r="AT2579">
        <v>0</v>
      </c>
    </row>
    <row r="2580" spans="1:46" x14ac:dyDescent="0.45">
      <c r="A2580" s="62" t="s">
        <v>962</v>
      </c>
      <c r="B2580" s="62" t="s">
        <v>242</v>
      </c>
      <c r="C2580" s="63"/>
      <c r="D2580" s="64"/>
      <c r="E2580" s="65"/>
      <c r="F2580" s="66"/>
      <c r="G2580" s="63"/>
      <c r="H2580" s="67"/>
      <c r="I2580" s="68"/>
      <c r="J2580" s="68"/>
      <c r="K2580" s="32"/>
      <c r="L2580" s="75"/>
      <c r="M2580" s="75"/>
      <c r="N2580" s="70"/>
      <c r="O2580" t="s">
        <v>1568</v>
      </c>
      <c r="P2580" s="76">
        <v>44959.206608796296</v>
      </c>
      <c r="Q2580" t="s">
        <v>2121</v>
      </c>
      <c r="V2580" s="77" t="str">
        <f>HYPERLINK("https://pbs.twimg.com/profile_images/1579662822526550016/WWPmgrST_normal.jpg")</f>
        <v>https://pbs.twimg.com/profile_images/1579662822526550016/WWPmgrST_normal.jpg</v>
      </c>
      <c r="W2580" s="76">
        <v>44959.206608796296</v>
      </c>
      <c r="X2580" s="80">
        <v>44959</v>
      </c>
      <c r="Y2580" s="78" t="s">
        <v>3238</v>
      </c>
      <c r="Z2580" s="77" t="str">
        <f>HYPERLINK("https://twitter.com/boojiemonroe/status/1621009900578181122")</f>
        <v>https://twitter.com/boojiemonroe/status/1621009900578181122</v>
      </c>
      <c r="AC2580" s="78" t="s">
        <v>4303</v>
      </c>
      <c r="AE2580" t="b">
        <v>0</v>
      </c>
      <c r="AF2580">
        <v>0</v>
      </c>
      <c r="AG2580" s="78" t="s">
        <v>4640</v>
      </c>
      <c r="AH2580" t="b">
        <v>0</v>
      </c>
      <c r="AI2580" t="s">
        <v>4829</v>
      </c>
      <c r="AK2580" s="78" t="s">
        <v>4640</v>
      </c>
      <c r="AL2580" t="b">
        <v>0</v>
      </c>
      <c r="AM2580">
        <v>0</v>
      </c>
      <c r="AN2580" s="78" t="s">
        <v>4640</v>
      </c>
      <c r="AO2580" s="78" t="s">
        <v>4849</v>
      </c>
      <c r="AP2580" t="b">
        <v>0</v>
      </c>
      <c r="AQ2580" s="78" t="s">
        <v>4303</v>
      </c>
      <c r="AR2580" t="s">
        <v>179</v>
      </c>
      <c r="AS2580">
        <v>0</v>
      </c>
      <c r="AT2580">
        <v>0</v>
      </c>
    </row>
    <row r="2581" spans="1:46" x14ac:dyDescent="0.45">
      <c r="A2581" s="62" t="s">
        <v>968</v>
      </c>
      <c r="B2581" s="62" t="s">
        <v>967</v>
      </c>
      <c r="C2581" s="63"/>
      <c r="D2581" s="64"/>
      <c r="E2581" s="65"/>
      <c r="F2581" s="66"/>
      <c r="G2581" s="63"/>
      <c r="H2581" s="67"/>
      <c r="I2581" s="68"/>
      <c r="J2581" s="68"/>
      <c r="K2581" s="32"/>
      <c r="L2581" s="75"/>
      <c r="M2581" s="75"/>
      <c r="N2581" s="70"/>
      <c r="O2581" t="s">
        <v>1570</v>
      </c>
      <c r="P2581" s="76">
        <v>44959.212060185186</v>
      </c>
      <c r="Q2581" t="s">
        <v>2126</v>
      </c>
      <c r="U2581" s="77" t="str">
        <f>HYPERLINK("https://pbs.twimg.com/ext_tw_video_thumb/1619052728944103430/pu/img/q1eGyBb2oyIOfmAo.jpg")</f>
        <v>https://pbs.twimg.com/ext_tw_video_thumb/1619052728944103430/pu/img/q1eGyBb2oyIOfmAo.jpg</v>
      </c>
      <c r="V2581" s="77" t="str">
        <f>HYPERLINK("https://pbs.twimg.com/ext_tw_video_thumb/1619052728944103430/pu/img/q1eGyBb2oyIOfmAo.jpg")</f>
        <v>https://pbs.twimg.com/ext_tw_video_thumb/1619052728944103430/pu/img/q1eGyBb2oyIOfmAo.jpg</v>
      </c>
      <c r="W2581" s="76">
        <v>44959.212060185186</v>
      </c>
      <c r="X2581" s="80">
        <v>44959</v>
      </c>
      <c r="Y2581" s="78" t="s">
        <v>3245</v>
      </c>
      <c r="Z2581" s="77" t="str">
        <f>HYPERLINK("https://twitter.com/shea_jordan/status/1621011873461329922")</f>
        <v>https://twitter.com/shea_jordan/status/1621011873461329922</v>
      </c>
      <c r="AC2581" s="78" t="s">
        <v>4310</v>
      </c>
      <c r="AE2581" t="b">
        <v>0</v>
      </c>
      <c r="AF2581">
        <v>0</v>
      </c>
      <c r="AG2581" s="78" t="s">
        <v>4640</v>
      </c>
      <c r="AH2581" t="b">
        <v>0</v>
      </c>
      <c r="AI2581" t="s">
        <v>4829</v>
      </c>
      <c r="AK2581" s="78" t="s">
        <v>4640</v>
      </c>
      <c r="AL2581" t="b">
        <v>0</v>
      </c>
      <c r="AM2581">
        <v>12</v>
      </c>
      <c r="AN2581" s="78" t="s">
        <v>4308</v>
      </c>
      <c r="AO2581" s="78" t="s">
        <v>4849</v>
      </c>
      <c r="AP2581" t="b">
        <v>0</v>
      </c>
      <c r="AQ2581" s="78" t="s">
        <v>4308</v>
      </c>
      <c r="AR2581" t="s">
        <v>179</v>
      </c>
      <c r="AS2581">
        <v>0</v>
      </c>
      <c r="AT2581">
        <v>0</v>
      </c>
    </row>
    <row r="2582" spans="1:46" x14ac:dyDescent="0.45">
      <c r="A2582" s="62" t="s">
        <v>968</v>
      </c>
      <c r="B2582" s="62" t="s">
        <v>966</v>
      </c>
      <c r="C2582" s="63"/>
      <c r="D2582" s="64"/>
      <c r="E2582" s="65"/>
      <c r="F2582" s="66"/>
      <c r="G2582" s="63"/>
      <c r="H2582" s="67"/>
      <c r="I2582" s="68"/>
      <c r="J2582" s="68"/>
      <c r="K2582" s="32"/>
      <c r="L2582" s="75"/>
      <c r="M2582" s="75"/>
      <c r="N2582" s="70"/>
      <c r="O2582" t="s">
        <v>1569</v>
      </c>
      <c r="P2582" s="76">
        <v>44959.212060185186</v>
      </c>
      <c r="Q2582" t="s">
        <v>2126</v>
      </c>
      <c r="U2582" s="77" t="str">
        <f>HYPERLINK("https://pbs.twimg.com/ext_tw_video_thumb/1619052728944103430/pu/img/q1eGyBb2oyIOfmAo.jpg")</f>
        <v>https://pbs.twimg.com/ext_tw_video_thumb/1619052728944103430/pu/img/q1eGyBb2oyIOfmAo.jpg</v>
      </c>
      <c r="V2582" s="77" t="str">
        <f>HYPERLINK("https://pbs.twimg.com/ext_tw_video_thumb/1619052728944103430/pu/img/q1eGyBb2oyIOfmAo.jpg")</f>
        <v>https://pbs.twimg.com/ext_tw_video_thumb/1619052728944103430/pu/img/q1eGyBb2oyIOfmAo.jpg</v>
      </c>
      <c r="W2582" s="76">
        <v>44959.212060185186</v>
      </c>
      <c r="X2582" s="80">
        <v>44959</v>
      </c>
      <c r="Y2582" s="78" t="s">
        <v>3245</v>
      </c>
      <c r="Z2582" s="77" t="str">
        <f>HYPERLINK("https://twitter.com/shea_jordan/status/1621011873461329922")</f>
        <v>https://twitter.com/shea_jordan/status/1621011873461329922</v>
      </c>
      <c r="AC2582" s="78" t="s">
        <v>4310</v>
      </c>
      <c r="AE2582" t="b">
        <v>0</v>
      </c>
      <c r="AF2582">
        <v>0</v>
      </c>
      <c r="AG2582" s="78" t="s">
        <v>4640</v>
      </c>
      <c r="AH2582" t="b">
        <v>0</v>
      </c>
      <c r="AI2582" t="s">
        <v>4829</v>
      </c>
      <c r="AK2582" s="78" t="s">
        <v>4640</v>
      </c>
      <c r="AL2582" t="b">
        <v>0</v>
      </c>
      <c r="AM2582">
        <v>12</v>
      </c>
      <c r="AN2582" s="78" t="s">
        <v>4308</v>
      </c>
      <c r="AO2582" s="78" t="s">
        <v>4849</v>
      </c>
      <c r="AP2582" t="b">
        <v>0</v>
      </c>
      <c r="AQ2582" s="78" t="s">
        <v>4308</v>
      </c>
      <c r="AR2582" t="s">
        <v>179</v>
      </c>
      <c r="AS2582">
        <v>0</v>
      </c>
      <c r="AT2582">
        <v>0</v>
      </c>
    </row>
    <row r="2583" spans="1:46" x14ac:dyDescent="0.45">
      <c r="A2583" s="62" t="s">
        <v>968</v>
      </c>
      <c r="B2583" s="62" t="s">
        <v>242</v>
      </c>
      <c r="C2583" s="63"/>
      <c r="D2583" s="64"/>
      <c r="E2583" s="65"/>
      <c r="F2583" s="66"/>
      <c r="G2583" s="63"/>
      <c r="H2583" s="67"/>
      <c r="I2583" s="68"/>
      <c r="J2583" s="68"/>
      <c r="K2583" s="32"/>
      <c r="L2583" s="75"/>
      <c r="M2583" s="75"/>
      <c r="N2583" s="70"/>
      <c r="O2583" t="s">
        <v>1570</v>
      </c>
      <c r="P2583" s="76">
        <v>44959.212060185186</v>
      </c>
      <c r="Q2583" t="s">
        <v>2126</v>
      </c>
      <c r="U2583" s="77" t="str">
        <f>HYPERLINK("https://pbs.twimg.com/ext_tw_video_thumb/1619052728944103430/pu/img/q1eGyBb2oyIOfmAo.jpg")</f>
        <v>https://pbs.twimg.com/ext_tw_video_thumb/1619052728944103430/pu/img/q1eGyBb2oyIOfmAo.jpg</v>
      </c>
      <c r="V2583" s="77" t="str">
        <f>HYPERLINK("https://pbs.twimg.com/ext_tw_video_thumb/1619052728944103430/pu/img/q1eGyBb2oyIOfmAo.jpg")</f>
        <v>https://pbs.twimg.com/ext_tw_video_thumb/1619052728944103430/pu/img/q1eGyBb2oyIOfmAo.jpg</v>
      </c>
      <c r="W2583" s="76">
        <v>44959.212060185186</v>
      </c>
      <c r="X2583" s="80">
        <v>44959</v>
      </c>
      <c r="Y2583" s="78" t="s">
        <v>3245</v>
      </c>
      <c r="Z2583" s="77" t="str">
        <f>HYPERLINK("https://twitter.com/shea_jordan/status/1621011873461329922")</f>
        <v>https://twitter.com/shea_jordan/status/1621011873461329922</v>
      </c>
      <c r="AC2583" s="78" t="s">
        <v>4310</v>
      </c>
      <c r="AE2583" t="b">
        <v>0</v>
      </c>
      <c r="AF2583">
        <v>0</v>
      </c>
      <c r="AG2583" s="78" t="s">
        <v>4640</v>
      </c>
      <c r="AH2583" t="b">
        <v>0</v>
      </c>
      <c r="AI2583" t="s">
        <v>4829</v>
      </c>
      <c r="AK2583" s="78" t="s">
        <v>4640</v>
      </c>
      <c r="AL2583" t="b">
        <v>0</v>
      </c>
      <c r="AM2583">
        <v>12</v>
      </c>
      <c r="AN2583" s="78" t="s">
        <v>4308</v>
      </c>
      <c r="AO2583" s="78" t="s">
        <v>4849</v>
      </c>
      <c r="AP2583" t="b">
        <v>0</v>
      </c>
      <c r="AQ2583" s="78" t="s">
        <v>4308</v>
      </c>
      <c r="AR2583" t="s">
        <v>179</v>
      </c>
      <c r="AS2583">
        <v>0</v>
      </c>
      <c r="AT2583">
        <v>0</v>
      </c>
    </row>
    <row r="2584" spans="1:46" x14ac:dyDescent="0.45">
      <c r="A2584" s="62" t="s">
        <v>968</v>
      </c>
      <c r="B2584" s="62" t="s">
        <v>1181</v>
      </c>
      <c r="C2584" s="63"/>
      <c r="D2584" s="64"/>
      <c r="E2584" s="65"/>
      <c r="F2584" s="66"/>
      <c r="G2584" s="63"/>
      <c r="H2584" s="67"/>
      <c r="I2584" s="68"/>
      <c r="J2584" s="68"/>
      <c r="K2584" s="32"/>
      <c r="L2584" s="75"/>
      <c r="M2584" s="75"/>
      <c r="N2584" s="70"/>
      <c r="O2584" t="s">
        <v>1570</v>
      </c>
      <c r="P2584" s="76">
        <v>44959.212060185186</v>
      </c>
      <c r="Q2584" t="s">
        <v>2126</v>
      </c>
      <c r="U2584" s="77" t="str">
        <f>HYPERLINK("https://pbs.twimg.com/ext_tw_video_thumb/1619052728944103430/pu/img/q1eGyBb2oyIOfmAo.jpg")</f>
        <v>https://pbs.twimg.com/ext_tw_video_thumb/1619052728944103430/pu/img/q1eGyBb2oyIOfmAo.jpg</v>
      </c>
      <c r="V2584" s="77" t="str">
        <f>HYPERLINK("https://pbs.twimg.com/ext_tw_video_thumb/1619052728944103430/pu/img/q1eGyBb2oyIOfmAo.jpg")</f>
        <v>https://pbs.twimg.com/ext_tw_video_thumb/1619052728944103430/pu/img/q1eGyBb2oyIOfmAo.jpg</v>
      </c>
      <c r="W2584" s="76">
        <v>44959.212060185186</v>
      </c>
      <c r="X2584" s="80">
        <v>44959</v>
      </c>
      <c r="Y2584" s="78" t="s">
        <v>3245</v>
      </c>
      <c r="Z2584" s="77" t="str">
        <f>HYPERLINK("https://twitter.com/shea_jordan/status/1621011873461329922")</f>
        <v>https://twitter.com/shea_jordan/status/1621011873461329922</v>
      </c>
      <c r="AC2584" s="78" t="s">
        <v>4310</v>
      </c>
      <c r="AE2584" t="b">
        <v>0</v>
      </c>
      <c r="AF2584">
        <v>0</v>
      </c>
      <c r="AG2584" s="78" t="s">
        <v>4640</v>
      </c>
      <c r="AH2584" t="b">
        <v>0</v>
      </c>
      <c r="AI2584" t="s">
        <v>4829</v>
      </c>
      <c r="AK2584" s="78" t="s">
        <v>4640</v>
      </c>
      <c r="AL2584" t="b">
        <v>0</v>
      </c>
      <c r="AM2584">
        <v>12</v>
      </c>
      <c r="AN2584" s="78" t="s">
        <v>4308</v>
      </c>
      <c r="AO2584" s="78" t="s">
        <v>4849</v>
      </c>
      <c r="AP2584" t="b">
        <v>0</v>
      </c>
      <c r="AQ2584" s="78" t="s">
        <v>4308</v>
      </c>
      <c r="AR2584" t="s">
        <v>179</v>
      </c>
      <c r="AS2584">
        <v>0</v>
      </c>
      <c r="AT2584">
        <v>0</v>
      </c>
    </row>
    <row r="2585" spans="1:46" x14ac:dyDescent="0.45">
      <c r="A2585" s="62" t="s">
        <v>969</v>
      </c>
      <c r="B2585" s="62" t="s">
        <v>1230</v>
      </c>
      <c r="C2585" s="63"/>
      <c r="D2585" s="64"/>
      <c r="E2585" s="65"/>
      <c r="F2585" s="66"/>
      <c r="G2585" s="63"/>
      <c r="H2585" s="67"/>
      <c r="I2585" s="68"/>
      <c r="J2585" s="68"/>
      <c r="K2585" s="32"/>
      <c r="L2585" s="75"/>
      <c r="M2585" s="75"/>
      <c r="N2585" s="70"/>
      <c r="O2585" t="s">
        <v>1568</v>
      </c>
      <c r="P2585" s="76">
        <v>44958.820520833331</v>
      </c>
      <c r="Q2585" t="s">
        <v>2128</v>
      </c>
      <c r="V2585" s="77" t="str">
        <f>HYPERLINK("https://pbs.twimg.com/profile_images/1620899920424181762/xWZuhL-C_normal.jpg")</f>
        <v>https://pbs.twimg.com/profile_images/1620899920424181762/xWZuhL-C_normal.jpg</v>
      </c>
      <c r="W2585" s="76">
        <v>44958.820520833331</v>
      </c>
      <c r="X2585" s="80">
        <v>44958</v>
      </c>
      <c r="Y2585" s="78" t="s">
        <v>3246</v>
      </c>
      <c r="Z2585" s="77" t="str">
        <f>HYPERLINK("https://twitter.com/piscesmiley32/status/1620869983629893632")</f>
        <v>https://twitter.com/piscesmiley32/status/1620869983629893632</v>
      </c>
      <c r="AC2585" s="78" t="s">
        <v>4311</v>
      </c>
      <c r="AD2585" s="78" t="s">
        <v>4473</v>
      </c>
      <c r="AE2585" t="b">
        <v>0</v>
      </c>
      <c r="AF2585">
        <v>0</v>
      </c>
      <c r="AG2585" s="78" t="s">
        <v>4639</v>
      </c>
      <c r="AH2585" t="b">
        <v>0</v>
      </c>
      <c r="AI2585" t="s">
        <v>4829</v>
      </c>
      <c r="AK2585" s="78" t="s">
        <v>4640</v>
      </c>
      <c r="AL2585" t="b">
        <v>0</v>
      </c>
      <c r="AM2585">
        <v>0</v>
      </c>
      <c r="AN2585" s="78" t="s">
        <v>4640</v>
      </c>
      <c r="AO2585" s="78" t="s">
        <v>4849</v>
      </c>
      <c r="AP2585" t="b">
        <v>0</v>
      </c>
      <c r="AQ2585" s="78" t="s">
        <v>4473</v>
      </c>
      <c r="AR2585" t="s">
        <v>179</v>
      </c>
      <c r="AS2585">
        <v>0</v>
      </c>
      <c r="AT2585">
        <v>0</v>
      </c>
    </row>
    <row r="2586" spans="1:46" x14ac:dyDescent="0.45">
      <c r="A2586" s="62" t="s">
        <v>969</v>
      </c>
      <c r="B2586" s="62" t="s">
        <v>242</v>
      </c>
      <c r="C2586" s="63"/>
      <c r="D2586" s="64"/>
      <c r="E2586" s="65"/>
      <c r="F2586" s="66"/>
      <c r="G2586" s="63"/>
      <c r="H2586" s="67"/>
      <c r="I2586" s="68"/>
      <c r="J2586" s="68"/>
      <c r="K2586" s="32"/>
      <c r="L2586" s="75"/>
      <c r="M2586" s="75"/>
      <c r="N2586" s="70"/>
      <c r="O2586" t="s">
        <v>1567</v>
      </c>
      <c r="P2586" s="76">
        <v>44958.820520833331</v>
      </c>
      <c r="Q2586" t="s">
        <v>2128</v>
      </c>
      <c r="V2586" s="77" t="str">
        <f>HYPERLINK("https://pbs.twimg.com/profile_images/1620899920424181762/xWZuhL-C_normal.jpg")</f>
        <v>https://pbs.twimg.com/profile_images/1620899920424181762/xWZuhL-C_normal.jpg</v>
      </c>
      <c r="W2586" s="76">
        <v>44958.820520833331</v>
      </c>
      <c r="X2586" s="80">
        <v>44958</v>
      </c>
      <c r="Y2586" s="78" t="s">
        <v>3246</v>
      </c>
      <c r="Z2586" s="77" t="str">
        <f>HYPERLINK("https://twitter.com/piscesmiley32/status/1620869983629893632")</f>
        <v>https://twitter.com/piscesmiley32/status/1620869983629893632</v>
      </c>
      <c r="AC2586" s="78" t="s">
        <v>4311</v>
      </c>
      <c r="AD2586" s="78" t="s">
        <v>4473</v>
      </c>
      <c r="AE2586" t="b">
        <v>0</v>
      </c>
      <c r="AF2586">
        <v>0</v>
      </c>
      <c r="AG2586" s="78" t="s">
        <v>4639</v>
      </c>
      <c r="AH2586" t="b">
        <v>0</v>
      </c>
      <c r="AI2586" t="s">
        <v>4829</v>
      </c>
      <c r="AK2586" s="78" t="s">
        <v>4640</v>
      </c>
      <c r="AL2586" t="b">
        <v>0</v>
      </c>
      <c r="AM2586">
        <v>0</v>
      </c>
      <c r="AN2586" s="78" t="s">
        <v>4640</v>
      </c>
      <c r="AO2586" s="78" t="s">
        <v>4849</v>
      </c>
      <c r="AP2586" t="b">
        <v>0</v>
      </c>
      <c r="AQ2586" s="78" t="s">
        <v>4473</v>
      </c>
      <c r="AR2586" t="s">
        <v>179</v>
      </c>
      <c r="AS2586">
        <v>0</v>
      </c>
      <c r="AT2586">
        <v>0</v>
      </c>
    </row>
    <row r="2587" spans="1:46" x14ac:dyDescent="0.45">
      <c r="A2587" s="62" t="s">
        <v>969</v>
      </c>
      <c r="B2587" s="62" t="s">
        <v>1230</v>
      </c>
      <c r="C2587" s="63"/>
      <c r="D2587" s="64"/>
      <c r="E2587" s="65"/>
      <c r="F2587" s="66"/>
      <c r="G2587" s="63"/>
      <c r="H2587" s="67"/>
      <c r="I2587" s="68"/>
      <c r="J2587" s="68"/>
      <c r="K2587" s="32"/>
      <c r="L2587" s="75"/>
      <c r="M2587" s="75"/>
      <c r="N2587" s="70"/>
      <c r="O2587" t="s">
        <v>1570</v>
      </c>
      <c r="P2587" s="76">
        <v>44959.212881944448</v>
      </c>
      <c r="Q2587" t="s">
        <v>1693</v>
      </c>
      <c r="V2587" s="77" t="str">
        <f>HYPERLINK("https://pbs.twimg.com/profile_images/1620899920424181762/xWZuhL-C_normal.jpg")</f>
        <v>https://pbs.twimg.com/profile_images/1620899920424181762/xWZuhL-C_normal.jpg</v>
      </c>
      <c r="W2587" s="76">
        <v>44959.212881944448</v>
      </c>
      <c r="X2587" s="80">
        <v>44959</v>
      </c>
      <c r="Y2587" s="78" t="s">
        <v>3247</v>
      </c>
      <c r="Z2587" s="77" t="str">
        <f>HYPERLINK("https://twitter.com/piscesmiley32/status/1621012173144354817")</f>
        <v>https://twitter.com/piscesmiley32/status/1621012173144354817</v>
      </c>
      <c r="AC2587" s="78" t="s">
        <v>4312</v>
      </c>
      <c r="AE2587" t="b">
        <v>0</v>
      </c>
      <c r="AF2587">
        <v>0</v>
      </c>
      <c r="AG2587" s="78" t="s">
        <v>4640</v>
      </c>
      <c r="AH2587" t="b">
        <v>0</v>
      </c>
      <c r="AI2587" t="s">
        <v>4829</v>
      </c>
      <c r="AK2587" s="78" t="s">
        <v>4640</v>
      </c>
      <c r="AL2587" t="b">
        <v>0</v>
      </c>
      <c r="AM2587">
        <v>162</v>
      </c>
      <c r="AN2587" s="78" t="s">
        <v>4473</v>
      </c>
      <c r="AO2587" s="78" t="s">
        <v>4849</v>
      </c>
      <c r="AP2587" t="b">
        <v>0</v>
      </c>
      <c r="AQ2587" s="78" t="s">
        <v>4473</v>
      </c>
      <c r="AR2587" t="s">
        <v>179</v>
      </c>
      <c r="AS2587">
        <v>0</v>
      </c>
      <c r="AT2587">
        <v>0</v>
      </c>
    </row>
    <row r="2588" spans="1:46" x14ac:dyDescent="0.45">
      <c r="A2588" s="62" t="s">
        <v>969</v>
      </c>
      <c r="B2588" s="62" t="s">
        <v>242</v>
      </c>
      <c r="C2588" s="63"/>
      <c r="D2588" s="64"/>
      <c r="E2588" s="65"/>
      <c r="F2588" s="66"/>
      <c r="G2588" s="63"/>
      <c r="H2588" s="67"/>
      <c r="I2588" s="68"/>
      <c r="J2588" s="68"/>
      <c r="K2588" s="32"/>
      <c r="L2588" s="75"/>
      <c r="M2588" s="75"/>
      <c r="N2588" s="70"/>
      <c r="O2588" t="s">
        <v>1569</v>
      </c>
      <c r="P2588" s="76">
        <v>44959.212881944448</v>
      </c>
      <c r="Q2588" t="s">
        <v>1693</v>
      </c>
      <c r="V2588" s="77" t="str">
        <f>HYPERLINK("https://pbs.twimg.com/profile_images/1620899920424181762/xWZuhL-C_normal.jpg")</f>
        <v>https://pbs.twimg.com/profile_images/1620899920424181762/xWZuhL-C_normal.jpg</v>
      </c>
      <c r="W2588" s="76">
        <v>44959.212881944448</v>
      </c>
      <c r="X2588" s="80">
        <v>44959</v>
      </c>
      <c r="Y2588" s="78" t="s">
        <v>3247</v>
      </c>
      <c r="Z2588" s="77" t="str">
        <f>HYPERLINK("https://twitter.com/piscesmiley32/status/1621012173144354817")</f>
        <v>https://twitter.com/piscesmiley32/status/1621012173144354817</v>
      </c>
      <c r="AC2588" s="78" t="s">
        <v>4312</v>
      </c>
      <c r="AE2588" t="b">
        <v>0</v>
      </c>
      <c r="AF2588">
        <v>0</v>
      </c>
      <c r="AG2588" s="78" t="s">
        <v>4640</v>
      </c>
      <c r="AH2588" t="b">
        <v>0</v>
      </c>
      <c r="AI2588" t="s">
        <v>4829</v>
      </c>
      <c r="AK2588" s="78" t="s">
        <v>4640</v>
      </c>
      <c r="AL2588" t="b">
        <v>0</v>
      </c>
      <c r="AM2588">
        <v>162</v>
      </c>
      <c r="AN2588" s="78" t="s">
        <v>4473</v>
      </c>
      <c r="AO2588" s="78" t="s">
        <v>4849</v>
      </c>
      <c r="AP2588" t="b">
        <v>0</v>
      </c>
      <c r="AQ2588" s="78" t="s">
        <v>4473</v>
      </c>
      <c r="AR2588" t="s">
        <v>179</v>
      </c>
      <c r="AS2588">
        <v>0</v>
      </c>
      <c r="AT2588">
        <v>0</v>
      </c>
    </row>
    <row r="2589" spans="1:46" x14ac:dyDescent="0.45">
      <c r="A2589" s="62" t="s">
        <v>970</v>
      </c>
      <c r="B2589" s="62" t="s">
        <v>1230</v>
      </c>
      <c r="C2589" s="63"/>
      <c r="D2589" s="64"/>
      <c r="E2589" s="65"/>
      <c r="F2589" s="66"/>
      <c r="G2589" s="63"/>
      <c r="H2589" s="67"/>
      <c r="I2589" s="68"/>
      <c r="J2589" s="68"/>
      <c r="K2589" s="32"/>
      <c r="L2589" s="75"/>
      <c r="M2589" s="75"/>
      <c r="N2589" s="70"/>
      <c r="O2589" t="s">
        <v>1570</v>
      </c>
      <c r="P2589" s="76">
        <v>44959.21502314815</v>
      </c>
      <c r="Q2589" t="s">
        <v>1693</v>
      </c>
      <c r="V2589" s="77" t="str">
        <f>HYPERLINK("https://pbs.twimg.com/profile_images/1571042011507216386/NFlVmAWi_normal.jpg")</f>
        <v>https://pbs.twimg.com/profile_images/1571042011507216386/NFlVmAWi_normal.jpg</v>
      </c>
      <c r="W2589" s="76">
        <v>44959.21502314815</v>
      </c>
      <c r="X2589" s="80">
        <v>44959</v>
      </c>
      <c r="Y2589" s="78" t="s">
        <v>3248</v>
      </c>
      <c r="Z2589" s="77" t="str">
        <f>HYPERLINK("https://twitter.com/twistedbruvver/status/1621012949069611010")</f>
        <v>https://twitter.com/twistedbruvver/status/1621012949069611010</v>
      </c>
      <c r="AC2589" s="78" t="s">
        <v>4313</v>
      </c>
      <c r="AE2589" t="b">
        <v>0</v>
      </c>
      <c r="AF2589">
        <v>0</v>
      </c>
      <c r="AG2589" s="78" t="s">
        <v>4640</v>
      </c>
      <c r="AH2589" t="b">
        <v>0</v>
      </c>
      <c r="AI2589" t="s">
        <v>4829</v>
      </c>
      <c r="AK2589" s="78" t="s">
        <v>4640</v>
      </c>
      <c r="AL2589" t="b">
        <v>0</v>
      </c>
      <c r="AM2589">
        <v>162</v>
      </c>
      <c r="AN2589" s="78" t="s">
        <v>4473</v>
      </c>
      <c r="AO2589" s="78" t="s">
        <v>4850</v>
      </c>
      <c r="AP2589" t="b">
        <v>0</v>
      </c>
      <c r="AQ2589" s="78" t="s">
        <v>4473</v>
      </c>
      <c r="AR2589" t="s">
        <v>179</v>
      </c>
      <c r="AS2589">
        <v>0</v>
      </c>
      <c r="AT2589">
        <v>0</v>
      </c>
    </row>
    <row r="2590" spans="1:46" x14ac:dyDescent="0.45">
      <c r="A2590" s="62" t="s">
        <v>970</v>
      </c>
      <c r="B2590" s="62" t="s">
        <v>242</v>
      </c>
      <c r="C2590" s="63"/>
      <c r="D2590" s="64"/>
      <c r="E2590" s="65"/>
      <c r="F2590" s="66"/>
      <c r="G2590" s="63"/>
      <c r="H2590" s="67"/>
      <c r="I2590" s="68"/>
      <c r="J2590" s="68"/>
      <c r="K2590" s="32"/>
      <c r="L2590" s="75"/>
      <c r="M2590" s="75"/>
      <c r="N2590" s="70"/>
      <c r="O2590" t="s">
        <v>1569</v>
      </c>
      <c r="P2590" s="76">
        <v>44959.21502314815</v>
      </c>
      <c r="Q2590" t="s">
        <v>1693</v>
      </c>
      <c r="V2590" s="77" t="str">
        <f>HYPERLINK("https://pbs.twimg.com/profile_images/1571042011507216386/NFlVmAWi_normal.jpg")</f>
        <v>https://pbs.twimg.com/profile_images/1571042011507216386/NFlVmAWi_normal.jpg</v>
      </c>
      <c r="W2590" s="76">
        <v>44959.21502314815</v>
      </c>
      <c r="X2590" s="80">
        <v>44959</v>
      </c>
      <c r="Y2590" s="78" t="s">
        <v>3248</v>
      </c>
      <c r="Z2590" s="77" t="str">
        <f>HYPERLINK("https://twitter.com/twistedbruvver/status/1621012949069611010")</f>
        <v>https://twitter.com/twistedbruvver/status/1621012949069611010</v>
      </c>
      <c r="AC2590" s="78" t="s">
        <v>4313</v>
      </c>
      <c r="AE2590" t="b">
        <v>0</v>
      </c>
      <c r="AF2590">
        <v>0</v>
      </c>
      <c r="AG2590" s="78" t="s">
        <v>4640</v>
      </c>
      <c r="AH2590" t="b">
        <v>0</v>
      </c>
      <c r="AI2590" t="s">
        <v>4829</v>
      </c>
      <c r="AK2590" s="78" t="s">
        <v>4640</v>
      </c>
      <c r="AL2590" t="b">
        <v>0</v>
      </c>
      <c r="AM2590">
        <v>162</v>
      </c>
      <c r="AN2590" s="78" t="s">
        <v>4473</v>
      </c>
      <c r="AO2590" s="78" t="s">
        <v>4850</v>
      </c>
      <c r="AP2590" t="b">
        <v>0</v>
      </c>
      <c r="AQ2590" s="78" t="s">
        <v>4473</v>
      </c>
      <c r="AR2590" t="s">
        <v>179</v>
      </c>
      <c r="AS2590">
        <v>0</v>
      </c>
      <c r="AT2590">
        <v>0</v>
      </c>
    </row>
    <row r="2591" spans="1:46" x14ac:dyDescent="0.45">
      <c r="A2591" s="62" t="s">
        <v>971</v>
      </c>
      <c r="B2591" s="62" t="s">
        <v>1200</v>
      </c>
      <c r="C2591" s="63"/>
      <c r="D2591" s="64"/>
      <c r="E2591" s="65"/>
      <c r="F2591" s="66"/>
      <c r="G2591" s="63"/>
      <c r="H2591" s="67"/>
      <c r="I2591" s="68"/>
      <c r="J2591" s="68"/>
      <c r="K2591" s="32"/>
      <c r="L2591" s="75"/>
      <c r="M2591" s="75"/>
      <c r="N2591" s="70"/>
      <c r="O2591" t="s">
        <v>1568</v>
      </c>
      <c r="P2591" s="76">
        <v>44959.081342592595</v>
      </c>
      <c r="Q2591" t="s">
        <v>2129</v>
      </c>
      <c r="V2591" s="77" t="str">
        <f>HYPERLINK("https://pbs.twimg.com/profile_images/1079525533707317249/JVYkMHWX_normal.jpg")</f>
        <v>https://pbs.twimg.com/profile_images/1079525533707317249/JVYkMHWX_normal.jpg</v>
      </c>
      <c r="W2591" s="76">
        <v>44959.081342592595</v>
      </c>
      <c r="X2591" s="80">
        <v>44959</v>
      </c>
      <c r="Y2591" s="78" t="s">
        <v>3249</v>
      </c>
      <c r="Z2591" s="77" t="str">
        <f>HYPERLINK("https://twitter.com/firestormfox1/status/1620964504485113856")</f>
        <v>https://twitter.com/firestormfox1/status/1620964504485113856</v>
      </c>
      <c r="AC2591" s="78" t="s">
        <v>4314</v>
      </c>
      <c r="AD2591" s="78" t="s">
        <v>4602</v>
      </c>
      <c r="AE2591" t="b">
        <v>0</v>
      </c>
      <c r="AF2591">
        <v>0</v>
      </c>
      <c r="AG2591" s="78" t="s">
        <v>4639</v>
      </c>
      <c r="AH2591" t="b">
        <v>0</v>
      </c>
      <c r="AI2591" t="s">
        <v>4829</v>
      </c>
      <c r="AK2591" s="78" t="s">
        <v>4640</v>
      </c>
      <c r="AL2591" t="b">
        <v>0</v>
      </c>
      <c r="AM2591">
        <v>0</v>
      </c>
      <c r="AN2591" s="78" t="s">
        <v>4640</v>
      </c>
      <c r="AO2591" s="78" t="s">
        <v>4850</v>
      </c>
      <c r="AP2591" t="b">
        <v>0</v>
      </c>
      <c r="AQ2591" s="78" t="s">
        <v>4602</v>
      </c>
      <c r="AR2591" t="s">
        <v>179</v>
      </c>
      <c r="AS2591">
        <v>0</v>
      </c>
      <c r="AT2591">
        <v>0</v>
      </c>
    </row>
    <row r="2592" spans="1:46" x14ac:dyDescent="0.45">
      <c r="A2592" s="62" t="s">
        <v>971</v>
      </c>
      <c r="B2592" s="62" t="s">
        <v>1200</v>
      </c>
      <c r="C2592" s="63"/>
      <c r="D2592" s="64"/>
      <c r="E2592" s="65"/>
      <c r="F2592" s="66"/>
      <c r="G2592" s="63"/>
      <c r="H2592" s="67"/>
      <c r="I2592" s="68"/>
      <c r="J2592" s="68"/>
      <c r="K2592" s="32"/>
      <c r="L2592" s="75"/>
      <c r="M2592" s="75"/>
      <c r="N2592" s="70"/>
      <c r="O2592" t="s">
        <v>1568</v>
      </c>
      <c r="P2592" s="76">
        <v>44959.104166666664</v>
      </c>
      <c r="Q2592" t="s">
        <v>2130</v>
      </c>
      <c r="V2592" s="77" t="str">
        <f>HYPERLINK("https://pbs.twimg.com/profile_images/1079525533707317249/JVYkMHWX_normal.jpg")</f>
        <v>https://pbs.twimg.com/profile_images/1079525533707317249/JVYkMHWX_normal.jpg</v>
      </c>
      <c r="W2592" s="76">
        <v>44959.104166666664</v>
      </c>
      <c r="X2592" s="80">
        <v>44959</v>
      </c>
      <c r="Y2592" s="78" t="s">
        <v>3250</v>
      </c>
      <c r="Z2592" s="77" t="str">
        <f>HYPERLINK("https://twitter.com/firestormfox1/status/1620972777175126018")</f>
        <v>https://twitter.com/firestormfox1/status/1620972777175126018</v>
      </c>
      <c r="AC2592" s="78" t="s">
        <v>4315</v>
      </c>
      <c r="AD2592" s="78" t="s">
        <v>4314</v>
      </c>
      <c r="AE2592" t="b">
        <v>0</v>
      </c>
      <c r="AF2592">
        <v>0</v>
      </c>
      <c r="AG2592" s="78" t="s">
        <v>4782</v>
      </c>
      <c r="AH2592" t="b">
        <v>0</v>
      </c>
      <c r="AI2592" t="s">
        <v>4829</v>
      </c>
      <c r="AK2592" s="78" t="s">
        <v>4640</v>
      </c>
      <c r="AL2592" t="b">
        <v>0</v>
      </c>
      <c r="AM2592">
        <v>0</v>
      </c>
      <c r="AN2592" s="78" t="s">
        <v>4640</v>
      </c>
      <c r="AO2592" s="78" t="s">
        <v>4850</v>
      </c>
      <c r="AP2592" t="b">
        <v>0</v>
      </c>
      <c r="AQ2592" s="78" t="s">
        <v>4314</v>
      </c>
      <c r="AR2592" t="s">
        <v>179</v>
      </c>
      <c r="AS2592">
        <v>0</v>
      </c>
      <c r="AT2592">
        <v>0</v>
      </c>
    </row>
    <row r="2593" spans="1:46" x14ac:dyDescent="0.45">
      <c r="A2593" s="62" t="s">
        <v>971</v>
      </c>
      <c r="B2593" s="62" t="s">
        <v>1200</v>
      </c>
      <c r="C2593" s="63"/>
      <c r="D2593" s="64"/>
      <c r="E2593" s="65"/>
      <c r="F2593" s="66"/>
      <c r="G2593" s="63"/>
      <c r="H2593" s="67"/>
      <c r="I2593" s="68"/>
      <c r="J2593" s="68"/>
      <c r="K2593" s="32"/>
      <c r="L2593" s="75"/>
      <c r="M2593" s="75"/>
      <c r="N2593" s="70"/>
      <c r="O2593" t="s">
        <v>1568</v>
      </c>
      <c r="P2593" s="76">
        <v>44959.138113425928</v>
      </c>
      <c r="Q2593" t="s">
        <v>2131</v>
      </c>
      <c r="V2593" s="77" t="str">
        <f>HYPERLINK("https://pbs.twimg.com/profile_images/1079525533707317249/JVYkMHWX_normal.jpg")</f>
        <v>https://pbs.twimg.com/profile_images/1079525533707317249/JVYkMHWX_normal.jpg</v>
      </c>
      <c r="W2593" s="76">
        <v>44959.138113425928</v>
      </c>
      <c r="X2593" s="80">
        <v>44959</v>
      </c>
      <c r="Y2593" s="78" t="s">
        <v>3251</v>
      </c>
      <c r="Z2593" s="77" t="str">
        <f>HYPERLINK("https://twitter.com/firestormfox1/status/1620985076841582592")</f>
        <v>https://twitter.com/firestormfox1/status/1620985076841582592</v>
      </c>
      <c r="AC2593" s="78" t="s">
        <v>4316</v>
      </c>
      <c r="AD2593" s="78" t="s">
        <v>4315</v>
      </c>
      <c r="AE2593" t="b">
        <v>0</v>
      </c>
      <c r="AF2593">
        <v>0</v>
      </c>
      <c r="AG2593" s="78" t="s">
        <v>4782</v>
      </c>
      <c r="AH2593" t="b">
        <v>0</v>
      </c>
      <c r="AI2593" t="s">
        <v>4829</v>
      </c>
      <c r="AK2593" s="78" t="s">
        <v>4640</v>
      </c>
      <c r="AL2593" t="b">
        <v>0</v>
      </c>
      <c r="AM2593">
        <v>0</v>
      </c>
      <c r="AN2593" s="78" t="s">
        <v>4640</v>
      </c>
      <c r="AO2593" s="78" t="s">
        <v>4850</v>
      </c>
      <c r="AP2593" t="b">
        <v>0</v>
      </c>
      <c r="AQ2593" s="78" t="s">
        <v>4315</v>
      </c>
      <c r="AR2593" t="s">
        <v>179</v>
      </c>
      <c r="AS2593">
        <v>0</v>
      </c>
      <c r="AT2593">
        <v>0</v>
      </c>
    </row>
    <row r="2594" spans="1:46" x14ac:dyDescent="0.45">
      <c r="A2594" s="62" t="s">
        <v>971</v>
      </c>
      <c r="B2594" s="62" t="s">
        <v>1200</v>
      </c>
      <c r="C2594" s="63"/>
      <c r="D2594" s="64"/>
      <c r="E2594" s="65"/>
      <c r="F2594" s="66"/>
      <c r="G2594" s="63"/>
      <c r="H2594" s="67"/>
      <c r="I2594" s="68"/>
      <c r="J2594" s="68"/>
      <c r="K2594" s="32"/>
      <c r="L2594" s="75"/>
      <c r="M2594" s="75"/>
      <c r="N2594" s="70"/>
      <c r="O2594" t="s">
        <v>1567</v>
      </c>
      <c r="P2594" s="76">
        <v>44959.210520833331</v>
      </c>
      <c r="Q2594" t="s">
        <v>2132</v>
      </c>
      <c r="V2594" s="77" t="str">
        <f>HYPERLINK("https://pbs.twimg.com/profile_images/1079525533707317249/JVYkMHWX_normal.jpg")</f>
        <v>https://pbs.twimg.com/profile_images/1079525533707317249/JVYkMHWX_normal.jpg</v>
      </c>
      <c r="W2594" s="76">
        <v>44959.210520833331</v>
      </c>
      <c r="X2594" s="80">
        <v>44959</v>
      </c>
      <c r="Y2594" s="78" t="s">
        <v>3252</v>
      </c>
      <c r="Z2594" s="77" t="str">
        <f>HYPERLINK("https://twitter.com/firestormfox1/status/1621011316788891649")</f>
        <v>https://twitter.com/firestormfox1/status/1621011316788891649</v>
      </c>
      <c r="AC2594" s="78" t="s">
        <v>4317</v>
      </c>
      <c r="AD2594" s="78" t="s">
        <v>4603</v>
      </c>
      <c r="AE2594" t="b">
        <v>0</v>
      </c>
      <c r="AF2594">
        <v>0</v>
      </c>
      <c r="AG2594" s="78" t="s">
        <v>4671</v>
      </c>
      <c r="AH2594" t="b">
        <v>0</v>
      </c>
      <c r="AI2594" t="s">
        <v>4829</v>
      </c>
      <c r="AK2594" s="78" t="s">
        <v>4640</v>
      </c>
      <c r="AL2594" t="b">
        <v>0</v>
      </c>
      <c r="AM2594">
        <v>0</v>
      </c>
      <c r="AN2594" s="78" t="s">
        <v>4640</v>
      </c>
      <c r="AO2594" s="78" t="s">
        <v>4850</v>
      </c>
      <c r="AP2594" t="b">
        <v>0</v>
      </c>
      <c r="AQ2594" s="78" t="s">
        <v>4603</v>
      </c>
      <c r="AR2594" t="s">
        <v>179</v>
      </c>
      <c r="AS2594">
        <v>0</v>
      </c>
      <c r="AT2594">
        <v>0</v>
      </c>
    </row>
    <row r="2595" spans="1:46" x14ac:dyDescent="0.45">
      <c r="A2595" s="62" t="s">
        <v>971</v>
      </c>
      <c r="B2595" s="62" t="s">
        <v>1200</v>
      </c>
      <c r="C2595" s="63"/>
      <c r="D2595" s="64"/>
      <c r="E2595" s="65"/>
      <c r="F2595" s="66"/>
      <c r="G2595" s="63"/>
      <c r="H2595" s="67"/>
      <c r="I2595" s="68"/>
      <c r="J2595" s="68"/>
      <c r="K2595" s="32"/>
      <c r="L2595" s="75"/>
      <c r="M2595" s="75"/>
      <c r="N2595" s="70"/>
      <c r="O2595" t="s">
        <v>1567</v>
      </c>
      <c r="P2595" s="76">
        <v>44959.215578703705</v>
      </c>
      <c r="Q2595" t="s">
        <v>2133</v>
      </c>
      <c r="V2595" s="77" t="str">
        <f>HYPERLINK("https://pbs.twimg.com/profile_images/1079525533707317249/JVYkMHWX_normal.jpg")</f>
        <v>https://pbs.twimg.com/profile_images/1079525533707317249/JVYkMHWX_normal.jpg</v>
      </c>
      <c r="W2595" s="76">
        <v>44959.215578703705</v>
      </c>
      <c r="X2595" s="80">
        <v>44959</v>
      </c>
      <c r="Y2595" s="78" t="s">
        <v>3253</v>
      </c>
      <c r="Z2595" s="77" t="str">
        <f>HYPERLINK("https://twitter.com/firestormfox1/status/1621013148756221952")</f>
        <v>https://twitter.com/firestormfox1/status/1621013148756221952</v>
      </c>
      <c r="AC2595" s="78" t="s">
        <v>4318</v>
      </c>
      <c r="AD2595" s="78" t="s">
        <v>4317</v>
      </c>
      <c r="AE2595" t="b">
        <v>0</v>
      </c>
      <c r="AF2595">
        <v>0</v>
      </c>
      <c r="AG2595" s="78" t="s">
        <v>4782</v>
      </c>
      <c r="AH2595" t="b">
        <v>0</v>
      </c>
      <c r="AI2595" t="s">
        <v>4829</v>
      </c>
      <c r="AK2595" s="78" t="s">
        <v>4640</v>
      </c>
      <c r="AL2595" t="b">
        <v>0</v>
      </c>
      <c r="AM2595">
        <v>0</v>
      </c>
      <c r="AN2595" s="78" t="s">
        <v>4640</v>
      </c>
      <c r="AO2595" s="78" t="s">
        <v>4850</v>
      </c>
      <c r="AP2595" t="b">
        <v>0</v>
      </c>
      <c r="AQ2595" s="78" t="s">
        <v>4317</v>
      </c>
      <c r="AR2595" t="s">
        <v>179</v>
      </c>
      <c r="AS2595">
        <v>0</v>
      </c>
      <c r="AT2595">
        <v>0</v>
      </c>
    </row>
    <row r="2596" spans="1:46" x14ac:dyDescent="0.45">
      <c r="A2596" s="62" t="s">
        <v>971</v>
      </c>
      <c r="B2596" s="62" t="s">
        <v>242</v>
      </c>
      <c r="C2596" s="63"/>
      <c r="D2596" s="64"/>
      <c r="E2596" s="65"/>
      <c r="F2596" s="66"/>
      <c r="G2596" s="63"/>
      <c r="H2596" s="67"/>
      <c r="I2596" s="68"/>
      <c r="J2596" s="68"/>
      <c r="K2596" s="32"/>
      <c r="L2596" s="75"/>
      <c r="M2596" s="75"/>
      <c r="N2596" s="70"/>
      <c r="O2596" t="s">
        <v>1567</v>
      </c>
      <c r="P2596" s="76">
        <v>44959.081342592595</v>
      </c>
      <c r="Q2596" t="s">
        <v>2129</v>
      </c>
      <c r="V2596" s="77" t="str">
        <f>HYPERLINK("https://pbs.twimg.com/profile_images/1079525533707317249/JVYkMHWX_normal.jpg")</f>
        <v>https://pbs.twimg.com/profile_images/1079525533707317249/JVYkMHWX_normal.jpg</v>
      </c>
      <c r="W2596" s="76">
        <v>44959.081342592595</v>
      </c>
      <c r="X2596" s="80">
        <v>44959</v>
      </c>
      <c r="Y2596" s="78" t="s">
        <v>3249</v>
      </c>
      <c r="Z2596" s="77" t="str">
        <f>HYPERLINK("https://twitter.com/firestormfox1/status/1620964504485113856")</f>
        <v>https://twitter.com/firestormfox1/status/1620964504485113856</v>
      </c>
      <c r="AC2596" s="78" t="s">
        <v>4314</v>
      </c>
      <c r="AD2596" s="78" t="s">
        <v>4602</v>
      </c>
      <c r="AE2596" t="b">
        <v>0</v>
      </c>
      <c r="AF2596">
        <v>0</v>
      </c>
      <c r="AG2596" s="78" t="s">
        <v>4639</v>
      </c>
      <c r="AH2596" t="b">
        <v>0</v>
      </c>
      <c r="AI2596" t="s">
        <v>4829</v>
      </c>
      <c r="AK2596" s="78" t="s">
        <v>4640</v>
      </c>
      <c r="AL2596" t="b">
        <v>0</v>
      </c>
      <c r="AM2596">
        <v>0</v>
      </c>
      <c r="AN2596" s="78" t="s">
        <v>4640</v>
      </c>
      <c r="AO2596" s="78" t="s">
        <v>4850</v>
      </c>
      <c r="AP2596" t="b">
        <v>0</v>
      </c>
      <c r="AQ2596" s="78" t="s">
        <v>4602</v>
      </c>
      <c r="AR2596" t="s">
        <v>179</v>
      </c>
      <c r="AS2596">
        <v>0</v>
      </c>
      <c r="AT2596">
        <v>0</v>
      </c>
    </row>
    <row r="2597" spans="1:46" x14ac:dyDescent="0.45">
      <c r="A2597" s="62" t="s">
        <v>971</v>
      </c>
      <c r="B2597" s="62" t="s">
        <v>242</v>
      </c>
      <c r="C2597" s="63"/>
      <c r="D2597" s="64"/>
      <c r="E2597" s="65"/>
      <c r="F2597" s="66"/>
      <c r="G2597" s="63"/>
      <c r="H2597" s="67"/>
      <c r="I2597" s="68"/>
      <c r="J2597" s="68"/>
      <c r="K2597" s="32"/>
      <c r="L2597" s="75"/>
      <c r="M2597" s="75"/>
      <c r="N2597" s="70"/>
      <c r="O2597" t="s">
        <v>1567</v>
      </c>
      <c r="P2597" s="76">
        <v>44959.104166666664</v>
      </c>
      <c r="Q2597" t="s">
        <v>2130</v>
      </c>
      <c r="V2597" s="77" t="str">
        <f>HYPERLINK("https://pbs.twimg.com/profile_images/1079525533707317249/JVYkMHWX_normal.jpg")</f>
        <v>https://pbs.twimg.com/profile_images/1079525533707317249/JVYkMHWX_normal.jpg</v>
      </c>
      <c r="W2597" s="76">
        <v>44959.104166666664</v>
      </c>
      <c r="X2597" s="80">
        <v>44959</v>
      </c>
      <c r="Y2597" s="78" t="s">
        <v>3250</v>
      </c>
      <c r="Z2597" s="77" t="str">
        <f>HYPERLINK("https://twitter.com/firestormfox1/status/1620972777175126018")</f>
        <v>https://twitter.com/firestormfox1/status/1620972777175126018</v>
      </c>
      <c r="AC2597" s="78" t="s">
        <v>4315</v>
      </c>
      <c r="AD2597" s="78" t="s">
        <v>4314</v>
      </c>
      <c r="AE2597" t="b">
        <v>0</v>
      </c>
      <c r="AF2597">
        <v>0</v>
      </c>
      <c r="AG2597" s="78" t="s">
        <v>4782</v>
      </c>
      <c r="AH2597" t="b">
        <v>0</v>
      </c>
      <c r="AI2597" t="s">
        <v>4829</v>
      </c>
      <c r="AK2597" s="78" t="s">
        <v>4640</v>
      </c>
      <c r="AL2597" t="b">
        <v>0</v>
      </c>
      <c r="AM2597">
        <v>0</v>
      </c>
      <c r="AN2597" s="78" t="s">
        <v>4640</v>
      </c>
      <c r="AO2597" s="78" t="s">
        <v>4850</v>
      </c>
      <c r="AP2597" t="b">
        <v>0</v>
      </c>
      <c r="AQ2597" s="78" t="s">
        <v>4314</v>
      </c>
      <c r="AR2597" t="s">
        <v>179</v>
      </c>
      <c r="AS2597">
        <v>0</v>
      </c>
      <c r="AT2597">
        <v>0</v>
      </c>
    </row>
    <row r="2598" spans="1:46" x14ac:dyDescent="0.45">
      <c r="A2598" s="62" t="s">
        <v>971</v>
      </c>
      <c r="B2598" s="62" t="s">
        <v>242</v>
      </c>
      <c r="C2598" s="63"/>
      <c r="D2598" s="64"/>
      <c r="E2598" s="65"/>
      <c r="F2598" s="66"/>
      <c r="G2598" s="63"/>
      <c r="H2598" s="67"/>
      <c r="I2598" s="68"/>
      <c r="J2598" s="68"/>
      <c r="K2598" s="32"/>
      <c r="L2598" s="75"/>
      <c r="M2598" s="75"/>
      <c r="N2598" s="70"/>
      <c r="O2598" t="s">
        <v>1567</v>
      </c>
      <c r="P2598" s="76">
        <v>44959.138113425928</v>
      </c>
      <c r="Q2598" t="s">
        <v>2131</v>
      </c>
      <c r="V2598" s="77" t="str">
        <f>HYPERLINK("https://pbs.twimg.com/profile_images/1079525533707317249/JVYkMHWX_normal.jpg")</f>
        <v>https://pbs.twimg.com/profile_images/1079525533707317249/JVYkMHWX_normal.jpg</v>
      </c>
      <c r="W2598" s="76">
        <v>44959.138113425928</v>
      </c>
      <c r="X2598" s="80">
        <v>44959</v>
      </c>
      <c r="Y2598" s="78" t="s">
        <v>3251</v>
      </c>
      <c r="Z2598" s="77" t="str">
        <f>HYPERLINK("https://twitter.com/firestormfox1/status/1620985076841582592")</f>
        <v>https://twitter.com/firestormfox1/status/1620985076841582592</v>
      </c>
      <c r="AC2598" s="78" t="s">
        <v>4316</v>
      </c>
      <c r="AD2598" s="78" t="s">
        <v>4315</v>
      </c>
      <c r="AE2598" t="b">
        <v>0</v>
      </c>
      <c r="AF2598">
        <v>0</v>
      </c>
      <c r="AG2598" s="78" t="s">
        <v>4782</v>
      </c>
      <c r="AH2598" t="b">
        <v>0</v>
      </c>
      <c r="AI2598" t="s">
        <v>4829</v>
      </c>
      <c r="AK2598" s="78" t="s">
        <v>4640</v>
      </c>
      <c r="AL2598" t="b">
        <v>0</v>
      </c>
      <c r="AM2598">
        <v>0</v>
      </c>
      <c r="AN2598" s="78" t="s">
        <v>4640</v>
      </c>
      <c r="AO2598" s="78" t="s">
        <v>4850</v>
      </c>
      <c r="AP2598" t="b">
        <v>0</v>
      </c>
      <c r="AQ2598" s="78" t="s">
        <v>4315</v>
      </c>
      <c r="AR2598" t="s">
        <v>179</v>
      </c>
      <c r="AS2598">
        <v>0</v>
      </c>
      <c r="AT2598">
        <v>0</v>
      </c>
    </row>
    <row r="2599" spans="1:46" x14ac:dyDescent="0.45">
      <c r="A2599" s="62" t="s">
        <v>971</v>
      </c>
      <c r="B2599" s="62" t="s">
        <v>242</v>
      </c>
      <c r="C2599" s="63"/>
      <c r="D2599" s="64"/>
      <c r="E2599" s="65"/>
      <c r="F2599" s="66"/>
      <c r="G2599" s="63"/>
      <c r="H2599" s="67"/>
      <c r="I2599" s="68"/>
      <c r="J2599" s="68"/>
      <c r="K2599" s="32"/>
      <c r="L2599" s="75"/>
      <c r="M2599" s="75"/>
      <c r="N2599" s="70"/>
      <c r="O2599" t="s">
        <v>1568</v>
      </c>
      <c r="P2599" s="76">
        <v>44959.210520833331</v>
      </c>
      <c r="Q2599" t="s">
        <v>2132</v>
      </c>
      <c r="V2599" s="77" t="str">
        <f>HYPERLINK("https://pbs.twimg.com/profile_images/1079525533707317249/JVYkMHWX_normal.jpg")</f>
        <v>https://pbs.twimg.com/profile_images/1079525533707317249/JVYkMHWX_normal.jpg</v>
      </c>
      <c r="W2599" s="76">
        <v>44959.210520833331</v>
      </c>
      <c r="X2599" s="80">
        <v>44959</v>
      </c>
      <c r="Y2599" s="78" t="s">
        <v>3252</v>
      </c>
      <c r="Z2599" s="77" t="str">
        <f>HYPERLINK("https://twitter.com/firestormfox1/status/1621011316788891649")</f>
        <v>https://twitter.com/firestormfox1/status/1621011316788891649</v>
      </c>
      <c r="AC2599" s="78" t="s">
        <v>4317</v>
      </c>
      <c r="AD2599" s="78" t="s">
        <v>4603</v>
      </c>
      <c r="AE2599" t="b">
        <v>0</v>
      </c>
      <c r="AF2599">
        <v>0</v>
      </c>
      <c r="AG2599" s="78" t="s">
        <v>4671</v>
      </c>
      <c r="AH2599" t="b">
        <v>0</v>
      </c>
      <c r="AI2599" t="s">
        <v>4829</v>
      </c>
      <c r="AK2599" s="78" t="s">
        <v>4640</v>
      </c>
      <c r="AL2599" t="b">
        <v>0</v>
      </c>
      <c r="AM2599">
        <v>0</v>
      </c>
      <c r="AN2599" s="78" t="s">
        <v>4640</v>
      </c>
      <c r="AO2599" s="78" t="s">
        <v>4850</v>
      </c>
      <c r="AP2599" t="b">
        <v>0</v>
      </c>
      <c r="AQ2599" s="78" t="s">
        <v>4603</v>
      </c>
      <c r="AR2599" t="s">
        <v>179</v>
      </c>
      <c r="AS2599">
        <v>0</v>
      </c>
      <c r="AT2599">
        <v>0</v>
      </c>
    </row>
    <row r="2600" spans="1:46" x14ac:dyDescent="0.45">
      <c r="A2600" s="62" t="s">
        <v>971</v>
      </c>
      <c r="B2600" s="62" t="s">
        <v>242</v>
      </c>
      <c r="C2600" s="63"/>
      <c r="D2600" s="64"/>
      <c r="E2600" s="65"/>
      <c r="F2600" s="66"/>
      <c r="G2600" s="63"/>
      <c r="H2600" s="67"/>
      <c r="I2600" s="68"/>
      <c r="J2600" s="68"/>
      <c r="K2600" s="32"/>
      <c r="L2600" s="75"/>
      <c r="M2600" s="75"/>
      <c r="N2600" s="70"/>
      <c r="O2600" t="s">
        <v>1568</v>
      </c>
      <c r="P2600" s="76">
        <v>44959.215578703705</v>
      </c>
      <c r="Q2600" t="s">
        <v>2133</v>
      </c>
      <c r="V2600" s="77" t="str">
        <f>HYPERLINK("https://pbs.twimg.com/profile_images/1079525533707317249/JVYkMHWX_normal.jpg")</f>
        <v>https://pbs.twimg.com/profile_images/1079525533707317249/JVYkMHWX_normal.jpg</v>
      </c>
      <c r="W2600" s="76">
        <v>44959.215578703705</v>
      </c>
      <c r="X2600" s="80">
        <v>44959</v>
      </c>
      <c r="Y2600" s="78" t="s">
        <v>3253</v>
      </c>
      <c r="Z2600" s="77" t="str">
        <f>HYPERLINK("https://twitter.com/firestormfox1/status/1621013148756221952")</f>
        <v>https://twitter.com/firestormfox1/status/1621013148756221952</v>
      </c>
      <c r="AC2600" s="78" t="s">
        <v>4318</v>
      </c>
      <c r="AD2600" s="78" t="s">
        <v>4317</v>
      </c>
      <c r="AE2600" t="b">
        <v>0</v>
      </c>
      <c r="AF2600">
        <v>0</v>
      </c>
      <c r="AG2600" s="78" t="s">
        <v>4782</v>
      </c>
      <c r="AH2600" t="b">
        <v>0</v>
      </c>
      <c r="AI2600" t="s">
        <v>4829</v>
      </c>
      <c r="AK2600" s="78" t="s">
        <v>4640</v>
      </c>
      <c r="AL2600" t="b">
        <v>0</v>
      </c>
      <c r="AM2600">
        <v>0</v>
      </c>
      <c r="AN2600" s="78" t="s">
        <v>4640</v>
      </c>
      <c r="AO2600" s="78" t="s">
        <v>4850</v>
      </c>
      <c r="AP2600" t="b">
        <v>0</v>
      </c>
      <c r="AQ2600" s="78" t="s">
        <v>4317</v>
      </c>
      <c r="AR2600" t="s">
        <v>179</v>
      </c>
      <c r="AS2600">
        <v>0</v>
      </c>
      <c r="AT2600">
        <v>0</v>
      </c>
    </row>
    <row r="2601" spans="1:46" x14ac:dyDescent="0.45">
      <c r="A2601" s="62" t="s">
        <v>972</v>
      </c>
      <c r="B2601" s="62" t="s">
        <v>1473</v>
      </c>
      <c r="C2601" s="63"/>
      <c r="D2601" s="64"/>
      <c r="E2601" s="65"/>
      <c r="F2601" s="66"/>
      <c r="G2601" s="63"/>
      <c r="H2601" s="67"/>
      <c r="I2601" s="68"/>
      <c r="J2601" s="68"/>
      <c r="K2601" s="32"/>
      <c r="L2601" s="75"/>
      <c r="M2601" s="75"/>
      <c r="N2601" s="70"/>
      <c r="O2601" t="s">
        <v>1568</v>
      </c>
      <c r="P2601" s="76">
        <v>44959.215717592589</v>
      </c>
      <c r="Q2601" t="s">
        <v>2134</v>
      </c>
      <c r="V2601" s="77" t="str">
        <f>HYPERLINK("https://pbs.twimg.com/profile_images/1521955421514350593/zYTTc-dc_normal.png")</f>
        <v>https://pbs.twimg.com/profile_images/1521955421514350593/zYTTc-dc_normal.png</v>
      </c>
      <c r="W2601" s="76">
        <v>44959.215717592589</v>
      </c>
      <c r="X2601" s="80">
        <v>44959</v>
      </c>
      <c r="Y2601" s="78" t="s">
        <v>3254</v>
      </c>
      <c r="Z2601" s="77" t="str">
        <f>HYPERLINK("https://twitter.com/paxultek/status/1621013200455208960")</f>
        <v>https://twitter.com/paxultek/status/1621013200455208960</v>
      </c>
      <c r="AC2601" s="78" t="s">
        <v>4319</v>
      </c>
      <c r="AD2601" s="78" t="s">
        <v>4604</v>
      </c>
      <c r="AE2601" t="b">
        <v>0</v>
      </c>
      <c r="AF2601">
        <v>0</v>
      </c>
      <c r="AG2601" s="78" t="s">
        <v>4783</v>
      </c>
      <c r="AH2601" t="b">
        <v>0</v>
      </c>
      <c r="AI2601" t="s">
        <v>4829</v>
      </c>
      <c r="AK2601" s="78" t="s">
        <v>4640</v>
      </c>
      <c r="AL2601" t="b">
        <v>0</v>
      </c>
      <c r="AM2601">
        <v>0</v>
      </c>
      <c r="AN2601" s="78" t="s">
        <v>4640</v>
      </c>
      <c r="AO2601" s="78" t="s">
        <v>4851</v>
      </c>
      <c r="AP2601" t="b">
        <v>0</v>
      </c>
      <c r="AQ2601" s="78" t="s">
        <v>4604</v>
      </c>
      <c r="AR2601" t="s">
        <v>179</v>
      </c>
      <c r="AS2601">
        <v>0</v>
      </c>
      <c r="AT2601">
        <v>0</v>
      </c>
    </row>
    <row r="2602" spans="1:46" x14ac:dyDescent="0.45">
      <c r="A2602" s="62" t="s">
        <v>972</v>
      </c>
      <c r="B2602" s="62" t="s">
        <v>1275</v>
      </c>
      <c r="C2602" s="63"/>
      <c r="D2602" s="64"/>
      <c r="E2602" s="65"/>
      <c r="F2602" s="66"/>
      <c r="G2602" s="63"/>
      <c r="H2602" s="67"/>
      <c r="I2602" s="68"/>
      <c r="J2602" s="68"/>
      <c r="K2602" s="32"/>
      <c r="L2602" s="75"/>
      <c r="M2602" s="75"/>
      <c r="N2602" s="70"/>
      <c r="O2602" t="s">
        <v>1567</v>
      </c>
      <c r="P2602" s="76">
        <v>44959.215717592589</v>
      </c>
      <c r="Q2602" t="s">
        <v>2134</v>
      </c>
      <c r="V2602" s="77" t="str">
        <f>HYPERLINK("https://pbs.twimg.com/profile_images/1521955421514350593/zYTTc-dc_normal.png")</f>
        <v>https://pbs.twimg.com/profile_images/1521955421514350593/zYTTc-dc_normal.png</v>
      </c>
      <c r="W2602" s="76">
        <v>44959.215717592589</v>
      </c>
      <c r="X2602" s="80">
        <v>44959</v>
      </c>
      <c r="Y2602" s="78" t="s">
        <v>3254</v>
      </c>
      <c r="Z2602" s="77" t="str">
        <f>HYPERLINK("https://twitter.com/paxultek/status/1621013200455208960")</f>
        <v>https://twitter.com/paxultek/status/1621013200455208960</v>
      </c>
      <c r="AC2602" s="78" t="s">
        <v>4319</v>
      </c>
      <c r="AD2602" s="78" t="s">
        <v>4604</v>
      </c>
      <c r="AE2602" t="b">
        <v>0</v>
      </c>
      <c r="AF2602">
        <v>0</v>
      </c>
      <c r="AG2602" s="78" t="s">
        <v>4783</v>
      </c>
      <c r="AH2602" t="b">
        <v>0</v>
      </c>
      <c r="AI2602" t="s">
        <v>4829</v>
      </c>
      <c r="AK2602" s="78" t="s">
        <v>4640</v>
      </c>
      <c r="AL2602" t="b">
        <v>0</v>
      </c>
      <c r="AM2602">
        <v>0</v>
      </c>
      <c r="AN2602" s="78" t="s">
        <v>4640</v>
      </c>
      <c r="AO2602" s="78" t="s">
        <v>4851</v>
      </c>
      <c r="AP2602" t="b">
        <v>0</v>
      </c>
      <c r="AQ2602" s="78" t="s">
        <v>4604</v>
      </c>
      <c r="AR2602" t="s">
        <v>179</v>
      </c>
      <c r="AS2602">
        <v>0</v>
      </c>
      <c r="AT2602">
        <v>0</v>
      </c>
    </row>
    <row r="2603" spans="1:46" x14ac:dyDescent="0.45">
      <c r="A2603" s="62" t="s">
        <v>972</v>
      </c>
      <c r="B2603" s="62" t="s">
        <v>242</v>
      </c>
      <c r="C2603" s="63"/>
      <c r="D2603" s="64"/>
      <c r="E2603" s="65"/>
      <c r="F2603" s="66"/>
      <c r="G2603" s="63"/>
      <c r="H2603" s="67"/>
      <c r="I2603" s="68"/>
      <c r="J2603" s="68"/>
      <c r="K2603" s="32"/>
      <c r="L2603" s="75"/>
      <c r="M2603" s="75"/>
      <c r="N2603" s="70"/>
      <c r="O2603" t="s">
        <v>1568</v>
      </c>
      <c r="P2603" s="76">
        <v>44959.215717592589</v>
      </c>
      <c r="Q2603" t="s">
        <v>2134</v>
      </c>
      <c r="V2603" s="77" t="str">
        <f>HYPERLINK("https://pbs.twimg.com/profile_images/1521955421514350593/zYTTc-dc_normal.png")</f>
        <v>https://pbs.twimg.com/profile_images/1521955421514350593/zYTTc-dc_normal.png</v>
      </c>
      <c r="W2603" s="76">
        <v>44959.215717592589</v>
      </c>
      <c r="X2603" s="80">
        <v>44959</v>
      </c>
      <c r="Y2603" s="78" t="s">
        <v>3254</v>
      </c>
      <c r="Z2603" s="77" t="str">
        <f>HYPERLINK("https://twitter.com/paxultek/status/1621013200455208960")</f>
        <v>https://twitter.com/paxultek/status/1621013200455208960</v>
      </c>
      <c r="AC2603" s="78" t="s">
        <v>4319</v>
      </c>
      <c r="AD2603" s="78" t="s">
        <v>4604</v>
      </c>
      <c r="AE2603" t="b">
        <v>0</v>
      </c>
      <c r="AF2603">
        <v>0</v>
      </c>
      <c r="AG2603" s="78" t="s">
        <v>4783</v>
      </c>
      <c r="AH2603" t="b">
        <v>0</v>
      </c>
      <c r="AI2603" t="s">
        <v>4829</v>
      </c>
      <c r="AK2603" s="78" t="s">
        <v>4640</v>
      </c>
      <c r="AL2603" t="b">
        <v>0</v>
      </c>
      <c r="AM2603">
        <v>0</v>
      </c>
      <c r="AN2603" s="78" t="s">
        <v>4640</v>
      </c>
      <c r="AO2603" s="78" t="s">
        <v>4851</v>
      </c>
      <c r="AP2603" t="b">
        <v>0</v>
      </c>
      <c r="AQ2603" s="78" t="s">
        <v>4604</v>
      </c>
      <c r="AR2603" t="s">
        <v>179</v>
      </c>
      <c r="AS2603">
        <v>0</v>
      </c>
      <c r="AT2603">
        <v>0</v>
      </c>
    </row>
    <row r="2604" spans="1:46" x14ac:dyDescent="0.45">
      <c r="A2604" s="62" t="s">
        <v>975</v>
      </c>
      <c r="B2604" s="62" t="s">
        <v>242</v>
      </c>
      <c r="C2604" s="63"/>
      <c r="D2604" s="64"/>
      <c r="E2604" s="65"/>
      <c r="F2604" s="66"/>
      <c r="G2604" s="63"/>
      <c r="H2604" s="67"/>
      <c r="I2604" s="68"/>
      <c r="J2604" s="68"/>
      <c r="K2604" s="32"/>
      <c r="L2604" s="75"/>
      <c r="M2604" s="75"/>
      <c r="N2604" s="70"/>
      <c r="O2604" t="s">
        <v>1567</v>
      </c>
      <c r="P2604" s="76">
        <v>44959.206782407404</v>
      </c>
      <c r="Q2604" t="s">
        <v>2137</v>
      </c>
      <c r="V2604" s="77" t="str">
        <f>HYPERLINK("https://pbs.twimg.com/profile_images/1559207589153480706/lgmRvNim_normal.jpg")</f>
        <v>https://pbs.twimg.com/profile_images/1559207589153480706/lgmRvNim_normal.jpg</v>
      </c>
      <c r="W2604" s="76">
        <v>44959.206782407404</v>
      </c>
      <c r="X2604" s="80">
        <v>44959</v>
      </c>
      <c r="Y2604" s="78" t="s">
        <v>3257</v>
      </c>
      <c r="Z2604" s="77" t="str">
        <f>HYPERLINK("https://twitter.com/mrcreager/status/1621009962217648129")</f>
        <v>https://twitter.com/mrcreager/status/1621009962217648129</v>
      </c>
      <c r="AC2604" s="78" t="s">
        <v>4322</v>
      </c>
      <c r="AE2604" t="b">
        <v>0</v>
      </c>
      <c r="AF2604">
        <v>0</v>
      </c>
      <c r="AG2604" s="78" t="s">
        <v>4639</v>
      </c>
      <c r="AH2604" t="b">
        <v>0</v>
      </c>
      <c r="AI2604" t="s">
        <v>4829</v>
      </c>
      <c r="AK2604" s="78" t="s">
        <v>4640</v>
      </c>
      <c r="AL2604" t="b">
        <v>0</v>
      </c>
      <c r="AM2604">
        <v>0</v>
      </c>
      <c r="AN2604" s="78" t="s">
        <v>4640</v>
      </c>
      <c r="AO2604" s="78" t="s">
        <v>4850</v>
      </c>
      <c r="AP2604" t="b">
        <v>0</v>
      </c>
      <c r="AQ2604" s="78" t="s">
        <v>4322</v>
      </c>
      <c r="AR2604" t="s">
        <v>179</v>
      </c>
      <c r="AS2604">
        <v>0</v>
      </c>
      <c r="AT2604">
        <v>0</v>
      </c>
    </row>
    <row r="2605" spans="1:46" x14ac:dyDescent="0.45">
      <c r="A2605" s="62" t="s">
        <v>975</v>
      </c>
      <c r="B2605" s="62" t="s">
        <v>242</v>
      </c>
      <c r="C2605" s="63"/>
      <c r="D2605" s="64"/>
      <c r="E2605" s="65"/>
      <c r="F2605" s="66"/>
      <c r="G2605" s="63"/>
      <c r="H2605" s="67"/>
      <c r="I2605" s="68"/>
      <c r="J2605" s="68"/>
      <c r="K2605" s="32"/>
      <c r="L2605" s="75"/>
      <c r="M2605" s="75"/>
      <c r="N2605" s="70"/>
      <c r="O2605" t="s">
        <v>1567</v>
      </c>
      <c r="P2605" s="76">
        <v>44959.21675925926</v>
      </c>
      <c r="Q2605" t="s">
        <v>2138</v>
      </c>
      <c r="V2605" s="77" t="str">
        <f>HYPERLINK("https://pbs.twimg.com/profile_images/1559207589153480706/lgmRvNim_normal.jpg")</f>
        <v>https://pbs.twimg.com/profile_images/1559207589153480706/lgmRvNim_normal.jpg</v>
      </c>
      <c r="W2605" s="76">
        <v>44959.21675925926</v>
      </c>
      <c r="X2605" s="80">
        <v>44959</v>
      </c>
      <c r="Y2605" s="78" t="s">
        <v>3258</v>
      </c>
      <c r="Z2605" s="77" t="str">
        <f>HYPERLINK("https://twitter.com/mrcreager/status/1621013575660670976")</f>
        <v>https://twitter.com/mrcreager/status/1621013575660670976</v>
      </c>
      <c r="AC2605" s="78" t="s">
        <v>4323</v>
      </c>
      <c r="AD2605" s="78" t="s">
        <v>4605</v>
      </c>
      <c r="AE2605" t="b">
        <v>0</v>
      </c>
      <c r="AF2605">
        <v>0</v>
      </c>
      <c r="AG2605" s="78" t="s">
        <v>4639</v>
      </c>
      <c r="AH2605" t="b">
        <v>0</v>
      </c>
      <c r="AI2605" t="s">
        <v>4829</v>
      </c>
      <c r="AK2605" s="78" t="s">
        <v>4640</v>
      </c>
      <c r="AL2605" t="b">
        <v>0</v>
      </c>
      <c r="AM2605">
        <v>0</v>
      </c>
      <c r="AN2605" s="78" t="s">
        <v>4640</v>
      </c>
      <c r="AO2605" s="78" t="s">
        <v>4850</v>
      </c>
      <c r="AP2605" t="b">
        <v>0</v>
      </c>
      <c r="AQ2605" s="78" t="s">
        <v>4605</v>
      </c>
      <c r="AR2605" t="s">
        <v>179</v>
      </c>
      <c r="AS2605">
        <v>0</v>
      </c>
      <c r="AT2605">
        <v>0</v>
      </c>
    </row>
    <row r="2606" spans="1:46" x14ac:dyDescent="0.45">
      <c r="A2606" s="62" t="s">
        <v>976</v>
      </c>
      <c r="B2606" s="62" t="s">
        <v>242</v>
      </c>
      <c r="C2606" s="63"/>
      <c r="D2606" s="64"/>
      <c r="E2606" s="65"/>
      <c r="F2606" s="66"/>
      <c r="G2606" s="63"/>
      <c r="H2606" s="67"/>
      <c r="I2606" s="68"/>
      <c r="J2606" s="68"/>
      <c r="K2606" s="32"/>
      <c r="L2606" s="75"/>
      <c r="M2606" s="75"/>
      <c r="N2606" s="70"/>
      <c r="O2606" t="s">
        <v>1569</v>
      </c>
      <c r="P2606" s="76">
        <v>44959.218182870369</v>
      </c>
      <c r="Q2606" t="s">
        <v>2139</v>
      </c>
      <c r="V2606" s="77" t="str">
        <f>HYPERLINK("https://pbs.twimg.com/profile_images/1601469163440054274/GPmARmNn_normal.jpg")</f>
        <v>https://pbs.twimg.com/profile_images/1601469163440054274/GPmARmNn_normal.jpg</v>
      </c>
      <c r="W2606" s="76">
        <v>44959.218182870369</v>
      </c>
      <c r="X2606" s="80">
        <v>44959</v>
      </c>
      <c r="Y2606" s="78" t="s">
        <v>3260</v>
      </c>
      <c r="Z2606" s="77" t="str">
        <f>HYPERLINK("https://twitter.com/tmillinerbbn/status/1621014093980377091")</f>
        <v>https://twitter.com/tmillinerbbn/status/1621014093980377091</v>
      </c>
      <c r="AC2606" s="78" t="s">
        <v>4325</v>
      </c>
      <c r="AE2606" t="b">
        <v>0</v>
      </c>
      <c r="AF2606">
        <v>0</v>
      </c>
      <c r="AG2606" s="78" t="s">
        <v>4640</v>
      </c>
      <c r="AH2606" t="b">
        <v>0</v>
      </c>
      <c r="AI2606" t="s">
        <v>4829</v>
      </c>
      <c r="AK2606" s="78" t="s">
        <v>4640</v>
      </c>
      <c r="AL2606" t="b">
        <v>0</v>
      </c>
      <c r="AM2606">
        <v>1</v>
      </c>
      <c r="AN2606" s="78" t="s">
        <v>4324</v>
      </c>
      <c r="AO2606" s="78" t="s">
        <v>4849</v>
      </c>
      <c r="AP2606" t="b">
        <v>0</v>
      </c>
      <c r="AQ2606" s="78" t="s">
        <v>4324</v>
      </c>
      <c r="AR2606" t="s">
        <v>179</v>
      </c>
      <c r="AS2606">
        <v>0</v>
      </c>
      <c r="AT2606">
        <v>0</v>
      </c>
    </row>
    <row r="2607" spans="1:46" x14ac:dyDescent="0.45">
      <c r="A2607" s="62" t="s">
        <v>977</v>
      </c>
      <c r="B2607" s="62" t="s">
        <v>242</v>
      </c>
      <c r="C2607" s="63"/>
      <c r="D2607" s="64"/>
      <c r="E2607" s="65"/>
      <c r="F2607" s="66"/>
      <c r="G2607" s="63"/>
      <c r="H2607" s="67"/>
      <c r="I2607" s="68"/>
      <c r="J2607" s="68"/>
      <c r="K2607" s="32"/>
      <c r="L2607" s="75"/>
      <c r="M2607" s="75"/>
      <c r="N2607" s="70"/>
      <c r="O2607" t="s">
        <v>1567</v>
      </c>
      <c r="P2607" s="76">
        <v>44959.218333333331</v>
      </c>
      <c r="Q2607" t="s">
        <v>2140</v>
      </c>
      <c r="V2607" s="77" t="str">
        <f>HYPERLINK("https://pbs.twimg.com/profile_images/1493262081688231939/4iszteGL_normal.jpg")</f>
        <v>https://pbs.twimg.com/profile_images/1493262081688231939/4iszteGL_normal.jpg</v>
      </c>
      <c r="W2607" s="76">
        <v>44959.218333333331</v>
      </c>
      <c r="X2607" s="80">
        <v>44959</v>
      </c>
      <c r="Y2607" s="78" t="s">
        <v>3261</v>
      </c>
      <c r="Z2607" s="77" t="str">
        <f>HYPERLINK("https://twitter.com/qam__yasharahla/status/1621014145863938048")</f>
        <v>https://twitter.com/qam__yasharahla/status/1621014145863938048</v>
      </c>
      <c r="AC2607" s="78" t="s">
        <v>4326</v>
      </c>
      <c r="AE2607" t="b">
        <v>0</v>
      </c>
      <c r="AF2607">
        <v>0</v>
      </c>
      <c r="AG2607" s="78" t="s">
        <v>4639</v>
      </c>
      <c r="AH2607" t="b">
        <v>0</v>
      </c>
      <c r="AI2607" t="s">
        <v>4829</v>
      </c>
      <c r="AK2607" s="78" t="s">
        <v>4640</v>
      </c>
      <c r="AL2607" t="b">
        <v>0</v>
      </c>
      <c r="AM2607">
        <v>0</v>
      </c>
      <c r="AN2607" s="78" t="s">
        <v>4640</v>
      </c>
      <c r="AO2607" s="78" t="s">
        <v>4849</v>
      </c>
      <c r="AP2607" t="b">
        <v>0</v>
      </c>
      <c r="AQ2607" s="78" t="s">
        <v>4326</v>
      </c>
      <c r="AR2607" t="s">
        <v>179</v>
      </c>
      <c r="AS2607">
        <v>0</v>
      </c>
      <c r="AT2607">
        <v>0</v>
      </c>
    </row>
    <row r="2608" spans="1:46" x14ac:dyDescent="0.45">
      <c r="A2608" s="62" t="s">
        <v>980</v>
      </c>
      <c r="B2608" s="62" t="s">
        <v>1474</v>
      </c>
      <c r="C2608" s="63"/>
      <c r="D2608" s="64"/>
      <c r="E2608" s="65"/>
      <c r="F2608" s="66"/>
      <c r="G2608" s="63"/>
      <c r="H2608" s="67"/>
      <c r="I2608" s="68"/>
      <c r="J2608" s="68"/>
      <c r="K2608" s="32"/>
      <c r="L2608" s="75"/>
      <c r="M2608" s="75"/>
      <c r="N2608" s="70"/>
      <c r="O2608" t="s">
        <v>1568</v>
      </c>
      <c r="P2608" s="76">
        <v>44959.232465277775</v>
      </c>
      <c r="Q2608" t="s">
        <v>2143</v>
      </c>
      <c r="V2608" s="77" t="str">
        <f>HYPERLINK("https://pbs.twimg.com/profile_images/1607599097548005378/HCWt7EZY_normal.jpg")</f>
        <v>https://pbs.twimg.com/profile_images/1607599097548005378/HCWt7EZY_normal.jpg</v>
      </c>
      <c r="W2608" s="76">
        <v>44959.232465277775</v>
      </c>
      <c r="X2608" s="80">
        <v>44959</v>
      </c>
      <c r="Y2608" s="78" t="s">
        <v>3264</v>
      </c>
      <c r="Z2608" s="77" t="str">
        <f>HYPERLINK("https://twitter.com/mikebarnica11/status/1621019268962820096")</f>
        <v>https://twitter.com/mikebarnica11/status/1621019268962820096</v>
      </c>
      <c r="AC2608" s="78" t="s">
        <v>4329</v>
      </c>
      <c r="AD2608" s="78" t="s">
        <v>4607</v>
      </c>
      <c r="AE2608" t="b">
        <v>0</v>
      </c>
      <c r="AF2608">
        <v>0</v>
      </c>
      <c r="AG2608" s="78" t="s">
        <v>4786</v>
      </c>
      <c r="AH2608" t="b">
        <v>0</v>
      </c>
      <c r="AI2608" t="s">
        <v>4829</v>
      </c>
      <c r="AK2608" s="78" t="s">
        <v>4640</v>
      </c>
      <c r="AL2608" t="b">
        <v>0</v>
      </c>
      <c r="AM2608">
        <v>0</v>
      </c>
      <c r="AN2608" s="78" t="s">
        <v>4640</v>
      </c>
      <c r="AO2608" s="78" t="s">
        <v>4849</v>
      </c>
      <c r="AP2608" t="b">
        <v>0</v>
      </c>
      <c r="AQ2608" s="78" t="s">
        <v>4607</v>
      </c>
      <c r="AR2608" t="s">
        <v>179</v>
      </c>
      <c r="AS2608">
        <v>0</v>
      </c>
      <c r="AT2608">
        <v>0</v>
      </c>
    </row>
    <row r="2609" spans="1:46" x14ac:dyDescent="0.45">
      <c r="A2609" s="62" t="s">
        <v>980</v>
      </c>
      <c r="B2609" s="62" t="s">
        <v>1475</v>
      </c>
      <c r="C2609" s="63"/>
      <c r="D2609" s="64"/>
      <c r="E2609" s="65"/>
      <c r="F2609" s="66"/>
      <c r="G2609" s="63"/>
      <c r="H2609" s="67"/>
      <c r="I2609" s="68"/>
      <c r="J2609" s="68"/>
      <c r="K2609" s="32"/>
      <c r="L2609" s="75"/>
      <c r="M2609" s="75"/>
      <c r="N2609" s="70"/>
      <c r="O2609" t="s">
        <v>1567</v>
      </c>
      <c r="P2609" s="76">
        <v>44959.232465277775</v>
      </c>
      <c r="Q2609" t="s">
        <v>2143</v>
      </c>
      <c r="V2609" s="77" t="str">
        <f>HYPERLINK("https://pbs.twimg.com/profile_images/1607599097548005378/HCWt7EZY_normal.jpg")</f>
        <v>https://pbs.twimg.com/profile_images/1607599097548005378/HCWt7EZY_normal.jpg</v>
      </c>
      <c r="W2609" s="76">
        <v>44959.232465277775</v>
      </c>
      <c r="X2609" s="80">
        <v>44959</v>
      </c>
      <c r="Y2609" s="78" t="s">
        <v>3264</v>
      </c>
      <c r="Z2609" s="77" t="str">
        <f>HYPERLINK("https://twitter.com/mikebarnica11/status/1621019268962820096")</f>
        <v>https://twitter.com/mikebarnica11/status/1621019268962820096</v>
      </c>
      <c r="AC2609" s="78" t="s">
        <v>4329</v>
      </c>
      <c r="AD2609" s="78" t="s">
        <v>4607</v>
      </c>
      <c r="AE2609" t="b">
        <v>0</v>
      </c>
      <c r="AF2609">
        <v>0</v>
      </c>
      <c r="AG2609" s="78" t="s">
        <v>4786</v>
      </c>
      <c r="AH2609" t="b">
        <v>0</v>
      </c>
      <c r="AI2609" t="s">
        <v>4829</v>
      </c>
      <c r="AK2609" s="78" t="s">
        <v>4640</v>
      </c>
      <c r="AL2609" t="b">
        <v>0</v>
      </c>
      <c r="AM2609">
        <v>0</v>
      </c>
      <c r="AN2609" s="78" t="s">
        <v>4640</v>
      </c>
      <c r="AO2609" s="78" t="s">
        <v>4849</v>
      </c>
      <c r="AP2609" t="b">
        <v>0</v>
      </c>
      <c r="AQ2609" s="78" t="s">
        <v>4607</v>
      </c>
      <c r="AR2609" t="s">
        <v>179</v>
      </c>
      <c r="AS2609">
        <v>0</v>
      </c>
      <c r="AT2609">
        <v>0</v>
      </c>
    </row>
    <row r="2610" spans="1:46" x14ac:dyDescent="0.45">
      <c r="A2610" s="62" t="s">
        <v>980</v>
      </c>
      <c r="B2610" s="62" t="s">
        <v>242</v>
      </c>
      <c r="C2610" s="63"/>
      <c r="D2610" s="64"/>
      <c r="E2610" s="65"/>
      <c r="F2610" s="66"/>
      <c r="G2610" s="63"/>
      <c r="H2610" s="67"/>
      <c r="I2610" s="68"/>
      <c r="J2610" s="68"/>
      <c r="K2610" s="32"/>
      <c r="L2610" s="75"/>
      <c r="M2610" s="75"/>
      <c r="N2610" s="70"/>
      <c r="O2610" t="s">
        <v>1568</v>
      </c>
      <c r="P2610" s="76">
        <v>44959.232465277775</v>
      </c>
      <c r="Q2610" t="s">
        <v>2143</v>
      </c>
      <c r="V2610" s="77" t="str">
        <f>HYPERLINK("https://pbs.twimg.com/profile_images/1607599097548005378/HCWt7EZY_normal.jpg")</f>
        <v>https://pbs.twimg.com/profile_images/1607599097548005378/HCWt7EZY_normal.jpg</v>
      </c>
      <c r="W2610" s="76">
        <v>44959.232465277775</v>
      </c>
      <c r="X2610" s="80">
        <v>44959</v>
      </c>
      <c r="Y2610" s="78" t="s">
        <v>3264</v>
      </c>
      <c r="Z2610" s="77" t="str">
        <f>HYPERLINK("https://twitter.com/mikebarnica11/status/1621019268962820096")</f>
        <v>https://twitter.com/mikebarnica11/status/1621019268962820096</v>
      </c>
      <c r="AC2610" s="78" t="s">
        <v>4329</v>
      </c>
      <c r="AD2610" s="78" t="s">
        <v>4607</v>
      </c>
      <c r="AE2610" t="b">
        <v>0</v>
      </c>
      <c r="AF2610">
        <v>0</v>
      </c>
      <c r="AG2610" s="78" t="s">
        <v>4786</v>
      </c>
      <c r="AH2610" t="b">
        <v>0</v>
      </c>
      <c r="AI2610" t="s">
        <v>4829</v>
      </c>
      <c r="AK2610" s="78" t="s">
        <v>4640</v>
      </c>
      <c r="AL2610" t="b">
        <v>0</v>
      </c>
      <c r="AM2610">
        <v>0</v>
      </c>
      <c r="AN2610" s="78" t="s">
        <v>4640</v>
      </c>
      <c r="AO2610" s="78" t="s">
        <v>4849</v>
      </c>
      <c r="AP2610" t="b">
        <v>0</v>
      </c>
      <c r="AQ2610" s="78" t="s">
        <v>4607</v>
      </c>
      <c r="AR2610" t="s">
        <v>179</v>
      </c>
      <c r="AS2610">
        <v>0</v>
      </c>
      <c r="AT2610">
        <v>0</v>
      </c>
    </row>
    <row r="2611" spans="1:46" x14ac:dyDescent="0.45">
      <c r="A2611" s="62" t="s">
        <v>982</v>
      </c>
      <c r="B2611" s="62" t="s">
        <v>981</v>
      </c>
      <c r="C2611" s="63"/>
      <c r="D2611" s="64"/>
      <c r="E2611" s="65"/>
      <c r="F2611" s="66"/>
      <c r="G2611" s="63"/>
      <c r="H2611" s="67"/>
      <c r="I2611" s="68"/>
      <c r="J2611" s="68"/>
      <c r="K2611" s="32"/>
      <c r="L2611" s="75"/>
      <c r="M2611" s="75"/>
      <c r="N2611" s="70"/>
      <c r="O2611" t="s">
        <v>1569</v>
      </c>
      <c r="P2611" s="76">
        <v>44959.232581018521</v>
      </c>
      <c r="Q2611" t="s">
        <v>2144</v>
      </c>
      <c r="V2611" s="77" t="str">
        <f>HYPERLINK("https://pbs.twimg.com/profile_images/780635239962054656/VAuc6Rdj_normal.jpg")</f>
        <v>https://pbs.twimg.com/profile_images/780635239962054656/VAuc6Rdj_normal.jpg</v>
      </c>
      <c r="W2611" s="76">
        <v>44959.232581018521</v>
      </c>
      <c r="X2611" s="80">
        <v>44959</v>
      </c>
      <c r="Y2611" s="78" t="s">
        <v>3266</v>
      </c>
      <c r="Z2611" s="77" t="str">
        <f>HYPERLINK("https://twitter.com/murjanian/status/1621019311673585664")</f>
        <v>https://twitter.com/murjanian/status/1621019311673585664</v>
      </c>
      <c r="AC2611" s="78" t="s">
        <v>4331</v>
      </c>
      <c r="AE2611" t="b">
        <v>0</v>
      </c>
      <c r="AF2611">
        <v>0</v>
      </c>
      <c r="AG2611" s="78" t="s">
        <v>4640</v>
      </c>
      <c r="AH2611" t="b">
        <v>0</v>
      </c>
      <c r="AI2611" t="s">
        <v>4829</v>
      </c>
      <c r="AK2611" s="78" t="s">
        <v>4640</v>
      </c>
      <c r="AL2611" t="b">
        <v>0</v>
      </c>
      <c r="AM2611">
        <v>153</v>
      </c>
      <c r="AN2611" s="78" t="s">
        <v>4330</v>
      </c>
      <c r="AO2611" s="78" t="s">
        <v>4849</v>
      </c>
      <c r="AP2611" t="b">
        <v>0</v>
      </c>
      <c r="AQ2611" s="78" t="s">
        <v>4330</v>
      </c>
      <c r="AR2611" t="s">
        <v>179</v>
      </c>
      <c r="AS2611">
        <v>0</v>
      </c>
      <c r="AT2611">
        <v>0</v>
      </c>
    </row>
    <row r="2612" spans="1:46" x14ac:dyDescent="0.45">
      <c r="A2612" s="62" t="s">
        <v>982</v>
      </c>
      <c r="B2612" s="62" t="s">
        <v>242</v>
      </c>
      <c r="C2612" s="63"/>
      <c r="D2612" s="64"/>
      <c r="E2612" s="65"/>
      <c r="F2612" s="66"/>
      <c r="G2612" s="63"/>
      <c r="H2612" s="67"/>
      <c r="I2612" s="68"/>
      <c r="J2612" s="68"/>
      <c r="K2612" s="32"/>
      <c r="L2612" s="75"/>
      <c r="M2612" s="75"/>
      <c r="N2612" s="70"/>
      <c r="O2612" t="s">
        <v>1570</v>
      </c>
      <c r="P2612" s="76">
        <v>44959.232581018521</v>
      </c>
      <c r="Q2612" t="s">
        <v>2144</v>
      </c>
      <c r="V2612" s="77" t="str">
        <f>HYPERLINK("https://pbs.twimg.com/profile_images/780635239962054656/VAuc6Rdj_normal.jpg")</f>
        <v>https://pbs.twimg.com/profile_images/780635239962054656/VAuc6Rdj_normal.jpg</v>
      </c>
      <c r="W2612" s="76">
        <v>44959.232581018521</v>
      </c>
      <c r="X2612" s="80">
        <v>44959</v>
      </c>
      <c r="Y2612" s="78" t="s">
        <v>3266</v>
      </c>
      <c r="Z2612" s="77" t="str">
        <f>HYPERLINK("https://twitter.com/murjanian/status/1621019311673585664")</f>
        <v>https://twitter.com/murjanian/status/1621019311673585664</v>
      </c>
      <c r="AC2612" s="78" t="s">
        <v>4331</v>
      </c>
      <c r="AE2612" t="b">
        <v>0</v>
      </c>
      <c r="AF2612">
        <v>0</v>
      </c>
      <c r="AG2612" s="78" t="s">
        <v>4640</v>
      </c>
      <c r="AH2612" t="b">
        <v>0</v>
      </c>
      <c r="AI2612" t="s">
        <v>4829</v>
      </c>
      <c r="AK2612" s="78" t="s">
        <v>4640</v>
      </c>
      <c r="AL2612" t="b">
        <v>0</v>
      </c>
      <c r="AM2612">
        <v>153</v>
      </c>
      <c r="AN2612" s="78" t="s">
        <v>4330</v>
      </c>
      <c r="AO2612" s="78" t="s">
        <v>4849</v>
      </c>
      <c r="AP2612" t="b">
        <v>0</v>
      </c>
      <c r="AQ2612" s="78" t="s">
        <v>4330</v>
      </c>
      <c r="AR2612" t="s">
        <v>179</v>
      </c>
      <c r="AS2612">
        <v>0</v>
      </c>
      <c r="AT2612">
        <v>0</v>
      </c>
    </row>
    <row r="2613" spans="1:46" x14ac:dyDescent="0.45">
      <c r="A2613" s="62" t="s">
        <v>982</v>
      </c>
      <c r="B2613" s="62" t="s">
        <v>1181</v>
      </c>
      <c r="C2613" s="63"/>
      <c r="D2613" s="64"/>
      <c r="E2613" s="65"/>
      <c r="F2613" s="66"/>
      <c r="G2613" s="63"/>
      <c r="H2613" s="67"/>
      <c r="I2613" s="68"/>
      <c r="J2613" s="68"/>
      <c r="K2613" s="32"/>
      <c r="L2613" s="75"/>
      <c r="M2613" s="75"/>
      <c r="N2613" s="70"/>
      <c r="O2613" t="s">
        <v>1570</v>
      </c>
      <c r="P2613" s="76">
        <v>44959.232581018521</v>
      </c>
      <c r="Q2613" t="s">
        <v>2144</v>
      </c>
      <c r="V2613" s="77" t="str">
        <f>HYPERLINK("https://pbs.twimg.com/profile_images/780635239962054656/VAuc6Rdj_normal.jpg")</f>
        <v>https://pbs.twimg.com/profile_images/780635239962054656/VAuc6Rdj_normal.jpg</v>
      </c>
      <c r="W2613" s="76">
        <v>44959.232581018521</v>
      </c>
      <c r="X2613" s="80">
        <v>44959</v>
      </c>
      <c r="Y2613" s="78" t="s">
        <v>3266</v>
      </c>
      <c r="Z2613" s="77" t="str">
        <f>HYPERLINK("https://twitter.com/murjanian/status/1621019311673585664")</f>
        <v>https://twitter.com/murjanian/status/1621019311673585664</v>
      </c>
      <c r="AC2613" s="78" t="s">
        <v>4331</v>
      </c>
      <c r="AE2613" t="b">
        <v>0</v>
      </c>
      <c r="AF2613">
        <v>0</v>
      </c>
      <c r="AG2613" s="78" t="s">
        <v>4640</v>
      </c>
      <c r="AH2613" t="b">
        <v>0</v>
      </c>
      <c r="AI2613" t="s">
        <v>4829</v>
      </c>
      <c r="AK2613" s="78" t="s">
        <v>4640</v>
      </c>
      <c r="AL2613" t="b">
        <v>0</v>
      </c>
      <c r="AM2613">
        <v>153</v>
      </c>
      <c r="AN2613" s="78" t="s">
        <v>4330</v>
      </c>
      <c r="AO2613" s="78" t="s">
        <v>4849</v>
      </c>
      <c r="AP2613" t="b">
        <v>0</v>
      </c>
      <c r="AQ2613" s="78" t="s">
        <v>4330</v>
      </c>
      <c r="AR2613" t="s">
        <v>179</v>
      </c>
      <c r="AS2613">
        <v>0</v>
      </c>
      <c r="AT2613">
        <v>0</v>
      </c>
    </row>
    <row r="2614" spans="1:46" x14ac:dyDescent="0.45">
      <c r="A2614" s="62" t="s">
        <v>984</v>
      </c>
      <c r="B2614" s="62" t="s">
        <v>1230</v>
      </c>
      <c r="C2614" s="63"/>
      <c r="D2614" s="64"/>
      <c r="E2614" s="65"/>
      <c r="F2614" s="66"/>
      <c r="G2614" s="63"/>
      <c r="H2614" s="67"/>
      <c r="I2614" s="68"/>
      <c r="J2614" s="68"/>
      <c r="K2614" s="32"/>
      <c r="L2614" s="75"/>
      <c r="M2614" s="75"/>
      <c r="N2614" s="70"/>
      <c r="O2614" t="s">
        <v>1570</v>
      </c>
      <c r="P2614" s="76">
        <v>44959.239212962966</v>
      </c>
      <c r="Q2614" t="s">
        <v>1693</v>
      </c>
      <c r="V2614" s="77" t="str">
        <f>HYPERLINK("https://pbs.twimg.com/profile_images/1617738487083716608/hLk4Pzlc_normal.jpg")</f>
        <v>https://pbs.twimg.com/profile_images/1617738487083716608/hLk4Pzlc_normal.jpg</v>
      </c>
      <c r="W2614" s="76">
        <v>44959.239212962966</v>
      </c>
      <c r="X2614" s="80">
        <v>44959</v>
      </c>
      <c r="Y2614" s="78" t="s">
        <v>3268</v>
      </c>
      <c r="Z2614" s="77" t="str">
        <f>HYPERLINK("https://twitter.com/realshawncyrus/status/1621021715609387008")</f>
        <v>https://twitter.com/realshawncyrus/status/1621021715609387008</v>
      </c>
      <c r="AC2614" s="78" t="s">
        <v>4333</v>
      </c>
      <c r="AE2614" t="b">
        <v>0</v>
      </c>
      <c r="AF2614">
        <v>0</v>
      </c>
      <c r="AG2614" s="78" t="s">
        <v>4640</v>
      </c>
      <c r="AH2614" t="b">
        <v>0</v>
      </c>
      <c r="AI2614" t="s">
        <v>4829</v>
      </c>
      <c r="AK2614" s="78" t="s">
        <v>4640</v>
      </c>
      <c r="AL2614" t="b">
        <v>0</v>
      </c>
      <c r="AM2614">
        <v>162</v>
      </c>
      <c r="AN2614" s="78" t="s">
        <v>4473</v>
      </c>
      <c r="AO2614" s="78" t="s">
        <v>4849</v>
      </c>
      <c r="AP2614" t="b">
        <v>0</v>
      </c>
      <c r="AQ2614" s="78" t="s">
        <v>4473</v>
      </c>
      <c r="AR2614" t="s">
        <v>179</v>
      </c>
      <c r="AS2614">
        <v>0</v>
      </c>
      <c r="AT2614">
        <v>0</v>
      </c>
    </row>
    <row r="2615" spans="1:46" x14ac:dyDescent="0.45">
      <c r="A2615" s="62" t="s">
        <v>984</v>
      </c>
      <c r="B2615" s="62" t="s">
        <v>242</v>
      </c>
      <c r="C2615" s="63"/>
      <c r="D2615" s="64"/>
      <c r="E2615" s="65"/>
      <c r="F2615" s="66"/>
      <c r="G2615" s="63"/>
      <c r="H2615" s="67"/>
      <c r="I2615" s="68"/>
      <c r="J2615" s="68"/>
      <c r="K2615" s="32"/>
      <c r="L2615" s="75"/>
      <c r="M2615" s="75"/>
      <c r="N2615" s="70"/>
      <c r="O2615" t="s">
        <v>1569</v>
      </c>
      <c r="P2615" s="76">
        <v>44959.239212962966</v>
      </c>
      <c r="Q2615" t="s">
        <v>1693</v>
      </c>
      <c r="V2615" s="77" t="str">
        <f>HYPERLINK("https://pbs.twimg.com/profile_images/1617738487083716608/hLk4Pzlc_normal.jpg")</f>
        <v>https://pbs.twimg.com/profile_images/1617738487083716608/hLk4Pzlc_normal.jpg</v>
      </c>
      <c r="W2615" s="76">
        <v>44959.239212962966</v>
      </c>
      <c r="X2615" s="80">
        <v>44959</v>
      </c>
      <c r="Y2615" s="78" t="s">
        <v>3268</v>
      </c>
      <c r="Z2615" s="77" t="str">
        <f>HYPERLINK("https://twitter.com/realshawncyrus/status/1621021715609387008")</f>
        <v>https://twitter.com/realshawncyrus/status/1621021715609387008</v>
      </c>
      <c r="AC2615" s="78" t="s">
        <v>4333</v>
      </c>
      <c r="AE2615" t="b">
        <v>0</v>
      </c>
      <c r="AF2615">
        <v>0</v>
      </c>
      <c r="AG2615" s="78" t="s">
        <v>4640</v>
      </c>
      <c r="AH2615" t="b">
        <v>0</v>
      </c>
      <c r="AI2615" t="s">
        <v>4829</v>
      </c>
      <c r="AK2615" s="78" t="s">
        <v>4640</v>
      </c>
      <c r="AL2615" t="b">
        <v>0</v>
      </c>
      <c r="AM2615">
        <v>162</v>
      </c>
      <c r="AN2615" s="78" t="s">
        <v>4473</v>
      </c>
      <c r="AO2615" s="78" t="s">
        <v>4849</v>
      </c>
      <c r="AP2615" t="b">
        <v>0</v>
      </c>
      <c r="AQ2615" s="78" t="s">
        <v>4473</v>
      </c>
      <c r="AR2615" t="s">
        <v>179</v>
      </c>
      <c r="AS2615">
        <v>0</v>
      </c>
      <c r="AT2615">
        <v>0</v>
      </c>
    </row>
    <row r="2616" spans="1:46" x14ac:dyDescent="0.45">
      <c r="A2616" s="62" t="s">
        <v>986</v>
      </c>
      <c r="B2616" s="62" t="s">
        <v>242</v>
      </c>
      <c r="C2616" s="63"/>
      <c r="D2616" s="64"/>
      <c r="E2616" s="65"/>
      <c r="F2616" s="66"/>
      <c r="G2616" s="63"/>
      <c r="H2616" s="67"/>
      <c r="I2616" s="68"/>
      <c r="J2616" s="68"/>
      <c r="K2616" s="32"/>
      <c r="L2616" s="75"/>
      <c r="M2616" s="75"/>
      <c r="N2616" s="70"/>
      <c r="O2616" t="s">
        <v>1568</v>
      </c>
      <c r="P2616" s="76">
        <v>44959.243969907409</v>
      </c>
      <c r="Q2616" t="s">
        <v>2146</v>
      </c>
      <c r="V2616" s="77" t="str">
        <f>HYPERLINK("https://pbs.twimg.com/profile_images/1183839132692303873/sq6QxihQ_normal.jpg")</f>
        <v>https://pbs.twimg.com/profile_images/1183839132692303873/sq6QxihQ_normal.jpg</v>
      </c>
      <c r="W2616" s="76">
        <v>44959.243969907409</v>
      </c>
      <c r="X2616" s="80">
        <v>44959</v>
      </c>
      <c r="Y2616" s="78" t="s">
        <v>3270</v>
      </c>
      <c r="Z2616" s="77" t="str">
        <f>HYPERLINK("https://twitter.com/arock52/status/1621023438201815040")</f>
        <v>https://twitter.com/arock52/status/1621023438201815040</v>
      </c>
      <c r="AC2616" s="78" t="s">
        <v>4335</v>
      </c>
      <c r="AE2616" t="b">
        <v>0</v>
      </c>
      <c r="AF2616">
        <v>0</v>
      </c>
      <c r="AG2616" s="78" t="s">
        <v>4640</v>
      </c>
      <c r="AH2616" t="b">
        <v>0</v>
      </c>
      <c r="AI2616" t="s">
        <v>4829</v>
      </c>
      <c r="AK2616" s="78" t="s">
        <v>4640</v>
      </c>
      <c r="AL2616" t="b">
        <v>0</v>
      </c>
      <c r="AM2616">
        <v>0</v>
      </c>
      <c r="AN2616" s="78" t="s">
        <v>4640</v>
      </c>
      <c r="AO2616" s="78" t="s">
        <v>4849</v>
      </c>
      <c r="AP2616" t="b">
        <v>0</v>
      </c>
      <c r="AQ2616" s="78" t="s">
        <v>4335</v>
      </c>
      <c r="AR2616" t="s">
        <v>179</v>
      </c>
      <c r="AS2616">
        <v>0</v>
      </c>
      <c r="AT2616">
        <v>0</v>
      </c>
    </row>
    <row r="2617" spans="1:46" x14ac:dyDescent="0.45">
      <c r="A2617" s="62" t="s">
        <v>988</v>
      </c>
      <c r="B2617" s="62" t="s">
        <v>242</v>
      </c>
      <c r="C2617" s="63"/>
      <c r="D2617" s="64"/>
      <c r="E2617" s="65"/>
      <c r="F2617" s="66"/>
      <c r="G2617" s="63"/>
      <c r="H2617" s="67"/>
      <c r="I2617" s="68"/>
      <c r="J2617" s="68"/>
      <c r="K2617" s="32"/>
      <c r="L2617" s="75"/>
      <c r="M2617" s="75"/>
      <c r="N2617" s="70"/>
      <c r="O2617" t="s">
        <v>1569</v>
      </c>
      <c r="P2617" s="76">
        <v>44959.257870370369</v>
      </c>
      <c r="Q2617" t="s">
        <v>2148</v>
      </c>
      <c r="V2617" s="77" t="str">
        <f>HYPERLINK("https://pbs.twimg.com/profile_images/1557114625677615104/a6thHUIE_normal.jpg")</f>
        <v>https://pbs.twimg.com/profile_images/1557114625677615104/a6thHUIE_normal.jpg</v>
      </c>
      <c r="W2617" s="76">
        <v>44959.257870370369</v>
      </c>
      <c r="X2617" s="80">
        <v>44959</v>
      </c>
      <c r="Y2617" s="78" t="s">
        <v>3273</v>
      </c>
      <c r="Z2617" s="77" t="str">
        <f>HYPERLINK("https://twitter.com/rlplnpeaceee/status/1621028475313479680")</f>
        <v>https://twitter.com/rlplnpeaceee/status/1621028475313479680</v>
      </c>
      <c r="AC2617" s="78" t="s">
        <v>4338</v>
      </c>
      <c r="AE2617" t="b">
        <v>0</v>
      </c>
      <c r="AF2617">
        <v>0</v>
      </c>
      <c r="AG2617" s="78" t="s">
        <v>4640</v>
      </c>
      <c r="AH2617" t="b">
        <v>0</v>
      </c>
      <c r="AI2617" t="s">
        <v>4829</v>
      </c>
      <c r="AK2617" s="78" t="s">
        <v>4640</v>
      </c>
      <c r="AL2617" t="b">
        <v>0</v>
      </c>
      <c r="AM2617">
        <v>1</v>
      </c>
      <c r="AN2617" s="78" t="s">
        <v>4337</v>
      </c>
      <c r="AO2617" s="78" t="s">
        <v>4849</v>
      </c>
      <c r="AP2617" t="b">
        <v>0</v>
      </c>
      <c r="AQ2617" s="78" t="s">
        <v>4337</v>
      </c>
      <c r="AR2617" t="s">
        <v>179</v>
      </c>
      <c r="AS2617">
        <v>0</v>
      </c>
      <c r="AT2617">
        <v>0</v>
      </c>
    </row>
    <row r="2618" spans="1:46" x14ac:dyDescent="0.45">
      <c r="A2618" s="62" t="s">
        <v>991</v>
      </c>
      <c r="B2618" s="62" t="s">
        <v>990</v>
      </c>
      <c r="C2618" s="63"/>
      <c r="D2618" s="64"/>
      <c r="E2618" s="65"/>
      <c r="F2618" s="66"/>
      <c r="G2618" s="63"/>
      <c r="H2618" s="67"/>
      <c r="I2618" s="68"/>
      <c r="J2618" s="68"/>
      <c r="K2618" s="32"/>
      <c r="L2618" s="75"/>
      <c r="M2618" s="75"/>
      <c r="N2618" s="70"/>
      <c r="O2618" t="s">
        <v>1567</v>
      </c>
      <c r="P2618" s="76">
        <v>44959.262152777781</v>
      </c>
      <c r="Q2618" t="s">
        <v>2151</v>
      </c>
      <c r="V2618" s="77" t="str">
        <f>HYPERLINK("https://pbs.twimg.com/profile_images/1619227701448933376/YzcGW2wH_normal.jpg")</f>
        <v>https://pbs.twimg.com/profile_images/1619227701448933376/YzcGW2wH_normal.jpg</v>
      </c>
      <c r="W2618" s="76">
        <v>44959.262152777781</v>
      </c>
      <c r="X2618" s="80">
        <v>44959</v>
      </c>
      <c r="Y2618" s="78" t="s">
        <v>3276</v>
      </c>
      <c r="Z2618" s="77" t="str">
        <f>HYPERLINK("https://twitter.com/kxvelz/status/1621030026589134848")</f>
        <v>https://twitter.com/kxvelz/status/1621030026589134848</v>
      </c>
      <c r="AC2618" s="78" t="s">
        <v>4341</v>
      </c>
      <c r="AD2618" s="78" t="s">
        <v>4340</v>
      </c>
      <c r="AE2618" t="b">
        <v>0</v>
      </c>
      <c r="AF2618">
        <v>0</v>
      </c>
      <c r="AG2618" s="78" t="s">
        <v>4790</v>
      </c>
      <c r="AH2618" t="b">
        <v>0</v>
      </c>
      <c r="AI2618" t="s">
        <v>4829</v>
      </c>
      <c r="AK2618" s="78" t="s">
        <v>4640</v>
      </c>
      <c r="AL2618" t="b">
        <v>0</v>
      </c>
      <c r="AM2618">
        <v>0</v>
      </c>
      <c r="AN2618" s="78" t="s">
        <v>4640</v>
      </c>
      <c r="AO2618" s="78" t="s">
        <v>4849</v>
      </c>
      <c r="AP2618" t="b">
        <v>0</v>
      </c>
      <c r="AQ2618" s="78" t="s">
        <v>4340</v>
      </c>
      <c r="AR2618" t="s">
        <v>179</v>
      </c>
      <c r="AS2618">
        <v>0</v>
      </c>
      <c r="AT2618">
        <v>0</v>
      </c>
    </row>
    <row r="2619" spans="1:46" x14ac:dyDescent="0.45">
      <c r="A2619" s="62" t="s">
        <v>991</v>
      </c>
      <c r="B2619" s="62" t="s">
        <v>242</v>
      </c>
      <c r="C2619" s="63"/>
      <c r="D2619" s="64"/>
      <c r="E2619" s="65"/>
      <c r="F2619" s="66"/>
      <c r="G2619" s="63"/>
      <c r="H2619" s="67"/>
      <c r="I2619" s="68"/>
      <c r="J2619" s="68"/>
      <c r="K2619" s="32"/>
      <c r="L2619" s="75"/>
      <c r="M2619" s="75"/>
      <c r="N2619" s="70"/>
      <c r="O2619" t="s">
        <v>1568</v>
      </c>
      <c r="P2619" s="76">
        <v>44959.262152777781</v>
      </c>
      <c r="Q2619" t="s">
        <v>2151</v>
      </c>
      <c r="V2619" s="77" t="str">
        <f>HYPERLINK("https://pbs.twimg.com/profile_images/1619227701448933376/YzcGW2wH_normal.jpg")</f>
        <v>https://pbs.twimg.com/profile_images/1619227701448933376/YzcGW2wH_normal.jpg</v>
      </c>
      <c r="W2619" s="76">
        <v>44959.262152777781</v>
      </c>
      <c r="X2619" s="80">
        <v>44959</v>
      </c>
      <c r="Y2619" s="78" t="s">
        <v>3276</v>
      </c>
      <c r="Z2619" s="77" t="str">
        <f>HYPERLINK("https://twitter.com/kxvelz/status/1621030026589134848")</f>
        <v>https://twitter.com/kxvelz/status/1621030026589134848</v>
      </c>
      <c r="AC2619" s="78" t="s">
        <v>4341</v>
      </c>
      <c r="AD2619" s="78" t="s">
        <v>4340</v>
      </c>
      <c r="AE2619" t="b">
        <v>0</v>
      </c>
      <c r="AF2619">
        <v>0</v>
      </c>
      <c r="AG2619" s="78" t="s">
        <v>4790</v>
      </c>
      <c r="AH2619" t="b">
        <v>0</v>
      </c>
      <c r="AI2619" t="s">
        <v>4829</v>
      </c>
      <c r="AK2619" s="78" t="s">
        <v>4640</v>
      </c>
      <c r="AL2619" t="b">
        <v>0</v>
      </c>
      <c r="AM2619">
        <v>0</v>
      </c>
      <c r="AN2619" s="78" t="s">
        <v>4640</v>
      </c>
      <c r="AO2619" s="78" t="s">
        <v>4849</v>
      </c>
      <c r="AP2619" t="b">
        <v>0</v>
      </c>
      <c r="AQ2619" s="78" t="s">
        <v>4340</v>
      </c>
      <c r="AR2619" t="s">
        <v>179</v>
      </c>
      <c r="AS2619">
        <v>0</v>
      </c>
      <c r="AT2619">
        <v>0</v>
      </c>
    </row>
    <row r="2620" spans="1:46" x14ac:dyDescent="0.45">
      <c r="A2620" s="62" t="s">
        <v>992</v>
      </c>
      <c r="B2620" s="62" t="s">
        <v>242</v>
      </c>
      <c r="C2620" s="63"/>
      <c r="D2620" s="64"/>
      <c r="E2620" s="65"/>
      <c r="F2620" s="66"/>
      <c r="G2620" s="63"/>
      <c r="H2620" s="67"/>
      <c r="I2620" s="68"/>
      <c r="J2620" s="68"/>
      <c r="K2620" s="32"/>
      <c r="L2620" s="75"/>
      <c r="M2620" s="75"/>
      <c r="N2620" s="70"/>
      <c r="O2620" t="s">
        <v>1570</v>
      </c>
      <c r="P2620" s="76">
        <v>44958.742372685185</v>
      </c>
      <c r="Q2620" t="s">
        <v>1597</v>
      </c>
      <c r="U2620" s="77" t="str">
        <f>HYPERLINK("https://pbs.twimg.com/media/Fn21cCpaEAIoT8g.jpg")</f>
        <v>https://pbs.twimg.com/media/Fn21cCpaEAIoT8g.jpg</v>
      </c>
      <c r="V2620" s="77" t="str">
        <f>HYPERLINK("https://pbs.twimg.com/media/Fn21cCpaEAIoT8g.jpg")</f>
        <v>https://pbs.twimg.com/media/Fn21cCpaEAIoT8g.jpg</v>
      </c>
      <c r="W2620" s="76">
        <v>44958.742372685185</v>
      </c>
      <c r="X2620" s="80">
        <v>44958</v>
      </c>
      <c r="Y2620" s="78" t="s">
        <v>3278</v>
      </c>
      <c r="Z2620" s="77" t="str">
        <f>HYPERLINK("https://twitter.com/valhallabckgirl/status/1620841665966796802")</f>
        <v>https://twitter.com/valhallabckgirl/status/1620841665966796802</v>
      </c>
      <c r="AC2620" s="78" t="s">
        <v>4343</v>
      </c>
      <c r="AE2620" t="b">
        <v>0</v>
      </c>
      <c r="AF2620">
        <v>0</v>
      </c>
      <c r="AG2620" s="78" t="s">
        <v>4640</v>
      </c>
      <c r="AH2620" t="b">
        <v>0</v>
      </c>
      <c r="AI2620" t="s">
        <v>4829</v>
      </c>
      <c r="AK2620" s="78" t="s">
        <v>4640</v>
      </c>
      <c r="AL2620" t="b">
        <v>0</v>
      </c>
      <c r="AM2620">
        <v>13</v>
      </c>
      <c r="AN2620" s="78" t="s">
        <v>4342</v>
      </c>
      <c r="AO2620" s="78" t="s">
        <v>4849</v>
      </c>
      <c r="AP2620" t="b">
        <v>0</v>
      </c>
      <c r="AQ2620" s="78" t="s">
        <v>4342</v>
      </c>
      <c r="AR2620" t="s">
        <v>179</v>
      </c>
      <c r="AS2620">
        <v>0</v>
      </c>
      <c r="AT2620">
        <v>0</v>
      </c>
    </row>
    <row r="2621" spans="1:46" x14ac:dyDescent="0.45">
      <c r="A2621" s="62" t="s">
        <v>992</v>
      </c>
      <c r="B2621" s="62" t="s">
        <v>992</v>
      </c>
      <c r="C2621" s="63"/>
      <c r="D2621" s="64"/>
      <c r="E2621" s="65"/>
      <c r="F2621" s="66"/>
      <c r="G2621" s="63"/>
      <c r="H2621" s="67"/>
      <c r="I2621" s="68"/>
      <c r="J2621" s="68"/>
      <c r="K2621" s="32"/>
      <c r="L2621" s="75"/>
      <c r="M2621" s="75"/>
      <c r="N2621" s="70"/>
      <c r="O2621" t="s">
        <v>1569</v>
      </c>
      <c r="P2621" s="76">
        <v>44958.742372685185</v>
      </c>
      <c r="Q2621" t="s">
        <v>1597</v>
      </c>
      <c r="U2621" s="77" t="str">
        <f>HYPERLINK("https://pbs.twimg.com/media/Fn21cCpaEAIoT8g.jpg")</f>
        <v>https://pbs.twimg.com/media/Fn21cCpaEAIoT8g.jpg</v>
      </c>
      <c r="V2621" s="77" t="str">
        <f>HYPERLINK("https://pbs.twimg.com/media/Fn21cCpaEAIoT8g.jpg")</f>
        <v>https://pbs.twimg.com/media/Fn21cCpaEAIoT8g.jpg</v>
      </c>
      <c r="W2621" s="76">
        <v>44958.742372685185</v>
      </c>
      <c r="X2621" s="80">
        <v>44958</v>
      </c>
      <c r="Y2621" s="78" t="s">
        <v>3278</v>
      </c>
      <c r="Z2621" s="77" t="str">
        <f>HYPERLINK("https://twitter.com/valhallabckgirl/status/1620841665966796802")</f>
        <v>https://twitter.com/valhallabckgirl/status/1620841665966796802</v>
      </c>
      <c r="AC2621" s="78" t="s">
        <v>4343</v>
      </c>
      <c r="AE2621" t="b">
        <v>0</v>
      </c>
      <c r="AF2621">
        <v>0</v>
      </c>
      <c r="AG2621" s="78" t="s">
        <v>4640</v>
      </c>
      <c r="AH2621" t="b">
        <v>0</v>
      </c>
      <c r="AI2621" t="s">
        <v>4829</v>
      </c>
      <c r="AK2621" s="78" t="s">
        <v>4640</v>
      </c>
      <c r="AL2621" t="b">
        <v>0</v>
      </c>
      <c r="AM2621">
        <v>13</v>
      </c>
      <c r="AN2621" s="78" t="s">
        <v>4342</v>
      </c>
      <c r="AO2621" s="78" t="s">
        <v>4849</v>
      </c>
      <c r="AP2621" t="b">
        <v>0</v>
      </c>
      <c r="AQ2621" s="78" t="s">
        <v>4342</v>
      </c>
      <c r="AR2621" t="s">
        <v>179</v>
      </c>
      <c r="AS2621">
        <v>0</v>
      </c>
      <c r="AT2621">
        <v>0</v>
      </c>
    </row>
    <row r="2622" spans="1:46" x14ac:dyDescent="0.45">
      <c r="A2622" s="62" t="s">
        <v>993</v>
      </c>
      <c r="B2622" s="62" t="s">
        <v>992</v>
      </c>
      <c r="C2622" s="63"/>
      <c r="D2622" s="64"/>
      <c r="E2622" s="65"/>
      <c r="F2622" s="66"/>
      <c r="G2622" s="63"/>
      <c r="H2622" s="67"/>
      <c r="I2622" s="68"/>
      <c r="J2622" s="68"/>
      <c r="K2622" s="32"/>
      <c r="L2622" s="75"/>
      <c r="M2622" s="75"/>
      <c r="N2622" s="70"/>
      <c r="O2622" t="s">
        <v>1569</v>
      </c>
      <c r="P2622" s="76">
        <v>44959.265740740739</v>
      </c>
      <c r="Q2622" t="s">
        <v>1597</v>
      </c>
      <c r="U2622" s="77" t="str">
        <f>HYPERLINK("https://pbs.twimg.com/media/Fn21cCpaEAIoT8g.jpg")</f>
        <v>https://pbs.twimg.com/media/Fn21cCpaEAIoT8g.jpg</v>
      </c>
      <c r="V2622" s="77" t="str">
        <f>HYPERLINK("https://pbs.twimg.com/media/Fn21cCpaEAIoT8g.jpg")</f>
        <v>https://pbs.twimg.com/media/Fn21cCpaEAIoT8g.jpg</v>
      </c>
      <c r="W2622" s="76">
        <v>44959.265740740739</v>
      </c>
      <c r="X2622" s="80">
        <v>44959</v>
      </c>
      <c r="Y2622" s="78" t="s">
        <v>3279</v>
      </c>
      <c r="Z2622" s="77" t="str">
        <f>HYPERLINK("https://twitter.com/michael_napkins/status/1621031326001557505")</f>
        <v>https://twitter.com/michael_napkins/status/1621031326001557505</v>
      </c>
      <c r="AC2622" s="78" t="s">
        <v>4344</v>
      </c>
      <c r="AE2622" t="b">
        <v>0</v>
      </c>
      <c r="AF2622">
        <v>0</v>
      </c>
      <c r="AG2622" s="78" t="s">
        <v>4640</v>
      </c>
      <c r="AH2622" t="b">
        <v>0</v>
      </c>
      <c r="AI2622" t="s">
        <v>4829</v>
      </c>
      <c r="AK2622" s="78" t="s">
        <v>4640</v>
      </c>
      <c r="AL2622" t="b">
        <v>0</v>
      </c>
      <c r="AM2622">
        <v>13</v>
      </c>
      <c r="AN2622" s="78" t="s">
        <v>4342</v>
      </c>
      <c r="AO2622" s="78" t="s">
        <v>4850</v>
      </c>
      <c r="AP2622" t="b">
        <v>0</v>
      </c>
      <c r="AQ2622" s="78" t="s">
        <v>4342</v>
      </c>
      <c r="AR2622" t="s">
        <v>179</v>
      </c>
      <c r="AS2622">
        <v>0</v>
      </c>
      <c r="AT2622">
        <v>0</v>
      </c>
    </row>
    <row r="2623" spans="1:46" x14ac:dyDescent="0.45">
      <c r="A2623" s="62" t="s">
        <v>993</v>
      </c>
      <c r="B2623" s="62" t="s">
        <v>242</v>
      </c>
      <c r="C2623" s="63"/>
      <c r="D2623" s="64"/>
      <c r="E2623" s="65"/>
      <c r="F2623" s="66"/>
      <c r="G2623" s="63"/>
      <c r="H2623" s="67"/>
      <c r="I2623" s="68"/>
      <c r="J2623" s="68"/>
      <c r="K2623" s="32"/>
      <c r="L2623" s="75"/>
      <c r="M2623" s="75"/>
      <c r="N2623" s="70"/>
      <c r="O2623" t="s">
        <v>1570</v>
      </c>
      <c r="P2623" s="76">
        <v>44959.265740740739</v>
      </c>
      <c r="Q2623" t="s">
        <v>1597</v>
      </c>
      <c r="U2623" s="77" t="str">
        <f>HYPERLINK("https://pbs.twimg.com/media/Fn21cCpaEAIoT8g.jpg")</f>
        <v>https://pbs.twimg.com/media/Fn21cCpaEAIoT8g.jpg</v>
      </c>
      <c r="V2623" s="77" t="str">
        <f>HYPERLINK("https://pbs.twimg.com/media/Fn21cCpaEAIoT8g.jpg")</f>
        <v>https://pbs.twimg.com/media/Fn21cCpaEAIoT8g.jpg</v>
      </c>
      <c r="W2623" s="76">
        <v>44959.265740740739</v>
      </c>
      <c r="X2623" s="80">
        <v>44959</v>
      </c>
      <c r="Y2623" s="78" t="s">
        <v>3279</v>
      </c>
      <c r="Z2623" s="77" t="str">
        <f>HYPERLINK("https://twitter.com/michael_napkins/status/1621031326001557505")</f>
        <v>https://twitter.com/michael_napkins/status/1621031326001557505</v>
      </c>
      <c r="AC2623" s="78" t="s">
        <v>4344</v>
      </c>
      <c r="AE2623" t="b">
        <v>0</v>
      </c>
      <c r="AF2623">
        <v>0</v>
      </c>
      <c r="AG2623" s="78" t="s">
        <v>4640</v>
      </c>
      <c r="AH2623" t="b">
        <v>0</v>
      </c>
      <c r="AI2623" t="s">
        <v>4829</v>
      </c>
      <c r="AK2623" s="78" t="s">
        <v>4640</v>
      </c>
      <c r="AL2623" t="b">
        <v>0</v>
      </c>
      <c r="AM2623">
        <v>13</v>
      </c>
      <c r="AN2623" s="78" t="s">
        <v>4342</v>
      </c>
      <c r="AO2623" s="78" t="s">
        <v>4850</v>
      </c>
      <c r="AP2623" t="b">
        <v>0</v>
      </c>
      <c r="AQ2623" s="78" t="s">
        <v>4342</v>
      </c>
      <c r="AR2623" t="s">
        <v>179</v>
      </c>
      <c r="AS2623">
        <v>0</v>
      </c>
      <c r="AT2623">
        <v>0</v>
      </c>
    </row>
    <row r="2624" spans="1:46" x14ac:dyDescent="0.45">
      <c r="A2624" s="62" t="s">
        <v>994</v>
      </c>
      <c r="B2624" s="62" t="s">
        <v>242</v>
      </c>
      <c r="C2624" s="63"/>
      <c r="D2624" s="64"/>
      <c r="E2624" s="65"/>
      <c r="F2624" s="66"/>
      <c r="G2624" s="63"/>
      <c r="H2624" s="67"/>
      <c r="I2624" s="68"/>
      <c r="J2624" s="68"/>
      <c r="K2624" s="32"/>
      <c r="L2624" s="75"/>
      <c r="M2624" s="75"/>
      <c r="N2624" s="70"/>
      <c r="O2624" t="s">
        <v>1568</v>
      </c>
      <c r="P2624" s="76">
        <v>44959.26635416667</v>
      </c>
      <c r="Q2624" t="s">
        <v>2152</v>
      </c>
      <c r="V2624" s="77" t="str">
        <f>HYPERLINK("https://pbs.twimg.com/profile_images/1234625178753212416/Y-Ql4QtN_normal.jpg")</f>
        <v>https://pbs.twimg.com/profile_images/1234625178753212416/Y-Ql4QtN_normal.jpg</v>
      </c>
      <c r="W2624" s="76">
        <v>44959.26635416667</v>
      </c>
      <c r="X2624" s="80">
        <v>44959</v>
      </c>
      <c r="Y2624" s="78" t="s">
        <v>3280</v>
      </c>
      <c r="Z2624" s="77" t="str">
        <f>HYPERLINK("https://twitter.com/fothunniebee/status/1621031550233219075")</f>
        <v>https://twitter.com/fothunniebee/status/1621031550233219075</v>
      </c>
      <c r="AC2624" s="78" t="s">
        <v>4345</v>
      </c>
      <c r="AE2624" t="b">
        <v>0</v>
      </c>
      <c r="AF2624">
        <v>0</v>
      </c>
      <c r="AG2624" s="78" t="s">
        <v>4640</v>
      </c>
      <c r="AH2624" t="b">
        <v>0</v>
      </c>
      <c r="AI2624" t="s">
        <v>4829</v>
      </c>
      <c r="AK2624" s="78" t="s">
        <v>4640</v>
      </c>
      <c r="AL2624" t="b">
        <v>0</v>
      </c>
      <c r="AM2624">
        <v>0</v>
      </c>
      <c r="AN2624" s="78" t="s">
        <v>4640</v>
      </c>
      <c r="AO2624" s="78" t="s">
        <v>4850</v>
      </c>
      <c r="AP2624" t="b">
        <v>0</v>
      </c>
      <c r="AQ2624" s="78" t="s">
        <v>4345</v>
      </c>
      <c r="AR2624" t="s">
        <v>179</v>
      </c>
      <c r="AS2624">
        <v>0</v>
      </c>
      <c r="AT2624">
        <v>0</v>
      </c>
    </row>
    <row r="2625" spans="1:46" x14ac:dyDescent="0.45">
      <c r="A2625" s="62" t="s">
        <v>995</v>
      </c>
      <c r="B2625" s="62" t="s">
        <v>242</v>
      </c>
      <c r="C2625" s="63"/>
      <c r="D2625" s="64"/>
      <c r="E2625" s="65"/>
      <c r="F2625" s="66"/>
      <c r="G2625" s="63"/>
      <c r="H2625" s="67"/>
      <c r="I2625" s="68"/>
      <c r="J2625" s="68"/>
      <c r="K2625" s="32"/>
      <c r="L2625" s="75"/>
      <c r="M2625" s="75"/>
      <c r="N2625" s="70"/>
      <c r="O2625" t="s">
        <v>1568</v>
      </c>
      <c r="P2625" s="76">
        <v>44959.266400462962</v>
      </c>
      <c r="Q2625" t="s">
        <v>2153</v>
      </c>
      <c r="V2625" s="77" t="str">
        <f>HYPERLINK("https://pbs.twimg.com/profile_images/1316859679117512704/T2q5UEO3_normal.jpg")</f>
        <v>https://pbs.twimg.com/profile_images/1316859679117512704/T2q5UEO3_normal.jpg</v>
      </c>
      <c r="W2625" s="76">
        <v>44959.266400462962</v>
      </c>
      <c r="X2625" s="80">
        <v>44959</v>
      </c>
      <c r="Y2625" s="78" t="s">
        <v>3281</v>
      </c>
      <c r="Z2625" s="77" t="str">
        <f>HYPERLINK("https://twitter.com/netuserms/status/1621031567245312001")</f>
        <v>https://twitter.com/netuserms/status/1621031567245312001</v>
      </c>
      <c r="AC2625" s="78" t="s">
        <v>4346</v>
      </c>
      <c r="AD2625" s="78" t="s">
        <v>4445</v>
      </c>
      <c r="AE2625" t="b">
        <v>0</v>
      </c>
      <c r="AF2625">
        <v>0</v>
      </c>
      <c r="AG2625" s="78" t="s">
        <v>4791</v>
      </c>
      <c r="AH2625" t="b">
        <v>0</v>
      </c>
      <c r="AI2625" t="s">
        <v>4829</v>
      </c>
      <c r="AK2625" s="78" t="s">
        <v>4640</v>
      </c>
      <c r="AL2625" t="b">
        <v>0</v>
      </c>
      <c r="AM2625">
        <v>0</v>
      </c>
      <c r="AN2625" s="78" t="s">
        <v>4640</v>
      </c>
      <c r="AO2625" s="78" t="s">
        <v>4849</v>
      </c>
      <c r="AP2625" t="b">
        <v>0</v>
      </c>
      <c r="AQ2625" s="78" t="s">
        <v>4445</v>
      </c>
      <c r="AR2625" t="s">
        <v>179</v>
      </c>
      <c r="AS2625">
        <v>0</v>
      </c>
      <c r="AT2625">
        <v>0</v>
      </c>
    </row>
    <row r="2626" spans="1:46" x14ac:dyDescent="0.45">
      <c r="A2626" s="62" t="s">
        <v>995</v>
      </c>
      <c r="B2626" s="62" t="s">
        <v>1067</v>
      </c>
      <c r="C2626" s="63"/>
      <c r="D2626" s="64"/>
      <c r="E2626" s="65"/>
      <c r="F2626" s="66"/>
      <c r="G2626" s="63"/>
      <c r="H2626" s="67"/>
      <c r="I2626" s="68"/>
      <c r="J2626" s="68"/>
      <c r="K2626" s="32"/>
      <c r="L2626" s="75"/>
      <c r="M2626" s="75"/>
      <c r="N2626" s="70"/>
      <c r="O2626" t="s">
        <v>1567</v>
      </c>
      <c r="P2626" s="76">
        <v>44959.266400462962</v>
      </c>
      <c r="Q2626" t="s">
        <v>2153</v>
      </c>
      <c r="V2626" s="77" t="str">
        <f>HYPERLINK("https://pbs.twimg.com/profile_images/1316859679117512704/T2q5UEO3_normal.jpg")</f>
        <v>https://pbs.twimg.com/profile_images/1316859679117512704/T2q5UEO3_normal.jpg</v>
      </c>
      <c r="W2626" s="76">
        <v>44959.266400462962</v>
      </c>
      <c r="X2626" s="80">
        <v>44959</v>
      </c>
      <c r="Y2626" s="78" t="s">
        <v>3281</v>
      </c>
      <c r="Z2626" s="77" t="str">
        <f>HYPERLINK("https://twitter.com/netuserms/status/1621031567245312001")</f>
        <v>https://twitter.com/netuserms/status/1621031567245312001</v>
      </c>
      <c r="AC2626" s="78" t="s">
        <v>4346</v>
      </c>
      <c r="AD2626" s="78" t="s">
        <v>4445</v>
      </c>
      <c r="AE2626" t="b">
        <v>0</v>
      </c>
      <c r="AF2626">
        <v>0</v>
      </c>
      <c r="AG2626" s="78" t="s">
        <v>4791</v>
      </c>
      <c r="AH2626" t="b">
        <v>0</v>
      </c>
      <c r="AI2626" t="s">
        <v>4829</v>
      </c>
      <c r="AK2626" s="78" t="s">
        <v>4640</v>
      </c>
      <c r="AL2626" t="b">
        <v>0</v>
      </c>
      <c r="AM2626">
        <v>0</v>
      </c>
      <c r="AN2626" s="78" t="s">
        <v>4640</v>
      </c>
      <c r="AO2626" s="78" t="s">
        <v>4849</v>
      </c>
      <c r="AP2626" t="b">
        <v>0</v>
      </c>
      <c r="AQ2626" s="78" t="s">
        <v>4445</v>
      </c>
      <c r="AR2626" t="s">
        <v>179</v>
      </c>
      <c r="AS2626">
        <v>0</v>
      </c>
      <c r="AT2626">
        <v>0</v>
      </c>
    </row>
    <row r="2627" spans="1:46" x14ac:dyDescent="0.45">
      <c r="A2627" s="62" t="s">
        <v>997</v>
      </c>
      <c r="B2627" s="62" t="s">
        <v>1485</v>
      </c>
      <c r="C2627" s="63"/>
      <c r="D2627" s="64"/>
      <c r="E2627" s="65"/>
      <c r="F2627" s="66"/>
      <c r="G2627" s="63"/>
      <c r="H2627" s="67"/>
      <c r="I2627" s="68"/>
      <c r="J2627" s="68"/>
      <c r="K2627" s="32"/>
      <c r="L2627" s="75"/>
      <c r="M2627" s="75"/>
      <c r="N2627" s="70"/>
      <c r="O2627" t="s">
        <v>1567</v>
      </c>
      <c r="P2627" s="76">
        <v>44959.272777777776</v>
      </c>
      <c r="Q2627" t="s">
        <v>2155</v>
      </c>
      <c r="V2627" s="77" t="str">
        <f>HYPERLINK("https://pbs.twimg.com/profile_images/1567196608160464896/ly5Bc7iW_normal.jpg")</f>
        <v>https://pbs.twimg.com/profile_images/1567196608160464896/ly5Bc7iW_normal.jpg</v>
      </c>
      <c r="W2627" s="76">
        <v>44959.272777777776</v>
      </c>
      <c r="X2627" s="80">
        <v>44959</v>
      </c>
      <c r="Y2627" s="78" t="s">
        <v>3283</v>
      </c>
      <c r="Z2627" s="77" t="str">
        <f>HYPERLINK("https://twitter.com/laura121953/status/1621033879292510208")</f>
        <v>https://twitter.com/laura121953/status/1621033879292510208</v>
      </c>
      <c r="AC2627" s="78" t="s">
        <v>4348</v>
      </c>
      <c r="AD2627" s="78" t="s">
        <v>4612</v>
      </c>
      <c r="AE2627" t="b">
        <v>0</v>
      </c>
      <c r="AF2627">
        <v>0</v>
      </c>
      <c r="AG2627" s="78" t="s">
        <v>4793</v>
      </c>
      <c r="AH2627" t="b">
        <v>0</v>
      </c>
      <c r="AI2627" t="s">
        <v>4829</v>
      </c>
      <c r="AK2627" s="78" t="s">
        <v>4640</v>
      </c>
      <c r="AL2627" t="b">
        <v>0</v>
      </c>
      <c r="AM2627">
        <v>0</v>
      </c>
      <c r="AN2627" s="78" t="s">
        <v>4640</v>
      </c>
      <c r="AO2627" s="78" t="s">
        <v>4852</v>
      </c>
      <c r="AP2627" t="b">
        <v>0</v>
      </c>
      <c r="AQ2627" s="78" t="s">
        <v>4612</v>
      </c>
      <c r="AR2627" t="s">
        <v>179</v>
      </c>
      <c r="AS2627">
        <v>0</v>
      </c>
      <c r="AT2627">
        <v>0</v>
      </c>
    </row>
    <row r="2628" spans="1:46" x14ac:dyDescent="0.45">
      <c r="A2628" s="62" t="s">
        <v>997</v>
      </c>
      <c r="B2628" s="62" t="s">
        <v>242</v>
      </c>
      <c r="C2628" s="63"/>
      <c r="D2628" s="64"/>
      <c r="E2628" s="65"/>
      <c r="F2628" s="66"/>
      <c r="G2628" s="63"/>
      <c r="H2628" s="67"/>
      <c r="I2628" s="68"/>
      <c r="J2628" s="68"/>
      <c r="K2628" s="32"/>
      <c r="L2628" s="75"/>
      <c r="M2628" s="75"/>
      <c r="N2628" s="70"/>
      <c r="O2628" t="s">
        <v>1568</v>
      </c>
      <c r="P2628" s="76">
        <v>44959.272777777776</v>
      </c>
      <c r="Q2628" t="s">
        <v>2155</v>
      </c>
      <c r="V2628" s="77" t="str">
        <f>HYPERLINK("https://pbs.twimg.com/profile_images/1567196608160464896/ly5Bc7iW_normal.jpg")</f>
        <v>https://pbs.twimg.com/profile_images/1567196608160464896/ly5Bc7iW_normal.jpg</v>
      </c>
      <c r="W2628" s="76">
        <v>44959.272777777776</v>
      </c>
      <c r="X2628" s="80">
        <v>44959</v>
      </c>
      <c r="Y2628" s="78" t="s">
        <v>3283</v>
      </c>
      <c r="Z2628" s="77" t="str">
        <f>HYPERLINK("https://twitter.com/laura121953/status/1621033879292510208")</f>
        <v>https://twitter.com/laura121953/status/1621033879292510208</v>
      </c>
      <c r="AC2628" s="78" t="s">
        <v>4348</v>
      </c>
      <c r="AD2628" s="78" t="s">
        <v>4612</v>
      </c>
      <c r="AE2628" t="b">
        <v>0</v>
      </c>
      <c r="AF2628">
        <v>0</v>
      </c>
      <c r="AG2628" s="78" t="s">
        <v>4793</v>
      </c>
      <c r="AH2628" t="b">
        <v>0</v>
      </c>
      <c r="AI2628" t="s">
        <v>4829</v>
      </c>
      <c r="AK2628" s="78" t="s">
        <v>4640</v>
      </c>
      <c r="AL2628" t="b">
        <v>0</v>
      </c>
      <c r="AM2628">
        <v>0</v>
      </c>
      <c r="AN2628" s="78" t="s">
        <v>4640</v>
      </c>
      <c r="AO2628" s="78" t="s">
        <v>4852</v>
      </c>
      <c r="AP2628" t="b">
        <v>0</v>
      </c>
      <c r="AQ2628" s="78" t="s">
        <v>4612</v>
      </c>
      <c r="AR2628" t="s">
        <v>179</v>
      </c>
      <c r="AS2628">
        <v>0</v>
      </c>
      <c r="AT2628">
        <v>0</v>
      </c>
    </row>
    <row r="2629" spans="1:46" x14ac:dyDescent="0.45">
      <c r="A2629" s="62" t="s">
        <v>998</v>
      </c>
      <c r="B2629" s="62" t="s">
        <v>242</v>
      </c>
      <c r="C2629" s="63"/>
      <c r="D2629" s="64"/>
      <c r="E2629" s="65"/>
      <c r="F2629" s="66"/>
      <c r="G2629" s="63"/>
      <c r="H2629" s="67"/>
      <c r="I2629" s="68"/>
      <c r="J2629" s="68"/>
      <c r="K2629" s="32"/>
      <c r="L2629" s="75"/>
      <c r="M2629" s="75"/>
      <c r="N2629" s="70"/>
      <c r="O2629" t="s">
        <v>1568</v>
      </c>
      <c r="P2629" s="76">
        <v>44959.277326388888</v>
      </c>
      <c r="Q2629" t="s">
        <v>2156</v>
      </c>
      <c r="V2629" s="77" t="str">
        <f>HYPERLINK("https://pbs.twimg.com/profile_images/1615273782893228035/jo4qM2j0_normal.jpg")</f>
        <v>https://pbs.twimg.com/profile_images/1615273782893228035/jo4qM2j0_normal.jpg</v>
      </c>
      <c r="W2629" s="76">
        <v>44959.277326388888</v>
      </c>
      <c r="X2629" s="80">
        <v>44959</v>
      </c>
      <c r="Y2629" s="78" t="s">
        <v>3284</v>
      </c>
      <c r="Z2629" s="77" t="str">
        <f>HYPERLINK("https://twitter.com/deadpeul/status/1621035524835389441")</f>
        <v>https://twitter.com/deadpeul/status/1621035524835389441</v>
      </c>
      <c r="AC2629" s="78" t="s">
        <v>4349</v>
      </c>
      <c r="AD2629" s="78" t="s">
        <v>4445</v>
      </c>
      <c r="AE2629" t="b">
        <v>0</v>
      </c>
      <c r="AF2629">
        <v>0</v>
      </c>
      <c r="AG2629" s="78" t="s">
        <v>4791</v>
      </c>
      <c r="AH2629" t="b">
        <v>0</v>
      </c>
      <c r="AI2629" t="s">
        <v>4829</v>
      </c>
      <c r="AK2629" s="78" t="s">
        <v>4640</v>
      </c>
      <c r="AL2629" t="b">
        <v>0</v>
      </c>
      <c r="AM2629">
        <v>0</v>
      </c>
      <c r="AN2629" s="78" t="s">
        <v>4640</v>
      </c>
      <c r="AO2629" s="78" t="s">
        <v>4851</v>
      </c>
      <c r="AP2629" t="b">
        <v>0</v>
      </c>
      <c r="AQ2629" s="78" t="s">
        <v>4445</v>
      </c>
      <c r="AR2629" t="s">
        <v>179</v>
      </c>
      <c r="AS2629">
        <v>0</v>
      </c>
      <c r="AT2629">
        <v>0</v>
      </c>
    </row>
    <row r="2630" spans="1:46" x14ac:dyDescent="0.45">
      <c r="A2630" s="62" t="s">
        <v>998</v>
      </c>
      <c r="B2630" s="62" t="s">
        <v>1067</v>
      </c>
      <c r="C2630" s="63"/>
      <c r="D2630" s="64"/>
      <c r="E2630" s="65"/>
      <c r="F2630" s="66"/>
      <c r="G2630" s="63"/>
      <c r="H2630" s="67"/>
      <c r="I2630" s="68"/>
      <c r="J2630" s="68"/>
      <c r="K2630" s="32"/>
      <c r="L2630" s="75"/>
      <c r="M2630" s="75"/>
      <c r="N2630" s="70"/>
      <c r="O2630" t="s">
        <v>1567</v>
      </c>
      <c r="P2630" s="76">
        <v>44959.277326388888</v>
      </c>
      <c r="Q2630" t="s">
        <v>2156</v>
      </c>
      <c r="V2630" s="77" t="str">
        <f>HYPERLINK("https://pbs.twimg.com/profile_images/1615273782893228035/jo4qM2j0_normal.jpg")</f>
        <v>https://pbs.twimg.com/profile_images/1615273782893228035/jo4qM2j0_normal.jpg</v>
      </c>
      <c r="W2630" s="76">
        <v>44959.277326388888</v>
      </c>
      <c r="X2630" s="80">
        <v>44959</v>
      </c>
      <c r="Y2630" s="78" t="s">
        <v>3284</v>
      </c>
      <c r="Z2630" s="77" t="str">
        <f>HYPERLINK("https://twitter.com/deadpeul/status/1621035524835389441")</f>
        <v>https://twitter.com/deadpeul/status/1621035524835389441</v>
      </c>
      <c r="AC2630" s="78" t="s">
        <v>4349</v>
      </c>
      <c r="AD2630" s="78" t="s">
        <v>4445</v>
      </c>
      <c r="AE2630" t="b">
        <v>0</v>
      </c>
      <c r="AF2630">
        <v>0</v>
      </c>
      <c r="AG2630" s="78" t="s">
        <v>4791</v>
      </c>
      <c r="AH2630" t="b">
        <v>0</v>
      </c>
      <c r="AI2630" t="s">
        <v>4829</v>
      </c>
      <c r="AK2630" s="78" t="s">
        <v>4640</v>
      </c>
      <c r="AL2630" t="b">
        <v>0</v>
      </c>
      <c r="AM2630">
        <v>0</v>
      </c>
      <c r="AN2630" s="78" t="s">
        <v>4640</v>
      </c>
      <c r="AO2630" s="78" t="s">
        <v>4851</v>
      </c>
      <c r="AP2630" t="b">
        <v>0</v>
      </c>
      <c r="AQ2630" s="78" t="s">
        <v>4445</v>
      </c>
      <c r="AR2630" t="s">
        <v>179</v>
      </c>
      <c r="AS2630">
        <v>0</v>
      </c>
      <c r="AT2630">
        <v>0</v>
      </c>
    </row>
    <row r="2631" spans="1:46" x14ac:dyDescent="0.45">
      <c r="A2631" s="62" t="s">
        <v>998</v>
      </c>
      <c r="B2631" s="62" t="s">
        <v>242</v>
      </c>
      <c r="C2631" s="63"/>
      <c r="D2631" s="64"/>
      <c r="E2631" s="65"/>
      <c r="F2631" s="66"/>
      <c r="G2631" s="63"/>
      <c r="H2631" s="67"/>
      <c r="I2631" s="68"/>
      <c r="J2631" s="68"/>
      <c r="K2631" s="32"/>
      <c r="L2631" s="75"/>
      <c r="M2631" s="75"/>
      <c r="N2631" s="70"/>
      <c r="O2631" t="s">
        <v>1568</v>
      </c>
      <c r="P2631" s="76">
        <v>44959.278391203705</v>
      </c>
      <c r="Q2631" t="s">
        <v>2157</v>
      </c>
      <c r="V2631" s="77" t="str">
        <f>HYPERLINK("https://pbs.twimg.com/profile_images/1615273782893228035/jo4qM2j0_normal.jpg")</f>
        <v>https://pbs.twimg.com/profile_images/1615273782893228035/jo4qM2j0_normal.jpg</v>
      </c>
      <c r="W2631" s="76">
        <v>44959.278391203705</v>
      </c>
      <c r="X2631" s="80">
        <v>44959</v>
      </c>
      <c r="Y2631" s="78" t="s">
        <v>3285</v>
      </c>
      <c r="Z2631" s="77" t="str">
        <f>HYPERLINK("https://twitter.com/deadpeul/status/1621035914117152769")</f>
        <v>https://twitter.com/deadpeul/status/1621035914117152769</v>
      </c>
      <c r="AC2631" s="78" t="s">
        <v>4350</v>
      </c>
      <c r="AD2631" s="78" t="s">
        <v>4349</v>
      </c>
      <c r="AE2631" t="b">
        <v>0</v>
      </c>
      <c r="AF2631">
        <v>0</v>
      </c>
      <c r="AG2631" s="78" t="s">
        <v>4794</v>
      </c>
      <c r="AH2631" t="b">
        <v>0</v>
      </c>
      <c r="AI2631" t="s">
        <v>4829</v>
      </c>
      <c r="AK2631" s="78" t="s">
        <v>4640</v>
      </c>
      <c r="AL2631" t="b">
        <v>0</v>
      </c>
      <c r="AM2631">
        <v>0</v>
      </c>
      <c r="AN2631" s="78" t="s">
        <v>4640</v>
      </c>
      <c r="AO2631" s="78" t="s">
        <v>4851</v>
      </c>
      <c r="AP2631" t="b">
        <v>0</v>
      </c>
      <c r="AQ2631" s="78" t="s">
        <v>4349</v>
      </c>
      <c r="AR2631" t="s">
        <v>179</v>
      </c>
      <c r="AS2631">
        <v>0</v>
      </c>
      <c r="AT2631">
        <v>0</v>
      </c>
    </row>
    <row r="2632" spans="1:46" x14ac:dyDescent="0.45">
      <c r="A2632" s="62" t="s">
        <v>998</v>
      </c>
      <c r="B2632" s="62" t="s">
        <v>1067</v>
      </c>
      <c r="C2632" s="63"/>
      <c r="D2632" s="64"/>
      <c r="E2632" s="65"/>
      <c r="F2632" s="66"/>
      <c r="G2632" s="63"/>
      <c r="H2632" s="67"/>
      <c r="I2632" s="68"/>
      <c r="J2632" s="68"/>
      <c r="K2632" s="32"/>
      <c r="L2632" s="75"/>
      <c r="M2632" s="75"/>
      <c r="N2632" s="70"/>
      <c r="O2632" t="s">
        <v>1567</v>
      </c>
      <c r="P2632" s="76">
        <v>44959.278391203705</v>
      </c>
      <c r="Q2632" t="s">
        <v>2157</v>
      </c>
      <c r="V2632" s="77" t="str">
        <f>HYPERLINK("https://pbs.twimg.com/profile_images/1615273782893228035/jo4qM2j0_normal.jpg")</f>
        <v>https://pbs.twimg.com/profile_images/1615273782893228035/jo4qM2j0_normal.jpg</v>
      </c>
      <c r="W2632" s="76">
        <v>44959.278391203705</v>
      </c>
      <c r="X2632" s="80">
        <v>44959</v>
      </c>
      <c r="Y2632" s="78" t="s">
        <v>3285</v>
      </c>
      <c r="Z2632" s="77" t="str">
        <f>HYPERLINK("https://twitter.com/deadpeul/status/1621035914117152769")</f>
        <v>https://twitter.com/deadpeul/status/1621035914117152769</v>
      </c>
      <c r="AC2632" s="78" t="s">
        <v>4350</v>
      </c>
      <c r="AD2632" s="78" t="s">
        <v>4349</v>
      </c>
      <c r="AE2632" t="b">
        <v>0</v>
      </c>
      <c r="AF2632">
        <v>0</v>
      </c>
      <c r="AG2632" s="78" t="s">
        <v>4794</v>
      </c>
      <c r="AH2632" t="b">
        <v>0</v>
      </c>
      <c r="AI2632" t="s">
        <v>4829</v>
      </c>
      <c r="AK2632" s="78" t="s">
        <v>4640</v>
      </c>
      <c r="AL2632" t="b">
        <v>0</v>
      </c>
      <c r="AM2632">
        <v>0</v>
      </c>
      <c r="AN2632" s="78" t="s">
        <v>4640</v>
      </c>
      <c r="AO2632" s="78" t="s">
        <v>4851</v>
      </c>
      <c r="AP2632" t="b">
        <v>0</v>
      </c>
      <c r="AQ2632" s="78" t="s">
        <v>4349</v>
      </c>
      <c r="AR2632" t="s">
        <v>179</v>
      </c>
      <c r="AS2632">
        <v>0</v>
      </c>
      <c r="AT2632">
        <v>0</v>
      </c>
    </row>
    <row r="2633" spans="1:46" x14ac:dyDescent="0.45">
      <c r="A2633" s="62" t="s">
        <v>1000</v>
      </c>
      <c r="B2633" s="62" t="s">
        <v>1230</v>
      </c>
      <c r="C2633" s="63"/>
      <c r="D2633" s="64"/>
      <c r="E2633" s="65"/>
      <c r="F2633" s="66"/>
      <c r="G2633" s="63"/>
      <c r="H2633" s="67"/>
      <c r="I2633" s="68"/>
      <c r="J2633" s="68"/>
      <c r="K2633" s="32"/>
      <c r="L2633" s="75"/>
      <c r="M2633" s="75"/>
      <c r="N2633" s="70"/>
      <c r="O2633" t="s">
        <v>1570</v>
      </c>
      <c r="P2633" s="76">
        <v>44959.281875000001</v>
      </c>
      <c r="Q2633" t="s">
        <v>1693</v>
      </c>
      <c r="V2633" s="77" t="str">
        <f>HYPERLINK("https://pbs.twimg.com/profile_images/1618446382611709952/OPBLAWFZ_normal.jpg")</f>
        <v>https://pbs.twimg.com/profile_images/1618446382611709952/OPBLAWFZ_normal.jpg</v>
      </c>
      <c r="W2633" s="76">
        <v>44959.281875000001</v>
      </c>
      <c r="X2633" s="80">
        <v>44959</v>
      </c>
      <c r="Y2633" s="78" t="s">
        <v>3287</v>
      </c>
      <c r="Z2633" s="77" t="str">
        <f>HYPERLINK("https://twitter.com/lavishbarbie8/status/1621037172601102344")</f>
        <v>https://twitter.com/lavishbarbie8/status/1621037172601102344</v>
      </c>
      <c r="AC2633" s="78" t="s">
        <v>4352</v>
      </c>
      <c r="AE2633" t="b">
        <v>0</v>
      </c>
      <c r="AF2633">
        <v>0</v>
      </c>
      <c r="AG2633" s="78" t="s">
        <v>4640</v>
      </c>
      <c r="AH2633" t="b">
        <v>0</v>
      </c>
      <c r="AI2633" t="s">
        <v>4829</v>
      </c>
      <c r="AK2633" s="78" t="s">
        <v>4640</v>
      </c>
      <c r="AL2633" t="b">
        <v>0</v>
      </c>
      <c r="AM2633">
        <v>162</v>
      </c>
      <c r="AN2633" s="78" t="s">
        <v>4473</v>
      </c>
      <c r="AO2633" s="78" t="s">
        <v>4850</v>
      </c>
      <c r="AP2633" t="b">
        <v>0</v>
      </c>
      <c r="AQ2633" s="78" t="s">
        <v>4473</v>
      </c>
      <c r="AR2633" t="s">
        <v>179</v>
      </c>
      <c r="AS2633">
        <v>0</v>
      </c>
      <c r="AT2633">
        <v>0</v>
      </c>
    </row>
    <row r="2634" spans="1:46" x14ac:dyDescent="0.45">
      <c r="A2634" s="62" t="s">
        <v>1000</v>
      </c>
      <c r="B2634" s="62" t="s">
        <v>242</v>
      </c>
      <c r="C2634" s="63"/>
      <c r="D2634" s="64"/>
      <c r="E2634" s="65"/>
      <c r="F2634" s="66"/>
      <c r="G2634" s="63"/>
      <c r="H2634" s="67"/>
      <c r="I2634" s="68"/>
      <c r="J2634" s="68"/>
      <c r="K2634" s="32"/>
      <c r="L2634" s="75"/>
      <c r="M2634" s="75"/>
      <c r="N2634" s="70"/>
      <c r="O2634" t="s">
        <v>1569</v>
      </c>
      <c r="P2634" s="76">
        <v>44959.281875000001</v>
      </c>
      <c r="Q2634" t="s">
        <v>1693</v>
      </c>
      <c r="V2634" s="77" t="str">
        <f>HYPERLINK("https://pbs.twimg.com/profile_images/1618446382611709952/OPBLAWFZ_normal.jpg")</f>
        <v>https://pbs.twimg.com/profile_images/1618446382611709952/OPBLAWFZ_normal.jpg</v>
      </c>
      <c r="W2634" s="76">
        <v>44959.281875000001</v>
      </c>
      <c r="X2634" s="80">
        <v>44959</v>
      </c>
      <c r="Y2634" s="78" t="s">
        <v>3287</v>
      </c>
      <c r="Z2634" s="77" t="str">
        <f>HYPERLINK("https://twitter.com/lavishbarbie8/status/1621037172601102344")</f>
        <v>https://twitter.com/lavishbarbie8/status/1621037172601102344</v>
      </c>
      <c r="AC2634" s="78" t="s">
        <v>4352</v>
      </c>
      <c r="AE2634" t="b">
        <v>0</v>
      </c>
      <c r="AF2634">
        <v>0</v>
      </c>
      <c r="AG2634" s="78" t="s">
        <v>4640</v>
      </c>
      <c r="AH2634" t="b">
        <v>0</v>
      </c>
      <c r="AI2634" t="s">
        <v>4829</v>
      </c>
      <c r="AK2634" s="78" t="s">
        <v>4640</v>
      </c>
      <c r="AL2634" t="b">
        <v>0</v>
      </c>
      <c r="AM2634">
        <v>162</v>
      </c>
      <c r="AN2634" s="78" t="s">
        <v>4473</v>
      </c>
      <c r="AO2634" s="78" t="s">
        <v>4850</v>
      </c>
      <c r="AP2634" t="b">
        <v>0</v>
      </c>
      <c r="AQ2634" s="78" t="s">
        <v>4473</v>
      </c>
      <c r="AR2634" t="s">
        <v>179</v>
      </c>
      <c r="AS2634">
        <v>0</v>
      </c>
      <c r="AT2634">
        <v>0</v>
      </c>
    </row>
    <row r="2635" spans="1:46" x14ac:dyDescent="0.45">
      <c r="A2635" s="62" t="s">
        <v>1002</v>
      </c>
      <c r="B2635" s="62" t="s">
        <v>1001</v>
      </c>
      <c r="C2635" s="63"/>
      <c r="D2635" s="64"/>
      <c r="E2635" s="65"/>
      <c r="F2635" s="66"/>
      <c r="G2635" s="63"/>
      <c r="H2635" s="67"/>
      <c r="I2635" s="68"/>
      <c r="J2635" s="68"/>
      <c r="K2635" s="32"/>
      <c r="L2635" s="75"/>
      <c r="M2635" s="75"/>
      <c r="N2635" s="70"/>
      <c r="O2635" t="s">
        <v>1569</v>
      </c>
      <c r="P2635" s="76">
        <v>44959.294710648152</v>
      </c>
      <c r="Q2635" t="s">
        <v>2021</v>
      </c>
      <c r="V2635" s="77" t="str">
        <f>HYPERLINK("https://pbs.twimg.com/profile_images/1620943143557369858/_XkVaa-u_normal.png")</f>
        <v>https://pbs.twimg.com/profile_images/1620943143557369858/_XkVaa-u_normal.png</v>
      </c>
      <c r="W2635" s="76">
        <v>44959.294710648152</v>
      </c>
      <c r="X2635" s="80">
        <v>44959</v>
      </c>
      <c r="Y2635" s="78" t="s">
        <v>3290</v>
      </c>
      <c r="Z2635" s="77" t="str">
        <f>HYPERLINK("https://twitter.com/yearlikethis/status/1621041825174937600")</f>
        <v>https://twitter.com/yearlikethis/status/1621041825174937600</v>
      </c>
      <c r="AC2635" s="78" t="s">
        <v>4355</v>
      </c>
      <c r="AE2635" t="b">
        <v>0</v>
      </c>
      <c r="AF2635">
        <v>0</v>
      </c>
      <c r="AG2635" s="78" t="s">
        <v>4640</v>
      </c>
      <c r="AH2635" t="b">
        <v>0</v>
      </c>
      <c r="AI2635" t="s">
        <v>4829</v>
      </c>
      <c r="AK2635" s="78" t="s">
        <v>4640</v>
      </c>
      <c r="AL2635" t="b">
        <v>0</v>
      </c>
      <c r="AM2635">
        <v>4</v>
      </c>
      <c r="AN2635" s="78" t="s">
        <v>4353</v>
      </c>
      <c r="AO2635" s="78" t="s">
        <v>4851</v>
      </c>
      <c r="AP2635" t="b">
        <v>0</v>
      </c>
      <c r="AQ2635" s="78" t="s">
        <v>4353</v>
      </c>
      <c r="AR2635" t="s">
        <v>179</v>
      </c>
      <c r="AS2635">
        <v>0</v>
      </c>
      <c r="AT2635">
        <v>0</v>
      </c>
    </row>
    <row r="2636" spans="1:46" x14ac:dyDescent="0.45">
      <c r="A2636" s="62" t="s">
        <v>1002</v>
      </c>
      <c r="B2636" s="62" t="s">
        <v>1230</v>
      </c>
      <c r="C2636" s="63"/>
      <c r="D2636" s="64"/>
      <c r="E2636" s="65"/>
      <c r="F2636" s="66"/>
      <c r="G2636" s="63"/>
      <c r="H2636" s="67"/>
      <c r="I2636" s="68"/>
      <c r="J2636" s="68"/>
      <c r="K2636" s="32"/>
      <c r="L2636" s="75"/>
      <c r="M2636" s="75"/>
      <c r="N2636" s="70"/>
      <c r="O2636" t="s">
        <v>1570</v>
      </c>
      <c r="P2636" s="76">
        <v>44959.294710648152</v>
      </c>
      <c r="Q2636" t="s">
        <v>2021</v>
      </c>
      <c r="V2636" s="77" t="str">
        <f>HYPERLINK("https://pbs.twimg.com/profile_images/1620943143557369858/_XkVaa-u_normal.png")</f>
        <v>https://pbs.twimg.com/profile_images/1620943143557369858/_XkVaa-u_normal.png</v>
      </c>
      <c r="W2636" s="76">
        <v>44959.294710648152</v>
      </c>
      <c r="X2636" s="80">
        <v>44959</v>
      </c>
      <c r="Y2636" s="78" t="s">
        <v>3290</v>
      </c>
      <c r="Z2636" s="77" t="str">
        <f>HYPERLINK("https://twitter.com/yearlikethis/status/1621041825174937600")</f>
        <v>https://twitter.com/yearlikethis/status/1621041825174937600</v>
      </c>
      <c r="AC2636" s="78" t="s">
        <v>4355</v>
      </c>
      <c r="AE2636" t="b">
        <v>0</v>
      </c>
      <c r="AF2636">
        <v>0</v>
      </c>
      <c r="AG2636" s="78" t="s">
        <v>4640</v>
      </c>
      <c r="AH2636" t="b">
        <v>0</v>
      </c>
      <c r="AI2636" t="s">
        <v>4829</v>
      </c>
      <c r="AK2636" s="78" t="s">
        <v>4640</v>
      </c>
      <c r="AL2636" t="b">
        <v>0</v>
      </c>
      <c r="AM2636">
        <v>4</v>
      </c>
      <c r="AN2636" s="78" t="s">
        <v>4353</v>
      </c>
      <c r="AO2636" s="78" t="s">
        <v>4851</v>
      </c>
      <c r="AP2636" t="b">
        <v>0</v>
      </c>
      <c r="AQ2636" s="78" t="s">
        <v>4353</v>
      </c>
      <c r="AR2636" t="s">
        <v>179</v>
      </c>
      <c r="AS2636">
        <v>0</v>
      </c>
      <c r="AT2636">
        <v>0</v>
      </c>
    </row>
    <row r="2637" spans="1:46" x14ac:dyDescent="0.45">
      <c r="A2637" s="62" t="s">
        <v>1002</v>
      </c>
      <c r="B2637" s="62" t="s">
        <v>242</v>
      </c>
      <c r="C2637" s="63"/>
      <c r="D2637" s="64"/>
      <c r="E2637" s="65"/>
      <c r="F2637" s="66"/>
      <c r="G2637" s="63"/>
      <c r="H2637" s="67"/>
      <c r="I2637" s="68"/>
      <c r="J2637" s="68"/>
      <c r="K2637" s="32"/>
      <c r="L2637" s="75"/>
      <c r="M2637" s="75"/>
      <c r="N2637" s="70"/>
      <c r="O2637" t="s">
        <v>1567</v>
      </c>
      <c r="P2637" s="76">
        <v>44959.294710648152</v>
      </c>
      <c r="Q2637" t="s">
        <v>2021</v>
      </c>
      <c r="V2637" s="77" t="str">
        <f>HYPERLINK("https://pbs.twimg.com/profile_images/1620943143557369858/_XkVaa-u_normal.png")</f>
        <v>https://pbs.twimg.com/profile_images/1620943143557369858/_XkVaa-u_normal.png</v>
      </c>
      <c r="W2637" s="76">
        <v>44959.294710648152</v>
      </c>
      <c r="X2637" s="80">
        <v>44959</v>
      </c>
      <c r="Y2637" s="78" t="s">
        <v>3290</v>
      </c>
      <c r="Z2637" s="77" t="str">
        <f>HYPERLINK("https://twitter.com/yearlikethis/status/1621041825174937600")</f>
        <v>https://twitter.com/yearlikethis/status/1621041825174937600</v>
      </c>
      <c r="AC2637" s="78" t="s">
        <v>4355</v>
      </c>
      <c r="AE2637" t="b">
        <v>0</v>
      </c>
      <c r="AF2637">
        <v>0</v>
      </c>
      <c r="AG2637" s="78" t="s">
        <v>4640</v>
      </c>
      <c r="AH2637" t="b">
        <v>0</v>
      </c>
      <c r="AI2637" t="s">
        <v>4829</v>
      </c>
      <c r="AK2637" s="78" t="s">
        <v>4640</v>
      </c>
      <c r="AL2637" t="b">
        <v>0</v>
      </c>
      <c r="AM2637">
        <v>4</v>
      </c>
      <c r="AN2637" s="78" t="s">
        <v>4353</v>
      </c>
      <c r="AO2637" s="78" t="s">
        <v>4851</v>
      </c>
      <c r="AP2637" t="b">
        <v>0</v>
      </c>
      <c r="AQ2637" s="78" t="s">
        <v>4353</v>
      </c>
      <c r="AR2637" t="s">
        <v>179</v>
      </c>
      <c r="AS2637">
        <v>0</v>
      </c>
      <c r="AT2637">
        <v>0</v>
      </c>
    </row>
    <row r="2638" spans="1:46" x14ac:dyDescent="0.45">
      <c r="A2638" s="62" t="s">
        <v>1003</v>
      </c>
      <c r="B2638" s="62" t="s">
        <v>1486</v>
      </c>
      <c r="C2638" s="63"/>
      <c r="D2638" s="64"/>
      <c r="E2638" s="65"/>
      <c r="F2638" s="66"/>
      <c r="G2638" s="63"/>
      <c r="H2638" s="67"/>
      <c r="I2638" s="68"/>
      <c r="J2638" s="68"/>
      <c r="K2638" s="32"/>
      <c r="L2638" s="75"/>
      <c r="M2638" s="75"/>
      <c r="N2638" s="70"/>
      <c r="O2638" t="s">
        <v>1568</v>
      </c>
      <c r="P2638" s="76">
        <v>44959.297314814816</v>
      </c>
      <c r="Q2638" t="s">
        <v>2160</v>
      </c>
      <c r="V2638" s="77" t="str">
        <f>HYPERLINK("https://pbs.twimg.com/profile_images/1596254714550796295/timh0kSd_normal.jpg")</f>
        <v>https://pbs.twimg.com/profile_images/1596254714550796295/timh0kSd_normal.jpg</v>
      </c>
      <c r="W2638" s="76">
        <v>44959.297314814816</v>
      </c>
      <c r="X2638" s="80">
        <v>44959</v>
      </c>
      <c r="Y2638" s="78" t="s">
        <v>3291</v>
      </c>
      <c r="Z2638" s="77" t="str">
        <f>HYPERLINK("https://twitter.com/metalashell26/status/1621042771548311552")</f>
        <v>https://twitter.com/metalashell26/status/1621042771548311552</v>
      </c>
      <c r="AC2638" s="78" t="s">
        <v>4356</v>
      </c>
      <c r="AE2638" t="b">
        <v>0</v>
      </c>
      <c r="AF2638">
        <v>0</v>
      </c>
      <c r="AG2638" s="78" t="s">
        <v>4640</v>
      </c>
      <c r="AH2638" t="b">
        <v>0</v>
      </c>
      <c r="AI2638" t="s">
        <v>4829</v>
      </c>
      <c r="AK2638" s="78" t="s">
        <v>4640</v>
      </c>
      <c r="AL2638" t="b">
        <v>0</v>
      </c>
      <c r="AM2638">
        <v>0</v>
      </c>
      <c r="AN2638" s="78" t="s">
        <v>4640</v>
      </c>
      <c r="AO2638" s="78" t="s">
        <v>4850</v>
      </c>
      <c r="AP2638" t="b">
        <v>0</v>
      </c>
      <c r="AQ2638" s="78" t="s">
        <v>4356</v>
      </c>
      <c r="AR2638" t="s">
        <v>179</v>
      </c>
      <c r="AS2638">
        <v>0</v>
      </c>
      <c r="AT2638">
        <v>0</v>
      </c>
    </row>
    <row r="2639" spans="1:46" x14ac:dyDescent="0.45">
      <c r="A2639" s="62" t="s">
        <v>1003</v>
      </c>
      <c r="B2639" s="62" t="s">
        <v>242</v>
      </c>
      <c r="C2639" s="63"/>
      <c r="D2639" s="64"/>
      <c r="E2639" s="65"/>
      <c r="F2639" s="66"/>
      <c r="G2639" s="63"/>
      <c r="H2639" s="67"/>
      <c r="I2639" s="68"/>
      <c r="J2639" s="68"/>
      <c r="K2639" s="32"/>
      <c r="L2639" s="75"/>
      <c r="M2639" s="75"/>
      <c r="N2639" s="70"/>
      <c r="O2639" t="s">
        <v>1568</v>
      </c>
      <c r="P2639" s="76">
        <v>44959.297314814816</v>
      </c>
      <c r="Q2639" t="s">
        <v>2160</v>
      </c>
      <c r="V2639" s="77" t="str">
        <f>HYPERLINK("https://pbs.twimg.com/profile_images/1596254714550796295/timh0kSd_normal.jpg")</f>
        <v>https://pbs.twimg.com/profile_images/1596254714550796295/timh0kSd_normal.jpg</v>
      </c>
      <c r="W2639" s="76">
        <v>44959.297314814816</v>
      </c>
      <c r="X2639" s="80">
        <v>44959</v>
      </c>
      <c r="Y2639" s="78" t="s">
        <v>3291</v>
      </c>
      <c r="Z2639" s="77" t="str">
        <f>HYPERLINK("https://twitter.com/metalashell26/status/1621042771548311552")</f>
        <v>https://twitter.com/metalashell26/status/1621042771548311552</v>
      </c>
      <c r="AC2639" s="78" t="s">
        <v>4356</v>
      </c>
      <c r="AE2639" t="b">
        <v>0</v>
      </c>
      <c r="AF2639">
        <v>0</v>
      </c>
      <c r="AG2639" s="78" t="s">
        <v>4640</v>
      </c>
      <c r="AH2639" t="b">
        <v>0</v>
      </c>
      <c r="AI2639" t="s">
        <v>4829</v>
      </c>
      <c r="AK2639" s="78" t="s">
        <v>4640</v>
      </c>
      <c r="AL2639" t="b">
        <v>0</v>
      </c>
      <c r="AM2639">
        <v>0</v>
      </c>
      <c r="AN2639" s="78" t="s">
        <v>4640</v>
      </c>
      <c r="AO2639" s="78" t="s">
        <v>4850</v>
      </c>
      <c r="AP2639" t="b">
        <v>0</v>
      </c>
      <c r="AQ2639" s="78" t="s">
        <v>4356</v>
      </c>
      <c r="AR2639" t="s">
        <v>179</v>
      </c>
      <c r="AS2639">
        <v>0</v>
      </c>
      <c r="AT2639">
        <v>0</v>
      </c>
    </row>
    <row r="2640" spans="1:46" x14ac:dyDescent="0.45">
      <c r="A2640" s="62" t="s">
        <v>1004</v>
      </c>
      <c r="B2640" s="62" t="s">
        <v>242</v>
      </c>
      <c r="C2640" s="63"/>
      <c r="D2640" s="64"/>
      <c r="E2640" s="65"/>
      <c r="F2640" s="66"/>
      <c r="G2640" s="63"/>
      <c r="H2640" s="67"/>
      <c r="I2640" s="68"/>
      <c r="J2640" s="68"/>
      <c r="K2640" s="32"/>
      <c r="L2640" s="75"/>
      <c r="M2640" s="75"/>
      <c r="N2640" s="70"/>
      <c r="O2640" t="s">
        <v>1567</v>
      </c>
      <c r="P2640" s="76">
        <v>44959.298854166664</v>
      </c>
      <c r="Q2640" t="s">
        <v>2161</v>
      </c>
      <c r="U2640" s="77" t="str">
        <f>HYPERLINK("https://pbs.twimg.com/media/Fn8aTvlagAA-t87.jpg")</f>
        <v>https://pbs.twimg.com/media/Fn8aTvlagAA-t87.jpg</v>
      </c>
      <c r="V2640" s="77" t="str">
        <f>HYPERLINK("https://pbs.twimg.com/media/Fn8aTvlagAA-t87.jpg")</f>
        <v>https://pbs.twimg.com/media/Fn8aTvlagAA-t87.jpg</v>
      </c>
      <c r="W2640" s="76">
        <v>44959.298854166664</v>
      </c>
      <c r="X2640" s="80">
        <v>44959</v>
      </c>
      <c r="Y2640" s="78" t="s">
        <v>3292</v>
      </c>
      <c r="Z2640" s="77" t="str">
        <f>HYPERLINK("https://twitter.com/nanceeewin/status/1621043328883265537")</f>
        <v>https://twitter.com/nanceeewin/status/1621043328883265537</v>
      </c>
      <c r="AC2640" s="78" t="s">
        <v>4357</v>
      </c>
      <c r="AE2640" t="b">
        <v>0</v>
      </c>
      <c r="AF2640">
        <v>0</v>
      </c>
      <c r="AG2640" s="78" t="s">
        <v>4639</v>
      </c>
      <c r="AH2640" t="b">
        <v>0</v>
      </c>
      <c r="AI2640" t="s">
        <v>4829</v>
      </c>
      <c r="AK2640" s="78" t="s">
        <v>4640</v>
      </c>
      <c r="AL2640" t="b">
        <v>0</v>
      </c>
      <c r="AM2640">
        <v>0</v>
      </c>
      <c r="AN2640" s="78" t="s">
        <v>4640</v>
      </c>
      <c r="AO2640" s="78" t="s">
        <v>4849</v>
      </c>
      <c r="AP2640" t="b">
        <v>0</v>
      </c>
      <c r="AQ2640" s="78" t="s">
        <v>4357</v>
      </c>
      <c r="AR2640" t="s">
        <v>179</v>
      </c>
      <c r="AS2640">
        <v>0</v>
      </c>
      <c r="AT2640">
        <v>0</v>
      </c>
    </row>
    <row r="2641" spans="1:46" x14ac:dyDescent="0.45">
      <c r="A2641" s="62" t="s">
        <v>1005</v>
      </c>
      <c r="B2641" s="62" t="s">
        <v>1204</v>
      </c>
      <c r="C2641" s="63"/>
      <c r="D2641" s="64"/>
      <c r="E2641" s="65"/>
      <c r="F2641" s="66"/>
      <c r="G2641" s="63"/>
      <c r="H2641" s="67"/>
      <c r="I2641" s="68"/>
      <c r="J2641" s="68"/>
      <c r="K2641" s="32"/>
      <c r="L2641" s="75"/>
      <c r="M2641" s="75"/>
      <c r="N2641" s="70"/>
      <c r="O2641" t="s">
        <v>1568</v>
      </c>
      <c r="P2641" s="76">
        <v>44959.121412037035</v>
      </c>
      <c r="Q2641" t="s">
        <v>2162</v>
      </c>
      <c r="V2641" s="77" t="str">
        <f>HYPERLINK("https://pbs.twimg.com/profile_images/1592821749942743040/RTtlCVIR_normal.jpg")</f>
        <v>https://pbs.twimg.com/profile_images/1592821749942743040/RTtlCVIR_normal.jpg</v>
      </c>
      <c r="W2641" s="76">
        <v>44959.121412037035</v>
      </c>
      <c r="X2641" s="80">
        <v>44959</v>
      </c>
      <c r="Y2641" s="78" t="s">
        <v>3293</v>
      </c>
      <c r="Z2641" s="77" t="str">
        <f>HYPERLINK("https://twitter.com/souravishwas96/status/1620979025903783936")</f>
        <v>https://twitter.com/souravishwas96/status/1620979025903783936</v>
      </c>
      <c r="AC2641" s="78" t="s">
        <v>4358</v>
      </c>
      <c r="AE2641" t="b">
        <v>0</v>
      </c>
      <c r="AF2641">
        <v>0</v>
      </c>
      <c r="AG2641" s="78" t="s">
        <v>4640</v>
      </c>
      <c r="AH2641" t="b">
        <v>0</v>
      </c>
      <c r="AI2641" t="s">
        <v>4829</v>
      </c>
      <c r="AK2641" s="78" t="s">
        <v>4640</v>
      </c>
      <c r="AL2641" t="b">
        <v>0</v>
      </c>
      <c r="AM2641">
        <v>0</v>
      </c>
      <c r="AN2641" s="78" t="s">
        <v>4640</v>
      </c>
      <c r="AO2641" s="78" t="s">
        <v>4850</v>
      </c>
      <c r="AP2641" t="b">
        <v>0</v>
      </c>
      <c r="AQ2641" s="78" t="s">
        <v>4358</v>
      </c>
      <c r="AR2641" t="s">
        <v>179</v>
      </c>
      <c r="AS2641">
        <v>0</v>
      </c>
      <c r="AT2641">
        <v>0</v>
      </c>
    </row>
    <row r="2642" spans="1:46" x14ac:dyDescent="0.45">
      <c r="A2642" s="62" t="s">
        <v>1005</v>
      </c>
      <c r="B2642" s="62" t="s">
        <v>1204</v>
      </c>
      <c r="C2642" s="63"/>
      <c r="D2642" s="64"/>
      <c r="E2642" s="65"/>
      <c r="F2642" s="66"/>
      <c r="G2642" s="63"/>
      <c r="H2642" s="67"/>
      <c r="I2642" s="68"/>
      <c r="J2642" s="68"/>
      <c r="K2642" s="32"/>
      <c r="L2642" s="75"/>
      <c r="M2642" s="75"/>
      <c r="N2642" s="70"/>
      <c r="O2642" t="s">
        <v>1568</v>
      </c>
      <c r="P2642" s="76">
        <v>44959.311053240737</v>
      </c>
      <c r="Q2642" t="s">
        <v>2163</v>
      </c>
      <c r="V2642" s="77" t="str">
        <f>HYPERLINK("https://pbs.twimg.com/profile_images/1592821749942743040/RTtlCVIR_normal.jpg")</f>
        <v>https://pbs.twimg.com/profile_images/1592821749942743040/RTtlCVIR_normal.jpg</v>
      </c>
      <c r="W2642" s="76">
        <v>44959.311053240737</v>
      </c>
      <c r="X2642" s="80">
        <v>44959</v>
      </c>
      <c r="Y2642" s="78" t="s">
        <v>3294</v>
      </c>
      <c r="Z2642" s="77" t="str">
        <f>HYPERLINK("https://twitter.com/souravishwas96/status/1621047746747846656")</f>
        <v>https://twitter.com/souravishwas96/status/1621047746747846656</v>
      </c>
      <c r="AC2642" s="78" t="s">
        <v>4359</v>
      </c>
      <c r="AE2642" t="b">
        <v>0</v>
      </c>
      <c r="AF2642">
        <v>0</v>
      </c>
      <c r="AG2642" s="78" t="s">
        <v>4640</v>
      </c>
      <c r="AH2642" t="b">
        <v>0</v>
      </c>
      <c r="AI2642" t="s">
        <v>4829</v>
      </c>
      <c r="AK2642" s="78" t="s">
        <v>4640</v>
      </c>
      <c r="AL2642" t="b">
        <v>0</v>
      </c>
      <c r="AM2642">
        <v>0</v>
      </c>
      <c r="AN2642" s="78" t="s">
        <v>4640</v>
      </c>
      <c r="AO2642" s="78" t="s">
        <v>4850</v>
      </c>
      <c r="AP2642" t="b">
        <v>0</v>
      </c>
      <c r="AQ2642" s="78" t="s">
        <v>4359</v>
      </c>
      <c r="AR2642" t="s">
        <v>179</v>
      </c>
      <c r="AS2642">
        <v>0</v>
      </c>
      <c r="AT2642">
        <v>0</v>
      </c>
    </row>
    <row r="2643" spans="1:46" x14ac:dyDescent="0.45">
      <c r="A2643" s="62" t="s">
        <v>1005</v>
      </c>
      <c r="B2643" s="62" t="s">
        <v>1487</v>
      </c>
      <c r="C2643" s="63"/>
      <c r="D2643" s="64"/>
      <c r="E2643" s="65"/>
      <c r="F2643" s="66"/>
      <c r="G2643" s="63"/>
      <c r="H2643" s="67"/>
      <c r="I2643" s="68"/>
      <c r="J2643" s="68"/>
      <c r="K2643" s="32"/>
      <c r="L2643" s="75"/>
      <c r="M2643" s="75"/>
      <c r="N2643" s="70"/>
      <c r="O2643" t="s">
        <v>1568</v>
      </c>
      <c r="P2643" s="76">
        <v>44959.121412037035</v>
      </c>
      <c r="Q2643" t="s">
        <v>2162</v>
      </c>
      <c r="V2643" s="77" t="str">
        <f>HYPERLINK("https://pbs.twimg.com/profile_images/1592821749942743040/RTtlCVIR_normal.jpg")</f>
        <v>https://pbs.twimg.com/profile_images/1592821749942743040/RTtlCVIR_normal.jpg</v>
      </c>
      <c r="W2643" s="76">
        <v>44959.121412037035</v>
      </c>
      <c r="X2643" s="80">
        <v>44959</v>
      </c>
      <c r="Y2643" s="78" t="s">
        <v>3293</v>
      </c>
      <c r="Z2643" s="77" t="str">
        <f>HYPERLINK("https://twitter.com/souravishwas96/status/1620979025903783936")</f>
        <v>https://twitter.com/souravishwas96/status/1620979025903783936</v>
      </c>
      <c r="AC2643" s="78" t="s">
        <v>4358</v>
      </c>
      <c r="AE2643" t="b">
        <v>0</v>
      </c>
      <c r="AF2643">
        <v>0</v>
      </c>
      <c r="AG2643" s="78" t="s">
        <v>4640</v>
      </c>
      <c r="AH2643" t="b">
        <v>0</v>
      </c>
      <c r="AI2643" t="s">
        <v>4829</v>
      </c>
      <c r="AK2643" s="78" t="s">
        <v>4640</v>
      </c>
      <c r="AL2643" t="b">
        <v>0</v>
      </c>
      <c r="AM2643">
        <v>0</v>
      </c>
      <c r="AN2643" s="78" t="s">
        <v>4640</v>
      </c>
      <c r="AO2643" s="78" t="s">
        <v>4850</v>
      </c>
      <c r="AP2643" t="b">
        <v>0</v>
      </c>
      <c r="AQ2643" s="78" t="s">
        <v>4358</v>
      </c>
      <c r="AR2643" t="s">
        <v>179</v>
      </c>
      <c r="AS2643">
        <v>0</v>
      </c>
      <c r="AT2643">
        <v>0</v>
      </c>
    </row>
    <row r="2644" spans="1:46" x14ac:dyDescent="0.45">
      <c r="A2644" s="62" t="s">
        <v>1005</v>
      </c>
      <c r="B2644" s="62" t="s">
        <v>1108</v>
      </c>
      <c r="C2644" s="63"/>
      <c r="D2644" s="64"/>
      <c r="E2644" s="65"/>
      <c r="F2644" s="66"/>
      <c r="G2644" s="63"/>
      <c r="H2644" s="67"/>
      <c r="I2644" s="68"/>
      <c r="J2644" s="68"/>
      <c r="K2644" s="32"/>
      <c r="L2644" s="75"/>
      <c r="M2644" s="75"/>
      <c r="N2644" s="70"/>
      <c r="O2644" t="s">
        <v>1568</v>
      </c>
      <c r="P2644" s="76">
        <v>44959.121412037035</v>
      </c>
      <c r="Q2644" t="s">
        <v>2162</v>
      </c>
      <c r="V2644" s="77" t="str">
        <f>HYPERLINK("https://pbs.twimg.com/profile_images/1592821749942743040/RTtlCVIR_normal.jpg")</f>
        <v>https://pbs.twimg.com/profile_images/1592821749942743040/RTtlCVIR_normal.jpg</v>
      </c>
      <c r="W2644" s="76">
        <v>44959.121412037035</v>
      </c>
      <c r="X2644" s="80">
        <v>44959</v>
      </c>
      <c r="Y2644" s="78" t="s">
        <v>3293</v>
      </c>
      <c r="Z2644" s="77" t="str">
        <f>HYPERLINK("https://twitter.com/souravishwas96/status/1620979025903783936")</f>
        <v>https://twitter.com/souravishwas96/status/1620979025903783936</v>
      </c>
      <c r="AC2644" s="78" t="s">
        <v>4358</v>
      </c>
      <c r="AE2644" t="b">
        <v>0</v>
      </c>
      <c r="AF2644">
        <v>0</v>
      </c>
      <c r="AG2644" s="78" t="s">
        <v>4640</v>
      </c>
      <c r="AH2644" t="b">
        <v>0</v>
      </c>
      <c r="AI2644" t="s">
        <v>4829</v>
      </c>
      <c r="AK2644" s="78" t="s">
        <v>4640</v>
      </c>
      <c r="AL2644" t="b">
        <v>0</v>
      </c>
      <c r="AM2644">
        <v>0</v>
      </c>
      <c r="AN2644" s="78" t="s">
        <v>4640</v>
      </c>
      <c r="AO2644" s="78" t="s">
        <v>4850</v>
      </c>
      <c r="AP2644" t="b">
        <v>0</v>
      </c>
      <c r="AQ2644" s="78" t="s">
        <v>4358</v>
      </c>
      <c r="AR2644" t="s">
        <v>179</v>
      </c>
      <c r="AS2644">
        <v>0</v>
      </c>
      <c r="AT2644">
        <v>0</v>
      </c>
    </row>
    <row r="2645" spans="1:46" x14ac:dyDescent="0.45">
      <c r="A2645" s="62" t="s">
        <v>1005</v>
      </c>
      <c r="B2645" s="62" t="s">
        <v>242</v>
      </c>
      <c r="C2645" s="63"/>
      <c r="D2645" s="64"/>
      <c r="E2645" s="65"/>
      <c r="F2645" s="66"/>
      <c r="G2645" s="63"/>
      <c r="H2645" s="67"/>
      <c r="I2645" s="68"/>
      <c r="J2645" s="68"/>
      <c r="K2645" s="32"/>
      <c r="L2645" s="75"/>
      <c r="M2645" s="75"/>
      <c r="N2645" s="70"/>
      <c r="O2645" t="s">
        <v>1568</v>
      </c>
      <c r="P2645" s="76">
        <v>44959.121412037035</v>
      </c>
      <c r="Q2645" t="s">
        <v>2162</v>
      </c>
      <c r="V2645" s="77" t="str">
        <f>HYPERLINK("https://pbs.twimg.com/profile_images/1592821749942743040/RTtlCVIR_normal.jpg")</f>
        <v>https://pbs.twimg.com/profile_images/1592821749942743040/RTtlCVIR_normal.jpg</v>
      </c>
      <c r="W2645" s="76">
        <v>44959.121412037035</v>
      </c>
      <c r="X2645" s="80">
        <v>44959</v>
      </c>
      <c r="Y2645" s="78" t="s">
        <v>3293</v>
      </c>
      <c r="Z2645" s="77" t="str">
        <f>HYPERLINK("https://twitter.com/souravishwas96/status/1620979025903783936")</f>
        <v>https://twitter.com/souravishwas96/status/1620979025903783936</v>
      </c>
      <c r="AC2645" s="78" t="s">
        <v>4358</v>
      </c>
      <c r="AE2645" t="b">
        <v>0</v>
      </c>
      <c r="AF2645">
        <v>0</v>
      </c>
      <c r="AG2645" s="78" t="s">
        <v>4640</v>
      </c>
      <c r="AH2645" t="b">
        <v>0</v>
      </c>
      <c r="AI2645" t="s">
        <v>4829</v>
      </c>
      <c r="AK2645" s="78" t="s">
        <v>4640</v>
      </c>
      <c r="AL2645" t="b">
        <v>0</v>
      </c>
      <c r="AM2645">
        <v>0</v>
      </c>
      <c r="AN2645" s="78" t="s">
        <v>4640</v>
      </c>
      <c r="AO2645" s="78" t="s">
        <v>4850</v>
      </c>
      <c r="AP2645" t="b">
        <v>0</v>
      </c>
      <c r="AQ2645" s="78" t="s">
        <v>4358</v>
      </c>
      <c r="AR2645" t="s">
        <v>179</v>
      </c>
      <c r="AS2645">
        <v>0</v>
      </c>
      <c r="AT2645">
        <v>0</v>
      </c>
    </row>
    <row r="2646" spans="1:46" x14ac:dyDescent="0.45">
      <c r="A2646" s="62" t="s">
        <v>1005</v>
      </c>
      <c r="B2646" s="62" t="s">
        <v>1110</v>
      </c>
      <c r="C2646" s="63"/>
      <c r="D2646" s="64"/>
      <c r="E2646" s="65"/>
      <c r="F2646" s="66"/>
      <c r="G2646" s="63"/>
      <c r="H2646" s="67"/>
      <c r="I2646" s="68"/>
      <c r="J2646" s="68"/>
      <c r="K2646" s="32"/>
      <c r="L2646" s="75"/>
      <c r="M2646" s="75"/>
      <c r="N2646" s="70"/>
      <c r="O2646" t="s">
        <v>1568</v>
      </c>
      <c r="P2646" s="76">
        <v>44959.121412037035</v>
      </c>
      <c r="Q2646" t="s">
        <v>2162</v>
      </c>
      <c r="V2646" s="77" t="str">
        <f>HYPERLINK("https://pbs.twimg.com/profile_images/1592821749942743040/RTtlCVIR_normal.jpg")</f>
        <v>https://pbs.twimg.com/profile_images/1592821749942743040/RTtlCVIR_normal.jpg</v>
      </c>
      <c r="W2646" s="76">
        <v>44959.121412037035</v>
      </c>
      <c r="X2646" s="80">
        <v>44959</v>
      </c>
      <c r="Y2646" s="78" t="s">
        <v>3293</v>
      </c>
      <c r="Z2646" s="77" t="str">
        <f>HYPERLINK("https://twitter.com/souravishwas96/status/1620979025903783936")</f>
        <v>https://twitter.com/souravishwas96/status/1620979025903783936</v>
      </c>
      <c r="AC2646" s="78" t="s">
        <v>4358</v>
      </c>
      <c r="AE2646" t="b">
        <v>0</v>
      </c>
      <c r="AF2646">
        <v>0</v>
      </c>
      <c r="AG2646" s="78" t="s">
        <v>4640</v>
      </c>
      <c r="AH2646" t="b">
        <v>0</v>
      </c>
      <c r="AI2646" t="s">
        <v>4829</v>
      </c>
      <c r="AK2646" s="78" t="s">
        <v>4640</v>
      </c>
      <c r="AL2646" t="b">
        <v>0</v>
      </c>
      <c r="AM2646">
        <v>0</v>
      </c>
      <c r="AN2646" s="78" t="s">
        <v>4640</v>
      </c>
      <c r="AO2646" s="78" t="s">
        <v>4850</v>
      </c>
      <c r="AP2646" t="b">
        <v>0</v>
      </c>
      <c r="AQ2646" s="78" t="s">
        <v>4358</v>
      </c>
      <c r="AR2646" t="s">
        <v>179</v>
      </c>
      <c r="AS2646">
        <v>0</v>
      </c>
      <c r="AT2646">
        <v>0</v>
      </c>
    </row>
    <row r="2647" spans="1:46" x14ac:dyDescent="0.45">
      <c r="A2647" s="62" t="s">
        <v>1005</v>
      </c>
      <c r="B2647" s="62" t="s">
        <v>1109</v>
      </c>
      <c r="C2647" s="63"/>
      <c r="D2647" s="64"/>
      <c r="E2647" s="65"/>
      <c r="F2647" s="66"/>
      <c r="G2647" s="63"/>
      <c r="H2647" s="67"/>
      <c r="I2647" s="68"/>
      <c r="J2647" s="68"/>
      <c r="K2647" s="32"/>
      <c r="L2647" s="75"/>
      <c r="M2647" s="75"/>
      <c r="N2647" s="70"/>
      <c r="O2647" t="s">
        <v>1568</v>
      </c>
      <c r="P2647" s="76">
        <v>44959.121412037035</v>
      </c>
      <c r="Q2647" t="s">
        <v>2162</v>
      </c>
      <c r="V2647" s="77" t="str">
        <f>HYPERLINK("https://pbs.twimg.com/profile_images/1592821749942743040/RTtlCVIR_normal.jpg")</f>
        <v>https://pbs.twimg.com/profile_images/1592821749942743040/RTtlCVIR_normal.jpg</v>
      </c>
      <c r="W2647" s="76">
        <v>44959.121412037035</v>
      </c>
      <c r="X2647" s="80">
        <v>44959</v>
      </c>
      <c r="Y2647" s="78" t="s">
        <v>3293</v>
      </c>
      <c r="Z2647" s="77" t="str">
        <f>HYPERLINK("https://twitter.com/souravishwas96/status/1620979025903783936")</f>
        <v>https://twitter.com/souravishwas96/status/1620979025903783936</v>
      </c>
      <c r="AC2647" s="78" t="s">
        <v>4358</v>
      </c>
      <c r="AE2647" t="b">
        <v>0</v>
      </c>
      <c r="AF2647">
        <v>0</v>
      </c>
      <c r="AG2647" s="78" t="s">
        <v>4640</v>
      </c>
      <c r="AH2647" t="b">
        <v>0</v>
      </c>
      <c r="AI2647" t="s">
        <v>4829</v>
      </c>
      <c r="AK2647" s="78" t="s">
        <v>4640</v>
      </c>
      <c r="AL2647" t="b">
        <v>0</v>
      </c>
      <c r="AM2647">
        <v>0</v>
      </c>
      <c r="AN2647" s="78" t="s">
        <v>4640</v>
      </c>
      <c r="AO2647" s="78" t="s">
        <v>4850</v>
      </c>
      <c r="AP2647" t="b">
        <v>0</v>
      </c>
      <c r="AQ2647" s="78" t="s">
        <v>4358</v>
      </c>
      <c r="AR2647" t="s">
        <v>179</v>
      </c>
      <c r="AS2647">
        <v>0</v>
      </c>
      <c r="AT2647">
        <v>0</v>
      </c>
    </row>
    <row r="2648" spans="1:46" x14ac:dyDescent="0.45">
      <c r="A2648" s="62" t="s">
        <v>1005</v>
      </c>
      <c r="B2648" s="62" t="s">
        <v>1108</v>
      </c>
      <c r="C2648" s="63"/>
      <c r="D2648" s="64"/>
      <c r="E2648" s="65"/>
      <c r="F2648" s="66"/>
      <c r="G2648" s="63"/>
      <c r="H2648" s="67"/>
      <c r="I2648" s="68"/>
      <c r="J2648" s="68"/>
      <c r="K2648" s="32"/>
      <c r="L2648" s="75"/>
      <c r="M2648" s="75"/>
      <c r="N2648" s="70"/>
      <c r="O2648" t="s">
        <v>1568</v>
      </c>
      <c r="P2648" s="76">
        <v>44959.311053240737</v>
      </c>
      <c r="Q2648" t="s">
        <v>2163</v>
      </c>
      <c r="V2648" s="77" t="str">
        <f>HYPERLINK("https://pbs.twimg.com/profile_images/1592821749942743040/RTtlCVIR_normal.jpg")</f>
        <v>https://pbs.twimg.com/profile_images/1592821749942743040/RTtlCVIR_normal.jpg</v>
      </c>
      <c r="W2648" s="76">
        <v>44959.311053240737</v>
      </c>
      <c r="X2648" s="80">
        <v>44959</v>
      </c>
      <c r="Y2648" s="78" t="s">
        <v>3294</v>
      </c>
      <c r="Z2648" s="77" t="str">
        <f>HYPERLINK("https://twitter.com/souravishwas96/status/1621047746747846656")</f>
        <v>https://twitter.com/souravishwas96/status/1621047746747846656</v>
      </c>
      <c r="AC2648" s="78" t="s">
        <v>4359</v>
      </c>
      <c r="AE2648" t="b">
        <v>0</v>
      </c>
      <c r="AF2648">
        <v>0</v>
      </c>
      <c r="AG2648" s="78" t="s">
        <v>4640</v>
      </c>
      <c r="AH2648" t="b">
        <v>0</v>
      </c>
      <c r="AI2648" t="s">
        <v>4829</v>
      </c>
      <c r="AK2648" s="78" t="s">
        <v>4640</v>
      </c>
      <c r="AL2648" t="b">
        <v>0</v>
      </c>
      <c r="AM2648">
        <v>0</v>
      </c>
      <c r="AN2648" s="78" t="s">
        <v>4640</v>
      </c>
      <c r="AO2648" s="78" t="s">
        <v>4850</v>
      </c>
      <c r="AP2648" t="b">
        <v>0</v>
      </c>
      <c r="AQ2648" s="78" t="s">
        <v>4359</v>
      </c>
      <c r="AR2648" t="s">
        <v>179</v>
      </c>
      <c r="AS2648">
        <v>0</v>
      </c>
      <c r="AT2648">
        <v>0</v>
      </c>
    </row>
    <row r="2649" spans="1:46" x14ac:dyDescent="0.45">
      <c r="A2649" s="62" t="s">
        <v>1005</v>
      </c>
      <c r="B2649" s="62" t="s">
        <v>242</v>
      </c>
      <c r="C2649" s="63"/>
      <c r="D2649" s="64"/>
      <c r="E2649" s="65"/>
      <c r="F2649" s="66"/>
      <c r="G2649" s="63"/>
      <c r="H2649" s="67"/>
      <c r="I2649" s="68"/>
      <c r="J2649" s="68"/>
      <c r="K2649" s="32"/>
      <c r="L2649" s="75"/>
      <c r="M2649" s="75"/>
      <c r="N2649" s="70"/>
      <c r="O2649" t="s">
        <v>1568</v>
      </c>
      <c r="P2649" s="76">
        <v>44959.311053240737</v>
      </c>
      <c r="Q2649" t="s">
        <v>2163</v>
      </c>
      <c r="V2649" s="77" t="str">
        <f>HYPERLINK("https://pbs.twimg.com/profile_images/1592821749942743040/RTtlCVIR_normal.jpg")</f>
        <v>https://pbs.twimg.com/profile_images/1592821749942743040/RTtlCVIR_normal.jpg</v>
      </c>
      <c r="W2649" s="76">
        <v>44959.311053240737</v>
      </c>
      <c r="X2649" s="80">
        <v>44959</v>
      </c>
      <c r="Y2649" s="78" t="s">
        <v>3294</v>
      </c>
      <c r="Z2649" s="77" t="str">
        <f>HYPERLINK("https://twitter.com/souravishwas96/status/1621047746747846656")</f>
        <v>https://twitter.com/souravishwas96/status/1621047746747846656</v>
      </c>
      <c r="AC2649" s="78" t="s">
        <v>4359</v>
      </c>
      <c r="AE2649" t="b">
        <v>0</v>
      </c>
      <c r="AF2649">
        <v>0</v>
      </c>
      <c r="AG2649" s="78" t="s">
        <v>4640</v>
      </c>
      <c r="AH2649" t="b">
        <v>0</v>
      </c>
      <c r="AI2649" t="s">
        <v>4829</v>
      </c>
      <c r="AK2649" s="78" t="s">
        <v>4640</v>
      </c>
      <c r="AL2649" t="b">
        <v>0</v>
      </c>
      <c r="AM2649">
        <v>0</v>
      </c>
      <c r="AN2649" s="78" t="s">
        <v>4640</v>
      </c>
      <c r="AO2649" s="78" t="s">
        <v>4850</v>
      </c>
      <c r="AP2649" t="b">
        <v>0</v>
      </c>
      <c r="AQ2649" s="78" t="s">
        <v>4359</v>
      </c>
      <c r="AR2649" t="s">
        <v>179</v>
      </c>
      <c r="AS2649">
        <v>0</v>
      </c>
      <c r="AT2649">
        <v>0</v>
      </c>
    </row>
    <row r="2650" spans="1:46" x14ac:dyDescent="0.45">
      <c r="A2650" s="62" t="s">
        <v>1005</v>
      </c>
      <c r="B2650" s="62" t="s">
        <v>1110</v>
      </c>
      <c r="C2650" s="63"/>
      <c r="D2650" s="64"/>
      <c r="E2650" s="65"/>
      <c r="F2650" s="66"/>
      <c r="G2650" s="63"/>
      <c r="H2650" s="67"/>
      <c r="I2650" s="68"/>
      <c r="J2650" s="68"/>
      <c r="K2650" s="32"/>
      <c r="L2650" s="75"/>
      <c r="M2650" s="75"/>
      <c r="N2650" s="70"/>
      <c r="O2650" t="s">
        <v>1568</v>
      </c>
      <c r="P2650" s="76">
        <v>44959.311053240737</v>
      </c>
      <c r="Q2650" t="s">
        <v>2163</v>
      </c>
      <c r="V2650" s="77" t="str">
        <f>HYPERLINK("https://pbs.twimg.com/profile_images/1592821749942743040/RTtlCVIR_normal.jpg")</f>
        <v>https://pbs.twimg.com/profile_images/1592821749942743040/RTtlCVIR_normal.jpg</v>
      </c>
      <c r="W2650" s="76">
        <v>44959.311053240737</v>
      </c>
      <c r="X2650" s="80">
        <v>44959</v>
      </c>
      <c r="Y2650" s="78" t="s">
        <v>3294</v>
      </c>
      <c r="Z2650" s="77" t="str">
        <f>HYPERLINK("https://twitter.com/souravishwas96/status/1621047746747846656")</f>
        <v>https://twitter.com/souravishwas96/status/1621047746747846656</v>
      </c>
      <c r="AC2650" s="78" t="s">
        <v>4359</v>
      </c>
      <c r="AE2650" t="b">
        <v>0</v>
      </c>
      <c r="AF2650">
        <v>0</v>
      </c>
      <c r="AG2650" s="78" t="s">
        <v>4640</v>
      </c>
      <c r="AH2650" t="b">
        <v>0</v>
      </c>
      <c r="AI2650" t="s">
        <v>4829</v>
      </c>
      <c r="AK2650" s="78" t="s">
        <v>4640</v>
      </c>
      <c r="AL2650" t="b">
        <v>0</v>
      </c>
      <c r="AM2650">
        <v>0</v>
      </c>
      <c r="AN2650" s="78" t="s">
        <v>4640</v>
      </c>
      <c r="AO2650" s="78" t="s">
        <v>4850</v>
      </c>
      <c r="AP2650" t="b">
        <v>0</v>
      </c>
      <c r="AQ2650" s="78" t="s">
        <v>4359</v>
      </c>
      <c r="AR2650" t="s">
        <v>179</v>
      </c>
      <c r="AS2650">
        <v>0</v>
      </c>
      <c r="AT2650">
        <v>0</v>
      </c>
    </row>
    <row r="2651" spans="1:46" x14ac:dyDescent="0.45">
      <c r="A2651" s="62" t="s">
        <v>1005</v>
      </c>
      <c r="B2651" s="62" t="s">
        <v>1109</v>
      </c>
      <c r="C2651" s="63"/>
      <c r="D2651" s="64"/>
      <c r="E2651" s="65"/>
      <c r="F2651" s="66"/>
      <c r="G2651" s="63"/>
      <c r="H2651" s="67"/>
      <c r="I2651" s="68"/>
      <c r="J2651" s="68"/>
      <c r="K2651" s="32"/>
      <c r="L2651" s="75"/>
      <c r="M2651" s="75"/>
      <c r="N2651" s="70"/>
      <c r="O2651" t="s">
        <v>1568</v>
      </c>
      <c r="P2651" s="76">
        <v>44959.311053240737</v>
      </c>
      <c r="Q2651" t="s">
        <v>2163</v>
      </c>
      <c r="V2651" s="77" t="str">
        <f>HYPERLINK("https://pbs.twimg.com/profile_images/1592821749942743040/RTtlCVIR_normal.jpg")</f>
        <v>https://pbs.twimg.com/profile_images/1592821749942743040/RTtlCVIR_normal.jpg</v>
      </c>
      <c r="W2651" s="76">
        <v>44959.311053240737</v>
      </c>
      <c r="X2651" s="80">
        <v>44959</v>
      </c>
      <c r="Y2651" s="78" t="s">
        <v>3294</v>
      </c>
      <c r="Z2651" s="77" t="str">
        <f>HYPERLINK("https://twitter.com/souravishwas96/status/1621047746747846656")</f>
        <v>https://twitter.com/souravishwas96/status/1621047746747846656</v>
      </c>
      <c r="AC2651" s="78" t="s">
        <v>4359</v>
      </c>
      <c r="AE2651" t="b">
        <v>0</v>
      </c>
      <c r="AF2651">
        <v>0</v>
      </c>
      <c r="AG2651" s="78" t="s">
        <v>4640</v>
      </c>
      <c r="AH2651" t="b">
        <v>0</v>
      </c>
      <c r="AI2651" t="s">
        <v>4829</v>
      </c>
      <c r="AK2651" s="78" t="s">
        <v>4640</v>
      </c>
      <c r="AL2651" t="b">
        <v>0</v>
      </c>
      <c r="AM2651">
        <v>0</v>
      </c>
      <c r="AN2651" s="78" t="s">
        <v>4640</v>
      </c>
      <c r="AO2651" s="78" t="s">
        <v>4850</v>
      </c>
      <c r="AP2651" t="b">
        <v>0</v>
      </c>
      <c r="AQ2651" s="78" t="s">
        <v>4359</v>
      </c>
      <c r="AR2651" t="s">
        <v>179</v>
      </c>
      <c r="AS2651">
        <v>0</v>
      </c>
      <c r="AT2651">
        <v>0</v>
      </c>
    </row>
    <row r="2652" spans="1:46" x14ac:dyDescent="0.45">
      <c r="A2652" s="62" t="s">
        <v>1008</v>
      </c>
      <c r="B2652" s="62" t="s">
        <v>1230</v>
      </c>
      <c r="C2652" s="63"/>
      <c r="D2652" s="64"/>
      <c r="E2652" s="65"/>
      <c r="F2652" s="66"/>
      <c r="G2652" s="63"/>
      <c r="H2652" s="67"/>
      <c r="I2652" s="68"/>
      <c r="J2652" s="68"/>
      <c r="K2652" s="32"/>
      <c r="L2652" s="75"/>
      <c r="M2652" s="75"/>
      <c r="N2652" s="70"/>
      <c r="O2652" t="s">
        <v>1570</v>
      </c>
      <c r="P2652" s="76">
        <v>44959.325682870367</v>
      </c>
      <c r="Q2652" t="s">
        <v>1693</v>
      </c>
      <c r="V2652" s="77" t="str">
        <f>HYPERLINK("https://pbs.twimg.com/profile_images/1594554841761734656/DNui-z1a_normal.jpg")</f>
        <v>https://pbs.twimg.com/profile_images/1594554841761734656/DNui-z1a_normal.jpg</v>
      </c>
      <c r="W2652" s="76">
        <v>44959.325682870367</v>
      </c>
      <c r="X2652" s="80">
        <v>44959</v>
      </c>
      <c r="Y2652" s="78" t="s">
        <v>3298</v>
      </c>
      <c r="Z2652" s="77" t="str">
        <f>HYPERLINK("https://twitter.com/jkmileycyruss/status/1621053048025120768")</f>
        <v>https://twitter.com/jkmileycyruss/status/1621053048025120768</v>
      </c>
      <c r="AC2652" s="78" t="s">
        <v>4363</v>
      </c>
      <c r="AE2652" t="b">
        <v>0</v>
      </c>
      <c r="AF2652">
        <v>0</v>
      </c>
      <c r="AG2652" s="78" t="s">
        <v>4640</v>
      </c>
      <c r="AH2652" t="b">
        <v>0</v>
      </c>
      <c r="AI2652" t="s">
        <v>4829</v>
      </c>
      <c r="AK2652" s="78" t="s">
        <v>4640</v>
      </c>
      <c r="AL2652" t="b">
        <v>0</v>
      </c>
      <c r="AM2652">
        <v>162</v>
      </c>
      <c r="AN2652" s="78" t="s">
        <v>4473</v>
      </c>
      <c r="AO2652" s="78" t="s">
        <v>4849</v>
      </c>
      <c r="AP2652" t="b">
        <v>0</v>
      </c>
      <c r="AQ2652" s="78" t="s">
        <v>4473</v>
      </c>
      <c r="AR2652" t="s">
        <v>179</v>
      </c>
      <c r="AS2652">
        <v>0</v>
      </c>
      <c r="AT2652">
        <v>0</v>
      </c>
    </row>
    <row r="2653" spans="1:46" x14ac:dyDescent="0.45">
      <c r="A2653" s="62" t="s">
        <v>1008</v>
      </c>
      <c r="B2653" s="62" t="s">
        <v>242</v>
      </c>
      <c r="C2653" s="63"/>
      <c r="D2653" s="64"/>
      <c r="E2653" s="65"/>
      <c r="F2653" s="66"/>
      <c r="G2653" s="63"/>
      <c r="H2653" s="67"/>
      <c r="I2653" s="68"/>
      <c r="J2653" s="68"/>
      <c r="K2653" s="32"/>
      <c r="L2653" s="75"/>
      <c r="M2653" s="75"/>
      <c r="N2653" s="70"/>
      <c r="O2653" t="s">
        <v>1569</v>
      </c>
      <c r="P2653" s="76">
        <v>44959.325682870367</v>
      </c>
      <c r="Q2653" t="s">
        <v>1693</v>
      </c>
      <c r="V2653" s="77" t="str">
        <f>HYPERLINK("https://pbs.twimg.com/profile_images/1594554841761734656/DNui-z1a_normal.jpg")</f>
        <v>https://pbs.twimg.com/profile_images/1594554841761734656/DNui-z1a_normal.jpg</v>
      </c>
      <c r="W2653" s="76">
        <v>44959.325682870367</v>
      </c>
      <c r="X2653" s="80">
        <v>44959</v>
      </c>
      <c r="Y2653" s="78" t="s">
        <v>3298</v>
      </c>
      <c r="Z2653" s="77" t="str">
        <f>HYPERLINK("https://twitter.com/jkmileycyruss/status/1621053048025120768")</f>
        <v>https://twitter.com/jkmileycyruss/status/1621053048025120768</v>
      </c>
      <c r="AC2653" s="78" t="s">
        <v>4363</v>
      </c>
      <c r="AE2653" t="b">
        <v>0</v>
      </c>
      <c r="AF2653">
        <v>0</v>
      </c>
      <c r="AG2653" s="78" t="s">
        <v>4640</v>
      </c>
      <c r="AH2653" t="b">
        <v>0</v>
      </c>
      <c r="AI2653" t="s">
        <v>4829</v>
      </c>
      <c r="AK2653" s="78" t="s">
        <v>4640</v>
      </c>
      <c r="AL2653" t="b">
        <v>0</v>
      </c>
      <c r="AM2653">
        <v>162</v>
      </c>
      <c r="AN2653" s="78" t="s">
        <v>4473</v>
      </c>
      <c r="AO2653" s="78" t="s">
        <v>4849</v>
      </c>
      <c r="AP2653" t="b">
        <v>0</v>
      </c>
      <c r="AQ2653" s="78" t="s">
        <v>4473</v>
      </c>
      <c r="AR2653" t="s">
        <v>179</v>
      </c>
      <c r="AS2653">
        <v>0</v>
      </c>
      <c r="AT2653">
        <v>0</v>
      </c>
    </row>
    <row r="2654" spans="1:46" x14ac:dyDescent="0.45">
      <c r="A2654" s="62" t="s">
        <v>1009</v>
      </c>
      <c r="B2654" s="62" t="s">
        <v>242</v>
      </c>
      <c r="C2654" s="63"/>
      <c r="D2654" s="64"/>
      <c r="E2654" s="65"/>
      <c r="F2654" s="66"/>
      <c r="G2654" s="63"/>
      <c r="H2654" s="67"/>
      <c r="I2654" s="68"/>
      <c r="J2654" s="68"/>
      <c r="K2654" s="32"/>
      <c r="L2654" s="75"/>
      <c r="M2654" s="75"/>
      <c r="N2654" s="70"/>
      <c r="O2654" t="s">
        <v>1568</v>
      </c>
      <c r="P2654" s="76">
        <v>44959.326388888891</v>
      </c>
      <c r="Q2654" t="s">
        <v>2164</v>
      </c>
      <c r="V2654" s="77" t="str">
        <f>HYPERLINK("https://pbs.twimg.com/profile_images/1604666527021944832/mocJBVHN_normal.jpg")</f>
        <v>https://pbs.twimg.com/profile_images/1604666527021944832/mocJBVHN_normal.jpg</v>
      </c>
      <c r="W2654" s="76">
        <v>44959.326388888891</v>
      </c>
      <c r="X2654" s="80">
        <v>44959</v>
      </c>
      <c r="Y2654" s="78" t="s">
        <v>3299</v>
      </c>
      <c r="Z2654" s="77" t="str">
        <f>HYPERLINK("https://twitter.com/mysticalmaven/status/1621053306297798657")</f>
        <v>https://twitter.com/mysticalmaven/status/1621053306297798657</v>
      </c>
      <c r="AC2654" s="78" t="s">
        <v>4364</v>
      </c>
      <c r="AD2654" s="78" t="s">
        <v>4445</v>
      </c>
      <c r="AE2654" t="b">
        <v>0</v>
      </c>
      <c r="AF2654">
        <v>0</v>
      </c>
      <c r="AG2654" s="78" t="s">
        <v>4791</v>
      </c>
      <c r="AH2654" t="b">
        <v>0</v>
      </c>
      <c r="AI2654" t="s">
        <v>4829</v>
      </c>
      <c r="AK2654" s="78" t="s">
        <v>4640</v>
      </c>
      <c r="AL2654" t="b">
        <v>0</v>
      </c>
      <c r="AM2654">
        <v>0</v>
      </c>
      <c r="AN2654" s="78" t="s">
        <v>4640</v>
      </c>
      <c r="AO2654" s="78" t="s">
        <v>4850</v>
      </c>
      <c r="AP2654" t="b">
        <v>0</v>
      </c>
      <c r="AQ2654" s="78" t="s">
        <v>4445</v>
      </c>
      <c r="AR2654" t="s">
        <v>179</v>
      </c>
      <c r="AS2654">
        <v>0</v>
      </c>
      <c r="AT2654">
        <v>0</v>
      </c>
    </row>
    <row r="2655" spans="1:46" x14ac:dyDescent="0.45">
      <c r="A2655" s="62" t="s">
        <v>1009</v>
      </c>
      <c r="B2655" s="62" t="s">
        <v>1067</v>
      </c>
      <c r="C2655" s="63"/>
      <c r="D2655" s="64"/>
      <c r="E2655" s="65"/>
      <c r="F2655" s="66"/>
      <c r="G2655" s="63"/>
      <c r="H2655" s="67"/>
      <c r="I2655" s="68"/>
      <c r="J2655" s="68"/>
      <c r="K2655" s="32"/>
      <c r="L2655" s="75"/>
      <c r="M2655" s="75"/>
      <c r="N2655" s="70"/>
      <c r="O2655" t="s">
        <v>1567</v>
      </c>
      <c r="P2655" s="76">
        <v>44959.326388888891</v>
      </c>
      <c r="Q2655" t="s">
        <v>2164</v>
      </c>
      <c r="V2655" s="77" t="str">
        <f>HYPERLINK("https://pbs.twimg.com/profile_images/1604666527021944832/mocJBVHN_normal.jpg")</f>
        <v>https://pbs.twimg.com/profile_images/1604666527021944832/mocJBVHN_normal.jpg</v>
      </c>
      <c r="W2655" s="76">
        <v>44959.326388888891</v>
      </c>
      <c r="X2655" s="80">
        <v>44959</v>
      </c>
      <c r="Y2655" s="78" t="s">
        <v>3299</v>
      </c>
      <c r="Z2655" s="77" t="str">
        <f>HYPERLINK("https://twitter.com/mysticalmaven/status/1621053306297798657")</f>
        <v>https://twitter.com/mysticalmaven/status/1621053306297798657</v>
      </c>
      <c r="AC2655" s="78" t="s">
        <v>4364</v>
      </c>
      <c r="AD2655" s="78" t="s">
        <v>4445</v>
      </c>
      <c r="AE2655" t="b">
        <v>0</v>
      </c>
      <c r="AF2655">
        <v>0</v>
      </c>
      <c r="AG2655" s="78" t="s">
        <v>4791</v>
      </c>
      <c r="AH2655" t="b">
        <v>0</v>
      </c>
      <c r="AI2655" t="s">
        <v>4829</v>
      </c>
      <c r="AK2655" s="78" t="s">
        <v>4640</v>
      </c>
      <c r="AL2655" t="b">
        <v>0</v>
      </c>
      <c r="AM2655">
        <v>0</v>
      </c>
      <c r="AN2655" s="78" t="s">
        <v>4640</v>
      </c>
      <c r="AO2655" s="78" t="s">
        <v>4850</v>
      </c>
      <c r="AP2655" t="b">
        <v>0</v>
      </c>
      <c r="AQ2655" s="78" t="s">
        <v>4445</v>
      </c>
      <c r="AR2655" t="s">
        <v>179</v>
      </c>
      <c r="AS2655">
        <v>0</v>
      </c>
      <c r="AT2655">
        <v>0</v>
      </c>
    </row>
    <row r="2656" spans="1:46" x14ac:dyDescent="0.45">
      <c r="A2656" s="62" t="s">
        <v>1012</v>
      </c>
      <c r="B2656" s="62" t="s">
        <v>242</v>
      </c>
      <c r="C2656" s="63"/>
      <c r="D2656" s="64"/>
      <c r="E2656" s="65"/>
      <c r="F2656" s="66"/>
      <c r="G2656" s="63"/>
      <c r="H2656" s="67"/>
      <c r="I2656" s="68"/>
      <c r="J2656" s="68"/>
      <c r="K2656" s="32"/>
      <c r="L2656" s="75"/>
      <c r="M2656" s="75"/>
      <c r="N2656" s="70"/>
      <c r="O2656" t="s">
        <v>1570</v>
      </c>
      <c r="P2656" s="76">
        <v>44959.347361111111</v>
      </c>
      <c r="Q2656" t="s">
        <v>2168</v>
      </c>
      <c r="V2656" s="77" t="str">
        <f>HYPERLINK("https://pbs.twimg.com/profile_images/1612132652735242242/BSTs2F1q_normal.jpg")</f>
        <v>https://pbs.twimg.com/profile_images/1612132652735242242/BSTs2F1q_normal.jpg</v>
      </c>
      <c r="W2656" s="76">
        <v>44959.347361111111</v>
      </c>
      <c r="X2656" s="80">
        <v>44959</v>
      </c>
      <c r="Y2656" s="78" t="s">
        <v>3305</v>
      </c>
      <c r="Z2656" s="77" t="str">
        <f>HYPERLINK("https://twitter.com/amity_alpha/status/1621060904963158016")</f>
        <v>https://twitter.com/amity_alpha/status/1621060904963158016</v>
      </c>
      <c r="AC2656" s="78" t="s">
        <v>4370</v>
      </c>
      <c r="AE2656" t="b">
        <v>0</v>
      </c>
      <c r="AF2656">
        <v>0</v>
      </c>
      <c r="AG2656" s="78" t="s">
        <v>4640</v>
      </c>
      <c r="AH2656" t="b">
        <v>0</v>
      </c>
      <c r="AI2656" t="s">
        <v>4829</v>
      </c>
      <c r="AK2656" s="78" t="s">
        <v>4640</v>
      </c>
      <c r="AL2656" t="b">
        <v>0</v>
      </c>
      <c r="AM2656">
        <v>1</v>
      </c>
      <c r="AN2656" s="78" t="s">
        <v>4445</v>
      </c>
      <c r="AO2656" s="78" t="s">
        <v>4850</v>
      </c>
      <c r="AP2656" t="b">
        <v>0</v>
      </c>
      <c r="AQ2656" s="78" t="s">
        <v>4445</v>
      </c>
      <c r="AR2656" t="s">
        <v>179</v>
      </c>
      <c r="AS2656">
        <v>0</v>
      </c>
      <c r="AT2656">
        <v>0</v>
      </c>
    </row>
    <row r="2657" spans="1:46" x14ac:dyDescent="0.45">
      <c r="A2657" s="62" t="s">
        <v>1012</v>
      </c>
      <c r="B2657" s="62" t="s">
        <v>1067</v>
      </c>
      <c r="C2657" s="63"/>
      <c r="D2657" s="64"/>
      <c r="E2657" s="65"/>
      <c r="F2657" s="66"/>
      <c r="G2657" s="63"/>
      <c r="H2657" s="67"/>
      <c r="I2657" s="68"/>
      <c r="J2657" s="68"/>
      <c r="K2657" s="32"/>
      <c r="L2657" s="75"/>
      <c r="M2657" s="75"/>
      <c r="N2657" s="70"/>
      <c r="O2657" t="s">
        <v>1569</v>
      </c>
      <c r="P2657" s="76">
        <v>44959.347361111111</v>
      </c>
      <c r="Q2657" t="s">
        <v>2168</v>
      </c>
      <c r="V2657" s="77" t="str">
        <f>HYPERLINK("https://pbs.twimg.com/profile_images/1612132652735242242/BSTs2F1q_normal.jpg")</f>
        <v>https://pbs.twimg.com/profile_images/1612132652735242242/BSTs2F1q_normal.jpg</v>
      </c>
      <c r="W2657" s="76">
        <v>44959.347361111111</v>
      </c>
      <c r="X2657" s="80">
        <v>44959</v>
      </c>
      <c r="Y2657" s="78" t="s">
        <v>3305</v>
      </c>
      <c r="Z2657" s="77" t="str">
        <f>HYPERLINK("https://twitter.com/amity_alpha/status/1621060904963158016")</f>
        <v>https://twitter.com/amity_alpha/status/1621060904963158016</v>
      </c>
      <c r="AC2657" s="78" t="s">
        <v>4370</v>
      </c>
      <c r="AE2657" t="b">
        <v>0</v>
      </c>
      <c r="AF2657">
        <v>0</v>
      </c>
      <c r="AG2657" s="78" t="s">
        <v>4640</v>
      </c>
      <c r="AH2657" t="b">
        <v>0</v>
      </c>
      <c r="AI2657" t="s">
        <v>4829</v>
      </c>
      <c r="AK2657" s="78" t="s">
        <v>4640</v>
      </c>
      <c r="AL2657" t="b">
        <v>0</v>
      </c>
      <c r="AM2657">
        <v>1</v>
      </c>
      <c r="AN2657" s="78" t="s">
        <v>4445</v>
      </c>
      <c r="AO2657" s="78" t="s">
        <v>4850</v>
      </c>
      <c r="AP2657" t="b">
        <v>0</v>
      </c>
      <c r="AQ2657" s="78" t="s">
        <v>4445</v>
      </c>
      <c r="AR2657" t="s">
        <v>179</v>
      </c>
      <c r="AS2657">
        <v>0</v>
      </c>
      <c r="AT2657">
        <v>0</v>
      </c>
    </row>
    <row r="2658" spans="1:46" x14ac:dyDescent="0.45">
      <c r="A2658" s="62" t="s">
        <v>1015</v>
      </c>
      <c r="B2658" s="62" t="s">
        <v>1202</v>
      </c>
      <c r="C2658" s="63"/>
      <c r="D2658" s="64"/>
      <c r="E2658" s="65"/>
      <c r="F2658" s="66"/>
      <c r="G2658" s="63"/>
      <c r="H2658" s="67"/>
      <c r="I2658" s="68"/>
      <c r="J2658" s="68"/>
      <c r="K2658" s="32"/>
      <c r="L2658" s="75"/>
      <c r="M2658" s="75"/>
      <c r="N2658" s="70"/>
      <c r="O2658" t="s">
        <v>1568</v>
      </c>
      <c r="P2658" s="76">
        <v>44959.365034722221</v>
      </c>
      <c r="Q2658" t="s">
        <v>2171</v>
      </c>
      <c r="U2658" s="77" t="str">
        <f>HYPERLINK("https://pbs.twimg.com/media/Fn8vjnOXEAElsyO.jpg")</f>
        <v>https://pbs.twimg.com/media/Fn8vjnOXEAElsyO.jpg</v>
      </c>
      <c r="V2658" s="77" t="str">
        <f>HYPERLINK("https://pbs.twimg.com/media/Fn8vjnOXEAElsyO.jpg")</f>
        <v>https://pbs.twimg.com/media/Fn8vjnOXEAElsyO.jpg</v>
      </c>
      <c r="W2658" s="76">
        <v>44959.365034722221</v>
      </c>
      <c r="X2658" s="80">
        <v>44959</v>
      </c>
      <c r="Y2658" s="78" t="s">
        <v>3308</v>
      </c>
      <c r="Z2658" s="77" t="str">
        <f>HYPERLINK("https://twitter.com/grimgamingtech/status/1621067308713246722")</f>
        <v>https://twitter.com/grimgamingtech/status/1621067308713246722</v>
      </c>
      <c r="AC2658" s="78" t="s">
        <v>4373</v>
      </c>
      <c r="AE2658" t="b">
        <v>0</v>
      </c>
      <c r="AF2658">
        <v>0</v>
      </c>
      <c r="AG2658" s="78" t="s">
        <v>4642</v>
      </c>
      <c r="AH2658" t="b">
        <v>0</v>
      </c>
      <c r="AI2658" t="s">
        <v>4829</v>
      </c>
      <c r="AK2658" s="78" t="s">
        <v>4640</v>
      </c>
      <c r="AL2658" t="b">
        <v>0</v>
      </c>
      <c r="AM2658">
        <v>0</v>
      </c>
      <c r="AN2658" s="78" t="s">
        <v>4640</v>
      </c>
      <c r="AO2658" s="78" t="s">
        <v>4851</v>
      </c>
      <c r="AP2658" t="b">
        <v>0</v>
      </c>
      <c r="AQ2658" s="78" t="s">
        <v>4373</v>
      </c>
      <c r="AR2658" t="s">
        <v>179</v>
      </c>
      <c r="AS2658">
        <v>0</v>
      </c>
      <c r="AT2658">
        <v>0</v>
      </c>
    </row>
    <row r="2659" spans="1:46" x14ac:dyDescent="0.45">
      <c r="A2659" s="62" t="s">
        <v>1015</v>
      </c>
      <c r="B2659" s="62" t="s">
        <v>242</v>
      </c>
      <c r="C2659" s="63"/>
      <c r="D2659" s="64"/>
      <c r="E2659" s="65"/>
      <c r="F2659" s="66"/>
      <c r="G2659" s="63"/>
      <c r="H2659" s="67"/>
      <c r="I2659" s="68"/>
      <c r="J2659" s="68"/>
      <c r="K2659" s="32"/>
      <c r="L2659" s="75"/>
      <c r="M2659" s="75"/>
      <c r="N2659" s="70"/>
      <c r="O2659" t="s">
        <v>1568</v>
      </c>
      <c r="P2659" s="76">
        <v>44959.365034722221</v>
      </c>
      <c r="Q2659" t="s">
        <v>2171</v>
      </c>
      <c r="U2659" s="77" t="str">
        <f>HYPERLINK("https://pbs.twimg.com/media/Fn8vjnOXEAElsyO.jpg")</f>
        <v>https://pbs.twimg.com/media/Fn8vjnOXEAElsyO.jpg</v>
      </c>
      <c r="V2659" s="77" t="str">
        <f>HYPERLINK("https://pbs.twimg.com/media/Fn8vjnOXEAElsyO.jpg")</f>
        <v>https://pbs.twimg.com/media/Fn8vjnOXEAElsyO.jpg</v>
      </c>
      <c r="W2659" s="76">
        <v>44959.365034722221</v>
      </c>
      <c r="X2659" s="80">
        <v>44959</v>
      </c>
      <c r="Y2659" s="78" t="s">
        <v>3308</v>
      </c>
      <c r="Z2659" s="77" t="str">
        <f>HYPERLINK("https://twitter.com/grimgamingtech/status/1621067308713246722")</f>
        <v>https://twitter.com/grimgamingtech/status/1621067308713246722</v>
      </c>
      <c r="AC2659" s="78" t="s">
        <v>4373</v>
      </c>
      <c r="AE2659" t="b">
        <v>0</v>
      </c>
      <c r="AF2659">
        <v>0</v>
      </c>
      <c r="AG2659" s="78" t="s">
        <v>4642</v>
      </c>
      <c r="AH2659" t="b">
        <v>0</v>
      </c>
      <c r="AI2659" t="s">
        <v>4829</v>
      </c>
      <c r="AK2659" s="78" t="s">
        <v>4640</v>
      </c>
      <c r="AL2659" t="b">
        <v>0</v>
      </c>
      <c r="AM2659">
        <v>0</v>
      </c>
      <c r="AN2659" s="78" t="s">
        <v>4640</v>
      </c>
      <c r="AO2659" s="78" t="s">
        <v>4851</v>
      </c>
      <c r="AP2659" t="b">
        <v>0</v>
      </c>
      <c r="AQ2659" s="78" t="s">
        <v>4373</v>
      </c>
      <c r="AR2659" t="s">
        <v>179</v>
      </c>
      <c r="AS2659">
        <v>0</v>
      </c>
      <c r="AT2659">
        <v>0</v>
      </c>
    </row>
    <row r="2660" spans="1:46" x14ac:dyDescent="0.45">
      <c r="A2660" s="62" t="s">
        <v>1015</v>
      </c>
      <c r="B2660" s="62" t="s">
        <v>1109</v>
      </c>
      <c r="C2660" s="63"/>
      <c r="D2660" s="64"/>
      <c r="E2660" s="65"/>
      <c r="F2660" s="66"/>
      <c r="G2660" s="63"/>
      <c r="H2660" s="67"/>
      <c r="I2660" s="68"/>
      <c r="J2660" s="68"/>
      <c r="K2660" s="32"/>
      <c r="L2660" s="75"/>
      <c r="M2660" s="75"/>
      <c r="N2660" s="70"/>
      <c r="O2660" t="s">
        <v>1568</v>
      </c>
      <c r="P2660" s="76">
        <v>44959.365034722221</v>
      </c>
      <c r="Q2660" t="s">
        <v>2171</v>
      </c>
      <c r="U2660" s="77" t="str">
        <f>HYPERLINK("https://pbs.twimg.com/media/Fn8vjnOXEAElsyO.jpg")</f>
        <v>https://pbs.twimg.com/media/Fn8vjnOXEAElsyO.jpg</v>
      </c>
      <c r="V2660" s="77" t="str">
        <f>HYPERLINK("https://pbs.twimg.com/media/Fn8vjnOXEAElsyO.jpg")</f>
        <v>https://pbs.twimg.com/media/Fn8vjnOXEAElsyO.jpg</v>
      </c>
      <c r="W2660" s="76">
        <v>44959.365034722221</v>
      </c>
      <c r="X2660" s="80">
        <v>44959</v>
      </c>
      <c r="Y2660" s="78" t="s">
        <v>3308</v>
      </c>
      <c r="Z2660" s="77" t="str">
        <f>HYPERLINK("https://twitter.com/grimgamingtech/status/1621067308713246722")</f>
        <v>https://twitter.com/grimgamingtech/status/1621067308713246722</v>
      </c>
      <c r="AC2660" s="78" t="s">
        <v>4373</v>
      </c>
      <c r="AE2660" t="b">
        <v>0</v>
      </c>
      <c r="AF2660">
        <v>0</v>
      </c>
      <c r="AG2660" s="78" t="s">
        <v>4642</v>
      </c>
      <c r="AH2660" t="b">
        <v>0</v>
      </c>
      <c r="AI2660" t="s">
        <v>4829</v>
      </c>
      <c r="AK2660" s="78" t="s">
        <v>4640</v>
      </c>
      <c r="AL2660" t="b">
        <v>0</v>
      </c>
      <c r="AM2660">
        <v>0</v>
      </c>
      <c r="AN2660" s="78" t="s">
        <v>4640</v>
      </c>
      <c r="AO2660" s="78" t="s">
        <v>4851</v>
      </c>
      <c r="AP2660" t="b">
        <v>0</v>
      </c>
      <c r="AQ2660" s="78" t="s">
        <v>4373</v>
      </c>
      <c r="AR2660" t="s">
        <v>179</v>
      </c>
      <c r="AS2660">
        <v>0</v>
      </c>
      <c r="AT2660">
        <v>0</v>
      </c>
    </row>
    <row r="2661" spans="1:46" x14ac:dyDescent="0.45">
      <c r="A2661" s="62" t="s">
        <v>1015</v>
      </c>
      <c r="B2661" s="62" t="s">
        <v>1110</v>
      </c>
      <c r="C2661" s="63"/>
      <c r="D2661" s="64"/>
      <c r="E2661" s="65"/>
      <c r="F2661" s="66"/>
      <c r="G2661" s="63"/>
      <c r="H2661" s="67"/>
      <c r="I2661" s="68"/>
      <c r="J2661" s="68"/>
      <c r="K2661" s="32"/>
      <c r="L2661" s="75"/>
      <c r="M2661" s="75"/>
      <c r="N2661" s="70"/>
      <c r="O2661" t="s">
        <v>1567</v>
      </c>
      <c r="P2661" s="76">
        <v>44959.365034722221</v>
      </c>
      <c r="Q2661" t="s">
        <v>2171</v>
      </c>
      <c r="U2661" s="77" t="str">
        <f>HYPERLINK("https://pbs.twimg.com/media/Fn8vjnOXEAElsyO.jpg")</f>
        <v>https://pbs.twimg.com/media/Fn8vjnOXEAElsyO.jpg</v>
      </c>
      <c r="V2661" s="77" t="str">
        <f>HYPERLINK("https://pbs.twimg.com/media/Fn8vjnOXEAElsyO.jpg")</f>
        <v>https://pbs.twimg.com/media/Fn8vjnOXEAElsyO.jpg</v>
      </c>
      <c r="W2661" s="76">
        <v>44959.365034722221</v>
      </c>
      <c r="X2661" s="80">
        <v>44959</v>
      </c>
      <c r="Y2661" s="78" t="s">
        <v>3308</v>
      </c>
      <c r="Z2661" s="77" t="str">
        <f>HYPERLINK("https://twitter.com/grimgamingtech/status/1621067308713246722")</f>
        <v>https://twitter.com/grimgamingtech/status/1621067308713246722</v>
      </c>
      <c r="AC2661" s="78" t="s">
        <v>4373</v>
      </c>
      <c r="AE2661" t="b">
        <v>0</v>
      </c>
      <c r="AF2661">
        <v>0</v>
      </c>
      <c r="AG2661" s="78" t="s">
        <v>4642</v>
      </c>
      <c r="AH2661" t="b">
        <v>0</v>
      </c>
      <c r="AI2661" t="s">
        <v>4829</v>
      </c>
      <c r="AK2661" s="78" t="s">
        <v>4640</v>
      </c>
      <c r="AL2661" t="b">
        <v>0</v>
      </c>
      <c r="AM2661">
        <v>0</v>
      </c>
      <c r="AN2661" s="78" t="s">
        <v>4640</v>
      </c>
      <c r="AO2661" s="78" t="s">
        <v>4851</v>
      </c>
      <c r="AP2661" t="b">
        <v>0</v>
      </c>
      <c r="AQ2661" s="78" t="s">
        <v>4373</v>
      </c>
      <c r="AR2661" t="s">
        <v>179</v>
      </c>
      <c r="AS2661">
        <v>0</v>
      </c>
      <c r="AT2661">
        <v>0</v>
      </c>
    </row>
    <row r="2662" spans="1:46" x14ac:dyDescent="0.45">
      <c r="A2662" s="62" t="s">
        <v>1019</v>
      </c>
      <c r="B2662" s="62" t="s">
        <v>1496</v>
      </c>
      <c r="C2662" s="63"/>
      <c r="D2662" s="64"/>
      <c r="E2662" s="65"/>
      <c r="F2662" s="66"/>
      <c r="G2662" s="63"/>
      <c r="H2662" s="67"/>
      <c r="I2662" s="68"/>
      <c r="J2662" s="68"/>
      <c r="K2662" s="32"/>
      <c r="L2662" s="75"/>
      <c r="M2662" s="75"/>
      <c r="N2662" s="70"/>
      <c r="O2662" t="s">
        <v>1568</v>
      </c>
      <c r="P2662" s="76">
        <v>44958.666539351849</v>
      </c>
      <c r="Q2662" t="s">
        <v>2172</v>
      </c>
      <c r="V2662" s="77" t="str">
        <f>HYPERLINK("https://pbs.twimg.com/profile_images/1452970504910901249/Wsl1hn_3_normal.jpg")</f>
        <v>https://pbs.twimg.com/profile_images/1452970504910901249/Wsl1hn_3_normal.jpg</v>
      </c>
      <c r="W2662" s="76">
        <v>44958.666539351849</v>
      </c>
      <c r="X2662" s="80">
        <v>44958</v>
      </c>
      <c r="Y2662" s="78" t="s">
        <v>3312</v>
      </c>
      <c r="Z2662" s="77" t="str">
        <f>HYPERLINK("https://twitter.com/veniceawong/status/1620814183821631489")</f>
        <v>https://twitter.com/veniceawong/status/1620814183821631489</v>
      </c>
      <c r="AC2662" s="78" t="s">
        <v>4377</v>
      </c>
      <c r="AD2662" s="78" t="s">
        <v>4379</v>
      </c>
      <c r="AE2662" t="b">
        <v>0</v>
      </c>
      <c r="AF2662">
        <v>0</v>
      </c>
      <c r="AG2662" s="78" t="s">
        <v>4798</v>
      </c>
      <c r="AH2662" t="b">
        <v>0</v>
      </c>
      <c r="AI2662" t="s">
        <v>4829</v>
      </c>
      <c r="AK2662" s="78" t="s">
        <v>4640</v>
      </c>
      <c r="AL2662" t="b">
        <v>0</v>
      </c>
      <c r="AM2662">
        <v>0</v>
      </c>
      <c r="AN2662" s="78" t="s">
        <v>4640</v>
      </c>
      <c r="AO2662" s="78" t="s">
        <v>4849</v>
      </c>
      <c r="AP2662" t="b">
        <v>0</v>
      </c>
      <c r="AQ2662" s="78" t="s">
        <v>4379</v>
      </c>
      <c r="AR2662" t="s">
        <v>179</v>
      </c>
      <c r="AS2662">
        <v>0</v>
      </c>
      <c r="AT2662">
        <v>0</v>
      </c>
    </row>
    <row r="2663" spans="1:46" x14ac:dyDescent="0.45">
      <c r="A2663" s="62" t="s">
        <v>1019</v>
      </c>
      <c r="B2663" s="62" t="s">
        <v>1496</v>
      </c>
      <c r="C2663" s="63"/>
      <c r="D2663" s="64"/>
      <c r="E2663" s="65"/>
      <c r="F2663" s="66"/>
      <c r="G2663" s="63"/>
      <c r="H2663" s="67"/>
      <c r="I2663" s="68"/>
      <c r="J2663" s="68"/>
      <c r="K2663" s="32"/>
      <c r="L2663" s="75"/>
      <c r="M2663" s="75"/>
      <c r="N2663" s="70"/>
      <c r="O2663" t="s">
        <v>1568</v>
      </c>
      <c r="P2663" s="76">
        <v>44959.373159722221</v>
      </c>
      <c r="Q2663" t="s">
        <v>2172</v>
      </c>
      <c r="V2663" s="77" t="str">
        <f>HYPERLINK("https://pbs.twimg.com/profile_images/1452970504910901249/Wsl1hn_3_normal.jpg")</f>
        <v>https://pbs.twimg.com/profile_images/1452970504910901249/Wsl1hn_3_normal.jpg</v>
      </c>
      <c r="W2663" s="76">
        <v>44959.373159722221</v>
      </c>
      <c r="X2663" s="80">
        <v>44959</v>
      </c>
      <c r="Y2663" s="78" t="s">
        <v>3313</v>
      </c>
      <c r="Z2663" s="77" t="str">
        <f>HYPERLINK("https://twitter.com/veniceawong/status/1621070253978718208")</f>
        <v>https://twitter.com/veniceawong/status/1621070253978718208</v>
      </c>
      <c r="AC2663" s="78" t="s">
        <v>4378</v>
      </c>
      <c r="AD2663" s="78" t="s">
        <v>4380</v>
      </c>
      <c r="AE2663" t="b">
        <v>0</v>
      </c>
      <c r="AF2663">
        <v>0</v>
      </c>
      <c r="AG2663" s="78" t="s">
        <v>4798</v>
      </c>
      <c r="AH2663" t="b">
        <v>0</v>
      </c>
      <c r="AI2663" t="s">
        <v>4829</v>
      </c>
      <c r="AK2663" s="78" t="s">
        <v>4640</v>
      </c>
      <c r="AL2663" t="b">
        <v>0</v>
      </c>
      <c r="AM2663">
        <v>0</v>
      </c>
      <c r="AN2663" s="78" t="s">
        <v>4640</v>
      </c>
      <c r="AO2663" s="78" t="s">
        <v>4849</v>
      </c>
      <c r="AP2663" t="b">
        <v>0</v>
      </c>
      <c r="AQ2663" s="78" t="s">
        <v>4380</v>
      </c>
      <c r="AR2663" t="s">
        <v>179</v>
      </c>
      <c r="AS2663">
        <v>0</v>
      </c>
      <c r="AT2663">
        <v>0</v>
      </c>
    </row>
    <row r="2664" spans="1:46" x14ac:dyDescent="0.45">
      <c r="A2664" s="62" t="s">
        <v>1019</v>
      </c>
      <c r="B2664" s="62" t="s">
        <v>1020</v>
      </c>
      <c r="C2664" s="63"/>
      <c r="D2664" s="64"/>
      <c r="E2664" s="65"/>
      <c r="F2664" s="66"/>
      <c r="G2664" s="63"/>
      <c r="H2664" s="67"/>
      <c r="I2664" s="68"/>
      <c r="J2664" s="68"/>
      <c r="K2664" s="32"/>
      <c r="L2664" s="75"/>
      <c r="M2664" s="75"/>
      <c r="N2664" s="70"/>
      <c r="O2664" t="s">
        <v>1567</v>
      </c>
      <c r="P2664" s="76">
        <v>44958.666539351849</v>
      </c>
      <c r="Q2664" t="s">
        <v>2172</v>
      </c>
      <c r="V2664" s="77" t="str">
        <f>HYPERLINK("https://pbs.twimg.com/profile_images/1452970504910901249/Wsl1hn_3_normal.jpg")</f>
        <v>https://pbs.twimg.com/profile_images/1452970504910901249/Wsl1hn_3_normal.jpg</v>
      </c>
      <c r="W2664" s="76">
        <v>44958.666539351849</v>
      </c>
      <c r="X2664" s="80">
        <v>44958</v>
      </c>
      <c r="Y2664" s="78" t="s">
        <v>3312</v>
      </c>
      <c r="Z2664" s="77" t="str">
        <f>HYPERLINK("https://twitter.com/veniceawong/status/1620814183821631489")</f>
        <v>https://twitter.com/veniceawong/status/1620814183821631489</v>
      </c>
      <c r="AC2664" s="78" t="s">
        <v>4377</v>
      </c>
      <c r="AD2664" s="78" t="s">
        <v>4379</v>
      </c>
      <c r="AE2664" t="b">
        <v>0</v>
      </c>
      <c r="AF2664">
        <v>0</v>
      </c>
      <c r="AG2664" s="78" t="s">
        <v>4798</v>
      </c>
      <c r="AH2664" t="b">
        <v>0</v>
      </c>
      <c r="AI2664" t="s">
        <v>4829</v>
      </c>
      <c r="AK2664" s="78" t="s">
        <v>4640</v>
      </c>
      <c r="AL2664" t="b">
        <v>0</v>
      </c>
      <c r="AM2664">
        <v>0</v>
      </c>
      <c r="AN2664" s="78" t="s">
        <v>4640</v>
      </c>
      <c r="AO2664" s="78" t="s">
        <v>4849</v>
      </c>
      <c r="AP2664" t="b">
        <v>0</v>
      </c>
      <c r="AQ2664" s="78" t="s">
        <v>4379</v>
      </c>
      <c r="AR2664" t="s">
        <v>179</v>
      </c>
      <c r="AS2664">
        <v>0</v>
      </c>
      <c r="AT2664">
        <v>0</v>
      </c>
    </row>
    <row r="2665" spans="1:46" x14ac:dyDescent="0.45">
      <c r="A2665" s="62" t="s">
        <v>1019</v>
      </c>
      <c r="B2665" s="62" t="s">
        <v>1020</v>
      </c>
      <c r="C2665" s="63"/>
      <c r="D2665" s="64"/>
      <c r="E2665" s="65"/>
      <c r="F2665" s="66"/>
      <c r="G2665" s="63"/>
      <c r="H2665" s="67"/>
      <c r="I2665" s="68"/>
      <c r="J2665" s="68"/>
      <c r="K2665" s="32"/>
      <c r="L2665" s="75"/>
      <c r="M2665" s="75"/>
      <c r="N2665" s="70"/>
      <c r="O2665" t="s">
        <v>1567</v>
      </c>
      <c r="P2665" s="76">
        <v>44959.373159722221</v>
      </c>
      <c r="Q2665" t="s">
        <v>2172</v>
      </c>
      <c r="V2665" s="77" t="str">
        <f>HYPERLINK("https://pbs.twimg.com/profile_images/1452970504910901249/Wsl1hn_3_normal.jpg")</f>
        <v>https://pbs.twimg.com/profile_images/1452970504910901249/Wsl1hn_3_normal.jpg</v>
      </c>
      <c r="W2665" s="76">
        <v>44959.373159722221</v>
      </c>
      <c r="X2665" s="80">
        <v>44959</v>
      </c>
      <c r="Y2665" s="78" t="s">
        <v>3313</v>
      </c>
      <c r="Z2665" s="77" t="str">
        <f>HYPERLINK("https://twitter.com/veniceawong/status/1621070253978718208")</f>
        <v>https://twitter.com/veniceawong/status/1621070253978718208</v>
      </c>
      <c r="AC2665" s="78" t="s">
        <v>4378</v>
      </c>
      <c r="AD2665" s="78" t="s">
        <v>4380</v>
      </c>
      <c r="AE2665" t="b">
        <v>0</v>
      </c>
      <c r="AF2665">
        <v>0</v>
      </c>
      <c r="AG2665" s="78" t="s">
        <v>4798</v>
      </c>
      <c r="AH2665" t="b">
        <v>0</v>
      </c>
      <c r="AI2665" t="s">
        <v>4829</v>
      </c>
      <c r="AK2665" s="78" t="s">
        <v>4640</v>
      </c>
      <c r="AL2665" t="b">
        <v>0</v>
      </c>
      <c r="AM2665">
        <v>0</v>
      </c>
      <c r="AN2665" s="78" t="s">
        <v>4640</v>
      </c>
      <c r="AO2665" s="78" t="s">
        <v>4849</v>
      </c>
      <c r="AP2665" t="b">
        <v>0</v>
      </c>
      <c r="AQ2665" s="78" t="s">
        <v>4380</v>
      </c>
      <c r="AR2665" t="s">
        <v>179</v>
      </c>
      <c r="AS2665">
        <v>0</v>
      </c>
      <c r="AT2665">
        <v>0</v>
      </c>
    </row>
    <row r="2666" spans="1:46" x14ac:dyDescent="0.45">
      <c r="A2666" s="62" t="s">
        <v>1019</v>
      </c>
      <c r="B2666" s="62" t="s">
        <v>242</v>
      </c>
      <c r="C2666" s="63"/>
      <c r="D2666" s="64"/>
      <c r="E2666" s="65"/>
      <c r="F2666" s="66"/>
      <c r="G2666" s="63"/>
      <c r="H2666" s="67"/>
      <c r="I2666" s="68"/>
      <c r="J2666" s="68"/>
      <c r="K2666" s="32"/>
      <c r="L2666" s="75"/>
      <c r="M2666" s="75"/>
      <c r="N2666" s="70"/>
      <c r="O2666" t="s">
        <v>1568</v>
      </c>
      <c r="P2666" s="76">
        <v>44958.666539351849</v>
      </c>
      <c r="Q2666" t="s">
        <v>2172</v>
      </c>
      <c r="V2666" s="77" t="str">
        <f>HYPERLINK("https://pbs.twimg.com/profile_images/1452970504910901249/Wsl1hn_3_normal.jpg")</f>
        <v>https://pbs.twimg.com/profile_images/1452970504910901249/Wsl1hn_3_normal.jpg</v>
      </c>
      <c r="W2666" s="76">
        <v>44958.666539351849</v>
      </c>
      <c r="X2666" s="80">
        <v>44958</v>
      </c>
      <c r="Y2666" s="78" t="s">
        <v>3312</v>
      </c>
      <c r="Z2666" s="77" t="str">
        <f>HYPERLINK("https://twitter.com/veniceawong/status/1620814183821631489")</f>
        <v>https://twitter.com/veniceawong/status/1620814183821631489</v>
      </c>
      <c r="AC2666" s="78" t="s">
        <v>4377</v>
      </c>
      <c r="AD2666" s="78" t="s">
        <v>4379</v>
      </c>
      <c r="AE2666" t="b">
        <v>0</v>
      </c>
      <c r="AF2666">
        <v>0</v>
      </c>
      <c r="AG2666" s="78" t="s">
        <v>4798</v>
      </c>
      <c r="AH2666" t="b">
        <v>0</v>
      </c>
      <c r="AI2666" t="s">
        <v>4829</v>
      </c>
      <c r="AK2666" s="78" t="s">
        <v>4640</v>
      </c>
      <c r="AL2666" t="b">
        <v>0</v>
      </c>
      <c r="AM2666">
        <v>0</v>
      </c>
      <c r="AN2666" s="78" t="s">
        <v>4640</v>
      </c>
      <c r="AO2666" s="78" t="s">
        <v>4849</v>
      </c>
      <c r="AP2666" t="b">
        <v>0</v>
      </c>
      <c r="AQ2666" s="78" t="s">
        <v>4379</v>
      </c>
      <c r="AR2666" t="s">
        <v>179</v>
      </c>
      <c r="AS2666">
        <v>0</v>
      </c>
      <c r="AT2666">
        <v>0</v>
      </c>
    </row>
    <row r="2667" spans="1:46" x14ac:dyDescent="0.45">
      <c r="A2667" s="62" t="s">
        <v>1019</v>
      </c>
      <c r="B2667" s="62" t="s">
        <v>242</v>
      </c>
      <c r="C2667" s="63"/>
      <c r="D2667" s="64"/>
      <c r="E2667" s="65"/>
      <c r="F2667" s="66"/>
      <c r="G2667" s="63"/>
      <c r="H2667" s="67"/>
      <c r="I2667" s="68"/>
      <c r="J2667" s="68"/>
      <c r="K2667" s="32"/>
      <c r="L2667" s="75"/>
      <c r="M2667" s="75"/>
      <c r="N2667" s="70"/>
      <c r="O2667" t="s">
        <v>1568</v>
      </c>
      <c r="P2667" s="76">
        <v>44959.373159722221</v>
      </c>
      <c r="Q2667" t="s">
        <v>2172</v>
      </c>
      <c r="V2667" s="77" t="str">
        <f>HYPERLINK("https://pbs.twimg.com/profile_images/1452970504910901249/Wsl1hn_3_normal.jpg")</f>
        <v>https://pbs.twimg.com/profile_images/1452970504910901249/Wsl1hn_3_normal.jpg</v>
      </c>
      <c r="W2667" s="76">
        <v>44959.373159722221</v>
      </c>
      <c r="X2667" s="80">
        <v>44959</v>
      </c>
      <c r="Y2667" s="78" t="s">
        <v>3313</v>
      </c>
      <c r="Z2667" s="77" t="str">
        <f>HYPERLINK("https://twitter.com/veniceawong/status/1621070253978718208")</f>
        <v>https://twitter.com/veniceawong/status/1621070253978718208</v>
      </c>
      <c r="AC2667" s="78" t="s">
        <v>4378</v>
      </c>
      <c r="AD2667" s="78" t="s">
        <v>4380</v>
      </c>
      <c r="AE2667" t="b">
        <v>0</v>
      </c>
      <c r="AF2667">
        <v>0</v>
      </c>
      <c r="AG2667" s="78" t="s">
        <v>4798</v>
      </c>
      <c r="AH2667" t="b">
        <v>0</v>
      </c>
      <c r="AI2667" t="s">
        <v>4829</v>
      </c>
      <c r="AK2667" s="78" t="s">
        <v>4640</v>
      </c>
      <c r="AL2667" t="b">
        <v>0</v>
      </c>
      <c r="AM2667">
        <v>0</v>
      </c>
      <c r="AN2667" s="78" t="s">
        <v>4640</v>
      </c>
      <c r="AO2667" s="78" t="s">
        <v>4849</v>
      </c>
      <c r="AP2667" t="b">
        <v>0</v>
      </c>
      <c r="AQ2667" s="78" t="s">
        <v>4380</v>
      </c>
      <c r="AR2667" t="s">
        <v>179</v>
      </c>
      <c r="AS2667">
        <v>0</v>
      </c>
      <c r="AT2667">
        <v>0</v>
      </c>
    </row>
    <row r="2668" spans="1:46" x14ac:dyDescent="0.45">
      <c r="A2668" s="62" t="s">
        <v>1023</v>
      </c>
      <c r="B2668" s="62" t="s">
        <v>1159</v>
      </c>
      <c r="C2668" s="63"/>
      <c r="D2668" s="64"/>
      <c r="E2668" s="65"/>
      <c r="F2668" s="66"/>
      <c r="G2668" s="63"/>
      <c r="H2668" s="67"/>
      <c r="I2668" s="68"/>
      <c r="J2668" s="68"/>
      <c r="K2668" s="32"/>
      <c r="L2668" s="75"/>
      <c r="M2668" s="75"/>
      <c r="N2668" s="70"/>
      <c r="O2668" t="s">
        <v>1568</v>
      </c>
      <c r="P2668" s="76">
        <v>44959.382326388892</v>
      </c>
      <c r="Q2668" t="s">
        <v>2177</v>
      </c>
      <c r="V2668" s="77" t="str">
        <f>HYPERLINK("https://pbs.twimg.com/profile_images/1611427593450029057/BY8DrcXS_normal.jpg")</f>
        <v>https://pbs.twimg.com/profile_images/1611427593450029057/BY8DrcXS_normal.jpg</v>
      </c>
      <c r="W2668" s="76">
        <v>44959.382326388892</v>
      </c>
      <c r="X2668" s="80">
        <v>44959</v>
      </c>
      <c r="Y2668" s="78" t="s">
        <v>3320</v>
      </c>
      <c r="Z2668" s="77" t="str">
        <f>HYPERLINK("https://twitter.com/chris68946672/status/1621073575724851200")</f>
        <v>https://twitter.com/chris68946672/status/1621073575724851200</v>
      </c>
      <c r="AC2668" s="78" t="s">
        <v>4385</v>
      </c>
      <c r="AE2668" t="b">
        <v>0</v>
      </c>
      <c r="AF2668">
        <v>0</v>
      </c>
      <c r="AG2668" s="78" t="s">
        <v>4640</v>
      </c>
      <c r="AH2668" t="b">
        <v>0</v>
      </c>
      <c r="AI2668" t="s">
        <v>4829</v>
      </c>
      <c r="AK2668" s="78" t="s">
        <v>4640</v>
      </c>
      <c r="AL2668" t="b">
        <v>0</v>
      </c>
      <c r="AM2668">
        <v>0</v>
      </c>
      <c r="AN2668" s="78" t="s">
        <v>4640</v>
      </c>
      <c r="AO2668" s="78" t="s">
        <v>4849</v>
      </c>
      <c r="AP2668" t="b">
        <v>0</v>
      </c>
      <c r="AQ2668" s="78" t="s">
        <v>4385</v>
      </c>
      <c r="AR2668" t="s">
        <v>179</v>
      </c>
      <c r="AS2668">
        <v>0</v>
      </c>
      <c r="AT2668">
        <v>0</v>
      </c>
    </row>
    <row r="2669" spans="1:46" x14ac:dyDescent="0.45">
      <c r="A2669" s="62" t="s">
        <v>1023</v>
      </c>
      <c r="B2669" s="62" t="s">
        <v>242</v>
      </c>
      <c r="C2669" s="63"/>
      <c r="D2669" s="64"/>
      <c r="E2669" s="65"/>
      <c r="F2669" s="66"/>
      <c r="G2669" s="63"/>
      <c r="H2669" s="67"/>
      <c r="I2669" s="68"/>
      <c r="J2669" s="68"/>
      <c r="K2669" s="32"/>
      <c r="L2669" s="75"/>
      <c r="M2669" s="75"/>
      <c r="N2669" s="70"/>
      <c r="O2669" t="s">
        <v>1568</v>
      </c>
      <c r="P2669" s="76">
        <v>44959.382326388892</v>
      </c>
      <c r="Q2669" t="s">
        <v>2177</v>
      </c>
      <c r="V2669" s="77" t="str">
        <f>HYPERLINK("https://pbs.twimg.com/profile_images/1611427593450029057/BY8DrcXS_normal.jpg")</f>
        <v>https://pbs.twimg.com/profile_images/1611427593450029057/BY8DrcXS_normal.jpg</v>
      </c>
      <c r="W2669" s="76">
        <v>44959.382326388892</v>
      </c>
      <c r="X2669" s="80">
        <v>44959</v>
      </c>
      <c r="Y2669" s="78" t="s">
        <v>3320</v>
      </c>
      <c r="Z2669" s="77" t="str">
        <f>HYPERLINK("https://twitter.com/chris68946672/status/1621073575724851200")</f>
        <v>https://twitter.com/chris68946672/status/1621073575724851200</v>
      </c>
      <c r="AC2669" s="78" t="s">
        <v>4385</v>
      </c>
      <c r="AE2669" t="b">
        <v>0</v>
      </c>
      <c r="AF2669">
        <v>0</v>
      </c>
      <c r="AG2669" s="78" t="s">
        <v>4640</v>
      </c>
      <c r="AH2669" t="b">
        <v>0</v>
      </c>
      <c r="AI2669" t="s">
        <v>4829</v>
      </c>
      <c r="AK2669" s="78" t="s">
        <v>4640</v>
      </c>
      <c r="AL2669" t="b">
        <v>0</v>
      </c>
      <c r="AM2669">
        <v>0</v>
      </c>
      <c r="AN2669" s="78" t="s">
        <v>4640</v>
      </c>
      <c r="AO2669" s="78" t="s">
        <v>4849</v>
      </c>
      <c r="AP2669" t="b">
        <v>0</v>
      </c>
      <c r="AQ2669" s="78" t="s">
        <v>4385</v>
      </c>
      <c r="AR2669" t="s">
        <v>179</v>
      </c>
      <c r="AS2669">
        <v>0</v>
      </c>
      <c r="AT2669">
        <v>0</v>
      </c>
    </row>
    <row r="2670" spans="1:46" x14ac:dyDescent="0.45">
      <c r="A2670" s="62" t="s">
        <v>1024</v>
      </c>
      <c r="B2670" s="62" t="s">
        <v>242</v>
      </c>
      <c r="C2670" s="63"/>
      <c r="D2670" s="64"/>
      <c r="E2670" s="65"/>
      <c r="F2670" s="66"/>
      <c r="G2670" s="63"/>
      <c r="H2670" s="67"/>
      <c r="I2670" s="68"/>
      <c r="J2670" s="68"/>
      <c r="K2670" s="32"/>
      <c r="L2670" s="75"/>
      <c r="M2670" s="75"/>
      <c r="N2670" s="70"/>
      <c r="O2670" t="s">
        <v>1568</v>
      </c>
      <c r="P2670" s="76">
        <v>44959.398078703707</v>
      </c>
      <c r="Q2670" t="s">
        <v>2179</v>
      </c>
      <c r="V2670" s="77" t="str">
        <f>HYPERLINK("https://pbs.twimg.com/profile_images/1621078358187548673/zmtosl1K_normal.jpg")</f>
        <v>https://pbs.twimg.com/profile_images/1621078358187548673/zmtosl1K_normal.jpg</v>
      </c>
      <c r="W2670" s="76">
        <v>44959.398078703707</v>
      </c>
      <c r="X2670" s="80">
        <v>44959</v>
      </c>
      <c r="Y2670" s="78" t="s">
        <v>3322</v>
      </c>
      <c r="Z2670" s="77" t="str">
        <f>HYPERLINK("https://twitter.com/benbowers5/status/1621079285837479937")</f>
        <v>https://twitter.com/benbowers5/status/1621079285837479937</v>
      </c>
      <c r="AC2670" s="78" t="s">
        <v>4387</v>
      </c>
      <c r="AD2670" s="78" t="s">
        <v>4420</v>
      </c>
      <c r="AE2670" t="b">
        <v>0</v>
      </c>
      <c r="AF2670">
        <v>0</v>
      </c>
      <c r="AG2670" s="78" t="s">
        <v>4737</v>
      </c>
      <c r="AH2670" t="b">
        <v>0</v>
      </c>
      <c r="AI2670" t="s">
        <v>4829</v>
      </c>
      <c r="AK2670" s="78" t="s">
        <v>4640</v>
      </c>
      <c r="AL2670" t="b">
        <v>0</v>
      </c>
      <c r="AM2670">
        <v>0</v>
      </c>
      <c r="AN2670" s="78" t="s">
        <v>4640</v>
      </c>
      <c r="AO2670" s="78" t="s">
        <v>4849</v>
      </c>
      <c r="AP2670" t="b">
        <v>0</v>
      </c>
      <c r="AQ2670" s="78" t="s">
        <v>4420</v>
      </c>
      <c r="AR2670" t="s">
        <v>179</v>
      </c>
      <c r="AS2670">
        <v>0</v>
      </c>
      <c r="AT2670">
        <v>0</v>
      </c>
    </row>
    <row r="2671" spans="1:46" x14ac:dyDescent="0.45">
      <c r="A2671" s="62" t="s">
        <v>1024</v>
      </c>
      <c r="B2671" s="62" t="s">
        <v>1046</v>
      </c>
      <c r="C2671" s="63"/>
      <c r="D2671" s="64"/>
      <c r="E2671" s="65"/>
      <c r="F2671" s="66"/>
      <c r="G2671" s="63"/>
      <c r="H2671" s="67"/>
      <c r="I2671" s="68"/>
      <c r="J2671" s="68"/>
      <c r="K2671" s="32"/>
      <c r="L2671" s="75"/>
      <c r="M2671" s="75"/>
      <c r="N2671" s="70"/>
      <c r="O2671" t="s">
        <v>1567</v>
      </c>
      <c r="P2671" s="76">
        <v>44959.398078703707</v>
      </c>
      <c r="Q2671" t="s">
        <v>2179</v>
      </c>
      <c r="V2671" s="77" t="str">
        <f>HYPERLINK("https://pbs.twimg.com/profile_images/1621078358187548673/zmtosl1K_normal.jpg")</f>
        <v>https://pbs.twimg.com/profile_images/1621078358187548673/zmtosl1K_normal.jpg</v>
      </c>
      <c r="W2671" s="76">
        <v>44959.398078703707</v>
      </c>
      <c r="X2671" s="80">
        <v>44959</v>
      </c>
      <c r="Y2671" s="78" t="s">
        <v>3322</v>
      </c>
      <c r="Z2671" s="77" t="str">
        <f>HYPERLINK("https://twitter.com/benbowers5/status/1621079285837479937")</f>
        <v>https://twitter.com/benbowers5/status/1621079285837479937</v>
      </c>
      <c r="AC2671" s="78" t="s">
        <v>4387</v>
      </c>
      <c r="AD2671" s="78" t="s">
        <v>4420</v>
      </c>
      <c r="AE2671" t="b">
        <v>0</v>
      </c>
      <c r="AF2671">
        <v>0</v>
      </c>
      <c r="AG2671" s="78" t="s">
        <v>4737</v>
      </c>
      <c r="AH2671" t="b">
        <v>0</v>
      </c>
      <c r="AI2671" t="s">
        <v>4829</v>
      </c>
      <c r="AK2671" s="78" t="s">
        <v>4640</v>
      </c>
      <c r="AL2671" t="b">
        <v>0</v>
      </c>
      <c r="AM2671">
        <v>0</v>
      </c>
      <c r="AN2671" s="78" t="s">
        <v>4640</v>
      </c>
      <c r="AO2671" s="78" t="s">
        <v>4849</v>
      </c>
      <c r="AP2671" t="b">
        <v>0</v>
      </c>
      <c r="AQ2671" s="78" t="s">
        <v>4420</v>
      </c>
      <c r="AR2671" t="s">
        <v>179</v>
      </c>
      <c r="AS2671">
        <v>0</v>
      </c>
      <c r="AT2671">
        <v>0</v>
      </c>
    </row>
    <row r="2672" spans="1:46" x14ac:dyDescent="0.45">
      <c r="A2672" s="62" t="s">
        <v>1025</v>
      </c>
      <c r="B2672" s="62" t="s">
        <v>242</v>
      </c>
      <c r="C2672" s="63"/>
      <c r="D2672" s="64"/>
      <c r="E2672" s="65"/>
      <c r="F2672" s="66"/>
      <c r="G2672" s="63"/>
      <c r="H2672" s="67"/>
      <c r="I2672" s="68"/>
      <c r="J2672" s="68"/>
      <c r="K2672" s="32"/>
      <c r="L2672" s="75"/>
      <c r="M2672" s="75"/>
      <c r="N2672" s="70"/>
      <c r="O2672" t="s">
        <v>1568</v>
      </c>
      <c r="P2672" s="76">
        <v>44959.400625000002</v>
      </c>
      <c r="Q2672" t="s">
        <v>2180</v>
      </c>
      <c r="V2672" s="77" t="str">
        <f>HYPERLINK("https://pbs.twimg.com/profile_images/2439452552/00gew11gmvk1v2o1vc9u_normal.jpeg")</f>
        <v>https://pbs.twimg.com/profile_images/2439452552/00gew11gmvk1v2o1vc9u_normal.jpeg</v>
      </c>
      <c r="W2672" s="76">
        <v>44959.400625000002</v>
      </c>
      <c r="X2672" s="80">
        <v>44959</v>
      </c>
      <c r="Y2672" s="78" t="s">
        <v>3323</v>
      </c>
      <c r="Z2672" s="77" t="str">
        <f>HYPERLINK("https://twitter.com/chef_bruce/status/1621080208286830592")</f>
        <v>https://twitter.com/chef_bruce/status/1621080208286830592</v>
      </c>
      <c r="AC2672" s="78" t="s">
        <v>4388</v>
      </c>
      <c r="AD2672" s="78" t="s">
        <v>4445</v>
      </c>
      <c r="AE2672" t="b">
        <v>0</v>
      </c>
      <c r="AF2672">
        <v>0</v>
      </c>
      <c r="AG2672" s="78" t="s">
        <v>4791</v>
      </c>
      <c r="AH2672" t="b">
        <v>0</v>
      </c>
      <c r="AI2672" t="s">
        <v>4829</v>
      </c>
      <c r="AK2672" s="78" t="s">
        <v>4640</v>
      </c>
      <c r="AL2672" t="b">
        <v>0</v>
      </c>
      <c r="AM2672">
        <v>0</v>
      </c>
      <c r="AN2672" s="78" t="s">
        <v>4640</v>
      </c>
      <c r="AO2672" s="78" t="s">
        <v>4849</v>
      </c>
      <c r="AP2672" t="b">
        <v>0</v>
      </c>
      <c r="AQ2672" s="78" t="s">
        <v>4445</v>
      </c>
      <c r="AR2672" t="s">
        <v>179</v>
      </c>
      <c r="AS2672">
        <v>0</v>
      </c>
      <c r="AT2672">
        <v>0</v>
      </c>
    </row>
    <row r="2673" spans="1:46" x14ac:dyDescent="0.45">
      <c r="A2673" s="62" t="s">
        <v>1025</v>
      </c>
      <c r="B2673" s="62" t="s">
        <v>1067</v>
      </c>
      <c r="C2673" s="63"/>
      <c r="D2673" s="64"/>
      <c r="E2673" s="65"/>
      <c r="F2673" s="66"/>
      <c r="G2673" s="63"/>
      <c r="H2673" s="67"/>
      <c r="I2673" s="68"/>
      <c r="J2673" s="68"/>
      <c r="K2673" s="32"/>
      <c r="L2673" s="75"/>
      <c r="M2673" s="75"/>
      <c r="N2673" s="70"/>
      <c r="O2673" t="s">
        <v>1567</v>
      </c>
      <c r="P2673" s="76">
        <v>44959.400625000002</v>
      </c>
      <c r="Q2673" t="s">
        <v>2180</v>
      </c>
      <c r="V2673" s="77" t="str">
        <f>HYPERLINK("https://pbs.twimg.com/profile_images/2439452552/00gew11gmvk1v2o1vc9u_normal.jpeg")</f>
        <v>https://pbs.twimg.com/profile_images/2439452552/00gew11gmvk1v2o1vc9u_normal.jpeg</v>
      </c>
      <c r="W2673" s="76">
        <v>44959.400625000002</v>
      </c>
      <c r="X2673" s="80">
        <v>44959</v>
      </c>
      <c r="Y2673" s="78" t="s">
        <v>3323</v>
      </c>
      <c r="Z2673" s="77" t="str">
        <f>HYPERLINK("https://twitter.com/chef_bruce/status/1621080208286830592")</f>
        <v>https://twitter.com/chef_bruce/status/1621080208286830592</v>
      </c>
      <c r="AC2673" s="78" t="s">
        <v>4388</v>
      </c>
      <c r="AD2673" s="78" t="s">
        <v>4445</v>
      </c>
      <c r="AE2673" t="b">
        <v>0</v>
      </c>
      <c r="AF2673">
        <v>0</v>
      </c>
      <c r="AG2673" s="78" t="s">
        <v>4791</v>
      </c>
      <c r="AH2673" t="b">
        <v>0</v>
      </c>
      <c r="AI2673" t="s">
        <v>4829</v>
      </c>
      <c r="AK2673" s="78" t="s">
        <v>4640</v>
      </c>
      <c r="AL2673" t="b">
        <v>0</v>
      </c>
      <c r="AM2673">
        <v>0</v>
      </c>
      <c r="AN2673" s="78" t="s">
        <v>4640</v>
      </c>
      <c r="AO2673" s="78" t="s">
        <v>4849</v>
      </c>
      <c r="AP2673" t="b">
        <v>0</v>
      </c>
      <c r="AQ2673" s="78" t="s">
        <v>4445</v>
      </c>
      <c r="AR2673" t="s">
        <v>179</v>
      </c>
      <c r="AS2673">
        <v>0</v>
      </c>
      <c r="AT2673">
        <v>0</v>
      </c>
    </row>
    <row r="2674" spans="1:46" x14ac:dyDescent="0.45">
      <c r="A2674" s="62" t="s">
        <v>1026</v>
      </c>
      <c r="B2674" s="62" t="s">
        <v>1117</v>
      </c>
      <c r="C2674" s="63"/>
      <c r="D2674" s="64"/>
      <c r="E2674" s="65"/>
      <c r="F2674" s="66"/>
      <c r="G2674" s="63"/>
      <c r="H2674" s="67"/>
      <c r="I2674" s="68"/>
      <c r="J2674" s="68"/>
      <c r="K2674" s="32"/>
      <c r="L2674" s="75"/>
      <c r="M2674" s="75"/>
      <c r="N2674" s="70"/>
      <c r="O2674" t="s">
        <v>1568</v>
      </c>
      <c r="P2674" s="76">
        <v>44959.408171296294</v>
      </c>
      <c r="Q2674" t="s">
        <v>2181</v>
      </c>
      <c r="V2674" s="77" t="str">
        <f>HYPERLINK("https://pbs.twimg.com/profile_images/1621083604972408832/xGRwuI1l_normal.jpg")</f>
        <v>https://pbs.twimg.com/profile_images/1621083604972408832/xGRwuI1l_normal.jpg</v>
      </c>
      <c r="W2674" s="76">
        <v>44959.408171296294</v>
      </c>
      <c r="X2674" s="80">
        <v>44959</v>
      </c>
      <c r="Y2674" s="78" t="s">
        <v>3324</v>
      </c>
      <c r="Z2674" s="77" t="str">
        <f>HYPERLINK("https://twitter.com/rdd91290/status/1621082942541029377")</f>
        <v>https://twitter.com/rdd91290/status/1621082942541029377</v>
      </c>
      <c r="AC2674" s="78" t="s">
        <v>4389</v>
      </c>
      <c r="AD2674" s="78" t="s">
        <v>4617</v>
      </c>
      <c r="AE2674" t="b">
        <v>0</v>
      </c>
      <c r="AF2674">
        <v>0</v>
      </c>
      <c r="AG2674" s="78" t="s">
        <v>4800</v>
      </c>
      <c r="AH2674" t="b">
        <v>0</v>
      </c>
      <c r="AI2674" t="s">
        <v>4829</v>
      </c>
      <c r="AK2674" s="78" t="s">
        <v>4640</v>
      </c>
      <c r="AL2674" t="b">
        <v>0</v>
      </c>
      <c r="AM2674">
        <v>0</v>
      </c>
      <c r="AN2674" s="78" t="s">
        <v>4640</v>
      </c>
      <c r="AO2674" s="78" t="s">
        <v>4849</v>
      </c>
      <c r="AP2674" t="b">
        <v>0</v>
      </c>
      <c r="AQ2674" s="78" t="s">
        <v>4617</v>
      </c>
      <c r="AR2674" t="s">
        <v>179</v>
      </c>
      <c r="AS2674">
        <v>0</v>
      </c>
      <c r="AT2674">
        <v>0</v>
      </c>
    </row>
    <row r="2675" spans="1:46" x14ac:dyDescent="0.45">
      <c r="A2675" s="62" t="s">
        <v>1026</v>
      </c>
      <c r="B2675" s="62" t="s">
        <v>1365</v>
      </c>
      <c r="C2675" s="63"/>
      <c r="D2675" s="64"/>
      <c r="E2675" s="65"/>
      <c r="F2675" s="66"/>
      <c r="G2675" s="63"/>
      <c r="H2675" s="67"/>
      <c r="I2675" s="68"/>
      <c r="J2675" s="68"/>
      <c r="K2675" s="32"/>
      <c r="L2675" s="75"/>
      <c r="M2675" s="75"/>
      <c r="N2675" s="70"/>
      <c r="O2675" t="s">
        <v>1568</v>
      </c>
      <c r="P2675" s="76">
        <v>44959.408171296294</v>
      </c>
      <c r="Q2675" t="s">
        <v>2181</v>
      </c>
      <c r="V2675" s="77" t="str">
        <f>HYPERLINK("https://pbs.twimg.com/profile_images/1621083604972408832/xGRwuI1l_normal.jpg")</f>
        <v>https://pbs.twimg.com/profile_images/1621083604972408832/xGRwuI1l_normal.jpg</v>
      </c>
      <c r="W2675" s="76">
        <v>44959.408171296294</v>
      </c>
      <c r="X2675" s="80">
        <v>44959</v>
      </c>
      <c r="Y2675" s="78" t="s">
        <v>3324</v>
      </c>
      <c r="Z2675" s="77" t="str">
        <f>HYPERLINK("https://twitter.com/rdd91290/status/1621082942541029377")</f>
        <v>https://twitter.com/rdd91290/status/1621082942541029377</v>
      </c>
      <c r="AC2675" s="78" t="s">
        <v>4389</v>
      </c>
      <c r="AD2675" s="78" t="s">
        <v>4617</v>
      </c>
      <c r="AE2675" t="b">
        <v>0</v>
      </c>
      <c r="AF2675">
        <v>0</v>
      </c>
      <c r="AG2675" s="78" t="s">
        <v>4800</v>
      </c>
      <c r="AH2675" t="b">
        <v>0</v>
      </c>
      <c r="AI2675" t="s">
        <v>4829</v>
      </c>
      <c r="AK2675" s="78" t="s">
        <v>4640</v>
      </c>
      <c r="AL2675" t="b">
        <v>0</v>
      </c>
      <c r="AM2675">
        <v>0</v>
      </c>
      <c r="AN2675" s="78" t="s">
        <v>4640</v>
      </c>
      <c r="AO2675" s="78" t="s">
        <v>4849</v>
      </c>
      <c r="AP2675" t="b">
        <v>0</v>
      </c>
      <c r="AQ2675" s="78" t="s">
        <v>4617</v>
      </c>
      <c r="AR2675" t="s">
        <v>179</v>
      </c>
      <c r="AS2675">
        <v>0</v>
      </c>
      <c r="AT2675">
        <v>0</v>
      </c>
    </row>
    <row r="2676" spans="1:46" x14ac:dyDescent="0.45">
      <c r="A2676" s="62" t="s">
        <v>1026</v>
      </c>
      <c r="B2676" s="62" t="s">
        <v>1211</v>
      </c>
      <c r="C2676" s="63"/>
      <c r="D2676" s="64"/>
      <c r="E2676" s="65"/>
      <c r="F2676" s="66"/>
      <c r="G2676" s="63"/>
      <c r="H2676" s="67"/>
      <c r="I2676" s="68"/>
      <c r="J2676" s="68"/>
      <c r="K2676" s="32"/>
      <c r="L2676" s="75"/>
      <c r="M2676" s="75"/>
      <c r="N2676" s="70"/>
      <c r="O2676" t="s">
        <v>1568</v>
      </c>
      <c r="P2676" s="76">
        <v>44959.408171296294</v>
      </c>
      <c r="Q2676" t="s">
        <v>2181</v>
      </c>
      <c r="V2676" s="77" t="str">
        <f>HYPERLINK("https://pbs.twimg.com/profile_images/1621083604972408832/xGRwuI1l_normal.jpg")</f>
        <v>https://pbs.twimg.com/profile_images/1621083604972408832/xGRwuI1l_normal.jpg</v>
      </c>
      <c r="W2676" s="76">
        <v>44959.408171296294</v>
      </c>
      <c r="X2676" s="80">
        <v>44959</v>
      </c>
      <c r="Y2676" s="78" t="s">
        <v>3324</v>
      </c>
      <c r="Z2676" s="77" t="str">
        <f>HYPERLINK("https://twitter.com/rdd91290/status/1621082942541029377")</f>
        <v>https://twitter.com/rdd91290/status/1621082942541029377</v>
      </c>
      <c r="AC2676" s="78" t="s">
        <v>4389</v>
      </c>
      <c r="AD2676" s="78" t="s">
        <v>4617</v>
      </c>
      <c r="AE2676" t="b">
        <v>0</v>
      </c>
      <c r="AF2676">
        <v>0</v>
      </c>
      <c r="AG2676" s="78" t="s">
        <v>4800</v>
      </c>
      <c r="AH2676" t="b">
        <v>0</v>
      </c>
      <c r="AI2676" t="s">
        <v>4829</v>
      </c>
      <c r="AK2676" s="78" t="s">
        <v>4640</v>
      </c>
      <c r="AL2676" t="b">
        <v>0</v>
      </c>
      <c r="AM2676">
        <v>0</v>
      </c>
      <c r="AN2676" s="78" t="s">
        <v>4640</v>
      </c>
      <c r="AO2676" s="78" t="s">
        <v>4849</v>
      </c>
      <c r="AP2676" t="b">
        <v>0</v>
      </c>
      <c r="AQ2676" s="78" t="s">
        <v>4617</v>
      </c>
      <c r="AR2676" t="s">
        <v>179</v>
      </c>
      <c r="AS2676">
        <v>0</v>
      </c>
      <c r="AT2676">
        <v>0</v>
      </c>
    </row>
    <row r="2677" spans="1:46" x14ac:dyDescent="0.45">
      <c r="A2677" s="62" t="s">
        <v>1026</v>
      </c>
      <c r="B2677" s="62" t="s">
        <v>1501</v>
      </c>
      <c r="C2677" s="63"/>
      <c r="D2677" s="64"/>
      <c r="E2677" s="65"/>
      <c r="F2677" s="66"/>
      <c r="G2677" s="63"/>
      <c r="H2677" s="67"/>
      <c r="I2677" s="68"/>
      <c r="J2677" s="68"/>
      <c r="K2677" s="32"/>
      <c r="L2677" s="75"/>
      <c r="M2677" s="75"/>
      <c r="N2677" s="70"/>
      <c r="O2677" t="s">
        <v>1567</v>
      </c>
      <c r="P2677" s="76">
        <v>44959.408171296294</v>
      </c>
      <c r="Q2677" t="s">
        <v>2181</v>
      </c>
      <c r="V2677" s="77" t="str">
        <f>HYPERLINK("https://pbs.twimg.com/profile_images/1621083604972408832/xGRwuI1l_normal.jpg")</f>
        <v>https://pbs.twimg.com/profile_images/1621083604972408832/xGRwuI1l_normal.jpg</v>
      </c>
      <c r="W2677" s="76">
        <v>44959.408171296294</v>
      </c>
      <c r="X2677" s="80">
        <v>44959</v>
      </c>
      <c r="Y2677" s="78" t="s">
        <v>3324</v>
      </c>
      <c r="Z2677" s="77" t="str">
        <f>HYPERLINK("https://twitter.com/rdd91290/status/1621082942541029377")</f>
        <v>https://twitter.com/rdd91290/status/1621082942541029377</v>
      </c>
      <c r="AC2677" s="78" t="s">
        <v>4389</v>
      </c>
      <c r="AD2677" s="78" t="s">
        <v>4617</v>
      </c>
      <c r="AE2677" t="b">
        <v>0</v>
      </c>
      <c r="AF2677">
        <v>0</v>
      </c>
      <c r="AG2677" s="78" t="s">
        <v>4800</v>
      </c>
      <c r="AH2677" t="b">
        <v>0</v>
      </c>
      <c r="AI2677" t="s">
        <v>4829</v>
      </c>
      <c r="AK2677" s="78" t="s">
        <v>4640</v>
      </c>
      <c r="AL2677" t="b">
        <v>0</v>
      </c>
      <c r="AM2677">
        <v>0</v>
      </c>
      <c r="AN2677" s="78" t="s">
        <v>4640</v>
      </c>
      <c r="AO2677" s="78" t="s">
        <v>4849</v>
      </c>
      <c r="AP2677" t="b">
        <v>0</v>
      </c>
      <c r="AQ2677" s="78" t="s">
        <v>4617</v>
      </c>
      <c r="AR2677" t="s">
        <v>179</v>
      </c>
      <c r="AS2677">
        <v>0</v>
      </c>
      <c r="AT2677">
        <v>0</v>
      </c>
    </row>
    <row r="2678" spans="1:46" x14ac:dyDescent="0.45">
      <c r="A2678" s="62" t="s">
        <v>1026</v>
      </c>
      <c r="B2678" s="62" t="s">
        <v>242</v>
      </c>
      <c r="C2678" s="63"/>
      <c r="D2678" s="64"/>
      <c r="E2678" s="65"/>
      <c r="F2678" s="66"/>
      <c r="G2678" s="63"/>
      <c r="H2678" s="67"/>
      <c r="I2678" s="68"/>
      <c r="J2678" s="68"/>
      <c r="K2678" s="32"/>
      <c r="L2678" s="75"/>
      <c r="M2678" s="75"/>
      <c r="N2678" s="70"/>
      <c r="O2678" t="s">
        <v>1568</v>
      </c>
      <c r="P2678" s="76">
        <v>44959.408171296294</v>
      </c>
      <c r="Q2678" t="s">
        <v>2181</v>
      </c>
      <c r="V2678" s="77" t="str">
        <f>HYPERLINK("https://pbs.twimg.com/profile_images/1621083604972408832/xGRwuI1l_normal.jpg")</f>
        <v>https://pbs.twimg.com/profile_images/1621083604972408832/xGRwuI1l_normal.jpg</v>
      </c>
      <c r="W2678" s="76">
        <v>44959.408171296294</v>
      </c>
      <c r="X2678" s="80">
        <v>44959</v>
      </c>
      <c r="Y2678" s="78" t="s">
        <v>3324</v>
      </c>
      <c r="Z2678" s="77" t="str">
        <f>HYPERLINK("https://twitter.com/rdd91290/status/1621082942541029377")</f>
        <v>https://twitter.com/rdd91290/status/1621082942541029377</v>
      </c>
      <c r="AC2678" s="78" t="s">
        <v>4389</v>
      </c>
      <c r="AD2678" s="78" t="s">
        <v>4617</v>
      </c>
      <c r="AE2678" t="b">
        <v>0</v>
      </c>
      <c r="AF2678">
        <v>0</v>
      </c>
      <c r="AG2678" s="78" t="s">
        <v>4800</v>
      </c>
      <c r="AH2678" t="b">
        <v>0</v>
      </c>
      <c r="AI2678" t="s">
        <v>4829</v>
      </c>
      <c r="AK2678" s="78" t="s">
        <v>4640</v>
      </c>
      <c r="AL2678" t="b">
        <v>0</v>
      </c>
      <c r="AM2678">
        <v>0</v>
      </c>
      <c r="AN2678" s="78" t="s">
        <v>4640</v>
      </c>
      <c r="AO2678" s="78" t="s">
        <v>4849</v>
      </c>
      <c r="AP2678" t="b">
        <v>0</v>
      </c>
      <c r="AQ2678" s="78" t="s">
        <v>4617</v>
      </c>
      <c r="AR2678" t="s">
        <v>179</v>
      </c>
      <c r="AS2678">
        <v>0</v>
      </c>
      <c r="AT2678">
        <v>0</v>
      </c>
    </row>
    <row r="2679" spans="1:46" x14ac:dyDescent="0.45">
      <c r="A2679" s="62" t="s">
        <v>1026</v>
      </c>
      <c r="B2679" s="62" t="s">
        <v>1181</v>
      </c>
      <c r="C2679" s="63"/>
      <c r="D2679" s="64"/>
      <c r="E2679" s="65"/>
      <c r="F2679" s="66"/>
      <c r="G2679" s="63"/>
      <c r="H2679" s="67"/>
      <c r="I2679" s="68"/>
      <c r="J2679" s="68"/>
      <c r="K2679" s="32"/>
      <c r="L2679" s="75"/>
      <c r="M2679" s="75"/>
      <c r="N2679" s="70"/>
      <c r="O2679" t="s">
        <v>1568</v>
      </c>
      <c r="P2679" s="76">
        <v>44959.408171296294</v>
      </c>
      <c r="Q2679" t="s">
        <v>2181</v>
      </c>
      <c r="V2679" s="77" t="str">
        <f>HYPERLINK("https://pbs.twimg.com/profile_images/1621083604972408832/xGRwuI1l_normal.jpg")</f>
        <v>https://pbs.twimg.com/profile_images/1621083604972408832/xGRwuI1l_normal.jpg</v>
      </c>
      <c r="W2679" s="76">
        <v>44959.408171296294</v>
      </c>
      <c r="X2679" s="80">
        <v>44959</v>
      </c>
      <c r="Y2679" s="78" t="s">
        <v>3324</v>
      </c>
      <c r="Z2679" s="77" t="str">
        <f>HYPERLINK("https://twitter.com/rdd91290/status/1621082942541029377")</f>
        <v>https://twitter.com/rdd91290/status/1621082942541029377</v>
      </c>
      <c r="AC2679" s="78" t="s">
        <v>4389</v>
      </c>
      <c r="AD2679" s="78" t="s">
        <v>4617</v>
      </c>
      <c r="AE2679" t="b">
        <v>0</v>
      </c>
      <c r="AF2679">
        <v>0</v>
      </c>
      <c r="AG2679" s="78" t="s">
        <v>4800</v>
      </c>
      <c r="AH2679" t="b">
        <v>0</v>
      </c>
      <c r="AI2679" t="s">
        <v>4829</v>
      </c>
      <c r="AK2679" s="78" t="s">
        <v>4640</v>
      </c>
      <c r="AL2679" t="b">
        <v>0</v>
      </c>
      <c r="AM2679">
        <v>0</v>
      </c>
      <c r="AN2679" s="78" t="s">
        <v>4640</v>
      </c>
      <c r="AO2679" s="78" t="s">
        <v>4849</v>
      </c>
      <c r="AP2679" t="b">
        <v>0</v>
      </c>
      <c r="AQ2679" s="78" t="s">
        <v>4617</v>
      </c>
      <c r="AR2679" t="s">
        <v>179</v>
      </c>
      <c r="AS2679">
        <v>0</v>
      </c>
      <c r="AT2679">
        <v>0</v>
      </c>
    </row>
    <row r="2680" spans="1:46" x14ac:dyDescent="0.45">
      <c r="A2680" s="62" t="s">
        <v>1030</v>
      </c>
      <c r="B2680" s="62" t="s">
        <v>1504</v>
      </c>
      <c r="C2680" s="63"/>
      <c r="D2680" s="64"/>
      <c r="E2680" s="65"/>
      <c r="F2680" s="66"/>
      <c r="G2680" s="63"/>
      <c r="H2680" s="67"/>
      <c r="I2680" s="68"/>
      <c r="J2680" s="68"/>
      <c r="K2680" s="32"/>
      <c r="L2680" s="75"/>
      <c r="M2680" s="75"/>
      <c r="N2680" s="70"/>
      <c r="O2680" t="s">
        <v>1568</v>
      </c>
      <c r="P2680" s="76">
        <v>44958.468263888892</v>
      </c>
      <c r="Q2680" t="s">
        <v>2184</v>
      </c>
      <c r="V2680" s="77" t="str">
        <f>HYPERLINK("https://pbs.twimg.com/profile_images/1276249913244839937/NAGZkgfQ_normal.jpg")</f>
        <v>https://pbs.twimg.com/profile_images/1276249913244839937/NAGZkgfQ_normal.jpg</v>
      </c>
      <c r="W2680" s="76">
        <v>44958.468263888892</v>
      </c>
      <c r="X2680" s="80">
        <v>44958</v>
      </c>
      <c r="Y2680" s="78" t="s">
        <v>3328</v>
      </c>
      <c r="Z2680" s="77" t="str">
        <f>HYPERLINK("https://twitter.com/mohammed_saif70/status/1620742331510194177")</f>
        <v>https://twitter.com/mohammed_saif70/status/1620742331510194177</v>
      </c>
      <c r="AC2680" s="78" t="s">
        <v>4393</v>
      </c>
      <c r="AD2680" s="78" t="s">
        <v>4618</v>
      </c>
      <c r="AE2680" t="b">
        <v>0</v>
      </c>
      <c r="AF2680">
        <v>0</v>
      </c>
      <c r="AG2680" s="78" t="s">
        <v>4801</v>
      </c>
      <c r="AH2680" t="b">
        <v>0</v>
      </c>
      <c r="AI2680" t="s">
        <v>4829</v>
      </c>
      <c r="AK2680" s="78" t="s">
        <v>4640</v>
      </c>
      <c r="AL2680" t="b">
        <v>0</v>
      </c>
      <c r="AM2680">
        <v>2</v>
      </c>
      <c r="AN2680" s="78" t="s">
        <v>4640</v>
      </c>
      <c r="AO2680" s="78" t="s">
        <v>4850</v>
      </c>
      <c r="AP2680" t="b">
        <v>0</v>
      </c>
      <c r="AQ2680" s="78" t="s">
        <v>4618</v>
      </c>
      <c r="AR2680" t="s">
        <v>179</v>
      </c>
      <c r="AS2680">
        <v>0</v>
      </c>
      <c r="AT2680">
        <v>0</v>
      </c>
    </row>
    <row r="2681" spans="1:46" x14ac:dyDescent="0.45">
      <c r="A2681" s="62" t="s">
        <v>1031</v>
      </c>
      <c r="B2681" s="62" t="s">
        <v>1504</v>
      </c>
      <c r="C2681" s="63"/>
      <c r="D2681" s="64"/>
      <c r="E2681" s="65"/>
      <c r="F2681" s="66"/>
      <c r="G2681" s="63"/>
      <c r="H2681" s="67"/>
      <c r="I2681" s="68"/>
      <c r="J2681" s="68"/>
      <c r="K2681" s="32"/>
      <c r="L2681" s="75"/>
      <c r="M2681" s="75"/>
      <c r="N2681" s="70"/>
      <c r="O2681" t="s">
        <v>1570</v>
      </c>
      <c r="P2681" s="76">
        <v>44959.143171296295</v>
      </c>
      <c r="Q2681" t="s">
        <v>2184</v>
      </c>
      <c r="V2681" s="77" t="str">
        <f>HYPERLINK("https://pbs.twimg.com/profile_images/1601109073226711041/s7ytUwoo_normal.jpg")</f>
        <v>https://pbs.twimg.com/profile_images/1601109073226711041/s7ytUwoo_normal.jpg</v>
      </c>
      <c r="W2681" s="76">
        <v>44959.143171296295</v>
      </c>
      <c r="X2681" s="80">
        <v>44959</v>
      </c>
      <c r="Y2681" s="78" t="s">
        <v>3329</v>
      </c>
      <c r="Z2681" s="77" t="str">
        <f>HYPERLINK("https://twitter.com/bandbajaateraho/status/1620986912055115777")</f>
        <v>https://twitter.com/bandbajaateraho/status/1620986912055115777</v>
      </c>
      <c r="AC2681" s="78" t="s">
        <v>4394</v>
      </c>
      <c r="AE2681" t="b">
        <v>0</v>
      </c>
      <c r="AF2681">
        <v>0</v>
      </c>
      <c r="AG2681" s="78" t="s">
        <v>4640</v>
      </c>
      <c r="AH2681" t="b">
        <v>0</v>
      </c>
      <c r="AI2681" t="s">
        <v>4829</v>
      </c>
      <c r="AK2681" s="78" t="s">
        <v>4640</v>
      </c>
      <c r="AL2681" t="b">
        <v>0</v>
      </c>
      <c r="AM2681">
        <v>2</v>
      </c>
      <c r="AN2681" s="78" t="s">
        <v>4393</v>
      </c>
      <c r="AO2681" s="78" t="s">
        <v>4856</v>
      </c>
      <c r="AP2681" t="b">
        <v>0</v>
      </c>
      <c r="AQ2681" s="78" t="s">
        <v>4393</v>
      </c>
      <c r="AR2681" t="s">
        <v>179</v>
      </c>
      <c r="AS2681">
        <v>0</v>
      </c>
      <c r="AT2681">
        <v>0</v>
      </c>
    </row>
    <row r="2682" spans="1:46" x14ac:dyDescent="0.45">
      <c r="A2682" s="62" t="s">
        <v>1032</v>
      </c>
      <c r="B2682" s="62" t="s">
        <v>1504</v>
      </c>
      <c r="C2682" s="63"/>
      <c r="D2682" s="64"/>
      <c r="E2682" s="65"/>
      <c r="F2682" s="66"/>
      <c r="G2682" s="63"/>
      <c r="H2682" s="67"/>
      <c r="I2682" s="68"/>
      <c r="J2682" s="68"/>
      <c r="K2682" s="32"/>
      <c r="L2682" s="75"/>
      <c r="M2682" s="75"/>
      <c r="N2682" s="70"/>
      <c r="O2682" t="s">
        <v>1570</v>
      </c>
      <c r="P2682" s="76">
        <v>44959.305798611109</v>
      </c>
      <c r="Q2682" t="s">
        <v>2184</v>
      </c>
      <c r="V2682" s="77" t="str">
        <f>HYPERLINK("https://pbs.twimg.com/profile_images/1588520130371530753/5tIlfAMR_normal.jpg")</f>
        <v>https://pbs.twimg.com/profile_images/1588520130371530753/5tIlfAMR_normal.jpg</v>
      </c>
      <c r="W2682" s="76">
        <v>44959.305798611109</v>
      </c>
      <c r="X2682" s="80">
        <v>44959</v>
      </c>
      <c r="Y2682" s="78" t="s">
        <v>3330</v>
      </c>
      <c r="Z2682" s="77" t="str">
        <f>HYPERLINK("https://twitter.com/aapkiawaaz_rk/status/1621045842269601792")</f>
        <v>https://twitter.com/aapkiawaaz_rk/status/1621045842269601792</v>
      </c>
      <c r="AC2682" s="78" t="s">
        <v>4395</v>
      </c>
      <c r="AE2682" t="b">
        <v>0</v>
      </c>
      <c r="AF2682">
        <v>0</v>
      </c>
      <c r="AG2682" s="78" t="s">
        <v>4640</v>
      </c>
      <c r="AH2682" t="b">
        <v>0</v>
      </c>
      <c r="AI2682" t="s">
        <v>4829</v>
      </c>
      <c r="AK2682" s="78" t="s">
        <v>4640</v>
      </c>
      <c r="AL2682" t="b">
        <v>0</v>
      </c>
      <c r="AM2682">
        <v>2</v>
      </c>
      <c r="AN2682" s="78" t="s">
        <v>4393</v>
      </c>
      <c r="AO2682" s="78" t="s">
        <v>4849</v>
      </c>
      <c r="AP2682" t="b">
        <v>0</v>
      </c>
      <c r="AQ2682" s="78" t="s">
        <v>4393</v>
      </c>
      <c r="AR2682" t="s">
        <v>179</v>
      </c>
      <c r="AS2682">
        <v>0</v>
      </c>
      <c r="AT2682">
        <v>0</v>
      </c>
    </row>
    <row r="2683" spans="1:46" x14ac:dyDescent="0.45">
      <c r="A2683" s="62" t="s">
        <v>1031</v>
      </c>
      <c r="B2683" s="62" t="s">
        <v>1505</v>
      </c>
      <c r="C2683" s="63"/>
      <c r="D2683" s="64"/>
      <c r="E2683" s="65"/>
      <c r="F2683" s="66"/>
      <c r="G2683" s="63"/>
      <c r="H2683" s="67"/>
      <c r="I2683" s="68"/>
      <c r="J2683" s="68"/>
      <c r="K2683" s="32"/>
      <c r="L2683" s="75"/>
      <c r="M2683" s="75"/>
      <c r="N2683" s="70"/>
      <c r="O2683" t="s">
        <v>1570</v>
      </c>
      <c r="P2683" s="76">
        <v>44959.342951388891</v>
      </c>
      <c r="Q2683" t="s">
        <v>2185</v>
      </c>
      <c r="V2683" s="77" t="str">
        <f>HYPERLINK("https://pbs.twimg.com/profile_images/1601109073226711041/s7ytUwoo_normal.jpg")</f>
        <v>https://pbs.twimg.com/profile_images/1601109073226711041/s7ytUwoo_normal.jpg</v>
      </c>
      <c r="W2683" s="76">
        <v>44959.342951388891</v>
      </c>
      <c r="X2683" s="80">
        <v>44959</v>
      </c>
      <c r="Y2683" s="78" t="s">
        <v>3332</v>
      </c>
      <c r="Z2683" s="77" t="str">
        <f>HYPERLINK("https://twitter.com/bandbajaateraho/status/1621059309160513537")</f>
        <v>https://twitter.com/bandbajaateraho/status/1621059309160513537</v>
      </c>
      <c r="AC2683" s="78" t="s">
        <v>4397</v>
      </c>
      <c r="AE2683" t="b">
        <v>0</v>
      </c>
      <c r="AF2683">
        <v>0</v>
      </c>
      <c r="AG2683" s="78" t="s">
        <v>4640</v>
      </c>
      <c r="AH2683" t="b">
        <v>0</v>
      </c>
      <c r="AI2683" t="s">
        <v>4829</v>
      </c>
      <c r="AK2683" s="78" t="s">
        <v>4640</v>
      </c>
      <c r="AL2683" t="b">
        <v>0</v>
      </c>
      <c r="AM2683">
        <v>2</v>
      </c>
      <c r="AN2683" s="78" t="s">
        <v>4396</v>
      </c>
      <c r="AO2683" s="78" t="s">
        <v>4856</v>
      </c>
      <c r="AP2683" t="b">
        <v>0</v>
      </c>
      <c r="AQ2683" s="78" t="s">
        <v>4396</v>
      </c>
      <c r="AR2683" t="s">
        <v>179</v>
      </c>
      <c r="AS2683">
        <v>0</v>
      </c>
      <c r="AT2683">
        <v>0</v>
      </c>
    </row>
    <row r="2684" spans="1:46" x14ac:dyDescent="0.45">
      <c r="A2684" s="62" t="s">
        <v>1032</v>
      </c>
      <c r="B2684" s="62" t="s">
        <v>1505</v>
      </c>
      <c r="C2684" s="63"/>
      <c r="D2684" s="64"/>
      <c r="E2684" s="65"/>
      <c r="F2684" s="66"/>
      <c r="G2684" s="63"/>
      <c r="H2684" s="67"/>
      <c r="I2684" s="68"/>
      <c r="J2684" s="68"/>
      <c r="K2684" s="32"/>
      <c r="L2684" s="75"/>
      <c r="M2684" s="75"/>
      <c r="N2684" s="70"/>
      <c r="O2684" t="s">
        <v>1570</v>
      </c>
      <c r="P2684" s="76">
        <v>44959.420578703706</v>
      </c>
      <c r="Q2684" t="s">
        <v>2185</v>
      </c>
      <c r="V2684" s="77" t="str">
        <f>HYPERLINK("https://pbs.twimg.com/profile_images/1588520130371530753/5tIlfAMR_normal.jpg")</f>
        <v>https://pbs.twimg.com/profile_images/1588520130371530753/5tIlfAMR_normal.jpg</v>
      </c>
      <c r="W2684" s="76">
        <v>44959.420578703706</v>
      </c>
      <c r="X2684" s="80">
        <v>44959</v>
      </c>
      <c r="Y2684" s="78" t="s">
        <v>3333</v>
      </c>
      <c r="Z2684" s="77" t="str">
        <f>HYPERLINK("https://twitter.com/aapkiawaaz_rk/status/1621087440726552576")</f>
        <v>https://twitter.com/aapkiawaaz_rk/status/1621087440726552576</v>
      </c>
      <c r="AC2684" s="78" t="s">
        <v>4398</v>
      </c>
      <c r="AE2684" t="b">
        <v>0</v>
      </c>
      <c r="AF2684">
        <v>0</v>
      </c>
      <c r="AG2684" s="78" t="s">
        <v>4640</v>
      </c>
      <c r="AH2684" t="b">
        <v>0</v>
      </c>
      <c r="AI2684" t="s">
        <v>4829</v>
      </c>
      <c r="AK2684" s="78" t="s">
        <v>4640</v>
      </c>
      <c r="AL2684" t="b">
        <v>0</v>
      </c>
      <c r="AM2684">
        <v>2</v>
      </c>
      <c r="AN2684" s="78" t="s">
        <v>4396</v>
      </c>
      <c r="AO2684" s="78" t="s">
        <v>4849</v>
      </c>
      <c r="AP2684" t="b">
        <v>0</v>
      </c>
      <c r="AQ2684" s="78" t="s">
        <v>4396</v>
      </c>
      <c r="AR2684" t="s">
        <v>179</v>
      </c>
      <c r="AS2684">
        <v>0</v>
      </c>
      <c r="AT2684">
        <v>0</v>
      </c>
    </row>
    <row r="2685" spans="1:46" x14ac:dyDescent="0.45">
      <c r="A2685" s="62" t="s">
        <v>1030</v>
      </c>
      <c r="B2685" s="62" t="s">
        <v>1487</v>
      </c>
      <c r="C2685" s="63"/>
      <c r="D2685" s="64"/>
      <c r="E2685" s="65"/>
      <c r="F2685" s="66"/>
      <c r="G2685" s="63"/>
      <c r="H2685" s="67"/>
      <c r="I2685" s="68"/>
      <c r="J2685" s="68"/>
      <c r="K2685" s="32"/>
      <c r="L2685" s="75"/>
      <c r="M2685" s="75"/>
      <c r="N2685" s="70"/>
      <c r="O2685" t="s">
        <v>1567</v>
      </c>
      <c r="P2685" s="76">
        <v>44958.468263888892</v>
      </c>
      <c r="Q2685" t="s">
        <v>2184</v>
      </c>
      <c r="V2685" s="77" t="str">
        <f>HYPERLINK("https://pbs.twimg.com/profile_images/1276249913244839937/NAGZkgfQ_normal.jpg")</f>
        <v>https://pbs.twimg.com/profile_images/1276249913244839937/NAGZkgfQ_normal.jpg</v>
      </c>
      <c r="W2685" s="76">
        <v>44958.468263888892</v>
      </c>
      <c r="X2685" s="80">
        <v>44958</v>
      </c>
      <c r="Y2685" s="78" t="s">
        <v>3328</v>
      </c>
      <c r="Z2685" s="77" t="str">
        <f>HYPERLINK("https://twitter.com/mohammed_saif70/status/1620742331510194177")</f>
        <v>https://twitter.com/mohammed_saif70/status/1620742331510194177</v>
      </c>
      <c r="AC2685" s="78" t="s">
        <v>4393</v>
      </c>
      <c r="AD2685" s="78" t="s">
        <v>4618</v>
      </c>
      <c r="AE2685" t="b">
        <v>0</v>
      </c>
      <c r="AF2685">
        <v>0</v>
      </c>
      <c r="AG2685" s="78" t="s">
        <v>4801</v>
      </c>
      <c r="AH2685" t="b">
        <v>0</v>
      </c>
      <c r="AI2685" t="s">
        <v>4829</v>
      </c>
      <c r="AK2685" s="78" t="s">
        <v>4640</v>
      </c>
      <c r="AL2685" t="b">
        <v>0</v>
      </c>
      <c r="AM2685">
        <v>2</v>
      </c>
      <c r="AN2685" s="78" t="s">
        <v>4640</v>
      </c>
      <c r="AO2685" s="78" t="s">
        <v>4850</v>
      </c>
      <c r="AP2685" t="b">
        <v>0</v>
      </c>
      <c r="AQ2685" s="78" t="s">
        <v>4618</v>
      </c>
      <c r="AR2685" t="s">
        <v>179</v>
      </c>
      <c r="AS2685">
        <v>0</v>
      </c>
      <c r="AT2685">
        <v>0</v>
      </c>
    </row>
    <row r="2686" spans="1:46" x14ac:dyDescent="0.45">
      <c r="A2686" s="62" t="s">
        <v>1031</v>
      </c>
      <c r="B2686" s="62" t="s">
        <v>1487</v>
      </c>
      <c r="C2686" s="63"/>
      <c r="D2686" s="64"/>
      <c r="E2686" s="65"/>
      <c r="F2686" s="66"/>
      <c r="G2686" s="63"/>
      <c r="H2686" s="67"/>
      <c r="I2686" s="68"/>
      <c r="J2686" s="68"/>
      <c r="K2686" s="32"/>
      <c r="L2686" s="75"/>
      <c r="M2686" s="75"/>
      <c r="N2686" s="70"/>
      <c r="O2686" t="s">
        <v>1567</v>
      </c>
      <c r="P2686" s="76">
        <v>44959.143171296295</v>
      </c>
      <c r="Q2686" t="s">
        <v>2184</v>
      </c>
      <c r="V2686" s="77" t="str">
        <f>HYPERLINK("https://pbs.twimg.com/profile_images/1601109073226711041/s7ytUwoo_normal.jpg")</f>
        <v>https://pbs.twimg.com/profile_images/1601109073226711041/s7ytUwoo_normal.jpg</v>
      </c>
      <c r="W2686" s="76">
        <v>44959.143171296295</v>
      </c>
      <c r="X2686" s="80">
        <v>44959</v>
      </c>
      <c r="Y2686" s="78" t="s">
        <v>3329</v>
      </c>
      <c r="Z2686" s="77" t="str">
        <f>HYPERLINK("https://twitter.com/bandbajaateraho/status/1620986912055115777")</f>
        <v>https://twitter.com/bandbajaateraho/status/1620986912055115777</v>
      </c>
      <c r="AC2686" s="78" t="s">
        <v>4394</v>
      </c>
      <c r="AE2686" t="b">
        <v>0</v>
      </c>
      <c r="AF2686">
        <v>0</v>
      </c>
      <c r="AG2686" s="78" t="s">
        <v>4640</v>
      </c>
      <c r="AH2686" t="b">
        <v>0</v>
      </c>
      <c r="AI2686" t="s">
        <v>4829</v>
      </c>
      <c r="AK2686" s="78" t="s">
        <v>4640</v>
      </c>
      <c r="AL2686" t="b">
        <v>0</v>
      </c>
      <c r="AM2686">
        <v>2</v>
      </c>
      <c r="AN2686" s="78" t="s">
        <v>4393</v>
      </c>
      <c r="AO2686" s="78" t="s">
        <v>4856</v>
      </c>
      <c r="AP2686" t="b">
        <v>0</v>
      </c>
      <c r="AQ2686" s="78" t="s">
        <v>4393</v>
      </c>
      <c r="AR2686" t="s">
        <v>179</v>
      </c>
      <c r="AS2686">
        <v>0</v>
      </c>
      <c r="AT2686">
        <v>0</v>
      </c>
    </row>
    <row r="2687" spans="1:46" x14ac:dyDescent="0.45">
      <c r="A2687" s="62" t="s">
        <v>1031</v>
      </c>
      <c r="B2687" s="62" t="s">
        <v>1487</v>
      </c>
      <c r="C2687" s="63"/>
      <c r="D2687" s="64"/>
      <c r="E2687" s="65"/>
      <c r="F2687" s="66"/>
      <c r="G2687" s="63"/>
      <c r="H2687" s="67"/>
      <c r="I2687" s="68"/>
      <c r="J2687" s="68"/>
      <c r="K2687" s="32"/>
      <c r="L2687" s="75"/>
      <c r="M2687" s="75"/>
      <c r="N2687" s="70"/>
      <c r="O2687" t="s">
        <v>1570</v>
      </c>
      <c r="P2687" s="76">
        <v>44959.342951388891</v>
      </c>
      <c r="Q2687" t="s">
        <v>2185</v>
      </c>
      <c r="V2687" s="77" t="str">
        <f>HYPERLINK("https://pbs.twimg.com/profile_images/1601109073226711041/s7ytUwoo_normal.jpg")</f>
        <v>https://pbs.twimg.com/profile_images/1601109073226711041/s7ytUwoo_normal.jpg</v>
      </c>
      <c r="W2687" s="76">
        <v>44959.342951388891</v>
      </c>
      <c r="X2687" s="80">
        <v>44959</v>
      </c>
      <c r="Y2687" s="78" t="s">
        <v>3332</v>
      </c>
      <c r="Z2687" s="77" t="str">
        <f>HYPERLINK("https://twitter.com/bandbajaateraho/status/1621059309160513537")</f>
        <v>https://twitter.com/bandbajaateraho/status/1621059309160513537</v>
      </c>
      <c r="AC2687" s="78" t="s">
        <v>4397</v>
      </c>
      <c r="AE2687" t="b">
        <v>0</v>
      </c>
      <c r="AF2687">
        <v>0</v>
      </c>
      <c r="AG2687" s="78" t="s">
        <v>4640</v>
      </c>
      <c r="AH2687" t="b">
        <v>0</v>
      </c>
      <c r="AI2687" t="s">
        <v>4829</v>
      </c>
      <c r="AK2687" s="78" t="s">
        <v>4640</v>
      </c>
      <c r="AL2687" t="b">
        <v>0</v>
      </c>
      <c r="AM2687">
        <v>2</v>
      </c>
      <c r="AN2687" s="78" t="s">
        <v>4396</v>
      </c>
      <c r="AO2687" s="78" t="s">
        <v>4856</v>
      </c>
      <c r="AP2687" t="b">
        <v>0</v>
      </c>
      <c r="AQ2687" s="78" t="s">
        <v>4396</v>
      </c>
      <c r="AR2687" t="s">
        <v>179</v>
      </c>
      <c r="AS2687">
        <v>0</v>
      </c>
      <c r="AT2687">
        <v>0</v>
      </c>
    </row>
    <row r="2688" spans="1:46" x14ac:dyDescent="0.45">
      <c r="A2688" s="62" t="s">
        <v>1032</v>
      </c>
      <c r="B2688" s="62" t="s">
        <v>1487</v>
      </c>
      <c r="C2688" s="63"/>
      <c r="D2688" s="64"/>
      <c r="E2688" s="65"/>
      <c r="F2688" s="66"/>
      <c r="G2688" s="63"/>
      <c r="H2688" s="67"/>
      <c r="I2688" s="68"/>
      <c r="J2688" s="68"/>
      <c r="K2688" s="32"/>
      <c r="L2688" s="75"/>
      <c r="M2688" s="75"/>
      <c r="N2688" s="70"/>
      <c r="O2688" t="s">
        <v>1567</v>
      </c>
      <c r="P2688" s="76">
        <v>44959.305798611109</v>
      </c>
      <c r="Q2688" t="s">
        <v>2184</v>
      </c>
      <c r="V2688" s="77" t="str">
        <f>HYPERLINK("https://pbs.twimg.com/profile_images/1588520130371530753/5tIlfAMR_normal.jpg")</f>
        <v>https://pbs.twimg.com/profile_images/1588520130371530753/5tIlfAMR_normal.jpg</v>
      </c>
      <c r="W2688" s="76">
        <v>44959.305798611109</v>
      </c>
      <c r="X2688" s="80">
        <v>44959</v>
      </c>
      <c r="Y2688" s="78" t="s">
        <v>3330</v>
      </c>
      <c r="Z2688" s="77" t="str">
        <f>HYPERLINK("https://twitter.com/aapkiawaaz_rk/status/1621045842269601792")</f>
        <v>https://twitter.com/aapkiawaaz_rk/status/1621045842269601792</v>
      </c>
      <c r="AC2688" s="78" t="s">
        <v>4395</v>
      </c>
      <c r="AE2688" t="b">
        <v>0</v>
      </c>
      <c r="AF2688">
        <v>0</v>
      </c>
      <c r="AG2688" s="78" t="s">
        <v>4640</v>
      </c>
      <c r="AH2688" t="b">
        <v>0</v>
      </c>
      <c r="AI2688" t="s">
        <v>4829</v>
      </c>
      <c r="AK2688" s="78" t="s">
        <v>4640</v>
      </c>
      <c r="AL2688" t="b">
        <v>0</v>
      </c>
      <c r="AM2688">
        <v>2</v>
      </c>
      <c r="AN2688" s="78" t="s">
        <v>4393</v>
      </c>
      <c r="AO2688" s="78" t="s">
        <v>4849</v>
      </c>
      <c r="AP2688" t="b">
        <v>0</v>
      </c>
      <c r="AQ2688" s="78" t="s">
        <v>4393</v>
      </c>
      <c r="AR2688" t="s">
        <v>179</v>
      </c>
      <c r="AS2688">
        <v>0</v>
      </c>
      <c r="AT2688">
        <v>0</v>
      </c>
    </row>
    <row r="2689" spans="1:46" x14ac:dyDescent="0.45">
      <c r="A2689" s="62" t="s">
        <v>1032</v>
      </c>
      <c r="B2689" s="62" t="s">
        <v>1487</v>
      </c>
      <c r="C2689" s="63"/>
      <c r="D2689" s="64"/>
      <c r="E2689" s="65"/>
      <c r="F2689" s="66"/>
      <c r="G2689" s="63"/>
      <c r="H2689" s="67"/>
      <c r="I2689" s="68"/>
      <c r="J2689" s="68"/>
      <c r="K2689" s="32"/>
      <c r="L2689" s="75"/>
      <c r="M2689" s="75"/>
      <c r="N2689" s="70"/>
      <c r="O2689" t="s">
        <v>1570</v>
      </c>
      <c r="P2689" s="76">
        <v>44959.420578703706</v>
      </c>
      <c r="Q2689" t="s">
        <v>2185</v>
      </c>
      <c r="V2689" s="77" t="str">
        <f>HYPERLINK("https://pbs.twimg.com/profile_images/1588520130371530753/5tIlfAMR_normal.jpg")</f>
        <v>https://pbs.twimg.com/profile_images/1588520130371530753/5tIlfAMR_normal.jpg</v>
      </c>
      <c r="W2689" s="76">
        <v>44959.420578703706</v>
      </c>
      <c r="X2689" s="80">
        <v>44959</v>
      </c>
      <c r="Y2689" s="78" t="s">
        <v>3333</v>
      </c>
      <c r="Z2689" s="77" t="str">
        <f>HYPERLINK("https://twitter.com/aapkiawaaz_rk/status/1621087440726552576")</f>
        <v>https://twitter.com/aapkiawaaz_rk/status/1621087440726552576</v>
      </c>
      <c r="AC2689" s="78" t="s">
        <v>4398</v>
      </c>
      <c r="AE2689" t="b">
        <v>0</v>
      </c>
      <c r="AF2689">
        <v>0</v>
      </c>
      <c r="AG2689" s="78" t="s">
        <v>4640</v>
      </c>
      <c r="AH2689" t="b">
        <v>0</v>
      </c>
      <c r="AI2689" t="s">
        <v>4829</v>
      </c>
      <c r="AK2689" s="78" t="s">
        <v>4640</v>
      </c>
      <c r="AL2689" t="b">
        <v>0</v>
      </c>
      <c r="AM2689">
        <v>2</v>
      </c>
      <c r="AN2689" s="78" t="s">
        <v>4396</v>
      </c>
      <c r="AO2689" s="78" t="s">
        <v>4849</v>
      </c>
      <c r="AP2689" t="b">
        <v>0</v>
      </c>
      <c r="AQ2689" s="78" t="s">
        <v>4396</v>
      </c>
      <c r="AR2689" t="s">
        <v>179</v>
      </c>
      <c r="AS2689">
        <v>0</v>
      </c>
      <c r="AT2689">
        <v>0</v>
      </c>
    </row>
    <row r="2690" spans="1:46" x14ac:dyDescent="0.45">
      <c r="A2690" s="62" t="s">
        <v>1030</v>
      </c>
      <c r="B2690" s="62" t="s">
        <v>1031</v>
      </c>
      <c r="C2690" s="63"/>
      <c r="D2690" s="64"/>
      <c r="E2690" s="65"/>
      <c r="F2690" s="66"/>
      <c r="G2690" s="63"/>
      <c r="H2690" s="67"/>
      <c r="I2690" s="68"/>
      <c r="J2690" s="68"/>
      <c r="K2690" s="32"/>
      <c r="L2690" s="75"/>
      <c r="M2690" s="75"/>
      <c r="N2690" s="70"/>
      <c r="O2690" t="s">
        <v>1568</v>
      </c>
      <c r="P2690" s="76">
        <v>44958.468263888892</v>
      </c>
      <c r="Q2690" t="s">
        <v>2184</v>
      </c>
      <c r="V2690" s="77" t="str">
        <f>HYPERLINK("https://pbs.twimg.com/profile_images/1276249913244839937/NAGZkgfQ_normal.jpg")</f>
        <v>https://pbs.twimg.com/profile_images/1276249913244839937/NAGZkgfQ_normal.jpg</v>
      </c>
      <c r="W2690" s="76">
        <v>44958.468263888892</v>
      </c>
      <c r="X2690" s="80">
        <v>44958</v>
      </c>
      <c r="Y2690" s="78" t="s">
        <v>3328</v>
      </c>
      <c r="Z2690" s="77" t="str">
        <f>HYPERLINK("https://twitter.com/mohammed_saif70/status/1620742331510194177")</f>
        <v>https://twitter.com/mohammed_saif70/status/1620742331510194177</v>
      </c>
      <c r="AC2690" s="78" t="s">
        <v>4393</v>
      </c>
      <c r="AD2690" s="78" t="s">
        <v>4618</v>
      </c>
      <c r="AE2690" t="b">
        <v>0</v>
      </c>
      <c r="AF2690">
        <v>0</v>
      </c>
      <c r="AG2690" s="78" t="s">
        <v>4801</v>
      </c>
      <c r="AH2690" t="b">
        <v>0</v>
      </c>
      <c r="AI2690" t="s">
        <v>4829</v>
      </c>
      <c r="AK2690" s="78" t="s">
        <v>4640</v>
      </c>
      <c r="AL2690" t="b">
        <v>0</v>
      </c>
      <c r="AM2690">
        <v>2</v>
      </c>
      <c r="AN2690" s="78" t="s">
        <v>4640</v>
      </c>
      <c r="AO2690" s="78" t="s">
        <v>4850</v>
      </c>
      <c r="AP2690" t="b">
        <v>0</v>
      </c>
      <c r="AQ2690" s="78" t="s">
        <v>4618</v>
      </c>
      <c r="AR2690" t="s">
        <v>179</v>
      </c>
      <c r="AS2690">
        <v>0</v>
      </c>
      <c r="AT2690">
        <v>0</v>
      </c>
    </row>
    <row r="2691" spans="1:46" x14ac:dyDescent="0.45">
      <c r="A2691" s="62" t="s">
        <v>1030</v>
      </c>
      <c r="B2691" s="62" t="s">
        <v>1506</v>
      </c>
      <c r="C2691" s="63"/>
      <c r="D2691" s="64"/>
      <c r="E2691" s="65"/>
      <c r="F2691" s="66"/>
      <c r="G2691" s="63"/>
      <c r="H2691" s="67"/>
      <c r="I2691" s="68"/>
      <c r="J2691" s="68"/>
      <c r="K2691" s="32"/>
      <c r="L2691" s="75"/>
      <c r="M2691" s="75"/>
      <c r="N2691" s="70"/>
      <c r="O2691" t="s">
        <v>1568</v>
      </c>
      <c r="P2691" s="76">
        <v>44958.468263888892</v>
      </c>
      <c r="Q2691" t="s">
        <v>2184</v>
      </c>
      <c r="V2691" s="77" t="str">
        <f>HYPERLINK("https://pbs.twimg.com/profile_images/1276249913244839937/NAGZkgfQ_normal.jpg")</f>
        <v>https://pbs.twimg.com/profile_images/1276249913244839937/NAGZkgfQ_normal.jpg</v>
      </c>
      <c r="W2691" s="76">
        <v>44958.468263888892</v>
      </c>
      <c r="X2691" s="80">
        <v>44958</v>
      </c>
      <c r="Y2691" s="78" t="s">
        <v>3328</v>
      </c>
      <c r="Z2691" s="77" t="str">
        <f>HYPERLINK("https://twitter.com/mohammed_saif70/status/1620742331510194177")</f>
        <v>https://twitter.com/mohammed_saif70/status/1620742331510194177</v>
      </c>
      <c r="AC2691" s="78" t="s">
        <v>4393</v>
      </c>
      <c r="AD2691" s="78" t="s">
        <v>4618</v>
      </c>
      <c r="AE2691" t="b">
        <v>0</v>
      </c>
      <c r="AF2691">
        <v>0</v>
      </c>
      <c r="AG2691" s="78" t="s">
        <v>4801</v>
      </c>
      <c r="AH2691" t="b">
        <v>0</v>
      </c>
      <c r="AI2691" t="s">
        <v>4829</v>
      </c>
      <c r="AK2691" s="78" t="s">
        <v>4640</v>
      </c>
      <c r="AL2691" t="b">
        <v>0</v>
      </c>
      <c r="AM2691">
        <v>2</v>
      </c>
      <c r="AN2691" s="78" t="s">
        <v>4640</v>
      </c>
      <c r="AO2691" s="78" t="s">
        <v>4850</v>
      </c>
      <c r="AP2691" t="b">
        <v>0</v>
      </c>
      <c r="AQ2691" s="78" t="s">
        <v>4618</v>
      </c>
      <c r="AR2691" t="s">
        <v>179</v>
      </c>
      <c r="AS2691">
        <v>0</v>
      </c>
      <c r="AT2691">
        <v>0</v>
      </c>
    </row>
    <row r="2692" spans="1:46" x14ac:dyDescent="0.45">
      <c r="A2692" s="62" t="s">
        <v>1030</v>
      </c>
      <c r="B2692" s="62" t="s">
        <v>242</v>
      </c>
      <c r="C2692" s="63"/>
      <c r="D2692" s="64"/>
      <c r="E2692" s="65"/>
      <c r="F2692" s="66"/>
      <c r="G2692" s="63"/>
      <c r="H2692" s="67"/>
      <c r="I2692" s="68"/>
      <c r="J2692" s="68"/>
      <c r="K2692" s="32"/>
      <c r="L2692" s="75"/>
      <c r="M2692" s="75"/>
      <c r="N2692" s="70"/>
      <c r="O2692" t="s">
        <v>1568</v>
      </c>
      <c r="P2692" s="76">
        <v>44958.468263888892</v>
      </c>
      <c r="Q2692" t="s">
        <v>2184</v>
      </c>
      <c r="V2692" s="77" t="str">
        <f>HYPERLINK("https://pbs.twimg.com/profile_images/1276249913244839937/NAGZkgfQ_normal.jpg")</f>
        <v>https://pbs.twimg.com/profile_images/1276249913244839937/NAGZkgfQ_normal.jpg</v>
      </c>
      <c r="W2692" s="76">
        <v>44958.468263888892</v>
      </c>
      <c r="X2692" s="80">
        <v>44958</v>
      </c>
      <c r="Y2692" s="78" t="s">
        <v>3328</v>
      </c>
      <c r="Z2692" s="77" t="str">
        <f>HYPERLINK("https://twitter.com/mohammed_saif70/status/1620742331510194177")</f>
        <v>https://twitter.com/mohammed_saif70/status/1620742331510194177</v>
      </c>
      <c r="AC2692" s="78" t="s">
        <v>4393</v>
      </c>
      <c r="AD2692" s="78" t="s">
        <v>4618</v>
      </c>
      <c r="AE2692" t="b">
        <v>0</v>
      </c>
      <c r="AF2692">
        <v>0</v>
      </c>
      <c r="AG2692" s="78" t="s">
        <v>4801</v>
      </c>
      <c r="AH2692" t="b">
        <v>0</v>
      </c>
      <c r="AI2692" t="s">
        <v>4829</v>
      </c>
      <c r="AK2692" s="78" t="s">
        <v>4640</v>
      </c>
      <c r="AL2692" t="b">
        <v>0</v>
      </c>
      <c r="AM2692">
        <v>2</v>
      </c>
      <c r="AN2692" s="78" t="s">
        <v>4640</v>
      </c>
      <c r="AO2692" s="78" t="s">
        <v>4850</v>
      </c>
      <c r="AP2692" t="b">
        <v>0</v>
      </c>
      <c r="AQ2692" s="78" t="s">
        <v>4618</v>
      </c>
      <c r="AR2692" t="s">
        <v>179</v>
      </c>
      <c r="AS2692">
        <v>0</v>
      </c>
      <c r="AT2692">
        <v>0</v>
      </c>
    </row>
    <row r="2693" spans="1:46" x14ac:dyDescent="0.45">
      <c r="A2693" s="62" t="s">
        <v>1030</v>
      </c>
      <c r="B2693" s="62" t="s">
        <v>1110</v>
      </c>
      <c r="C2693" s="63"/>
      <c r="D2693" s="64"/>
      <c r="E2693" s="65"/>
      <c r="F2693" s="66"/>
      <c r="G2693" s="63"/>
      <c r="H2693" s="67"/>
      <c r="I2693" s="68"/>
      <c r="J2693" s="68"/>
      <c r="K2693" s="32"/>
      <c r="L2693" s="75"/>
      <c r="M2693" s="75"/>
      <c r="N2693" s="70"/>
      <c r="O2693" t="s">
        <v>1568</v>
      </c>
      <c r="P2693" s="76">
        <v>44958.468263888892</v>
      </c>
      <c r="Q2693" t="s">
        <v>2184</v>
      </c>
      <c r="V2693" s="77" t="str">
        <f>HYPERLINK("https://pbs.twimg.com/profile_images/1276249913244839937/NAGZkgfQ_normal.jpg")</f>
        <v>https://pbs.twimg.com/profile_images/1276249913244839937/NAGZkgfQ_normal.jpg</v>
      </c>
      <c r="W2693" s="76">
        <v>44958.468263888892</v>
      </c>
      <c r="X2693" s="80">
        <v>44958</v>
      </c>
      <c r="Y2693" s="78" t="s">
        <v>3328</v>
      </c>
      <c r="Z2693" s="77" t="str">
        <f>HYPERLINK("https://twitter.com/mohammed_saif70/status/1620742331510194177")</f>
        <v>https://twitter.com/mohammed_saif70/status/1620742331510194177</v>
      </c>
      <c r="AC2693" s="78" t="s">
        <v>4393</v>
      </c>
      <c r="AD2693" s="78" t="s">
        <v>4618</v>
      </c>
      <c r="AE2693" t="b">
        <v>0</v>
      </c>
      <c r="AF2693">
        <v>0</v>
      </c>
      <c r="AG2693" s="78" t="s">
        <v>4801</v>
      </c>
      <c r="AH2693" t="b">
        <v>0</v>
      </c>
      <c r="AI2693" t="s">
        <v>4829</v>
      </c>
      <c r="AK2693" s="78" t="s">
        <v>4640</v>
      </c>
      <c r="AL2693" t="b">
        <v>0</v>
      </c>
      <c r="AM2693">
        <v>2</v>
      </c>
      <c r="AN2693" s="78" t="s">
        <v>4640</v>
      </c>
      <c r="AO2693" s="78" t="s">
        <v>4850</v>
      </c>
      <c r="AP2693" t="b">
        <v>0</v>
      </c>
      <c r="AQ2693" s="78" t="s">
        <v>4618</v>
      </c>
      <c r="AR2693" t="s">
        <v>179</v>
      </c>
      <c r="AS2693">
        <v>0</v>
      </c>
      <c r="AT2693">
        <v>0</v>
      </c>
    </row>
    <row r="2694" spans="1:46" x14ac:dyDescent="0.45">
      <c r="A2694" s="62" t="s">
        <v>1030</v>
      </c>
      <c r="B2694" s="62" t="s">
        <v>1109</v>
      </c>
      <c r="C2694" s="63"/>
      <c r="D2694" s="64"/>
      <c r="E2694" s="65"/>
      <c r="F2694" s="66"/>
      <c r="G2694" s="63"/>
      <c r="H2694" s="67"/>
      <c r="I2694" s="68"/>
      <c r="J2694" s="68"/>
      <c r="K2694" s="32"/>
      <c r="L2694" s="75"/>
      <c r="M2694" s="75"/>
      <c r="N2694" s="70"/>
      <c r="O2694" t="s">
        <v>1568</v>
      </c>
      <c r="P2694" s="76">
        <v>44958.468263888892</v>
      </c>
      <c r="Q2694" t="s">
        <v>2184</v>
      </c>
      <c r="V2694" s="77" t="str">
        <f>HYPERLINK("https://pbs.twimg.com/profile_images/1276249913244839937/NAGZkgfQ_normal.jpg")</f>
        <v>https://pbs.twimg.com/profile_images/1276249913244839937/NAGZkgfQ_normal.jpg</v>
      </c>
      <c r="W2694" s="76">
        <v>44958.468263888892</v>
      </c>
      <c r="X2694" s="80">
        <v>44958</v>
      </c>
      <c r="Y2694" s="78" t="s">
        <v>3328</v>
      </c>
      <c r="Z2694" s="77" t="str">
        <f>HYPERLINK("https://twitter.com/mohammed_saif70/status/1620742331510194177")</f>
        <v>https://twitter.com/mohammed_saif70/status/1620742331510194177</v>
      </c>
      <c r="AC2694" s="78" t="s">
        <v>4393</v>
      </c>
      <c r="AD2694" s="78" t="s">
        <v>4618</v>
      </c>
      <c r="AE2694" t="b">
        <v>0</v>
      </c>
      <c r="AF2694">
        <v>0</v>
      </c>
      <c r="AG2694" s="78" t="s">
        <v>4801</v>
      </c>
      <c r="AH2694" t="b">
        <v>0</v>
      </c>
      <c r="AI2694" t="s">
        <v>4829</v>
      </c>
      <c r="AK2694" s="78" t="s">
        <v>4640</v>
      </c>
      <c r="AL2694" t="b">
        <v>0</v>
      </c>
      <c r="AM2694">
        <v>2</v>
      </c>
      <c r="AN2694" s="78" t="s">
        <v>4640</v>
      </c>
      <c r="AO2694" s="78" t="s">
        <v>4850</v>
      </c>
      <c r="AP2694" t="b">
        <v>0</v>
      </c>
      <c r="AQ2694" s="78" t="s">
        <v>4618</v>
      </c>
      <c r="AR2694" t="s">
        <v>179</v>
      </c>
      <c r="AS2694">
        <v>0</v>
      </c>
      <c r="AT2694">
        <v>0</v>
      </c>
    </row>
    <row r="2695" spans="1:46" x14ac:dyDescent="0.45">
      <c r="A2695" s="62" t="s">
        <v>1030</v>
      </c>
      <c r="B2695" s="62" t="s">
        <v>1108</v>
      </c>
      <c r="C2695" s="63"/>
      <c r="D2695" s="64"/>
      <c r="E2695" s="65"/>
      <c r="F2695" s="66"/>
      <c r="G2695" s="63"/>
      <c r="H2695" s="67"/>
      <c r="I2695" s="68"/>
      <c r="J2695" s="68"/>
      <c r="K2695" s="32"/>
      <c r="L2695" s="75"/>
      <c r="M2695" s="75"/>
      <c r="N2695" s="70"/>
      <c r="O2695" t="s">
        <v>1568</v>
      </c>
      <c r="P2695" s="76">
        <v>44958.468263888892</v>
      </c>
      <c r="Q2695" t="s">
        <v>2184</v>
      </c>
      <c r="V2695" s="77" t="str">
        <f>HYPERLINK("https://pbs.twimg.com/profile_images/1276249913244839937/NAGZkgfQ_normal.jpg")</f>
        <v>https://pbs.twimg.com/profile_images/1276249913244839937/NAGZkgfQ_normal.jpg</v>
      </c>
      <c r="W2695" s="76">
        <v>44958.468263888892</v>
      </c>
      <c r="X2695" s="80">
        <v>44958</v>
      </c>
      <c r="Y2695" s="78" t="s">
        <v>3328</v>
      </c>
      <c r="Z2695" s="77" t="str">
        <f>HYPERLINK("https://twitter.com/mohammed_saif70/status/1620742331510194177")</f>
        <v>https://twitter.com/mohammed_saif70/status/1620742331510194177</v>
      </c>
      <c r="AC2695" s="78" t="s">
        <v>4393</v>
      </c>
      <c r="AD2695" s="78" t="s">
        <v>4618</v>
      </c>
      <c r="AE2695" t="b">
        <v>0</v>
      </c>
      <c r="AF2695">
        <v>0</v>
      </c>
      <c r="AG2695" s="78" t="s">
        <v>4801</v>
      </c>
      <c r="AH2695" t="b">
        <v>0</v>
      </c>
      <c r="AI2695" t="s">
        <v>4829</v>
      </c>
      <c r="AK2695" s="78" t="s">
        <v>4640</v>
      </c>
      <c r="AL2695" t="b">
        <v>0</v>
      </c>
      <c r="AM2695">
        <v>2</v>
      </c>
      <c r="AN2695" s="78" t="s">
        <v>4640</v>
      </c>
      <c r="AO2695" s="78" t="s">
        <v>4850</v>
      </c>
      <c r="AP2695" t="b">
        <v>0</v>
      </c>
      <c r="AQ2695" s="78" t="s">
        <v>4618</v>
      </c>
      <c r="AR2695" t="s">
        <v>179</v>
      </c>
      <c r="AS2695">
        <v>0</v>
      </c>
      <c r="AT2695">
        <v>0</v>
      </c>
    </row>
    <row r="2696" spans="1:46" x14ac:dyDescent="0.45">
      <c r="A2696" s="62" t="s">
        <v>1031</v>
      </c>
      <c r="B2696" s="62" t="s">
        <v>1030</v>
      </c>
      <c r="C2696" s="63"/>
      <c r="D2696" s="64"/>
      <c r="E2696" s="65"/>
      <c r="F2696" s="66"/>
      <c r="G2696" s="63"/>
      <c r="H2696" s="67"/>
      <c r="I2696" s="68"/>
      <c r="J2696" s="68"/>
      <c r="K2696" s="32"/>
      <c r="L2696" s="75"/>
      <c r="M2696" s="75"/>
      <c r="N2696" s="70"/>
      <c r="O2696" t="s">
        <v>1569</v>
      </c>
      <c r="P2696" s="76">
        <v>44959.143171296295</v>
      </c>
      <c r="Q2696" t="s">
        <v>2184</v>
      </c>
      <c r="V2696" s="77" t="str">
        <f>HYPERLINK("https://pbs.twimg.com/profile_images/1601109073226711041/s7ytUwoo_normal.jpg")</f>
        <v>https://pbs.twimg.com/profile_images/1601109073226711041/s7ytUwoo_normal.jpg</v>
      </c>
      <c r="W2696" s="76">
        <v>44959.143171296295</v>
      </c>
      <c r="X2696" s="80">
        <v>44959</v>
      </c>
      <c r="Y2696" s="78" t="s">
        <v>3329</v>
      </c>
      <c r="Z2696" s="77" t="str">
        <f>HYPERLINK("https://twitter.com/bandbajaateraho/status/1620986912055115777")</f>
        <v>https://twitter.com/bandbajaateraho/status/1620986912055115777</v>
      </c>
      <c r="AC2696" s="78" t="s">
        <v>4394</v>
      </c>
      <c r="AE2696" t="b">
        <v>0</v>
      </c>
      <c r="AF2696">
        <v>0</v>
      </c>
      <c r="AG2696" s="78" t="s">
        <v>4640</v>
      </c>
      <c r="AH2696" t="b">
        <v>0</v>
      </c>
      <c r="AI2696" t="s">
        <v>4829</v>
      </c>
      <c r="AK2696" s="78" t="s">
        <v>4640</v>
      </c>
      <c r="AL2696" t="b">
        <v>0</v>
      </c>
      <c r="AM2696">
        <v>2</v>
      </c>
      <c r="AN2696" s="78" t="s">
        <v>4393</v>
      </c>
      <c r="AO2696" s="78" t="s">
        <v>4856</v>
      </c>
      <c r="AP2696" t="b">
        <v>0</v>
      </c>
      <c r="AQ2696" s="78" t="s">
        <v>4393</v>
      </c>
      <c r="AR2696" t="s">
        <v>179</v>
      </c>
      <c r="AS2696">
        <v>0</v>
      </c>
      <c r="AT2696">
        <v>0</v>
      </c>
    </row>
    <row r="2697" spans="1:46" x14ac:dyDescent="0.45">
      <c r="A2697" s="62" t="s">
        <v>1031</v>
      </c>
      <c r="B2697" s="62" t="s">
        <v>1030</v>
      </c>
      <c r="C2697" s="63"/>
      <c r="D2697" s="64"/>
      <c r="E2697" s="65"/>
      <c r="F2697" s="66"/>
      <c r="G2697" s="63"/>
      <c r="H2697" s="67"/>
      <c r="I2697" s="68"/>
      <c r="J2697" s="68"/>
      <c r="K2697" s="32"/>
      <c r="L2697" s="75"/>
      <c r="M2697" s="75"/>
      <c r="N2697" s="70"/>
      <c r="O2697" t="s">
        <v>1569</v>
      </c>
      <c r="P2697" s="76">
        <v>44959.342951388891</v>
      </c>
      <c r="Q2697" t="s">
        <v>2185</v>
      </c>
      <c r="V2697" s="77" t="str">
        <f>HYPERLINK("https://pbs.twimg.com/profile_images/1601109073226711041/s7ytUwoo_normal.jpg")</f>
        <v>https://pbs.twimg.com/profile_images/1601109073226711041/s7ytUwoo_normal.jpg</v>
      </c>
      <c r="W2697" s="76">
        <v>44959.342951388891</v>
      </c>
      <c r="X2697" s="80">
        <v>44959</v>
      </c>
      <c r="Y2697" s="78" t="s">
        <v>3332</v>
      </c>
      <c r="Z2697" s="77" t="str">
        <f>HYPERLINK("https://twitter.com/bandbajaateraho/status/1621059309160513537")</f>
        <v>https://twitter.com/bandbajaateraho/status/1621059309160513537</v>
      </c>
      <c r="AC2697" s="78" t="s">
        <v>4397</v>
      </c>
      <c r="AE2697" t="b">
        <v>0</v>
      </c>
      <c r="AF2697">
        <v>0</v>
      </c>
      <c r="AG2697" s="78" t="s">
        <v>4640</v>
      </c>
      <c r="AH2697" t="b">
        <v>0</v>
      </c>
      <c r="AI2697" t="s">
        <v>4829</v>
      </c>
      <c r="AK2697" s="78" t="s">
        <v>4640</v>
      </c>
      <c r="AL2697" t="b">
        <v>0</v>
      </c>
      <c r="AM2697">
        <v>2</v>
      </c>
      <c r="AN2697" s="78" t="s">
        <v>4396</v>
      </c>
      <c r="AO2697" s="78" t="s">
        <v>4856</v>
      </c>
      <c r="AP2697" t="b">
        <v>0</v>
      </c>
      <c r="AQ2697" s="78" t="s">
        <v>4396</v>
      </c>
      <c r="AR2697" t="s">
        <v>179</v>
      </c>
      <c r="AS2697">
        <v>0</v>
      </c>
      <c r="AT2697">
        <v>0</v>
      </c>
    </row>
    <row r="2698" spans="1:46" x14ac:dyDescent="0.45">
      <c r="A2698" s="62" t="s">
        <v>1032</v>
      </c>
      <c r="B2698" s="62" t="s">
        <v>1030</v>
      </c>
      <c r="C2698" s="63"/>
      <c r="D2698" s="64"/>
      <c r="E2698" s="65"/>
      <c r="F2698" s="66"/>
      <c r="G2698" s="63"/>
      <c r="H2698" s="67"/>
      <c r="I2698" s="68"/>
      <c r="J2698" s="68"/>
      <c r="K2698" s="32"/>
      <c r="L2698" s="75"/>
      <c r="M2698" s="75"/>
      <c r="N2698" s="70"/>
      <c r="O2698" t="s">
        <v>1569</v>
      </c>
      <c r="P2698" s="76">
        <v>44959.305798611109</v>
      </c>
      <c r="Q2698" t="s">
        <v>2184</v>
      </c>
      <c r="V2698" s="77" t="str">
        <f>HYPERLINK("https://pbs.twimg.com/profile_images/1588520130371530753/5tIlfAMR_normal.jpg")</f>
        <v>https://pbs.twimg.com/profile_images/1588520130371530753/5tIlfAMR_normal.jpg</v>
      </c>
      <c r="W2698" s="76">
        <v>44959.305798611109</v>
      </c>
      <c r="X2698" s="80">
        <v>44959</v>
      </c>
      <c r="Y2698" s="78" t="s">
        <v>3330</v>
      </c>
      <c r="Z2698" s="77" t="str">
        <f>HYPERLINK("https://twitter.com/aapkiawaaz_rk/status/1621045842269601792")</f>
        <v>https://twitter.com/aapkiawaaz_rk/status/1621045842269601792</v>
      </c>
      <c r="AC2698" s="78" t="s">
        <v>4395</v>
      </c>
      <c r="AE2698" t="b">
        <v>0</v>
      </c>
      <c r="AF2698">
        <v>0</v>
      </c>
      <c r="AG2698" s="78" t="s">
        <v>4640</v>
      </c>
      <c r="AH2698" t="b">
        <v>0</v>
      </c>
      <c r="AI2698" t="s">
        <v>4829</v>
      </c>
      <c r="AK2698" s="78" t="s">
        <v>4640</v>
      </c>
      <c r="AL2698" t="b">
        <v>0</v>
      </c>
      <c r="AM2698">
        <v>2</v>
      </c>
      <c r="AN2698" s="78" t="s">
        <v>4393</v>
      </c>
      <c r="AO2698" s="78" t="s">
        <v>4849</v>
      </c>
      <c r="AP2698" t="b">
        <v>0</v>
      </c>
      <c r="AQ2698" s="78" t="s">
        <v>4393</v>
      </c>
      <c r="AR2698" t="s">
        <v>179</v>
      </c>
      <c r="AS2698">
        <v>0</v>
      </c>
      <c r="AT2698">
        <v>0</v>
      </c>
    </row>
    <row r="2699" spans="1:46" x14ac:dyDescent="0.45">
      <c r="A2699" s="62" t="s">
        <v>1032</v>
      </c>
      <c r="B2699" s="62" t="s">
        <v>1030</v>
      </c>
      <c r="C2699" s="63"/>
      <c r="D2699" s="64"/>
      <c r="E2699" s="65"/>
      <c r="F2699" s="66"/>
      <c r="G2699" s="63"/>
      <c r="H2699" s="67"/>
      <c r="I2699" s="68"/>
      <c r="J2699" s="68"/>
      <c r="K2699" s="32"/>
      <c r="L2699" s="75"/>
      <c r="M2699" s="75"/>
      <c r="N2699" s="70"/>
      <c r="O2699" t="s">
        <v>1569</v>
      </c>
      <c r="P2699" s="76">
        <v>44959.420578703706</v>
      </c>
      <c r="Q2699" t="s">
        <v>2185</v>
      </c>
      <c r="V2699" s="77" t="str">
        <f>HYPERLINK("https://pbs.twimg.com/profile_images/1588520130371530753/5tIlfAMR_normal.jpg")</f>
        <v>https://pbs.twimg.com/profile_images/1588520130371530753/5tIlfAMR_normal.jpg</v>
      </c>
      <c r="W2699" s="76">
        <v>44959.420578703706</v>
      </c>
      <c r="X2699" s="80">
        <v>44959</v>
      </c>
      <c r="Y2699" s="78" t="s">
        <v>3333</v>
      </c>
      <c r="Z2699" s="77" t="str">
        <f>HYPERLINK("https://twitter.com/aapkiawaaz_rk/status/1621087440726552576")</f>
        <v>https://twitter.com/aapkiawaaz_rk/status/1621087440726552576</v>
      </c>
      <c r="AC2699" s="78" t="s">
        <v>4398</v>
      </c>
      <c r="AE2699" t="b">
        <v>0</v>
      </c>
      <c r="AF2699">
        <v>0</v>
      </c>
      <c r="AG2699" s="78" t="s">
        <v>4640</v>
      </c>
      <c r="AH2699" t="b">
        <v>0</v>
      </c>
      <c r="AI2699" t="s">
        <v>4829</v>
      </c>
      <c r="AK2699" s="78" t="s">
        <v>4640</v>
      </c>
      <c r="AL2699" t="b">
        <v>0</v>
      </c>
      <c r="AM2699">
        <v>2</v>
      </c>
      <c r="AN2699" s="78" t="s">
        <v>4396</v>
      </c>
      <c r="AO2699" s="78" t="s">
        <v>4849</v>
      </c>
      <c r="AP2699" t="b">
        <v>0</v>
      </c>
      <c r="AQ2699" s="78" t="s">
        <v>4396</v>
      </c>
      <c r="AR2699" t="s">
        <v>179</v>
      </c>
      <c r="AS2699">
        <v>0</v>
      </c>
      <c r="AT2699">
        <v>0</v>
      </c>
    </row>
    <row r="2700" spans="1:46" x14ac:dyDescent="0.45">
      <c r="A2700" s="62" t="s">
        <v>1031</v>
      </c>
      <c r="B2700" s="62" t="s">
        <v>1507</v>
      </c>
      <c r="C2700" s="63"/>
      <c r="D2700" s="64"/>
      <c r="E2700" s="65"/>
      <c r="F2700" s="66"/>
      <c r="G2700" s="63"/>
      <c r="H2700" s="67"/>
      <c r="I2700" s="68"/>
      <c r="J2700" s="68"/>
      <c r="K2700" s="32"/>
      <c r="L2700" s="75"/>
      <c r="M2700" s="75"/>
      <c r="N2700" s="70"/>
      <c r="O2700" t="s">
        <v>1567</v>
      </c>
      <c r="P2700" s="76">
        <v>44959.342951388891</v>
      </c>
      <c r="Q2700" t="s">
        <v>2185</v>
      </c>
      <c r="V2700" s="77" t="str">
        <f>HYPERLINK("https://pbs.twimg.com/profile_images/1601109073226711041/s7ytUwoo_normal.jpg")</f>
        <v>https://pbs.twimg.com/profile_images/1601109073226711041/s7ytUwoo_normal.jpg</v>
      </c>
      <c r="W2700" s="76">
        <v>44959.342951388891</v>
      </c>
      <c r="X2700" s="80">
        <v>44959</v>
      </c>
      <c r="Y2700" s="78" t="s">
        <v>3332</v>
      </c>
      <c r="Z2700" s="77" t="str">
        <f>HYPERLINK("https://twitter.com/bandbajaateraho/status/1621059309160513537")</f>
        <v>https://twitter.com/bandbajaateraho/status/1621059309160513537</v>
      </c>
      <c r="AC2700" s="78" t="s">
        <v>4397</v>
      </c>
      <c r="AE2700" t="b">
        <v>0</v>
      </c>
      <c r="AF2700">
        <v>0</v>
      </c>
      <c r="AG2700" s="78" t="s">
        <v>4640</v>
      </c>
      <c r="AH2700" t="b">
        <v>0</v>
      </c>
      <c r="AI2700" t="s">
        <v>4829</v>
      </c>
      <c r="AK2700" s="78" t="s">
        <v>4640</v>
      </c>
      <c r="AL2700" t="b">
        <v>0</v>
      </c>
      <c r="AM2700">
        <v>2</v>
      </c>
      <c r="AN2700" s="78" t="s">
        <v>4396</v>
      </c>
      <c r="AO2700" s="78" t="s">
        <v>4856</v>
      </c>
      <c r="AP2700" t="b">
        <v>0</v>
      </c>
      <c r="AQ2700" s="78" t="s">
        <v>4396</v>
      </c>
      <c r="AR2700" t="s">
        <v>179</v>
      </c>
      <c r="AS2700">
        <v>0</v>
      </c>
      <c r="AT2700">
        <v>0</v>
      </c>
    </row>
    <row r="2701" spans="1:46" x14ac:dyDescent="0.45">
      <c r="A2701" s="62" t="s">
        <v>1032</v>
      </c>
      <c r="B2701" s="62" t="s">
        <v>1507</v>
      </c>
      <c r="C2701" s="63"/>
      <c r="D2701" s="64"/>
      <c r="E2701" s="65"/>
      <c r="F2701" s="66"/>
      <c r="G2701" s="63"/>
      <c r="H2701" s="67"/>
      <c r="I2701" s="68"/>
      <c r="J2701" s="68"/>
      <c r="K2701" s="32"/>
      <c r="L2701" s="75"/>
      <c r="M2701" s="75"/>
      <c r="N2701" s="70"/>
      <c r="O2701" t="s">
        <v>1567</v>
      </c>
      <c r="P2701" s="76">
        <v>44959.420578703706</v>
      </c>
      <c r="Q2701" t="s">
        <v>2185</v>
      </c>
      <c r="V2701" s="77" t="str">
        <f>HYPERLINK("https://pbs.twimg.com/profile_images/1588520130371530753/5tIlfAMR_normal.jpg")</f>
        <v>https://pbs.twimg.com/profile_images/1588520130371530753/5tIlfAMR_normal.jpg</v>
      </c>
      <c r="W2701" s="76">
        <v>44959.420578703706</v>
      </c>
      <c r="X2701" s="80">
        <v>44959</v>
      </c>
      <c r="Y2701" s="78" t="s">
        <v>3333</v>
      </c>
      <c r="Z2701" s="77" t="str">
        <f>HYPERLINK("https://twitter.com/aapkiawaaz_rk/status/1621087440726552576")</f>
        <v>https://twitter.com/aapkiawaaz_rk/status/1621087440726552576</v>
      </c>
      <c r="AC2701" s="78" t="s">
        <v>4398</v>
      </c>
      <c r="AE2701" t="b">
        <v>0</v>
      </c>
      <c r="AF2701">
        <v>0</v>
      </c>
      <c r="AG2701" s="78" t="s">
        <v>4640</v>
      </c>
      <c r="AH2701" t="b">
        <v>0</v>
      </c>
      <c r="AI2701" t="s">
        <v>4829</v>
      </c>
      <c r="AK2701" s="78" t="s">
        <v>4640</v>
      </c>
      <c r="AL2701" t="b">
        <v>0</v>
      </c>
      <c r="AM2701">
        <v>2</v>
      </c>
      <c r="AN2701" s="78" t="s">
        <v>4396</v>
      </c>
      <c r="AO2701" s="78" t="s">
        <v>4849</v>
      </c>
      <c r="AP2701" t="b">
        <v>0</v>
      </c>
      <c r="AQ2701" s="78" t="s">
        <v>4396</v>
      </c>
      <c r="AR2701" t="s">
        <v>179</v>
      </c>
      <c r="AS2701">
        <v>0</v>
      </c>
      <c r="AT2701">
        <v>0</v>
      </c>
    </row>
    <row r="2702" spans="1:46" x14ac:dyDescent="0.45">
      <c r="A2702" s="62" t="s">
        <v>1031</v>
      </c>
      <c r="B2702" s="62" t="s">
        <v>1506</v>
      </c>
      <c r="C2702" s="63"/>
      <c r="D2702" s="64"/>
      <c r="E2702" s="65"/>
      <c r="F2702" s="66"/>
      <c r="G2702" s="63"/>
      <c r="H2702" s="67"/>
      <c r="I2702" s="68"/>
      <c r="J2702" s="68"/>
      <c r="K2702" s="32"/>
      <c r="L2702" s="75"/>
      <c r="M2702" s="75"/>
      <c r="N2702" s="70"/>
      <c r="O2702" t="s">
        <v>1570</v>
      </c>
      <c r="P2702" s="76">
        <v>44959.143171296295</v>
      </c>
      <c r="Q2702" t="s">
        <v>2184</v>
      </c>
      <c r="V2702" s="77" t="str">
        <f>HYPERLINK("https://pbs.twimg.com/profile_images/1601109073226711041/s7ytUwoo_normal.jpg")</f>
        <v>https://pbs.twimg.com/profile_images/1601109073226711041/s7ytUwoo_normal.jpg</v>
      </c>
      <c r="W2702" s="76">
        <v>44959.143171296295</v>
      </c>
      <c r="X2702" s="80">
        <v>44959</v>
      </c>
      <c r="Y2702" s="78" t="s">
        <v>3329</v>
      </c>
      <c r="Z2702" s="77" t="str">
        <f>HYPERLINK("https://twitter.com/bandbajaateraho/status/1620986912055115777")</f>
        <v>https://twitter.com/bandbajaateraho/status/1620986912055115777</v>
      </c>
      <c r="AC2702" s="78" t="s">
        <v>4394</v>
      </c>
      <c r="AE2702" t="b">
        <v>0</v>
      </c>
      <c r="AF2702">
        <v>0</v>
      </c>
      <c r="AG2702" s="78" t="s">
        <v>4640</v>
      </c>
      <c r="AH2702" t="b">
        <v>0</v>
      </c>
      <c r="AI2702" t="s">
        <v>4829</v>
      </c>
      <c r="AK2702" s="78" t="s">
        <v>4640</v>
      </c>
      <c r="AL2702" t="b">
        <v>0</v>
      </c>
      <c r="AM2702">
        <v>2</v>
      </c>
      <c r="AN2702" s="78" t="s">
        <v>4393</v>
      </c>
      <c r="AO2702" s="78" t="s">
        <v>4856</v>
      </c>
      <c r="AP2702" t="b">
        <v>0</v>
      </c>
      <c r="AQ2702" s="78" t="s">
        <v>4393</v>
      </c>
      <c r="AR2702" t="s">
        <v>179</v>
      </c>
      <c r="AS2702">
        <v>0</v>
      </c>
      <c r="AT2702">
        <v>0</v>
      </c>
    </row>
    <row r="2703" spans="1:46" x14ac:dyDescent="0.45">
      <c r="A2703" s="62" t="s">
        <v>1031</v>
      </c>
      <c r="B2703" s="62" t="s">
        <v>242</v>
      </c>
      <c r="C2703" s="63"/>
      <c r="D2703" s="64"/>
      <c r="E2703" s="65"/>
      <c r="F2703" s="66"/>
      <c r="G2703" s="63"/>
      <c r="H2703" s="67"/>
      <c r="I2703" s="68"/>
      <c r="J2703" s="68"/>
      <c r="K2703" s="32"/>
      <c r="L2703" s="75"/>
      <c r="M2703" s="75"/>
      <c r="N2703" s="70"/>
      <c r="O2703" t="s">
        <v>1570</v>
      </c>
      <c r="P2703" s="76">
        <v>44959.143171296295</v>
      </c>
      <c r="Q2703" t="s">
        <v>2184</v>
      </c>
      <c r="V2703" s="77" t="str">
        <f>HYPERLINK("https://pbs.twimg.com/profile_images/1601109073226711041/s7ytUwoo_normal.jpg")</f>
        <v>https://pbs.twimg.com/profile_images/1601109073226711041/s7ytUwoo_normal.jpg</v>
      </c>
      <c r="W2703" s="76">
        <v>44959.143171296295</v>
      </c>
      <c r="X2703" s="80">
        <v>44959</v>
      </c>
      <c r="Y2703" s="78" t="s">
        <v>3329</v>
      </c>
      <c r="Z2703" s="77" t="str">
        <f>HYPERLINK("https://twitter.com/bandbajaateraho/status/1620986912055115777")</f>
        <v>https://twitter.com/bandbajaateraho/status/1620986912055115777</v>
      </c>
      <c r="AC2703" s="78" t="s">
        <v>4394</v>
      </c>
      <c r="AE2703" t="b">
        <v>0</v>
      </c>
      <c r="AF2703">
        <v>0</v>
      </c>
      <c r="AG2703" s="78" t="s">
        <v>4640</v>
      </c>
      <c r="AH2703" t="b">
        <v>0</v>
      </c>
      <c r="AI2703" t="s">
        <v>4829</v>
      </c>
      <c r="AK2703" s="78" t="s">
        <v>4640</v>
      </c>
      <c r="AL2703" t="b">
        <v>0</v>
      </c>
      <c r="AM2703">
        <v>2</v>
      </c>
      <c r="AN2703" s="78" t="s">
        <v>4393</v>
      </c>
      <c r="AO2703" s="78" t="s">
        <v>4856</v>
      </c>
      <c r="AP2703" t="b">
        <v>0</v>
      </c>
      <c r="AQ2703" s="78" t="s">
        <v>4393</v>
      </c>
      <c r="AR2703" t="s">
        <v>179</v>
      </c>
      <c r="AS2703">
        <v>0</v>
      </c>
      <c r="AT2703">
        <v>0</v>
      </c>
    </row>
    <row r="2704" spans="1:46" x14ac:dyDescent="0.45">
      <c r="A2704" s="62" t="s">
        <v>1031</v>
      </c>
      <c r="B2704" s="62" t="s">
        <v>1110</v>
      </c>
      <c r="C2704" s="63"/>
      <c r="D2704" s="64"/>
      <c r="E2704" s="65"/>
      <c r="F2704" s="66"/>
      <c r="G2704" s="63"/>
      <c r="H2704" s="67"/>
      <c r="I2704" s="68"/>
      <c r="J2704" s="68"/>
      <c r="K2704" s="32"/>
      <c r="L2704" s="75"/>
      <c r="M2704" s="75"/>
      <c r="N2704" s="70"/>
      <c r="O2704" t="s">
        <v>1570</v>
      </c>
      <c r="P2704" s="76">
        <v>44959.143171296295</v>
      </c>
      <c r="Q2704" t="s">
        <v>2184</v>
      </c>
      <c r="V2704" s="77" t="str">
        <f>HYPERLINK("https://pbs.twimg.com/profile_images/1601109073226711041/s7ytUwoo_normal.jpg")</f>
        <v>https://pbs.twimg.com/profile_images/1601109073226711041/s7ytUwoo_normal.jpg</v>
      </c>
      <c r="W2704" s="76">
        <v>44959.143171296295</v>
      </c>
      <c r="X2704" s="80">
        <v>44959</v>
      </c>
      <c r="Y2704" s="78" t="s">
        <v>3329</v>
      </c>
      <c r="Z2704" s="77" t="str">
        <f>HYPERLINK("https://twitter.com/bandbajaateraho/status/1620986912055115777")</f>
        <v>https://twitter.com/bandbajaateraho/status/1620986912055115777</v>
      </c>
      <c r="AC2704" s="78" t="s">
        <v>4394</v>
      </c>
      <c r="AE2704" t="b">
        <v>0</v>
      </c>
      <c r="AF2704">
        <v>0</v>
      </c>
      <c r="AG2704" s="78" t="s">
        <v>4640</v>
      </c>
      <c r="AH2704" t="b">
        <v>0</v>
      </c>
      <c r="AI2704" t="s">
        <v>4829</v>
      </c>
      <c r="AK2704" s="78" t="s">
        <v>4640</v>
      </c>
      <c r="AL2704" t="b">
        <v>0</v>
      </c>
      <c r="AM2704">
        <v>2</v>
      </c>
      <c r="AN2704" s="78" t="s">
        <v>4393</v>
      </c>
      <c r="AO2704" s="78" t="s">
        <v>4856</v>
      </c>
      <c r="AP2704" t="b">
        <v>0</v>
      </c>
      <c r="AQ2704" s="78" t="s">
        <v>4393</v>
      </c>
      <c r="AR2704" t="s">
        <v>179</v>
      </c>
      <c r="AS2704">
        <v>0</v>
      </c>
      <c r="AT2704">
        <v>0</v>
      </c>
    </row>
    <row r="2705" spans="1:46" x14ac:dyDescent="0.45">
      <c r="A2705" s="62" t="s">
        <v>1031</v>
      </c>
      <c r="B2705" s="62" t="s">
        <v>1109</v>
      </c>
      <c r="C2705" s="63"/>
      <c r="D2705" s="64"/>
      <c r="E2705" s="65"/>
      <c r="F2705" s="66"/>
      <c r="G2705" s="63"/>
      <c r="H2705" s="67"/>
      <c r="I2705" s="68"/>
      <c r="J2705" s="68"/>
      <c r="K2705" s="32"/>
      <c r="L2705" s="75"/>
      <c r="M2705" s="75"/>
      <c r="N2705" s="70"/>
      <c r="O2705" t="s">
        <v>1570</v>
      </c>
      <c r="P2705" s="76">
        <v>44959.143171296295</v>
      </c>
      <c r="Q2705" t="s">
        <v>2184</v>
      </c>
      <c r="V2705" s="77" t="str">
        <f>HYPERLINK("https://pbs.twimg.com/profile_images/1601109073226711041/s7ytUwoo_normal.jpg")</f>
        <v>https://pbs.twimg.com/profile_images/1601109073226711041/s7ytUwoo_normal.jpg</v>
      </c>
      <c r="W2705" s="76">
        <v>44959.143171296295</v>
      </c>
      <c r="X2705" s="80">
        <v>44959</v>
      </c>
      <c r="Y2705" s="78" t="s">
        <v>3329</v>
      </c>
      <c r="Z2705" s="77" t="str">
        <f>HYPERLINK("https://twitter.com/bandbajaateraho/status/1620986912055115777")</f>
        <v>https://twitter.com/bandbajaateraho/status/1620986912055115777</v>
      </c>
      <c r="AC2705" s="78" t="s">
        <v>4394</v>
      </c>
      <c r="AE2705" t="b">
        <v>0</v>
      </c>
      <c r="AF2705">
        <v>0</v>
      </c>
      <c r="AG2705" s="78" t="s">
        <v>4640</v>
      </c>
      <c r="AH2705" t="b">
        <v>0</v>
      </c>
      <c r="AI2705" t="s">
        <v>4829</v>
      </c>
      <c r="AK2705" s="78" t="s">
        <v>4640</v>
      </c>
      <c r="AL2705" t="b">
        <v>0</v>
      </c>
      <c r="AM2705">
        <v>2</v>
      </c>
      <c r="AN2705" s="78" t="s">
        <v>4393</v>
      </c>
      <c r="AO2705" s="78" t="s">
        <v>4856</v>
      </c>
      <c r="AP2705" t="b">
        <v>0</v>
      </c>
      <c r="AQ2705" s="78" t="s">
        <v>4393</v>
      </c>
      <c r="AR2705" t="s">
        <v>179</v>
      </c>
      <c r="AS2705">
        <v>0</v>
      </c>
      <c r="AT2705">
        <v>0</v>
      </c>
    </row>
    <row r="2706" spans="1:46" x14ac:dyDescent="0.45">
      <c r="A2706" s="62" t="s">
        <v>1031</v>
      </c>
      <c r="B2706" s="62" t="s">
        <v>1108</v>
      </c>
      <c r="C2706" s="63"/>
      <c r="D2706" s="64"/>
      <c r="E2706" s="65"/>
      <c r="F2706" s="66"/>
      <c r="G2706" s="63"/>
      <c r="H2706" s="67"/>
      <c r="I2706" s="68"/>
      <c r="J2706" s="68"/>
      <c r="K2706" s="32"/>
      <c r="L2706" s="75"/>
      <c r="M2706" s="75"/>
      <c r="N2706" s="70"/>
      <c r="O2706" t="s">
        <v>1570</v>
      </c>
      <c r="P2706" s="76">
        <v>44959.143171296295</v>
      </c>
      <c r="Q2706" t="s">
        <v>2184</v>
      </c>
      <c r="V2706" s="77" t="str">
        <f>HYPERLINK("https://pbs.twimg.com/profile_images/1601109073226711041/s7ytUwoo_normal.jpg")</f>
        <v>https://pbs.twimg.com/profile_images/1601109073226711041/s7ytUwoo_normal.jpg</v>
      </c>
      <c r="W2706" s="76">
        <v>44959.143171296295</v>
      </c>
      <c r="X2706" s="80">
        <v>44959</v>
      </c>
      <c r="Y2706" s="78" t="s">
        <v>3329</v>
      </c>
      <c r="Z2706" s="77" t="str">
        <f>HYPERLINK("https://twitter.com/bandbajaateraho/status/1620986912055115777")</f>
        <v>https://twitter.com/bandbajaateraho/status/1620986912055115777</v>
      </c>
      <c r="AC2706" s="78" t="s">
        <v>4394</v>
      </c>
      <c r="AE2706" t="b">
        <v>0</v>
      </c>
      <c r="AF2706">
        <v>0</v>
      </c>
      <c r="AG2706" s="78" t="s">
        <v>4640</v>
      </c>
      <c r="AH2706" t="b">
        <v>0</v>
      </c>
      <c r="AI2706" t="s">
        <v>4829</v>
      </c>
      <c r="AK2706" s="78" t="s">
        <v>4640</v>
      </c>
      <c r="AL2706" t="b">
        <v>0</v>
      </c>
      <c r="AM2706">
        <v>2</v>
      </c>
      <c r="AN2706" s="78" t="s">
        <v>4393</v>
      </c>
      <c r="AO2706" s="78" t="s">
        <v>4856</v>
      </c>
      <c r="AP2706" t="b">
        <v>0</v>
      </c>
      <c r="AQ2706" s="78" t="s">
        <v>4393</v>
      </c>
      <c r="AR2706" t="s">
        <v>179</v>
      </c>
      <c r="AS2706">
        <v>0</v>
      </c>
      <c r="AT2706">
        <v>0</v>
      </c>
    </row>
    <row r="2707" spans="1:46" x14ac:dyDescent="0.45">
      <c r="A2707" s="62" t="s">
        <v>1031</v>
      </c>
      <c r="B2707" s="62" t="s">
        <v>1506</v>
      </c>
      <c r="C2707" s="63"/>
      <c r="D2707" s="64"/>
      <c r="E2707" s="65"/>
      <c r="F2707" s="66"/>
      <c r="G2707" s="63"/>
      <c r="H2707" s="67"/>
      <c r="I2707" s="68"/>
      <c r="J2707" s="68"/>
      <c r="K2707" s="32"/>
      <c r="L2707" s="75"/>
      <c r="M2707" s="75"/>
      <c r="N2707" s="70"/>
      <c r="O2707" t="s">
        <v>1570</v>
      </c>
      <c r="P2707" s="76">
        <v>44959.342951388891</v>
      </c>
      <c r="Q2707" t="s">
        <v>2185</v>
      </c>
      <c r="V2707" s="77" t="str">
        <f>HYPERLINK("https://pbs.twimg.com/profile_images/1601109073226711041/s7ytUwoo_normal.jpg")</f>
        <v>https://pbs.twimg.com/profile_images/1601109073226711041/s7ytUwoo_normal.jpg</v>
      </c>
      <c r="W2707" s="76">
        <v>44959.342951388891</v>
      </c>
      <c r="X2707" s="80">
        <v>44959</v>
      </c>
      <c r="Y2707" s="78" t="s">
        <v>3332</v>
      </c>
      <c r="Z2707" s="77" t="str">
        <f>HYPERLINK("https://twitter.com/bandbajaateraho/status/1621059309160513537")</f>
        <v>https://twitter.com/bandbajaateraho/status/1621059309160513537</v>
      </c>
      <c r="AC2707" s="78" t="s">
        <v>4397</v>
      </c>
      <c r="AE2707" t="b">
        <v>0</v>
      </c>
      <c r="AF2707">
        <v>0</v>
      </c>
      <c r="AG2707" s="78" t="s">
        <v>4640</v>
      </c>
      <c r="AH2707" t="b">
        <v>0</v>
      </c>
      <c r="AI2707" t="s">
        <v>4829</v>
      </c>
      <c r="AK2707" s="78" t="s">
        <v>4640</v>
      </c>
      <c r="AL2707" t="b">
        <v>0</v>
      </c>
      <c r="AM2707">
        <v>2</v>
      </c>
      <c r="AN2707" s="78" t="s">
        <v>4396</v>
      </c>
      <c r="AO2707" s="78" t="s">
        <v>4856</v>
      </c>
      <c r="AP2707" t="b">
        <v>0</v>
      </c>
      <c r="AQ2707" s="78" t="s">
        <v>4396</v>
      </c>
      <c r="AR2707" t="s">
        <v>179</v>
      </c>
      <c r="AS2707">
        <v>0</v>
      </c>
      <c r="AT2707">
        <v>0</v>
      </c>
    </row>
    <row r="2708" spans="1:46" x14ac:dyDescent="0.45">
      <c r="A2708" s="62" t="s">
        <v>1031</v>
      </c>
      <c r="B2708" s="62" t="s">
        <v>1109</v>
      </c>
      <c r="C2708" s="63"/>
      <c r="D2708" s="64"/>
      <c r="E2708" s="65"/>
      <c r="F2708" s="66"/>
      <c r="G2708" s="63"/>
      <c r="H2708" s="67"/>
      <c r="I2708" s="68"/>
      <c r="J2708" s="68"/>
      <c r="K2708" s="32"/>
      <c r="L2708" s="75"/>
      <c r="M2708" s="75"/>
      <c r="N2708" s="70"/>
      <c r="O2708" t="s">
        <v>1570</v>
      </c>
      <c r="P2708" s="76">
        <v>44959.342951388891</v>
      </c>
      <c r="Q2708" t="s">
        <v>2185</v>
      </c>
      <c r="V2708" s="77" t="str">
        <f>HYPERLINK("https://pbs.twimg.com/profile_images/1601109073226711041/s7ytUwoo_normal.jpg")</f>
        <v>https://pbs.twimg.com/profile_images/1601109073226711041/s7ytUwoo_normal.jpg</v>
      </c>
      <c r="W2708" s="76">
        <v>44959.342951388891</v>
      </c>
      <c r="X2708" s="80">
        <v>44959</v>
      </c>
      <c r="Y2708" s="78" t="s">
        <v>3332</v>
      </c>
      <c r="Z2708" s="77" t="str">
        <f>HYPERLINK("https://twitter.com/bandbajaateraho/status/1621059309160513537")</f>
        <v>https://twitter.com/bandbajaateraho/status/1621059309160513537</v>
      </c>
      <c r="AC2708" s="78" t="s">
        <v>4397</v>
      </c>
      <c r="AE2708" t="b">
        <v>0</v>
      </c>
      <c r="AF2708">
        <v>0</v>
      </c>
      <c r="AG2708" s="78" t="s">
        <v>4640</v>
      </c>
      <c r="AH2708" t="b">
        <v>0</v>
      </c>
      <c r="AI2708" t="s">
        <v>4829</v>
      </c>
      <c r="AK2708" s="78" t="s">
        <v>4640</v>
      </c>
      <c r="AL2708" t="b">
        <v>0</v>
      </c>
      <c r="AM2708">
        <v>2</v>
      </c>
      <c r="AN2708" s="78" t="s">
        <v>4396</v>
      </c>
      <c r="AO2708" s="78" t="s">
        <v>4856</v>
      </c>
      <c r="AP2708" t="b">
        <v>0</v>
      </c>
      <c r="AQ2708" s="78" t="s">
        <v>4396</v>
      </c>
      <c r="AR2708" t="s">
        <v>179</v>
      </c>
      <c r="AS2708">
        <v>0</v>
      </c>
      <c r="AT2708">
        <v>0</v>
      </c>
    </row>
    <row r="2709" spans="1:46" x14ac:dyDescent="0.45">
      <c r="A2709" s="62" t="s">
        <v>1031</v>
      </c>
      <c r="B2709" s="62" t="s">
        <v>242</v>
      </c>
      <c r="C2709" s="63"/>
      <c r="D2709" s="64"/>
      <c r="E2709" s="65"/>
      <c r="F2709" s="66"/>
      <c r="G2709" s="63"/>
      <c r="H2709" s="67"/>
      <c r="I2709" s="68"/>
      <c r="J2709" s="68"/>
      <c r="K2709" s="32"/>
      <c r="L2709" s="75"/>
      <c r="M2709" s="75"/>
      <c r="N2709" s="70"/>
      <c r="O2709" t="s">
        <v>1570</v>
      </c>
      <c r="P2709" s="76">
        <v>44959.342951388891</v>
      </c>
      <c r="Q2709" t="s">
        <v>2185</v>
      </c>
      <c r="V2709" s="77" t="str">
        <f>HYPERLINK("https://pbs.twimg.com/profile_images/1601109073226711041/s7ytUwoo_normal.jpg")</f>
        <v>https://pbs.twimg.com/profile_images/1601109073226711041/s7ytUwoo_normal.jpg</v>
      </c>
      <c r="W2709" s="76">
        <v>44959.342951388891</v>
      </c>
      <c r="X2709" s="80">
        <v>44959</v>
      </c>
      <c r="Y2709" s="78" t="s">
        <v>3332</v>
      </c>
      <c r="Z2709" s="77" t="str">
        <f>HYPERLINK("https://twitter.com/bandbajaateraho/status/1621059309160513537")</f>
        <v>https://twitter.com/bandbajaateraho/status/1621059309160513537</v>
      </c>
      <c r="AC2709" s="78" t="s">
        <v>4397</v>
      </c>
      <c r="AE2709" t="b">
        <v>0</v>
      </c>
      <c r="AF2709">
        <v>0</v>
      </c>
      <c r="AG2709" s="78" t="s">
        <v>4640</v>
      </c>
      <c r="AH2709" t="b">
        <v>0</v>
      </c>
      <c r="AI2709" t="s">
        <v>4829</v>
      </c>
      <c r="AK2709" s="78" t="s">
        <v>4640</v>
      </c>
      <c r="AL2709" t="b">
        <v>0</v>
      </c>
      <c r="AM2709">
        <v>2</v>
      </c>
      <c r="AN2709" s="78" t="s">
        <v>4396</v>
      </c>
      <c r="AO2709" s="78" t="s">
        <v>4856</v>
      </c>
      <c r="AP2709" t="b">
        <v>0</v>
      </c>
      <c r="AQ2709" s="78" t="s">
        <v>4396</v>
      </c>
      <c r="AR2709" t="s">
        <v>179</v>
      </c>
      <c r="AS2709">
        <v>0</v>
      </c>
      <c r="AT2709">
        <v>0</v>
      </c>
    </row>
    <row r="2710" spans="1:46" x14ac:dyDescent="0.45">
      <c r="A2710" s="62" t="s">
        <v>1031</v>
      </c>
      <c r="B2710" s="62" t="s">
        <v>1108</v>
      </c>
      <c r="C2710" s="63"/>
      <c r="D2710" s="64"/>
      <c r="E2710" s="65"/>
      <c r="F2710" s="66"/>
      <c r="G2710" s="63"/>
      <c r="H2710" s="67"/>
      <c r="I2710" s="68"/>
      <c r="J2710" s="68"/>
      <c r="K2710" s="32"/>
      <c r="L2710" s="75"/>
      <c r="M2710" s="75"/>
      <c r="N2710" s="70"/>
      <c r="O2710" t="s">
        <v>1570</v>
      </c>
      <c r="P2710" s="76">
        <v>44959.342951388891</v>
      </c>
      <c r="Q2710" t="s">
        <v>2185</v>
      </c>
      <c r="V2710" s="77" t="str">
        <f>HYPERLINK("https://pbs.twimg.com/profile_images/1601109073226711041/s7ytUwoo_normal.jpg")</f>
        <v>https://pbs.twimg.com/profile_images/1601109073226711041/s7ytUwoo_normal.jpg</v>
      </c>
      <c r="W2710" s="76">
        <v>44959.342951388891</v>
      </c>
      <c r="X2710" s="80">
        <v>44959</v>
      </c>
      <c r="Y2710" s="78" t="s">
        <v>3332</v>
      </c>
      <c r="Z2710" s="77" t="str">
        <f>HYPERLINK("https://twitter.com/bandbajaateraho/status/1621059309160513537")</f>
        <v>https://twitter.com/bandbajaateraho/status/1621059309160513537</v>
      </c>
      <c r="AC2710" s="78" t="s">
        <v>4397</v>
      </c>
      <c r="AE2710" t="b">
        <v>0</v>
      </c>
      <c r="AF2710">
        <v>0</v>
      </c>
      <c r="AG2710" s="78" t="s">
        <v>4640</v>
      </c>
      <c r="AH2710" t="b">
        <v>0</v>
      </c>
      <c r="AI2710" t="s">
        <v>4829</v>
      </c>
      <c r="AK2710" s="78" t="s">
        <v>4640</v>
      </c>
      <c r="AL2710" t="b">
        <v>0</v>
      </c>
      <c r="AM2710">
        <v>2</v>
      </c>
      <c r="AN2710" s="78" t="s">
        <v>4396</v>
      </c>
      <c r="AO2710" s="78" t="s">
        <v>4856</v>
      </c>
      <c r="AP2710" t="b">
        <v>0</v>
      </c>
      <c r="AQ2710" s="78" t="s">
        <v>4396</v>
      </c>
      <c r="AR2710" t="s">
        <v>179</v>
      </c>
      <c r="AS2710">
        <v>0</v>
      </c>
      <c r="AT2710">
        <v>0</v>
      </c>
    </row>
    <row r="2711" spans="1:46" x14ac:dyDescent="0.45">
      <c r="A2711" s="62" t="s">
        <v>1031</v>
      </c>
      <c r="B2711" s="62" t="s">
        <v>1110</v>
      </c>
      <c r="C2711" s="63"/>
      <c r="D2711" s="64"/>
      <c r="E2711" s="65"/>
      <c r="F2711" s="66"/>
      <c r="G2711" s="63"/>
      <c r="H2711" s="67"/>
      <c r="I2711" s="68"/>
      <c r="J2711" s="68"/>
      <c r="K2711" s="32"/>
      <c r="L2711" s="75"/>
      <c r="M2711" s="75"/>
      <c r="N2711" s="70"/>
      <c r="O2711" t="s">
        <v>1570</v>
      </c>
      <c r="P2711" s="76">
        <v>44959.342951388891</v>
      </c>
      <c r="Q2711" t="s">
        <v>2185</v>
      </c>
      <c r="V2711" s="77" t="str">
        <f>HYPERLINK("https://pbs.twimg.com/profile_images/1601109073226711041/s7ytUwoo_normal.jpg")</f>
        <v>https://pbs.twimg.com/profile_images/1601109073226711041/s7ytUwoo_normal.jpg</v>
      </c>
      <c r="W2711" s="76">
        <v>44959.342951388891</v>
      </c>
      <c r="X2711" s="80">
        <v>44959</v>
      </c>
      <c r="Y2711" s="78" t="s">
        <v>3332</v>
      </c>
      <c r="Z2711" s="77" t="str">
        <f>HYPERLINK("https://twitter.com/bandbajaateraho/status/1621059309160513537")</f>
        <v>https://twitter.com/bandbajaateraho/status/1621059309160513537</v>
      </c>
      <c r="AC2711" s="78" t="s">
        <v>4397</v>
      </c>
      <c r="AE2711" t="b">
        <v>0</v>
      </c>
      <c r="AF2711">
        <v>0</v>
      </c>
      <c r="AG2711" s="78" t="s">
        <v>4640</v>
      </c>
      <c r="AH2711" t="b">
        <v>0</v>
      </c>
      <c r="AI2711" t="s">
        <v>4829</v>
      </c>
      <c r="AK2711" s="78" t="s">
        <v>4640</v>
      </c>
      <c r="AL2711" t="b">
        <v>0</v>
      </c>
      <c r="AM2711">
        <v>2</v>
      </c>
      <c r="AN2711" s="78" t="s">
        <v>4396</v>
      </c>
      <c r="AO2711" s="78" t="s">
        <v>4856</v>
      </c>
      <c r="AP2711" t="b">
        <v>0</v>
      </c>
      <c r="AQ2711" s="78" t="s">
        <v>4396</v>
      </c>
      <c r="AR2711" t="s">
        <v>179</v>
      </c>
      <c r="AS2711">
        <v>0</v>
      </c>
      <c r="AT2711">
        <v>0</v>
      </c>
    </row>
    <row r="2712" spans="1:46" x14ac:dyDescent="0.45">
      <c r="A2712" s="62" t="s">
        <v>1032</v>
      </c>
      <c r="B2712" s="62" t="s">
        <v>1031</v>
      </c>
      <c r="C2712" s="63"/>
      <c r="D2712" s="64"/>
      <c r="E2712" s="65"/>
      <c r="F2712" s="66"/>
      <c r="G2712" s="63"/>
      <c r="H2712" s="67"/>
      <c r="I2712" s="68"/>
      <c r="J2712" s="68"/>
      <c r="K2712" s="32"/>
      <c r="L2712" s="75"/>
      <c r="M2712" s="75"/>
      <c r="N2712" s="70"/>
      <c r="O2712" t="s">
        <v>1570</v>
      </c>
      <c r="P2712" s="76">
        <v>44959.305798611109</v>
      </c>
      <c r="Q2712" t="s">
        <v>2184</v>
      </c>
      <c r="V2712" s="77" t="str">
        <f>HYPERLINK("https://pbs.twimg.com/profile_images/1588520130371530753/5tIlfAMR_normal.jpg")</f>
        <v>https://pbs.twimg.com/profile_images/1588520130371530753/5tIlfAMR_normal.jpg</v>
      </c>
      <c r="W2712" s="76">
        <v>44959.305798611109</v>
      </c>
      <c r="X2712" s="80">
        <v>44959</v>
      </c>
      <c r="Y2712" s="78" t="s">
        <v>3330</v>
      </c>
      <c r="Z2712" s="77" t="str">
        <f>HYPERLINK("https://twitter.com/aapkiawaaz_rk/status/1621045842269601792")</f>
        <v>https://twitter.com/aapkiawaaz_rk/status/1621045842269601792</v>
      </c>
      <c r="AC2712" s="78" t="s">
        <v>4395</v>
      </c>
      <c r="AE2712" t="b">
        <v>0</v>
      </c>
      <c r="AF2712">
        <v>0</v>
      </c>
      <c r="AG2712" s="78" t="s">
        <v>4640</v>
      </c>
      <c r="AH2712" t="b">
        <v>0</v>
      </c>
      <c r="AI2712" t="s">
        <v>4829</v>
      </c>
      <c r="AK2712" s="78" t="s">
        <v>4640</v>
      </c>
      <c r="AL2712" t="b">
        <v>0</v>
      </c>
      <c r="AM2712">
        <v>2</v>
      </c>
      <c r="AN2712" s="78" t="s">
        <v>4393</v>
      </c>
      <c r="AO2712" s="78" t="s">
        <v>4849</v>
      </c>
      <c r="AP2712" t="b">
        <v>0</v>
      </c>
      <c r="AQ2712" s="78" t="s">
        <v>4393</v>
      </c>
      <c r="AR2712" t="s">
        <v>179</v>
      </c>
      <c r="AS2712">
        <v>0</v>
      </c>
      <c r="AT2712">
        <v>0</v>
      </c>
    </row>
    <row r="2713" spans="1:46" x14ac:dyDescent="0.45">
      <c r="A2713" s="62" t="s">
        <v>1032</v>
      </c>
      <c r="B2713" s="62" t="s">
        <v>1031</v>
      </c>
      <c r="C2713" s="63"/>
      <c r="D2713" s="64"/>
      <c r="E2713" s="65"/>
      <c r="F2713" s="66"/>
      <c r="G2713" s="63"/>
      <c r="H2713" s="67"/>
      <c r="I2713" s="68"/>
      <c r="J2713" s="68"/>
      <c r="K2713" s="32"/>
      <c r="L2713" s="75"/>
      <c r="M2713" s="75"/>
      <c r="N2713" s="70"/>
      <c r="O2713" t="s">
        <v>1570</v>
      </c>
      <c r="P2713" s="76">
        <v>44959.420578703706</v>
      </c>
      <c r="Q2713" t="s">
        <v>2185</v>
      </c>
      <c r="V2713" s="77" t="str">
        <f>HYPERLINK("https://pbs.twimg.com/profile_images/1588520130371530753/5tIlfAMR_normal.jpg")</f>
        <v>https://pbs.twimg.com/profile_images/1588520130371530753/5tIlfAMR_normal.jpg</v>
      </c>
      <c r="W2713" s="76">
        <v>44959.420578703706</v>
      </c>
      <c r="X2713" s="80">
        <v>44959</v>
      </c>
      <c r="Y2713" s="78" t="s">
        <v>3333</v>
      </c>
      <c r="Z2713" s="77" t="str">
        <f>HYPERLINK("https://twitter.com/aapkiawaaz_rk/status/1621087440726552576")</f>
        <v>https://twitter.com/aapkiawaaz_rk/status/1621087440726552576</v>
      </c>
      <c r="AC2713" s="78" t="s">
        <v>4398</v>
      </c>
      <c r="AE2713" t="b">
        <v>0</v>
      </c>
      <c r="AF2713">
        <v>0</v>
      </c>
      <c r="AG2713" s="78" t="s">
        <v>4640</v>
      </c>
      <c r="AH2713" t="b">
        <v>0</v>
      </c>
      <c r="AI2713" t="s">
        <v>4829</v>
      </c>
      <c r="AK2713" s="78" t="s">
        <v>4640</v>
      </c>
      <c r="AL2713" t="b">
        <v>0</v>
      </c>
      <c r="AM2713">
        <v>2</v>
      </c>
      <c r="AN2713" s="78" t="s">
        <v>4396</v>
      </c>
      <c r="AO2713" s="78" t="s">
        <v>4849</v>
      </c>
      <c r="AP2713" t="b">
        <v>0</v>
      </c>
      <c r="AQ2713" s="78" t="s">
        <v>4396</v>
      </c>
      <c r="AR2713" t="s">
        <v>179</v>
      </c>
      <c r="AS2713">
        <v>0</v>
      </c>
      <c r="AT2713">
        <v>0</v>
      </c>
    </row>
    <row r="2714" spans="1:46" x14ac:dyDescent="0.45">
      <c r="A2714" s="62" t="s">
        <v>1032</v>
      </c>
      <c r="B2714" s="62" t="s">
        <v>1506</v>
      </c>
      <c r="C2714" s="63"/>
      <c r="D2714" s="64"/>
      <c r="E2714" s="65"/>
      <c r="F2714" s="66"/>
      <c r="G2714" s="63"/>
      <c r="H2714" s="67"/>
      <c r="I2714" s="68"/>
      <c r="J2714" s="68"/>
      <c r="K2714" s="32"/>
      <c r="L2714" s="75"/>
      <c r="M2714" s="75"/>
      <c r="N2714" s="70"/>
      <c r="O2714" t="s">
        <v>1570</v>
      </c>
      <c r="P2714" s="76">
        <v>44959.305798611109</v>
      </c>
      <c r="Q2714" t="s">
        <v>2184</v>
      </c>
      <c r="V2714" s="77" t="str">
        <f>HYPERLINK("https://pbs.twimg.com/profile_images/1588520130371530753/5tIlfAMR_normal.jpg")</f>
        <v>https://pbs.twimg.com/profile_images/1588520130371530753/5tIlfAMR_normal.jpg</v>
      </c>
      <c r="W2714" s="76">
        <v>44959.305798611109</v>
      </c>
      <c r="X2714" s="80">
        <v>44959</v>
      </c>
      <c r="Y2714" s="78" t="s">
        <v>3330</v>
      </c>
      <c r="Z2714" s="77" t="str">
        <f>HYPERLINK("https://twitter.com/aapkiawaaz_rk/status/1621045842269601792")</f>
        <v>https://twitter.com/aapkiawaaz_rk/status/1621045842269601792</v>
      </c>
      <c r="AC2714" s="78" t="s">
        <v>4395</v>
      </c>
      <c r="AE2714" t="b">
        <v>0</v>
      </c>
      <c r="AF2714">
        <v>0</v>
      </c>
      <c r="AG2714" s="78" t="s">
        <v>4640</v>
      </c>
      <c r="AH2714" t="b">
        <v>0</v>
      </c>
      <c r="AI2714" t="s">
        <v>4829</v>
      </c>
      <c r="AK2714" s="78" t="s">
        <v>4640</v>
      </c>
      <c r="AL2714" t="b">
        <v>0</v>
      </c>
      <c r="AM2714">
        <v>2</v>
      </c>
      <c r="AN2714" s="78" t="s">
        <v>4393</v>
      </c>
      <c r="AO2714" s="78" t="s">
        <v>4849</v>
      </c>
      <c r="AP2714" t="b">
        <v>0</v>
      </c>
      <c r="AQ2714" s="78" t="s">
        <v>4393</v>
      </c>
      <c r="AR2714" t="s">
        <v>179</v>
      </c>
      <c r="AS2714">
        <v>0</v>
      </c>
      <c r="AT2714">
        <v>0</v>
      </c>
    </row>
    <row r="2715" spans="1:46" x14ac:dyDescent="0.45">
      <c r="A2715" s="62" t="s">
        <v>1032</v>
      </c>
      <c r="B2715" s="62" t="s">
        <v>1506</v>
      </c>
      <c r="C2715" s="63"/>
      <c r="D2715" s="64"/>
      <c r="E2715" s="65"/>
      <c r="F2715" s="66"/>
      <c r="G2715" s="63"/>
      <c r="H2715" s="67"/>
      <c r="I2715" s="68"/>
      <c r="J2715" s="68"/>
      <c r="K2715" s="32"/>
      <c r="L2715" s="75"/>
      <c r="M2715" s="75"/>
      <c r="N2715" s="70"/>
      <c r="O2715" t="s">
        <v>1570</v>
      </c>
      <c r="P2715" s="76">
        <v>44959.420578703706</v>
      </c>
      <c r="Q2715" t="s">
        <v>2185</v>
      </c>
      <c r="V2715" s="77" t="str">
        <f>HYPERLINK("https://pbs.twimg.com/profile_images/1588520130371530753/5tIlfAMR_normal.jpg")</f>
        <v>https://pbs.twimg.com/profile_images/1588520130371530753/5tIlfAMR_normal.jpg</v>
      </c>
      <c r="W2715" s="76">
        <v>44959.420578703706</v>
      </c>
      <c r="X2715" s="80">
        <v>44959</v>
      </c>
      <c r="Y2715" s="78" t="s">
        <v>3333</v>
      </c>
      <c r="Z2715" s="77" t="str">
        <f>HYPERLINK("https://twitter.com/aapkiawaaz_rk/status/1621087440726552576")</f>
        <v>https://twitter.com/aapkiawaaz_rk/status/1621087440726552576</v>
      </c>
      <c r="AC2715" s="78" t="s">
        <v>4398</v>
      </c>
      <c r="AE2715" t="b">
        <v>0</v>
      </c>
      <c r="AF2715">
        <v>0</v>
      </c>
      <c r="AG2715" s="78" t="s">
        <v>4640</v>
      </c>
      <c r="AH2715" t="b">
        <v>0</v>
      </c>
      <c r="AI2715" t="s">
        <v>4829</v>
      </c>
      <c r="AK2715" s="78" t="s">
        <v>4640</v>
      </c>
      <c r="AL2715" t="b">
        <v>0</v>
      </c>
      <c r="AM2715">
        <v>2</v>
      </c>
      <c r="AN2715" s="78" t="s">
        <v>4396</v>
      </c>
      <c r="AO2715" s="78" t="s">
        <v>4849</v>
      </c>
      <c r="AP2715" t="b">
        <v>0</v>
      </c>
      <c r="AQ2715" s="78" t="s">
        <v>4396</v>
      </c>
      <c r="AR2715" t="s">
        <v>179</v>
      </c>
      <c r="AS2715">
        <v>0</v>
      </c>
      <c r="AT2715">
        <v>0</v>
      </c>
    </row>
    <row r="2716" spans="1:46" x14ac:dyDescent="0.45">
      <c r="A2716" s="62" t="s">
        <v>1032</v>
      </c>
      <c r="B2716" s="62" t="s">
        <v>242</v>
      </c>
      <c r="C2716" s="63"/>
      <c r="D2716" s="64"/>
      <c r="E2716" s="65"/>
      <c r="F2716" s="66"/>
      <c r="G2716" s="63"/>
      <c r="H2716" s="67"/>
      <c r="I2716" s="68"/>
      <c r="J2716" s="68"/>
      <c r="K2716" s="32"/>
      <c r="L2716" s="75"/>
      <c r="M2716" s="75"/>
      <c r="N2716" s="70"/>
      <c r="O2716" t="s">
        <v>1570</v>
      </c>
      <c r="P2716" s="76">
        <v>44959.305798611109</v>
      </c>
      <c r="Q2716" t="s">
        <v>2184</v>
      </c>
      <c r="V2716" s="77" t="str">
        <f>HYPERLINK("https://pbs.twimg.com/profile_images/1588520130371530753/5tIlfAMR_normal.jpg")</f>
        <v>https://pbs.twimg.com/profile_images/1588520130371530753/5tIlfAMR_normal.jpg</v>
      </c>
      <c r="W2716" s="76">
        <v>44959.305798611109</v>
      </c>
      <c r="X2716" s="80">
        <v>44959</v>
      </c>
      <c r="Y2716" s="78" t="s">
        <v>3330</v>
      </c>
      <c r="Z2716" s="77" t="str">
        <f>HYPERLINK("https://twitter.com/aapkiawaaz_rk/status/1621045842269601792")</f>
        <v>https://twitter.com/aapkiawaaz_rk/status/1621045842269601792</v>
      </c>
      <c r="AC2716" s="78" t="s">
        <v>4395</v>
      </c>
      <c r="AE2716" t="b">
        <v>0</v>
      </c>
      <c r="AF2716">
        <v>0</v>
      </c>
      <c r="AG2716" s="78" t="s">
        <v>4640</v>
      </c>
      <c r="AH2716" t="b">
        <v>0</v>
      </c>
      <c r="AI2716" t="s">
        <v>4829</v>
      </c>
      <c r="AK2716" s="78" t="s">
        <v>4640</v>
      </c>
      <c r="AL2716" t="b">
        <v>0</v>
      </c>
      <c r="AM2716">
        <v>2</v>
      </c>
      <c r="AN2716" s="78" t="s">
        <v>4393</v>
      </c>
      <c r="AO2716" s="78" t="s">
        <v>4849</v>
      </c>
      <c r="AP2716" t="b">
        <v>0</v>
      </c>
      <c r="AQ2716" s="78" t="s">
        <v>4393</v>
      </c>
      <c r="AR2716" t="s">
        <v>179</v>
      </c>
      <c r="AS2716">
        <v>0</v>
      </c>
      <c r="AT2716">
        <v>0</v>
      </c>
    </row>
    <row r="2717" spans="1:46" x14ac:dyDescent="0.45">
      <c r="A2717" s="62" t="s">
        <v>1032</v>
      </c>
      <c r="B2717" s="62" t="s">
        <v>1110</v>
      </c>
      <c r="C2717" s="63"/>
      <c r="D2717" s="64"/>
      <c r="E2717" s="65"/>
      <c r="F2717" s="66"/>
      <c r="G2717" s="63"/>
      <c r="H2717" s="67"/>
      <c r="I2717" s="68"/>
      <c r="J2717" s="68"/>
      <c r="K2717" s="32"/>
      <c r="L2717" s="75"/>
      <c r="M2717" s="75"/>
      <c r="N2717" s="70"/>
      <c r="O2717" t="s">
        <v>1570</v>
      </c>
      <c r="P2717" s="76">
        <v>44959.305798611109</v>
      </c>
      <c r="Q2717" t="s">
        <v>2184</v>
      </c>
      <c r="V2717" s="77" t="str">
        <f>HYPERLINK("https://pbs.twimg.com/profile_images/1588520130371530753/5tIlfAMR_normal.jpg")</f>
        <v>https://pbs.twimg.com/profile_images/1588520130371530753/5tIlfAMR_normal.jpg</v>
      </c>
      <c r="W2717" s="76">
        <v>44959.305798611109</v>
      </c>
      <c r="X2717" s="80">
        <v>44959</v>
      </c>
      <c r="Y2717" s="78" t="s">
        <v>3330</v>
      </c>
      <c r="Z2717" s="77" t="str">
        <f>HYPERLINK("https://twitter.com/aapkiawaaz_rk/status/1621045842269601792")</f>
        <v>https://twitter.com/aapkiawaaz_rk/status/1621045842269601792</v>
      </c>
      <c r="AC2717" s="78" t="s">
        <v>4395</v>
      </c>
      <c r="AE2717" t="b">
        <v>0</v>
      </c>
      <c r="AF2717">
        <v>0</v>
      </c>
      <c r="AG2717" s="78" t="s">
        <v>4640</v>
      </c>
      <c r="AH2717" t="b">
        <v>0</v>
      </c>
      <c r="AI2717" t="s">
        <v>4829</v>
      </c>
      <c r="AK2717" s="78" t="s">
        <v>4640</v>
      </c>
      <c r="AL2717" t="b">
        <v>0</v>
      </c>
      <c r="AM2717">
        <v>2</v>
      </c>
      <c r="AN2717" s="78" t="s">
        <v>4393</v>
      </c>
      <c r="AO2717" s="78" t="s">
        <v>4849</v>
      </c>
      <c r="AP2717" t="b">
        <v>0</v>
      </c>
      <c r="AQ2717" s="78" t="s">
        <v>4393</v>
      </c>
      <c r="AR2717" t="s">
        <v>179</v>
      </c>
      <c r="AS2717">
        <v>0</v>
      </c>
      <c r="AT2717">
        <v>0</v>
      </c>
    </row>
    <row r="2718" spans="1:46" x14ac:dyDescent="0.45">
      <c r="A2718" s="62" t="s">
        <v>1032</v>
      </c>
      <c r="B2718" s="62" t="s">
        <v>1109</v>
      </c>
      <c r="C2718" s="63"/>
      <c r="D2718" s="64"/>
      <c r="E2718" s="65"/>
      <c r="F2718" s="66"/>
      <c r="G2718" s="63"/>
      <c r="H2718" s="67"/>
      <c r="I2718" s="68"/>
      <c r="J2718" s="68"/>
      <c r="K2718" s="32"/>
      <c r="L2718" s="75"/>
      <c r="M2718" s="75"/>
      <c r="N2718" s="70"/>
      <c r="O2718" t="s">
        <v>1570</v>
      </c>
      <c r="P2718" s="76">
        <v>44959.305798611109</v>
      </c>
      <c r="Q2718" t="s">
        <v>2184</v>
      </c>
      <c r="V2718" s="77" t="str">
        <f>HYPERLINK("https://pbs.twimg.com/profile_images/1588520130371530753/5tIlfAMR_normal.jpg")</f>
        <v>https://pbs.twimg.com/profile_images/1588520130371530753/5tIlfAMR_normal.jpg</v>
      </c>
      <c r="W2718" s="76">
        <v>44959.305798611109</v>
      </c>
      <c r="X2718" s="80">
        <v>44959</v>
      </c>
      <c r="Y2718" s="78" t="s">
        <v>3330</v>
      </c>
      <c r="Z2718" s="77" t="str">
        <f>HYPERLINK("https://twitter.com/aapkiawaaz_rk/status/1621045842269601792")</f>
        <v>https://twitter.com/aapkiawaaz_rk/status/1621045842269601792</v>
      </c>
      <c r="AC2718" s="78" t="s">
        <v>4395</v>
      </c>
      <c r="AE2718" t="b">
        <v>0</v>
      </c>
      <c r="AF2718">
        <v>0</v>
      </c>
      <c r="AG2718" s="78" t="s">
        <v>4640</v>
      </c>
      <c r="AH2718" t="b">
        <v>0</v>
      </c>
      <c r="AI2718" t="s">
        <v>4829</v>
      </c>
      <c r="AK2718" s="78" t="s">
        <v>4640</v>
      </c>
      <c r="AL2718" t="b">
        <v>0</v>
      </c>
      <c r="AM2718">
        <v>2</v>
      </c>
      <c r="AN2718" s="78" t="s">
        <v>4393</v>
      </c>
      <c r="AO2718" s="78" t="s">
        <v>4849</v>
      </c>
      <c r="AP2718" t="b">
        <v>0</v>
      </c>
      <c r="AQ2718" s="78" t="s">
        <v>4393</v>
      </c>
      <c r="AR2718" t="s">
        <v>179</v>
      </c>
      <c r="AS2718">
        <v>0</v>
      </c>
      <c r="AT2718">
        <v>0</v>
      </c>
    </row>
    <row r="2719" spans="1:46" x14ac:dyDescent="0.45">
      <c r="A2719" s="62" t="s">
        <v>1032</v>
      </c>
      <c r="B2719" s="62" t="s">
        <v>1108</v>
      </c>
      <c r="C2719" s="63"/>
      <c r="D2719" s="64"/>
      <c r="E2719" s="65"/>
      <c r="F2719" s="66"/>
      <c r="G2719" s="63"/>
      <c r="H2719" s="67"/>
      <c r="I2719" s="68"/>
      <c r="J2719" s="68"/>
      <c r="K2719" s="32"/>
      <c r="L2719" s="75"/>
      <c r="M2719" s="75"/>
      <c r="N2719" s="70"/>
      <c r="O2719" t="s">
        <v>1570</v>
      </c>
      <c r="P2719" s="76">
        <v>44959.305798611109</v>
      </c>
      <c r="Q2719" t="s">
        <v>2184</v>
      </c>
      <c r="V2719" s="77" t="str">
        <f>HYPERLINK("https://pbs.twimg.com/profile_images/1588520130371530753/5tIlfAMR_normal.jpg")</f>
        <v>https://pbs.twimg.com/profile_images/1588520130371530753/5tIlfAMR_normal.jpg</v>
      </c>
      <c r="W2719" s="76">
        <v>44959.305798611109</v>
      </c>
      <c r="X2719" s="80">
        <v>44959</v>
      </c>
      <c r="Y2719" s="78" t="s">
        <v>3330</v>
      </c>
      <c r="Z2719" s="77" t="str">
        <f>HYPERLINK("https://twitter.com/aapkiawaaz_rk/status/1621045842269601792")</f>
        <v>https://twitter.com/aapkiawaaz_rk/status/1621045842269601792</v>
      </c>
      <c r="AC2719" s="78" t="s">
        <v>4395</v>
      </c>
      <c r="AE2719" t="b">
        <v>0</v>
      </c>
      <c r="AF2719">
        <v>0</v>
      </c>
      <c r="AG2719" s="78" t="s">
        <v>4640</v>
      </c>
      <c r="AH2719" t="b">
        <v>0</v>
      </c>
      <c r="AI2719" t="s">
        <v>4829</v>
      </c>
      <c r="AK2719" s="78" t="s">
        <v>4640</v>
      </c>
      <c r="AL2719" t="b">
        <v>0</v>
      </c>
      <c r="AM2719">
        <v>2</v>
      </c>
      <c r="AN2719" s="78" t="s">
        <v>4393</v>
      </c>
      <c r="AO2719" s="78" t="s">
        <v>4849</v>
      </c>
      <c r="AP2719" t="b">
        <v>0</v>
      </c>
      <c r="AQ2719" s="78" t="s">
        <v>4393</v>
      </c>
      <c r="AR2719" t="s">
        <v>179</v>
      </c>
      <c r="AS2719">
        <v>0</v>
      </c>
      <c r="AT2719">
        <v>0</v>
      </c>
    </row>
    <row r="2720" spans="1:46" x14ac:dyDescent="0.45">
      <c r="A2720" s="62" t="s">
        <v>1032</v>
      </c>
      <c r="B2720" s="62" t="s">
        <v>1109</v>
      </c>
      <c r="C2720" s="63"/>
      <c r="D2720" s="64"/>
      <c r="E2720" s="65"/>
      <c r="F2720" s="66"/>
      <c r="G2720" s="63"/>
      <c r="H2720" s="67"/>
      <c r="I2720" s="68"/>
      <c r="J2720" s="68"/>
      <c r="K2720" s="32"/>
      <c r="L2720" s="75"/>
      <c r="M2720" s="75"/>
      <c r="N2720" s="70"/>
      <c r="O2720" t="s">
        <v>1570</v>
      </c>
      <c r="P2720" s="76">
        <v>44959.420578703706</v>
      </c>
      <c r="Q2720" t="s">
        <v>2185</v>
      </c>
      <c r="V2720" s="77" t="str">
        <f>HYPERLINK("https://pbs.twimg.com/profile_images/1588520130371530753/5tIlfAMR_normal.jpg")</f>
        <v>https://pbs.twimg.com/profile_images/1588520130371530753/5tIlfAMR_normal.jpg</v>
      </c>
      <c r="W2720" s="76">
        <v>44959.420578703706</v>
      </c>
      <c r="X2720" s="80">
        <v>44959</v>
      </c>
      <c r="Y2720" s="78" t="s">
        <v>3333</v>
      </c>
      <c r="Z2720" s="77" t="str">
        <f>HYPERLINK("https://twitter.com/aapkiawaaz_rk/status/1621087440726552576")</f>
        <v>https://twitter.com/aapkiawaaz_rk/status/1621087440726552576</v>
      </c>
      <c r="AC2720" s="78" t="s">
        <v>4398</v>
      </c>
      <c r="AE2720" t="b">
        <v>0</v>
      </c>
      <c r="AF2720">
        <v>0</v>
      </c>
      <c r="AG2720" s="78" t="s">
        <v>4640</v>
      </c>
      <c r="AH2720" t="b">
        <v>0</v>
      </c>
      <c r="AI2720" t="s">
        <v>4829</v>
      </c>
      <c r="AK2720" s="78" t="s">
        <v>4640</v>
      </c>
      <c r="AL2720" t="b">
        <v>0</v>
      </c>
      <c r="AM2720">
        <v>2</v>
      </c>
      <c r="AN2720" s="78" t="s">
        <v>4396</v>
      </c>
      <c r="AO2720" s="78" t="s">
        <v>4849</v>
      </c>
      <c r="AP2720" t="b">
        <v>0</v>
      </c>
      <c r="AQ2720" s="78" t="s">
        <v>4396</v>
      </c>
      <c r="AR2720" t="s">
        <v>179</v>
      </c>
      <c r="AS2720">
        <v>0</v>
      </c>
      <c r="AT2720">
        <v>0</v>
      </c>
    </row>
    <row r="2721" spans="1:46" x14ac:dyDescent="0.45">
      <c r="A2721" s="62" t="s">
        <v>1032</v>
      </c>
      <c r="B2721" s="62" t="s">
        <v>242</v>
      </c>
      <c r="C2721" s="63"/>
      <c r="D2721" s="64"/>
      <c r="E2721" s="65"/>
      <c r="F2721" s="66"/>
      <c r="G2721" s="63"/>
      <c r="H2721" s="67"/>
      <c r="I2721" s="68"/>
      <c r="J2721" s="68"/>
      <c r="K2721" s="32"/>
      <c r="L2721" s="75"/>
      <c r="M2721" s="75"/>
      <c r="N2721" s="70"/>
      <c r="O2721" t="s">
        <v>1570</v>
      </c>
      <c r="P2721" s="76">
        <v>44959.420578703706</v>
      </c>
      <c r="Q2721" t="s">
        <v>2185</v>
      </c>
      <c r="V2721" s="77" t="str">
        <f>HYPERLINK("https://pbs.twimg.com/profile_images/1588520130371530753/5tIlfAMR_normal.jpg")</f>
        <v>https://pbs.twimg.com/profile_images/1588520130371530753/5tIlfAMR_normal.jpg</v>
      </c>
      <c r="W2721" s="76">
        <v>44959.420578703706</v>
      </c>
      <c r="X2721" s="80">
        <v>44959</v>
      </c>
      <c r="Y2721" s="78" t="s">
        <v>3333</v>
      </c>
      <c r="Z2721" s="77" t="str">
        <f>HYPERLINK("https://twitter.com/aapkiawaaz_rk/status/1621087440726552576")</f>
        <v>https://twitter.com/aapkiawaaz_rk/status/1621087440726552576</v>
      </c>
      <c r="AC2721" s="78" t="s">
        <v>4398</v>
      </c>
      <c r="AE2721" t="b">
        <v>0</v>
      </c>
      <c r="AF2721">
        <v>0</v>
      </c>
      <c r="AG2721" s="78" t="s">
        <v>4640</v>
      </c>
      <c r="AH2721" t="b">
        <v>0</v>
      </c>
      <c r="AI2721" t="s">
        <v>4829</v>
      </c>
      <c r="AK2721" s="78" t="s">
        <v>4640</v>
      </c>
      <c r="AL2721" t="b">
        <v>0</v>
      </c>
      <c r="AM2721">
        <v>2</v>
      </c>
      <c r="AN2721" s="78" t="s">
        <v>4396</v>
      </c>
      <c r="AO2721" s="78" t="s">
        <v>4849</v>
      </c>
      <c r="AP2721" t="b">
        <v>0</v>
      </c>
      <c r="AQ2721" s="78" t="s">
        <v>4396</v>
      </c>
      <c r="AR2721" t="s">
        <v>179</v>
      </c>
      <c r="AS2721">
        <v>0</v>
      </c>
      <c r="AT2721">
        <v>0</v>
      </c>
    </row>
    <row r="2722" spans="1:46" x14ac:dyDescent="0.45">
      <c r="A2722" s="62" t="s">
        <v>1032</v>
      </c>
      <c r="B2722" s="62" t="s">
        <v>1108</v>
      </c>
      <c r="C2722" s="63"/>
      <c r="D2722" s="64"/>
      <c r="E2722" s="65"/>
      <c r="F2722" s="66"/>
      <c r="G2722" s="63"/>
      <c r="H2722" s="67"/>
      <c r="I2722" s="68"/>
      <c r="J2722" s="68"/>
      <c r="K2722" s="32"/>
      <c r="L2722" s="75"/>
      <c r="M2722" s="75"/>
      <c r="N2722" s="70"/>
      <c r="O2722" t="s">
        <v>1570</v>
      </c>
      <c r="P2722" s="76">
        <v>44959.420578703706</v>
      </c>
      <c r="Q2722" t="s">
        <v>2185</v>
      </c>
      <c r="V2722" s="77" t="str">
        <f>HYPERLINK("https://pbs.twimg.com/profile_images/1588520130371530753/5tIlfAMR_normal.jpg")</f>
        <v>https://pbs.twimg.com/profile_images/1588520130371530753/5tIlfAMR_normal.jpg</v>
      </c>
      <c r="W2722" s="76">
        <v>44959.420578703706</v>
      </c>
      <c r="X2722" s="80">
        <v>44959</v>
      </c>
      <c r="Y2722" s="78" t="s">
        <v>3333</v>
      </c>
      <c r="Z2722" s="77" t="str">
        <f>HYPERLINK("https://twitter.com/aapkiawaaz_rk/status/1621087440726552576")</f>
        <v>https://twitter.com/aapkiawaaz_rk/status/1621087440726552576</v>
      </c>
      <c r="AC2722" s="78" t="s">
        <v>4398</v>
      </c>
      <c r="AE2722" t="b">
        <v>0</v>
      </c>
      <c r="AF2722">
        <v>0</v>
      </c>
      <c r="AG2722" s="78" t="s">
        <v>4640</v>
      </c>
      <c r="AH2722" t="b">
        <v>0</v>
      </c>
      <c r="AI2722" t="s">
        <v>4829</v>
      </c>
      <c r="AK2722" s="78" t="s">
        <v>4640</v>
      </c>
      <c r="AL2722" t="b">
        <v>0</v>
      </c>
      <c r="AM2722">
        <v>2</v>
      </c>
      <c r="AN2722" s="78" t="s">
        <v>4396</v>
      </c>
      <c r="AO2722" s="78" t="s">
        <v>4849</v>
      </c>
      <c r="AP2722" t="b">
        <v>0</v>
      </c>
      <c r="AQ2722" s="78" t="s">
        <v>4396</v>
      </c>
      <c r="AR2722" t="s">
        <v>179</v>
      </c>
      <c r="AS2722">
        <v>0</v>
      </c>
      <c r="AT2722">
        <v>0</v>
      </c>
    </row>
    <row r="2723" spans="1:46" x14ac:dyDescent="0.45">
      <c r="A2723" s="62" t="s">
        <v>1032</v>
      </c>
      <c r="B2723" s="62" t="s">
        <v>1110</v>
      </c>
      <c r="C2723" s="63"/>
      <c r="D2723" s="64"/>
      <c r="E2723" s="65"/>
      <c r="F2723" s="66"/>
      <c r="G2723" s="63"/>
      <c r="H2723" s="67"/>
      <c r="I2723" s="68"/>
      <c r="J2723" s="68"/>
      <c r="K2723" s="32"/>
      <c r="L2723" s="75"/>
      <c r="M2723" s="75"/>
      <c r="N2723" s="70"/>
      <c r="O2723" t="s">
        <v>1570</v>
      </c>
      <c r="P2723" s="76">
        <v>44959.420578703706</v>
      </c>
      <c r="Q2723" t="s">
        <v>2185</v>
      </c>
      <c r="V2723" s="77" t="str">
        <f>HYPERLINK("https://pbs.twimg.com/profile_images/1588520130371530753/5tIlfAMR_normal.jpg")</f>
        <v>https://pbs.twimg.com/profile_images/1588520130371530753/5tIlfAMR_normal.jpg</v>
      </c>
      <c r="W2723" s="76">
        <v>44959.420578703706</v>
      </c>
      <c r="X2723" s="80">
        <v>44959</v>
      </c>
      <c r="Y2723" s="78" t="s">
        <v>3333</v>
      </c>
      <c r="Z2723" s="77" t="str">
        <f>HYPERLINK("https://twitter.com/aapkiawaaz_rk/status/1621087440726552576")</f>
        <v>https://twitter.com/aapkiawaaz_rk/status/1621087440726552576</v>
      </c>
      <c r="AC2723" s="78" t="s">
        <v>4398</v>
      </c>
      <c r="AE2723" t="b">
        <v>0</v>
      </c>
      <c r="AF2723">
        <v>0</v>
      </c>
      <c r="AG2723" s="78" t="s">
        <v>4640</v>
      </c>
      <c r="AH2723" t="b">
        <v>0</v>
      </c>
      <c r="AI2723" t="s">
        <v>4829</v>
      </c>
      <c r="AK2723" s="78" t="s">
        <v>4640</v>
      </c>
      <c r="AL2723" t="b">
        <v>0</v>
      </c>
      <c r="AM2723">
        <v>2</v>
      </c>
      <c r="AN2723" s="78" t="s">
        <v>4396</v>
      </c>
      <c r="AO2723" s="78" t="s">
        <v>4849</v>
      </c>
      <c r="AP2723" t="b">
        <v>0</v>
      </c>
      <c r="AQ2723" s="78" t="s">
        <v>4396</v>
      </c>
      <c r="AR2723" t="s">
        <v>179</v>
      </c>
      <c r="AS2723">
        <v>0</v>
      </c>
      <c r="AT2723">
        <v>0</v>
      </c>
    </row>
    <row r="2724" spans="1:46" x14ac:dyDescent="0.45">
      <c r="A2724" s="62" t="s">
        <v>1034</v>
      </c>
      <c r="B2724" s="62" t="s">
        <v>242</v>
      </c>
      <c r="C2724" s="63"/>
      <c r="D2724" s="64"/>
      <c r="E2724" s="65"/>
      <c r="F2724" s="66"/>
      <c r="G2724" s="63"/>
      <c r="H2724" s="67"/>
      <c r="I2724" s="68"/>
      <c r="J2724" s="68"/>
      <c r="K2724" s="32"/>
      <c r="L2724" s="75"/>
      <c r="M2724" s="75"/>
      <c r="N2724" s="70"/>
      <c r="O2724" t="s">
        <v>1568</v>
      </c>
      <c r="P2724" s="76">
        <v>44959.429699074077</v>
      </c>
      <c r="Q2724" t="s">
        <v>2189</v>
      </c>
      <c r="V2724" s="77" t="str">
        <f>HYPERLINK("https://pbs.twimg.com/profile_images/1463512235838423040/0Eux-pHG_normal.jpg")</f>
        <v>https://pbs.twimg.com/profile_images/1463512235838423040/0Eux-pHG_normal.jpg</v>
      </c>
      <c r="W2724" s="76">
        <v>44959.429699074077</v>
      </c>
      <c r="X2724" s="80">
        <v>44959</v>
      </c>
      <c r="Y2724" s="78" t="s">
        <v>3340</v>
      </c>
      <c r="Z2724" s="77" t="str">
        <f>HYPERLINK("https://twitter.com/abdulwhelan/status/1621090745494167552")</f>
        <v>https://twitter.com/abdulwhelan/status/1621090745494167552</v>
      </c>
      <c r="AC2724" s="78" t="s">
        <v>4405</v>
      </c>
      <c r="AD2724" s="78" t="s">
        <v>4420</v>
      </c>
      <c r="AE2724" t="b">
        <v>0</v>
      </c>
      <c r="AF2724">
        <v>0</v>
      </c>
      <c r="AG2724" s="78" t="s">
        <v>4737</v>
      </c>
      <c r="AH2724" t="b">
        <v>0</v>
      </c>
      <c r="AI2724" t="s">
        <v>4829</v>
      </c>
      <c r="AK2724" s="78" t="s">
        <v>4640</v>
      </c>
      <c r="AL2724" t="b">
        <v>0</v>
      </c>
      <c r="AM2724">
        <v>0</v>
      </c>
      <c r="AN2724" s="78" t="s">
        <v>4640</v>
      </c>
      <c r="AO2724" s="78" t="s">
        <v>4851</v>
      </c>
      <c r="AP2724" t="b">
        <v>0</v>
      </c>
      <c r="AQ2724" s="78" t="s">
        <v>4420</v>
      </c>
      <c r="AR2724" t="s">
        <v>179</v>
      </c>
      <c r="AS2724">
        <v>0</v>
      </c>
      <c r="AT2724">
        <v>0</v>
      </c>
    </row>
    <row r="2725" spans="1:46" x14ac:dyDescent="0.45">
      <c r="A2725" s="62" t="s">
        <v>1034</v>
      </c>
      <c r="B2725" s="62" t="s">
        <v>1046</v>
      </c>
      <c r="C2725" s="63"/>
      <c r="D2725" s="64"/>
      <c r="E2725" s="65"/>
      <c r="F2725" s="66"/>
      <c r="G2725" s="63"/>
      <c r="H2725" s="67"/>
      <c r="I2725" s="68"/>
      <c r="J2725" s="68"/>
      <c r="K2725" s="32"/>
      <c r="L2725" s="75"/>
      <c r="M2725" s="75"/>
      <c r="N2725" s="70"/>
      <c r="O2725" t="s">
        <v>1567</v>
      </c>
      <c r="P2725" s="76">
        <v>44959.429699074077</v>
      </c>
      <c r="Q2725" t="s">
        <v>2189</v>
      </c>
      <c r="V2725" s="77" t="str">
        <f>HYPERLINK("https://pbs.twimg.com/profile_images/1463512235838423040/0Eux-pHG_normal.jpg")</f>
        <v>https://pbs.twimg.com/profile_images/1463512235838423040/0Eux-pHG_normal.jpg</v>
      </c>
      <c r="W2725" s="76">
        <v>44959.429699074077</v>
      </c>
      <c r="X2725" s="80">
        <v>44959</v>
      </c>
      <c r="Y2725" s="78" t="s">
        <v>3340</v>
      </c>
      <c r="Z2725" s="77" t="str">
        <f>HYPERLINK("https://twitter.com/abdulwhelan/status/1621090745494167552")</f>
        <v>https://twitter.com/abdulwhelan/status/1621090745494167552</v>
      </c>
      <c r="AC2725" s="78" t="s">
        <v>4405</v>
      </c>
      <c r="AD2725" s="78" t="s">
        <v>4420</v>
      </c>
      <c r="AE2725" t="b">
        <v>0</v>
      </c>
      <c r="AF2725">
        <v>0</v>
      </c>
      <c r="AG2725" s="78" t="s">
        <v>4737</v>
      </c>
      <c r="AH2725" t="b">
        <v>0</v>
      </c>
      <c r="AI2725" t="s">
        <v>4829</v>
      </c>
      <c r="AK2725" s="78" t="s">
        <v>4640</v>
      </c>
      <c r="AL2725" t="b">
        <v>0</v>
      </c>
      <c r="AM2725">
        <v>0</v>
      </c>
      <c r="AN2725" s="78" t="s">
        <v>4640</v>
      </c>
      <c r="AO2725" s="78" t="s">
        <v>4851</v>
      </c>
      <c r="AP2725" t="b">
        <v>0</v>
      </c>
      <c r="AQ2725" s="78" t="s">
        <v>4420</v>
      </c>
      <c r="AR2725" t="s">
        <v>179</v>
      </c>
      <c r="AS2725">
        <v>0</v>
      </c>
      <c r="AT2725">
        <v>0</v>
      </c>
    </row>
    <row r="2726" spans="1:46" x14ac:dyDescent="0.45">
      <c r="A2726" s="62" t="s">
        <v>1035</v>
      </c>
      <c r="B2726" s="62" t="s">
        <v>1203</v>
      </c>
      <c r="C2726" s="63"/>
      <c r="D2726" s="64"/>
      <c r="E2726" s="65"/>
      <c r="F2726" s="66"/>
      <c r="G2726" s="63"/>
      <c r="H2726" s="67"/>
      <c r="I2726" s="68"/>
      <c r="J2726" s="68"/>
      <c r="K2726" s="32"/>
      <c r="L2726" s="75"/>
      <c r="M2726" s="75"/>
      <c r="N2726" s="70"/>
      <c r="O2726" t="s">
        <v>1567</v>
      </c>
      <c r="P2726" s="76">
        <v>44959.434421296297</v>
      </c>
      <c r="Q2726" t="s">
        <v>2190</v>
      </c>
      <c r="V2726" s="77" t="str">
        <f>HYPERLINK("https://pbs.twimg.com/profile_images/1509076041763102722/ug_xALYc_normal.jpg")</f>
        <v>https://pbs.twimg.com/profile_images/1509076041763102722/ug_xALYc_normal.jpg</v>
      </c>
      <c r="W2726" s="76">
        <v>44959.434421296297</v>
      </c>
      <c r="X2726" s="80">
        <v>44959</v>
      </c>
      <c r="Y2726" s="78" t="s">
        <v>3341</v>
      </c>
      <c r="Z2726" s="77" t="str">
        <f>HYPERLINK("https://twitter.com/ihateyou677/status/1621092454102622211")</f>
        <v>https://twitter.com/ihateyou677/status/1621092454102622211</v>
      </c>
      <c r="AC2726" s="78" t="s">
        <v>4406</v>
      </c>
      <c r="AE2726" t="b">
        <v>0</v>
      </c>
      <c r="AF2726">
        <v>0</v>
      </c>
      <c r="AG2726" s="78" t="s">
        <v>4803</v>
      </c>
      <c r="AH2726" t="b">
        <v>0</v>
      </c>
      <c r="AI2726" t="s">
        <v>4829</v>
      </c>
      <c r="AK2726" s="78" t="s">
        <v>4640</v>
      </c>
      <c r="AL2726" t="b">
        <v>0</v>
      </c>
      <c r="AM2726">
        <v>0</v>
      </c>
      <c r="AN2726" s="78" t="s">
        <v>4640</v>
      </c>
      <c r="AO2726" s="78" t="s">
        <v>4849</v>
      </c>
      <c r="AP2726" t="b">
        <v>0</v>
      </c>
      <c r="AQ2726" s="78" t="s">
        <v>4406</v>
      </c>
      <c r="AR2726" t="s">
        <v>179</v>
      </c>
      <c r="AS2726">
        <v>0</v>
      </c>
      <c r="AT2726">
        <v>0</v>
      </c>
    </row>
    <row r="2727" spans="1:46" x14ac:dyDescent="0.45">
      <c r="A2727" s="62" t="s">
        <v>1035</v>
      </c>
      <c r="B2727" s="62" t="s">
        <v>242</v>
      </c>
      <c r="C2727" s="63"/>
      <c r="D2727" s="64"/>
      <c r="E2727" s="65"/>
      <c r="F2727" s="66"/>
      <c r="G2727" s="63"/>
      <c r="H2727" s="67"/>
      <c r="I2727" s="68"/>
      <c r="J2727" s="68"/>
      <c r="K2727" s="32"/>
      <c r="L2727" s="75"/>
      <c r="M2727" s="75"/>
      <c r="N2727" s="70"/>
      <c r="O2727" t="s">
        <v>1568</v>
      </c>
      <c r="P2727" s="76">
        <v>44959.434421296297</v>
      </c>
      <c r="Q2727" t="s">
        <v>2190</v>
      </c>
      <c r="V2727" s="77" t="str">
        <f>HYPERLINK("https://pbs.twimg.com/profile_images/1509076041763102722/ug_xALYc_normal.jpg")</f>
        <v>https://pbs.twimg.com/profile_images/1509076041763102722/ug_xALYc_normal.jpg</v>
      </c>
      <c r="W2727" s="76">
        <v>44959.434421296297</v>
      </c>
      <c r="X2727" s="80">
        <v>44959</v>
      </c>
      <c r="Y2727" s="78" t="s">
        <v>3341</v>
      </c>
      <c r="Z2727" s="77" t="str">
        <f>HYPERLINK("https://twitter.com/ihateyou677/status/1621092454102622211")</f>
        <v>https://twitter.com/ihateyou677/status/1621092454102622211</v>
      </c>
      <c r="AC2727" s="78" t="s">
        <v>4406</v>
      </c>
      <c r="AE2727" t="b">
        <v>0</v>
      </c>
      <c r="AF2727">
        <v>0</v>
      </c>
      <c r="AG2727" s="78" t="s">
        <v>4803</v>
      </c>
      <c r="AH2727" t="b">
        <v>0</v>
      </c>
      <c r="AI2727" t="s">
        <v>4829</v>
      </c>
      <c r="AK2727" s="78" t="s">
        <v>4640</v>
      </c>
      <c r="AL2727" t="b">
        <v>0</v>
      </c>
      <c r="AM2727">
        <v>0</v>
      </c>
      <c r="AN2727" s="78" t="s">
        <v>4640</v>
      </c>
      <c r="AO2727" s="78" t="s">
        <v>4849</v>
      </c>
      <c r="AP2727" t="b">
        <v>0</v>
      </c>
      <c r="AQ2727" s="78" t="s">
        <v>4406</v>
      </c>
      <c r="AR2727" t="s">
        <v>179</v>
      </c>
      <c r="AS2727">
        <v>0</v>
      </c>
      <c r="AT2727">
        <v>0</v>
      </c>
    </row>
    <row r="2728" spans="1:46" x14ac:dyDescent="0.45">
      <c r="A2728" s="62" t="s">
        <v>1036</v>
      </c>
      <c r="B2728" s="62" t="s">
        <v>242</v>
      </c>
      <c r="C2728" s="63"/>
      <c r="D2728" s="64"/>
      <c r="E2728" s="65"/>
      <c r="F2728" s="66"/>
      <c r="G2728" s="63"/>
      <c r="H2728" s="67"/>
      <c r="I2728" s="68"/>
      <c r="J2728" s="68"/>
      <c r="K2728" s="32"/>
      <c r="L2728" s="75"/>
      <c r="M2728" s="75"/>
      <c r="N2728" s="70"/>
      <c r="O2728" t="s">
        <v>1567</v>
      </c>
      <c r="P2728" s="76">
        <v>44959.44</v>
      </c>
      <c r="Q2728" t="s">
        <v>2191</v>
      </c>
      <c r="V2728" s="77" t="str">
        <f>HYPERLINK("https://pbs.twimg.com/profile_images/1527958401896038402/nvBBn2TM_normal.jpg")</f>
        <v>https://pbs.twimg.com/profile_images/1527958401896038402/nvBBn2TM_normal.jpg</v>
      </c>
      <c r="W2728" s="76">
        <v>44959.44</v>
      </c>
      <c r="X2728" s="80">
        <v>44959</v>
      </c>
      <c r="Y2728" s="78" t="s">
        <v>3342</v>
      </c>
      <c r="Z2728" s="77" t="str">
        <f>HYPERLINK("https://twitter.com/indica_star1/status/1621094477602623488")</f>
        <v>https://twitter.com/indica_star1/status/1621094477602623488</v>
      </c>
      <c r="AC2728" s="78" t="s">
        <v>4407</v>
      </c>
      <c r="AE2728" t="b">
        <v>0</v>
      </c>
      <c r="AF2728">
        <v>0</v>
      </c>
      <c r="AG2728" s="78" t="s">
        <v>4639</v>
      </c>
      <c r="AH2728" t="b">
        <v>0</v>
      </c>
      <c r="AI2728" t="s">
        <v>4829</v>
      </c>
      <c r="AK2728" s="78" t="s">
        <v>4640</v>
      </c>
      <c r="AL2728" t="b">
        <v>0</v>
      </c>
      <c r="AM2728">
        <v>0</v>
      </c>
      <c r="AN2728" s="78" t="s">
        <v>4640</v>
      </c>
      <c r="AO2728" s="78" t="s">
        <v>4849</v>
      </c>
      <c r="AP2728" t="b">
        <v>0</v>
      </c>
      <c r="AQ2728" s="78" t="s">
        <v>4407</v>
      </c>
      <c r="AR2728" t="s">
        <v>179</v>
      </c>
      <c r="AS2728">
        <v>0</v>
      </c>
      <c r="AT2728">
        <v>0</v>
      </c>
    </row>
    <row r="2729" spans="1:46" x14ac:dyDescent="0.45">
      <c r="A2729" s="62" t="s">
        <v>1038</v>
      </c>
      <c r="B2729" s="62" t="s">
        <v>242</v>
      </c>
      <c r="C2729" s="63"/>
      <c r="D2729" s="64"/>
      <c r="E2729" s="65"/>
      <c r="F2729" s="66"/>
      <c r="G2729" s="63"/>
      <c r="H2729" s="67"/>
      <c r="I2729" s="68"/>
      <c r="J2729" s="68"/>
      <c r="K2729" s="32"/>
      <c r="L2729" s="75"/>
      <c r="M2729" s="75"/>
      <c r="N2729" s="70"/>
      <c r="O2729" t="s">
        <v>1567</v>
      </c>
      <c r="P2729" s="76">
        <v>44958.519525462965</v>
      </c>
      <c r="Q2729" t="s">
        <v>2193</v>
      </c>
      <c r="V2729" s="77" t="str">
        <f>HYPERLINK("https://abs.twimg.com/sticky/default_profile_images/default_profile_normal.png")</f>
        <v>https://abs.twimg.com/sticky/default_profile_images/default_profile_normal.png</v>
      </c>
      <c r="W2729" s="76">
        <v>44958.519525462965</v>
      </c>
      <c r="X2729" s="80">
        <v>44958</v>
      </c>
      <c r="Y2729" s="78" t="s">
        <v>3344</v>
      </c>
      <c r="Z2729" s="77" t="str">
        <f>HYPERLINK("https://twitter.com/twitfbonlyallr1/status/1620760908854358016")</f>
        <v>https://twitter.com/twitfbonlyallr1/status/1620760908854358016</v>
      </c>
      <c r="AC2729" s="78" t="s">
        <v>4409</v>
      </c>
      <c r="AE2729" t="b">
        <v>0</v>
      </c>
      <c r="AF2729">
        <v>0</v>
      </c>
      <c r="AG2729" s="78" t="s">
        <v>4639</v>
      </c>
      <c r="AH2729" t="b">
        <v>0</v>
      </c>
      <c r="AI2729" t="s">
        <v>4829</v>
      </c>
      <c r="AK2729" s="78" t="s">
        <v>4640</v>
      </c>
      <c r="AL2729" t="b">
        <v>0</v>
      </c>
      <c r="AM2729">
        <v>0</v>
      </c>
      <c r="AN2729" s="78" t="s">
        <v>4640</v>
      </c>
      <c r="AO2729" s="78" t="s">
        <v>4850</v>
      </c>
      <c r="AP2729" t="b">
        <v>0</v>
      </c>
      <c r="AQ2729" s="78" t="s">
        <v>4409</v>
      </c>
      <c r="AR2729" t="s">
        <v>179</v>
      </c>
      <c r="AS2729">
        <v>0</v>
      </c>
      <c r="AT2729">
        <v>0</v>
      </c>
    </row>
    <row r="2730" spans="1:46" x14ac:dyDescent="0.45">
      <c r="A2730" s="62" t="s">
        <v>1038</v>
      </c>
      <c r="B2730" s="62" t="s">
        <v>242</v>
      </c>
      <c r="C2730" s="63"/>
      <c r="D2730" s="64"/>
      <c r="E2730" s="65"/>
      <c r="F2730" s="66"/>
      <c r="G2730" s="63"/>
      <c r="H2730" s="67"/>
      <c r="I2730" s="68"/>
      <c r="J2730" s="68"/>
      <c r="K2730" s="32"/>
      <c r="L2730" s="75"/>
      <c r="M2730" s="75"/>
      <c r="N2730" s="70"/>
      <c r="O2730" t="s">
        <v>1567</v>
      </c>
      <c r="P2730" s="76">
        <v>44959.443854166668</v>
      </c>
      <c r="Q2730" t="s">
        <v>2194</v>
      </c>
      <c r="U2730" s="77" t="str">
        <f>HYPERLINK("https://pbs.twimg.com/media/Fn9Jz-sWYAASUrc.jpg")</f>
        <v>https://pbs.twimg.com/media/Fn9Jz-sWYAASUrc.jpg</v>
      </c>
      <c r="V2730" s="77" t="str">
        <f>HYPERLINK("https://pbs.twimg.com/media/Fn9Jz-sWYAASUrc.jpg")</f>
        <v>https://pbs.twimg.com/media/Fn9Jz-sWYAASUrc.jpg</v>
      </c>
      <c r="W2730" s="76">
        <v>44959.443854166668</v>
      </c>
      <c r="X2730" s="80">
        <v>44959</v>
      </c>
      <c r="Y2730" s="78" t="s">
        <v>3345</v>
      </c>
      <c r="Z2730" s="77" t="str">
        <f>HYPERLINK("https://twitter.com/twitfbonlyallr1/status/1621095871923515394")</f>
        <v>https://twitter.com/twitfbonlyallr1/status/1621095871923515394</v>
      </c>
      <c r="AC2730" s="78" t="s">
        <v>4410</v>
      </c>
      <c r="AE2730" t="b">
        <v>0</v>
      </c>
      <c r="AF2730">
        <v>0</v>
      </c>
      <c r="AG2730" s="78" t="s">
        <v>4639</v>
      </c>
      <c r="AH2730" t="b">
        <v>0</v>
      </c>
      <c r="AI2730" t="s">
        <v>4829</v>
      </c>
      <c r="AK2730" s="78" t="s">
        <v>4640</v>
      </c>
      <c r="AL2730" t="b">
        <v>0</v>
      </c>
      <c r="AM2730">
        <v>0</v>
      </c>
      <c r="AN2730" s="78" t="s">
        <v>4640</v>
      </c>
      <c r="AO2730" s="78" t="s">
        <v>4851</v>
      </c>
      <c r="AP2730" t="b">
        <v>0</v>
      </c>
      <c r="AQ2730" s="78" t="s">
        <v>4410</v>
      </c>
      <c r="AR2730" t="s">
        <v>179</v>
      </c>
      <c r="AS2730">
        <v>0</v>
      </c>
      <c r="AT2730">
        <v>0</v>
      </c>
    </row>
    <row r="2731" spans="1:46" x14ac:dyDescent="0.45">
      <c r="A2731" s="62" t="s">
        <v>1039</v>
      </c>
      <c r="B2731" s="62" t="s">
        <v>1517</v>
      </c>
      <c r="C2731" s="63"/>
      <c r="D2731" s="64"/>
      <c r="E2731" s="65"/>
      <c r="F2731" s="66"/>
      <c r="G2731" s="63"/>
      <c r="H2731" s="67"/>
      <c r="I2731" s="68"/>
      <c r="J2731" s="68"/>
      <c r="K2731" s="32"/>
      <c r="L2731" s="75"/>
      <c r="M2731" s="75"/>
      <c r="N2731" s="70"/>
      <c r="O2731" t="s">
        <v>1567</v>
      </c>
      <c r="P2731" s="76">
        <v>44959.448993055557</v>
      </c>
      <c r="Q2731" t="s">
        <v>2195</v>
      </c>
      <c r="V2731" s="77" t="str">
        <f>HYPERLINK("https://pbs.twimg.com/profile_images/1392835344324833282/fJkDL3pw_normal.jpg")</f>
        <v>https://pbs.twimg.com/profile_images/1392835344324833282/fJkDL3pw_normal.jpg</v>
      </c>
      <c r="W2731" s="76">
        <v>44959.448993055557</v>
      </c>
      <c r="X2731" s="80">
        <v>44959</v>
      </c>
      <c r="Y2731" s="78" t="s">
        <v>3346</v>
      </c>
      <c r="Z2731" s="77" t="str">
        <f>HYPERLINK("https://twitter.com/basstard78/status/1621097734437732353")</f>
        <v>https://twitter.com/basstard78/status/1621097734437732353</v>
      </c>
      <c r="AC2731" s="78" t="s">
        <v>4411</v>
      </c>
      <c r="AD2731" s="78" t="s">
        <v>4621</v>
      </c>
      <c r="AE2731" t="b">
        <v>0</v>
      </c>
      <c r="AF2731">
        <v>0</v>
      </c>
      <c r="AG2731" s="78" t="s">
        <v>4805</v>
      </c>
      <c r="AH2731" t="b">
        <v>0</v>
      </c>
      <c r="AI2731" t="s">
        <v>4829</v>
      </c>
      <c r="AK2731" s="78" t="s">
        <v>4640</v>
      </c>
      <c r="AL2731" t="b">
        <v>0</v>
      </c>
      <c r="AM2731">
        <v>0</v>
      </c>
      <c r="AN2731" s="78" t="s">
        <v>4640</v>
      </c>
      <c r="AO2731" s="78" t="s">
        <v>4850</v>
      </c>
      <c r="AP2731" t="b">
        <v>0</v>
      </c>
      <c r="AQ2731" s="78" t="s">
        <v>4621</v>
      </c>
      <c r="AR2731" t="s">
        <v>179</v>
      </c>
      <c r="AS2731">
        <v>0</v>
      </c>
      <c r="AT2731">
        <v>0</v>
      </c>
    </row>
    <row r="2732" spans="1:46" x14ac:dyDescent="0.45">
      <c r="A2732" s="62" t="s">
        <v>1039</v>
      </c>
      <c r="B2732" s="62" t="s">
        <v>242</v>
      </c>
      <c r="C2732" s="63"/>
      <c r="D2732" s="64"/>
      <c r="E2732" s="65"/>
      <c r="F2732" s="66"/>
      <c r="G2732" s="63"/>
      <c r="H2732" s="67"/>
      <c r="I2732" s="68"/>
      <c r="J2732" s="68"/>
      <c r="K2732" s="32"/>
      <c r="L2732" s="75"/>
      <c r="M2732" s="75"/>
      <c r="N2732" s="70"/>
      <c r="O2732" t="s">
        <v>1568</v>
      </c>
      <c r="P2732" s="76">
        <v>44959.448993055557</v>
      </c>
      <c r="Q2732" t="s">
        <v>2195</v>
      </c>
      <c r="V2732" s="77" t="str">
        <f>HYPERLINK("https://pbs.twimg.com/profile_images/1392835344324833282/fJkDL3pw_normal.jpg")</f>
        <v>https://pbs.twimg.com/profile_images/1392835344324833282/fJkDL3pw_normal.jpg</v>
      </c>
      <c r="W2732" s="76">
        <v>44959.448993055557</v>
      </c>
      <c r="X2732" s="80">
        <v>44959</v>
      </c>
      <c r="Y2732" s="78" t="s">
        <v>3346</v>
      </c>
      <c r="Z2732" s="77" t="str">
        <f>HYPERLINK("https://twitter.com/basstard78/status/1621097734437732353")</f>
        <v>https://twitter.com/basstard78/status/1621097734437732353</v>
      </c>
      <c r="AC2732" s="78" t="s">
        <v>4411</v>
      </c>
      <c r="AD2732" s="78" t="s">
        <v>4621</v>
      </c>
      <c r="AE2732" t="b">
        <v>0</v>
      </c>
      <c r="AF2732">
        <v>0</v>
      </c>
      <c r="AG2732" s="78" t="s">
        <v>4805</v>
      </c>
      <c r="AH2732" t="b">
        <v>0</v>
      </c>
      <c r="AI2732" t="s">
        <v>4829</v>
      </c>
      <c r="AK2732" s="78" t="s">
        <v>4640</v>
      </c>
      <c r="AL2732" t="b">
        <v>0</v>
      </c>
      <c r="AM2732">
        <v>0</v>
      </c>
      <c r="AN2732" s="78" t="s">
        <v>4640</v>
      </c>
      <c r="AO2732" s="78" t="s">
        <v>4850</v>
      </c>
      <c r="AP2732" t="b">
        <v>0</v>
      </c>
      <c r="AQ2732" s="78" t="s">
        <v>4621</v>
      </c>
      <c r="AR2732" t="s">
        <v>179</v>
      </c>
      <c r="AS2732">
        <v>0</v>
      </c>
      <c r="AT2732">
        <v>0</v>
      </c>
    </row>
    <row r="2733" spans="1:46" x14ac:dyDescent="0.45">
      <c r="A2733" s="62" t="s">
        <v>1040</v>
      </c>
      <c r="B2733" s="62" t="s">
        <v>1518</v>
      </c>
      <c r="C2733" s="63"/>
      <c r="D2733" s="64"/>
      <c r="E2733" s="65"/>
      <c r="F2733" s="66"/>
      <c r="G2733" s="63"/>
      <c r="H2733" s="67"/>
      <c r="I2733" s="68"/>
      <c r="J2733" s="68"/>
      <c r="K2733" s="32"/>
      <c r="L2733" s="75"/>
      <c r="M2733" s="75"/>
      <c r="N2733" s="70"/>
      <c r="O2733" t="s">
        <v>1567</v>
      </c>
      <c r="P2733" s="76">
        <v>44959.451874999999</v>
      </c>
      <c r="Q2733" t="s">
        <v>2196</v>
      </c>
      <c r="V2733" s="77" t="str">
        <f>HYPERLINK("https://pbs.twimg.com/profile_images/1620842372874502150/Ek92gW4W_normal.jpg")</f>
        <v>https://pbs.twimg.com/profile_images/1620842372874502150/Ek92gW4W_normal.jpg</v>
      </c>
      <c r="W2733" s="76">
        <v>44959.451874999999</v>
      </c>
      <c r="X2733" s="80">
        <v>44959</v>
      </c>
      <c r="Y2733" s="78" t="s">
        <v>3347</v>
      </c>
      <c r="Z2733" s="77" t="str">
        <f>HYPERLINK("https://twitter.com/jlmb0b/status/1621098779930664961")</f>
        <v>https://twitter.com/jlmb0b/status/1621098779930664961</v>
      </c>
      <c r="AC2733" s="78" t="s">
        <v>4412</v>
      </c>
      <c r="AD2733" s="78" t="s">
        <v>4622</v>
      </c>
      <c r="AE2733" t="b">
        <v>0</v>
      </c>
      <c r="AF2733">
        <v>0</v>
      </c>
      <c r="AG2733" s="78" t="s">
        <v>4806</v>
      </c>
      <c r="AH2733" t="b">
        <v>0</v>
      </c>
      <c r="AI2733" t="s">
        <v>4829</v>
      </c>
      <c r="AK2733" s="78" t="s">
        <v>4640</v>
      </c>
      <c r="AL2733" t="b">
        <v>0</v>
      </c>
      <c r="AM2733">
        <v>0</v>
      </c>
      <c r="AN2733" s="78" t="s">
        <v>4640</v>
      </c>
      <c r="AO2733" s="78" t="s">
        <v>4849</v>
      </c>
      <c r="AP2733" t="b">
        <v>0</v>
      </c>
      <c r="AQ2733" s="78" t="s">
        <v>4622</v>
      </c>
      <c r="AR2733" t="s">
        <v>179</v>
      </c>
      <c r="AS2733">
        <v>0</v>
      </c>
      <c r="AT2733">
        <v>0</v>
      </c>
    </row>
    <row r="2734" spans="1:46" x14ac:dyDescent="0.45">
      <c r="A2734" s="62" t="s">
        <v>1040</v>
      </c>
      <c r="B2734" s="62" t="s">
        <v>242</v>
      </c>
      <c r="C2734" s="63"/>
      <c r="D2734" s="64"/>
      <c r="E2734" s="65"/>
      <c r="F2734" s="66"/>
      <c r="G2734" s="63"/>
      <c r="H2734" s="67"/>
      <c r="I2734" s="68"/>
      <c r="J2734" s="68"/>
      <c r="K2734" s="32"/>
      <c r="L2734" s="75"/>
      <c r="M2734" s="75"/>
      <c r="N2734" s="70"/>
      <c r="O2734" t="s">
        <v>1568</v>
      </c>
      <c r="P2734" s="76">
        <v>44959.451874999999</v>
      </c>
      <c r="Q2734" t="s">
        <v>2196</v>
      </c>
      <c r="V2734" s="77" t="str">
        <f>HYPERLINK("https://pbs.twimg.com/profile_images/1620842372874502150/Ek92gW4W_normal.jpg")</f>
        <v>https://pbs.twimg.com/profile_images/1620842372874502150/Ek92gW4W_normal.jpg</v>
      </c>
      <c r="W2734" s="76">
        <v>44959.451874999999</v>
      </c>
      <c r="X2734" s="80">
        <v>44959</v>
      </c>
      <c r="Y2734" s="78" t="s">
        <v>3347</v>
      </c>
      <c r="Z2734" s="77" t="str">
        <f>HYPERLINK("https://twitter.com/jlmb0b/status/1621098779930664961")</f>
        <v>https://twitter.com/jlmb0b/status/1621098779930664961</v>
      </c>
      <c r="AC2734" s="78" t="s">
        <v>4412</v>
      </c>
      <c r="AD2734" s="78" t="s">
        <v>4622</v>
      </c>
      <c r="AE2734" t="b">
        <v>0</v>
      </c>
      <c r="AF2734">
        <v>0</v>
      </c>
      <c r="AG2734" s="78" t="s">
        <v>4806</v>
      </c>
      <c r="AH2734" t="b">
        <v>0</v>
      </c>
      <c r="AI2734" t="s">
        <v>4829</v>
      </c>
      <c r="AK2734" s="78" t="s">
        <v>4640</v>
      </c>
      <c r="AL2734" t="b">
        <v>0</v>
      </c>
      <c r="AM2734">
        <v>0</v>
      </c>
      <c r="AN2734" s="78" t="s">
        <v>4640</v>
      </c>
      <c r="AO2734" s="78" t="s">
        <v>4849</v>
      </c>
      <c r="AP2734" t="b">
        <v>0</v>
      </c>
      <c r="AQ2734" s="78" t="s">
        <v>4622</v>
      </c>
      <c r="AR2734" t="s">
        <v>179</v>
      </c>
      <c r="AS2734">
        <v>0</v>
      </c>
      <c r="AT2734">
        <v>0</v>
      </c>
    </row>
    <row r="2735" spans="1:46" x14ac:dyDescent="0.45">
      <c r="A2735" s="62" t="s">
        <v>1041</v>
      </c>
      <c r="B2735" s="62" t="s">
        <v>1267</v>
      </c>
      <c r="C2735" s="63"/>
      <c r="D2735" s="64"/>
      <c r="E2735" s="65"/>
      <c r="F2735" s="66"/>
      <c r="G2735" s="63"/>
      <c r="H2735" s="67"/>
      <c r="I2735" s="68"/>
      <c r="J2735" s="68"/>
      <c r="K2735" s="32"/>
      <c r="L2735" s="75"/>
      <c r="M2735" s="75"/>
      <c r="N2735" s="70"/>
      <c r="O2735" t="s">
        <v>1570</v>
      </c>
      <c r="P2735" s="76">
        <v>44959.454004629632</v>
      </c>
      <c r="Q2735" t="s">
        <v>2197</v>
      </c>
      <c r="U2735" s="77" t="str">
        <f>HYPERLINK("https://pbs.twimg.com/media/Fn9NZqoWQAEt7x7.jpg")</f>
        <v>https://pbs.twimg.com/media/Fn9NZqoWQAEt7x7.jpg</v>
      </c>
      <c r="V2735" s="77" t="str">
        <f>HYPERLINK("https://pbs.twimg.com/media/Fn9NZqoWQAEt7x7.jpg")</f>
        <v>https://pbs.twimg.com/media/Fn9NZqoWQAEt7x7.jpg</v>
      </c>
      <c r="W2735" s="76">
        <v>44959.454004629632</v>
      </c>
      <c r="X2735" s="80">
        <v>44959</v>
      </c>
      <c r="Y2735" s="78" t="s">
        <v>3349</v>
      </c>
      <c r="Z2735" s="77" t="str">
        <f>HYPERLINK("https://twitter.com/kicinski_md1/status/1621099553171673091")</f>
        <v>https://twitter.com/kicinski_md1/status/1621099553171673091</v>
      </c>
      <c r="AC2735" s="78" t="s">
        <v>4414</v>
      </c>
      <c r="AE2735" t="b">
        <v>0</v>
      </c>
      <c r="AF2735">
        <v>0</v>
      </c>
      <c r="AG2735" s="78" t="s">
        <v>4640</v>
      </c>
      <c r="AH2735" t="b">
        <v>0</v>
      </c>
      <c r="AI2735" t="s">
        <v>4829</v>
      </c>
      <c r="AK2735" s="78" t="s">
        <v>4640</v>
      </c>
      <c r="AL2735" t="b">
        <v>0</v>
      </c>
      <c r="AM2735">
        <v>1</v>
      </c>
      <c r="AN2735" s="78" t="s">
        <v>4413</v>
      </c>
      <c r="AO2735" s="78" t="s">
        <v>4851</v>
      </c>
      <c r="AP2735" t="b">
        <v>0</v>
      </c>
      <c r="AQ2735" s="78" t="s">
        <v>4413</v>
      </c>
      <c r="AR2735" t="s">
        <v>179</v>
      </c>
      <c r="AS2735">
        <v>0</v>
      </c>
      <c r="AT2735">
        <v>0</v>
      </c>
    </row>
    <row r="2736" spans="1:46" x14ac:dyDescent="0.45">
      <c r="A2736" s="62" t="s">
        <v>1041</v>
      </c>
      <c r="B2736" s="62" t="s">
        <v>1519</v>
      </c>
      <c r="C2736" s="63"/>
      <c r="D2736" s="64"/>
      <c r="E2736" s="65"/>
      <c r="F2736" s="66"/>
      <c r="G2736" s="63"/>
      <c r="H2736" s="67"/>
      <c r="I2736" s="68"/>
      <c r="J2736" s="68"/>
      <c r="K2736" s="32"/>
      <c r="L2736" s="75"/>
      <c r="M2736" s="75"/>
      <c r="N2736" s="70"/>
      <c r="O2736" t="s">
        <v>1567</v>
      </c>
      <c r="P2736" s="76">
        <v>44959.454004629632</v>
      </c>
      <c r="Q2736" t="s">
        <v>2197</v>
      </c>
      <c r="U2736" s="77" t="str">
        <f>HYPERLINK("https://pbs.twimg.com/media/Fn9NZqoWQAEt7x7.jpg")</f>
        <v>https://pbs.twimg.com/media/Fn9NZqoWQAEt7x7.jpg</v>
      </c>
      <c r="V2736" s="77" t="str">
        <f>HYPERLINK("https://pbs.twimg.com/media/Fn9NZqoWQAEt7x7.jpg")</f>
        <v>https://pbs.twimg.com/media/Fn9NZqoWQAEt7x7.jpg</v>
      </c>
      <c r="W2736" s="76">
        <v>44959.454004629632</v>
      </c>
      <c r="X2736" s="80">
        <v>44959</v>
      </c>
      <c r="Y2736" s="78" t="s">
        <v>3349</v>
      </c>
      <c r="Z2736" s="77" t="str">
        <f>HYPERLINK("https://twitter.com/kicinski_md1/status/1621099553171673091")</f>
        <v>https://twitter.com/kicinski_md1/status/1621099553171673091</v>
      </c>
      <c r="AC2736" s="78" t="s">
        <v>4414</v>
      </c>
      <c r="AE2736" t="b">
        <v>0</v>
      </c>
      <c r="AF2736">
        <v>0</v>
      </c>
      <c r="AG2736" s="78" t="s">
        <v>4640</v>
      </c>
      <c r="AH2736" t="b">
        <v>0</v>
      </c>
      <c r="AI2736" t="s">
        <v>4829</v>
      </c>
      <c r="AK2736" s="78" t="s">
        <v>4640</v>
      </c>
      <c r="AL2736" t="b">
        <v>0</v>
      </c>
      <c r="AM2736">
        <v>1</v>
      </c>
      <c r="AN2736" s="78" t="s">
        <v>4413</v>
      </c>
      <c r="AO2736" s="78" t="s">
        <v>4851</v>
      </c>
      <c r="AP2736" t="b">
        <v>0</v>
      </c>
      <c r="AQ2736" s="78" t="s">
        <v>4413</v>
      </c>
      <c r="AR2736" t="s">
        <v>179</v>
      </c>
      <c r="AS2736">
        <v>0</v>
      </c>
      <c r="AT2736">
        <v>0</v>
      </c>
    </row>
    <row r="2737" spans="1:46" x14ac:dyDescent="0.45">
      <c r="A2737" s="62" t="s">
        <v>1041</v>
      </c>
      <c r="B2737" s="62" t="s">
        <v>242</v>
      </c>
      <c r="C2737" s="63"/>
      <c r="D2737" s="64"/>
      <c r="E2737" s="65"/>
      <c r="F2737" s="66"/>
      <c r="G2737" s="63"/>
      <c r="H2737" s="67"/>
      <c r="I2737" s="68"/>
      <c r="J2737" s="68"/>
      <c r="K2737" s="32"/>
      <c r="L2737" s="75"/>
      <c r="M2737" s="75"/>
      <c r="N2737" s="70"/>
      <c r="O2737" t="s">
        <v>1570</v>
      </c>
      <c r="P2737" s="76">
        <v>44959.454004629632</v>
      </c>
      <c r="Q2737" t="s">
        <v>2197</v>
      </c>
      <c r="U2737" s="77" t="str">
        <f>HYPERLINK("https://pbs.twimg.com/media/Fn9NZqoWQAEt7x7.jpg")</f>
        <v>https://pbs.twimg.com/media/Fn9NZqoWQAEt7x7.jpg</v>
      </c>
      <c r="V2737" s="77" t="str">
        <f>HYPERLINK("https://pbs.twimg.com/media/Fn9NZqoWQAEt7x7.jpg")</f>
        <v>https://pbs.twimg.com/media/Fn9NZqoWQAEt7x7.jpg</v>
      </c>
      <c r="W2737" s="76">
        <v>44959.454004629632</v>
      </c>
      <c r="X2737" s="80">
        <v>44959</v>
      </c>
      <c r="Y2737" s="78" t="s">
        <v>3349</v>
      </c>
      <c r="Z2737" s="77" t="str">
        <f>HYPERLINK("https://twitter.com/kicinski_md1/status/1621099553171673091")</f>
        <v>https://twitter.com/kicinski_md1/status/1621099553171673091</v>
      </c>
      <c r="AC2737" s="78" t="s">
        <v>4414</v>
      </c>
      <c r="AE2737" t="b">
        <v>0</v>
      </c>
      <c r="AF2737">
        <v>0</v>
      </c>
      <c r="AG2737" s="78" t="s">
        <v>4640</v>
      </c>
      <c r="AH2737" t="b">
        <v>0</v>
      </c>
      <c r="AI2737" t="s">
        <v>4829</v>
      </c>
      <c r="AK2737" s="78" t="s">
        <v>4640</v>
      </c>
      <c r="AL2737" t="b">
        <v>0</v>
      </c>
      <c r="AM2737">
        <v>1</v>
      </c>
      <c r="AN2737" s="78" t="s">
        <v>4413</v>
      </c>
      <c r="AO2737" s="78" t="s">
        <v>4851</v>
      </c>
      <c r="AP2737" t="b">
        <v>0</v>
      </c>
      <c r="AQ2737" s="78" t="s">
        <v>4413</v>
      </c>
      <c r="AR2737" t="s">
        <v>179</v>
      </c>
      <c r="AS2737">
        <v>0</v>
      </c>
      <c r="AT2737">
        <v>0</v>
      </c>
    </row>
    <row r="2738" spans="1:46" x14ac:dyDescent="0.45">
      <c r="A2738" s="62" t="s">
        <v>1041</v>
      </c>
      <c r="B2738" s="62" t="s">
        <v>1041</v>
      </c>
      <c r="C2738" s="63"/>
      <c r="D2738" s="64"/>
      <c r="E2738" s="65"/>
      <c r="F2738" s="66"/>
      <c r="G2738" s="63"/>
      <c r="H2738" s="67"/>
      <c r="I2738" s="68"/>
      <c r="J2738" s="68"/>
      <c r="K2738" s="32"/>
      <c r="L2738" s="75"/>
      <c r="M2738" s="75"/>
      <c r="N2738" s="70"/>
      <c r="O2738" t="s">
        <v>1569</v>
      </c>
      <c r="P2738" s="76">
        <v>44959.454004629632</v>
      </c>
      <c r="Q2738" t="s">
        <v>2197</v>
      </c>
      <c r="U2738" s="77" t="str">
        <f>HYPERLINK("https://pbs.twimg.com/media/Fn9NZqoWQAEt7x7.jpg")</f>
        <v>https://pbs.twimg.com/media/Fn9NZqoWQAEt7x7.jpg</v>
      </c>
      <c r="V2738" s="77" t="str">
        <f>HYPERLINK("https://pbs.twimg.com/media/Fn9NZqoWQAEt7x7.jpg")</f>
        <v>https://pbs.twimg.com/media/Fn9NZqoWQAEt7x7.jpg</v>
      </c>
      <c r="W2738" s="76">
        <v>44959.454004629632</v>
      </c>
      <c r="X2738" s="80">
        <v>44959</v>
      </c>
      <c r="Y2738" s="78" t="s">
        <v>3349</v>
      </c>
      <c r="Z2738" s="77" t="str">
        <f>HYPERLINK("https://twitter.com/kicinski_md1/status/1621099553171673091")</f>
        <v>https://twitter.com/kicinski_md1/status/1621099553171673091</v>
      </c>
      <c r="AC2738" s="78" t="s">
        <v>4414</v>
      </c>
      <c r="AE2738" t="b">
        <v>0</v>
      </c>
      <c r="AF2738">
        <v>0</v>
      </c>
      <c r="AG2738" s="78" t="s">
        <v>4640</v>
      </c>
      <c r="AH2738" t="b">
        <v>0</v>
      </c>
      <c r="AI2738" t="s">
        <v>4829</v>
      </c>
      <c r="AK2738" s="78" t="s">
        <v>4640</v>
      </c>
      <c r="AL2738" t="b">
        <v>0</v>
      </c>
      <c r="AM2738">
        <v>1</v>
      </c>
      <c r="AN2738" s="78" t="s">
        <v>4413</v>
      </c>
      <c r="AO2738" s="78" t="s">
        <v>4851</v>
      </c>
      <c r="AP2738" t="b">
        <v>0</v>
      </c>
      <c r="AQ2738" s="78" t="s">
        <v>4413</v>
      </c>
      <c r="AR2738" t="s">
        <v>179</v>
      </c>
      <c r="AS2738">
        <v>0</v>
      </c>
      <c r="AT2738">
        <v>0</v>
      </c>
    </row>
    <row r="2739" spans="1:46" x14ac:dyDescent="0.45">
      <c r="A2739" s="62" t="s">
        <v>1042</v>
      </c>
      <c r="B2739" s="62" t="s">
        <v>242</v>
      </c>
      <c r="C2739" s="63"/>
      <c r="D2739" s="64"/>
      <c r="E2739" s="65"/>
      <c r="F2739" s="66"/>
      <c r="G2739" s="63"/>
      <c r="H2739" s="67"/>
      <c r="I2739" s="68"/>
      <c r="J2739" s="68"/>
      <c r="K2739" s="32"/>
      <c r="L2739" s="75"/>
      <c r="M2739" s="75"/>
      <c r="N2739" s="70"/>
      <c r="O2739" t="s">
        <v>1567</v>
      </c>
      <c r="P2739" s="76">
        <v>44959.457303240742</v>
      </c>
      <c r="Q2739" t="s">
        <v>2198</v>
      </c>
      <c r="V2739" s="77" t="str">
        <f>HYPERLINK("https://pbs.twimg.com/profile_images/1228542161219727365/sKDILVnQ_normal.jpg")</f>
        <v>https://pbs.twimg.com/profile_images/1228542161219727365/sKDILVnQ_normal.jpg</v>
      </c>
      <c r="W2739" s="76">
        <v>44959.457303240742</v>
      </c>
      <c r="X2739" s="80">
        <v>44959</v>
      </c>
      <c r="Y2739" s="78" t="s">
        <v>3350</v>
      </c>
      <c r="Z2739" s="77" t="str">
        <f>HYPERLINK("https://twitter.com/honestl21630063/status/1621100746337828864")</f>
        <v>https://twitter.com/honestl21630063/status/1621100746337828864</v>
      </c>
      <c r="AC2739" s="78" t="s">
        <v>4415</v>
      </c>
      <c r="AE2739" t="b">
        <v>0</v>
      </c>
      <c r="AF2739">
        <v>0</v>
      </c>
      <c r="AG2739" s="78" t="s">
        <v>4639</v>
      </c>
      <c r="AH2739" t="b">
        <v>0</v>
      </c>
      <c r="AI2739" t="s">
        <v>4829</v>
      </c>
      <c r="AK2739" s="78" t="s">
        <v>4640</v>
      </c>
      <c r="AL2739" t="b">
        <v>0</v>
      </c>
      <c r="AM2739">
        <v>0</v>
      </c>
      <c r="AN2739" s="78" t="s">
        <v>4640</v>
      </c>
      <c r="AO2739" s="78" t="s">
        <v>4849</v>
      </c>
      <c r="AP2739" t="b">
        <v>0</v>
      </c>
      <c r="AQ2739" s="78" t="s">
        <v>4415</v>
      </c>
      <c r="AR2739" t="s">
        <v>179</v>
      </c>
      <c r="AS2739">
        <v>0</v>
      </c>
      <c r="AT2739">
        <v>0</v>
      </c>
    </row>
    <row r="2740" spans="1:46" x14ac:dyDescent="0.45">
      <c r="A2740" s="62" t="s">
        <v>1043</v>
      </c>
      <c r="B2740" s="62" t="s">
        <v>1230</v>
      </c>
      <c r="C2740" s="63"/>
      <c r="D2740" s="64"/>
      <c r="E2740" s="65"/>
      <c r="F2740" s="66"/>
      <c r="G2740" s="63"/>
      <c r="H2740" s="67"/>
      <c r="I2740" s="68"/>
      <c r="J2740" s="68"/>
      <c r="K2740" s="32"/>
      <c r="L2740" s="75"/>
      <c r="M2740" s="75"/>
      <c r="N2740" s="70"/>
      <c r="O2740" t="s">
        <v>1570</v>
      </c>
      <c r="P2740" s="76">
        <v>44959.45890046296</v>
      </c>
      <c r="Q2740" t="s">
        <v>1693</v>
      </c>
      <c r="V2740" s="77" t="str">
        <f>HYPERLINK("https://pbs.twimg.com/profile_images/1496700357833281537/26uJj2Yb_normal.jpg")</f>
        <v>https://pbs.twimg.com/profile_images/1496700357833281537/26uJj2Yb_normal.jpg</v>
      </c>
      <c r="W2740" s="76">
        <v>44959.45890046296</v>
      </c>
      <c r="X2740" s="80">
        <v>44959</v>
      </c>
      <c r="Y2740" s="78" t="s">
        <v>3351</v>
      </c>
      <c r="Z2740" s="77" t="str">
        <f>HYPERLINK("https://twitter.com/yehtutsoe20/status/1621101326083194883")</f>
        <v>https://twitter.com/yehtutsoe20/status/1621101326083194883</v>
      </c>
      <c r="AC2740" s="78" t="s">
        <v>4416</v>
      </c>
      <c r="AE2740" t="b">
        <v>0</v>
      </c>
      <c r="AF2740">
        <v>0</v>
      </c>
      <c r="AG2740" s="78" t="s">
        <v>4640</v>
      </c>
      <c r="AH2740" t="b">
        <v>0</v>
      </c>
      <c r="AI2740" t="s">
        <v>4829</v>
      </c>
      <c r="AK2740" s="78" t="s">
        <v>4640</v>
      </c>
      <c r="AL2740" t="b">
        <v>0</v>
      </c>
      <c r="AM2740">
        <v>162</v>
      </c>
      <c r="AN2740" s="78" t="s">
        <v>4473</v>
      </c>
      <c r="AO2740" s="78" t="s">
        <v>4849</v>
      </c>
      <c r="AP2740" t="b">
        <v>0</v>
      </c>
      <c r="AQ2740" s="78" t="s">
        <v>4473</v>
      </c>
      <c r="AR2740" t="s">
        <v>179</v>
      </c>
      <c r="AS2740">
        <v>0</v>
      </c>
      <c r="AT2740">
        <v>0</v>
      </c>
    </row>
    <row r="2741" spans="1:46" x14ac:dyDescent="0.45">
      <c r="A2741" s="62" t="s">
        <v>1043</v>
      </c>
      <c r="B2741" s="62" t="s">
        <v>242</v>
      </c>
      <c r="C2741" s="63"/>
      <c r="D2741" s="64"/>
      <c r="E2741" s="65"/>
      <c r="F2741" s="66"/>
      <c r="G2741" s="63"/>
      <c r="H2741" s="67"/>
      <c r="I2741" s="68"/>
      <c r="J2741" s="68"/>
      <c r="K2741" s="32"/>
      <c r="L2741" s="75"/>
      <c r="M2741" s="75"/>
      <c r="N2741" s="70"/>
      <c r="O2741" t="s">
        <v>1569</v>
      </c>
      <c r="P2741" s="76">
        <v>44959.45890046296</v>
      </c>
      <c r="Q2741" t="s">
        <v>1693</v>
      </c>
      <c r="V2741" s="77" t="str">
        <f>HYPERLINK("https://pbs.twimg.com/profile_images/1496700357833281537/26uJj2Yb_normal.jpg")</f>
        <v>https://pbs.twimg.com/profile_images/1496700357833281537/26uJj2Yb_normal.jpg</v>
      </c>
      <c r="W2741" s="76">
        <v>44959.45890046296</v>
      </c>
      <c r="X2741" s="80">
        <v>44959</v>
      </c>
      <c r="Y2741" s="78" t="s">
        <v>3351</v>
      </c>
      <c r="Z2741" s="77" t="str">
        <f>HYPERLINK("https://twitter.com/yehtutsoe20/status/1621101326083194883")</f>
        <v>https://twitter.com/yehtutsoe20/status/1621101326083194883</v>
      </c>
      <c r="AC2741" s="78" t="s">
        <v>4416</v>
      </c>
      <c r="AE2741" t="b">
        <v>0</v>
      </c>
      <c r="AF2741">
        <v>0</v>
      </c>
      <c r="AG2741" s="78" t="s">
        <v>4640</v>
      </c>
      <c r="AH2741" t="b">
        <v>0</v>
      </c>
      <c r="AI2741" t="s">
        <v>4829</v>
      </c>
      <c r="AK2741" s="78" t="s">
        <v>4640</v>
      </c>
      <c r="AL2741" t="b">
        <v>0</v>
      </c>
      <c r="AM2741">
        <v>162</v>
      </c>
      <c r="AN2741" s="78" t="s">
        <v>4473</v>
      </c>
      <c r="AO2741" s="78" t="s">
        <v>4849</v>
      </c>
      <c r="AP2741" t="b">
        <v>0</v>
      </c>
      <c r="AQ2741" s="78" t="s">
        <v>4473</v>
      </c>
      <c r="AR2741" t="s">
        <v>179</v>
      </c>
      <c r="AS2741">
        <v>0</v>
      </c>
      <c r="AT2741">
        <v>0</v>
      </c>
    </row>
    <row r="2742" spans="1:46" x14ac:dyDescent="0.45">
      <c r="A2742" s="62" t="s">
        <v>1044</v>
      </c>
      <c r="B2742" s="62" t="s">
        <v>1230</v>
      </c>
      <c r="C2742" s="63"/>
      <c r="D2742" s="64"/>
      <c r="E2742" s="65"/>
      <c r="F2742" s="66"/>
      <c r="G2742" s="63"/>
      <c r="H2742" s="67"/>
      <c r="I2742" s="68"/>
      <c r="J2742" s="68"/>
      <c r="K2742" s="32"/>
      <c r="L2742" s="75"/>
      <c r="M2742" s="75"/>
      <c r="N2742" s="70"/>
      <c r="O2742" t="s">
        <v>1570</v>
      </c>
      <c r="P2742" s="76">
        <v>44959.464594907404</v>
      </c>
      <c r="Q2742" t="s">
        <v>1693</v>
      </c>
      <c r="V2742" s="77" t="str">
        <f>HYPERLINK("https://pbs.twimg.com/profile_images/1555518807849984000/67ua9kKn_normal.jpg")</f>
        <v>https://pbs.twimg.com/profile_images/1555518807849984000/67ua9kKn_normal.jpg</v>
      </c>
      <c r="W2742" s="76">
        <v>44959.464594907404</v>
      </c>
      <c r="X2742" s="80">
        <v>44959</v>
      </c>
      <c r="Y2742" s="78" t="s">
        <v>3352</v>
      </c>
      <c r="Z2742" s="77" t="str">
        <f>HYPERLINK("https://twitter.com/madfangelo2020/status/1621103389387137025")</f>
        <v>https://twitter.com/madfangelo2020/status/1621103389387137025</v>
      </c>
      <c r="AC2742" s="78" t="s">
        <v>4417</v>
      </c>
      <c r="AE2742" t="b">
        <v>0</v>
      </c>
      <c r="AF2742">
        <v>0</v>
      </c>
      <c r="AG2742" s="78" t="s">
        <v>4640</v>
      </c>
      <c r="AH2742" t="b">
        <v>0</v>
      </c>
      <c r="AI2742" t="s">
        <v>4829</v>
      </c>
      <c r="AK2742" s="78" t="s">
        <v>4640</v>
      </c>
      <c r="AL2742" t="b">
        <v>0</v>
      </c>
      <c r="AM2742">
        <v>162</v>
      </c>
      <c r="AN2742" s="78" t="s">
        <v>4473</v>
      </c>
      <c r="AO2742" s="78" t="s">
        <v>4851</v>
      </c>
      <c r="AP2742" t="b">
        <v>0</v>
      </c>
      <c r="AQ2742" s="78" t="s">
        <v>4473</v>
      </c>
      <c r="AR2742" t="s">
        <v>179</v>
      </c>
      <c r="AS2742">
        <v>0</v>
      </c>
      <c r="AT2742">
        <v>0</v>
      </c>
    </row>
    <row r="2743" spans="1:46" x14ac:dyDescent="0.45">
      <c r="A2743" s="62" t="s">
        <v>1044</v>
      </c>
      <c r="B2743" s="62" t="s">
        <v>242</v>
      </c>
      <c r="C2743" s="63"/>
      <c r="D2743" s="64"/>
      <c r="E2743" s="65"/>
      <c r="F2743" s="66"/>
      <c r="G2743" s="63"/>
      <c r="H2743" s="67"/>
      <c r="I2743" s="68"/>
      <c r="J2743" s="68"/>
      <c r="K2743" s="32"/>
      <c r="L2743" s="75"/>
      <c r="M2743" s="75"/>
      <c r="N2743" s="70"/>
      <c r="O2743" t="s">
        <v>1569</v>
      </c>
      <c r="P2743" s="76">
        <v>44959.464594907404</v>
      </c>
      <c r="Q2743" t="s">
        <v>1693</v>
      </c>
      <c r="V2743" s="77" t="str">
        <f>HYPERLINK("https://pbs.twimg.com/profile_images/1555518807849984000/67ua9kKn_normal.jpg")</f>
        <v>https://pbs.twimg.com/profile_images/1555518807849984000/67ua9kKn_normal.jpg</v>
      </c>
      <c r="W2743" s="76">
        <v>44959.464594907404</v>
      </c>
      <c r="X2743" s="80">
        <v>44959</v>
      </c>
      <c r="Y2743" s="78" t="s">
        <v>3352</v>
      </c>
      <c r="Z2743" s="77" t="str">
        <f>HYPERLINK("https://twitter.com/madfangelo2020/status/1621103389387137025")</f>
        <v>https://twitter.com/madfangelo2020/status/1621103389387137025</v>
      </c>
      <c r="AC2743" s="78" t="s">
        <v>4417</v>
      </c>
      <c r="AE2743" t="b">
        <v>0</v>
      </c>
      <c r="AF2743">
        <v>0</v>
      </c>
      <c r="AG2743" s="78" t="s">
        <v>4640</v>
      </c>
      <c r="AH2743" t="b">
        <v>0</v>
      </c>
      <c r="AI2743" t="s">
        <v>4829</v>
      </c>
      <c r="AK2743" s="78" t="s">
        <v>4640</v>
      </c>
      <c r="AL2743" t="b">
        <v>0</v>
      </c>
      <c r="AM2743">
        <v>162</v>
      </c>
      <c r="AN2743" s="78" t="s">
        <v>4473</v>
      </c>
      <c r="AO2743" s="78" t="s">
        <v>4851</v>
      </c>
      <c r="AP2743" t="b">
        <v>0</v>
      </c>
      <c r="AQ2743" s="78" t="s">
        <v>4473</v>
      </c>
      <c r="AR2743" t="s">
        <v>179</v>
      </c>
      <c r="AS2743">
        <v>0</v>
      </c>
      <c r="AT2743">
        <v>0</v>
      </c>
    </row>
    <row r="2744" spans="1:46" x14ac:dyDescent="0.45">
      <c r="A2744" s="62" t="s">
        <v>1047</v>
      </c>
      <c r="B2744" s="62" t="s">
        <v>1046</v>
      </c>
      <c r="C2744" s="63"/>
      <c r="D2744" s="64"/>
      <c r="E2744" s="65"/>
      <c r="F2744" s="66"/>
      <c r="G2744" s="63"/>
      <c r="H2744" s="67"/>
      <c r="I2744" s="68"/>
      <c r="J2744" s="68"/>
      <c r="K2744" s="32"/>
      <c r="L2744" s="75"/>
      <c r="M2744" s="75"/>
      <c r="N2744" s="70"/>
      <c r="O2744" t="s">
        <v>1569</v>
      </c>
      <c r="P2744" s="76">
        <v>44959.470462962963</v>
      </c>
      <c r="Q2744" t="s">
        <v>1928</v>
      </c>
      <c r="U2744" s="77" t="str">
        <f>HYPERLINK("https://pbs.twimg.com/media/Fn6jrXTWAAEsrco.jpg")</f>
        <v>https://pbs.twimg.com/media/Fn6jrXTWAAEsrco.jpg</v>
      </c>
      <c r="V2744" s="77" t="str">
        <f>HYPERLINK("https://pbs.twimg.com/media/Fn6jrXTWAAEsrco.jpg")</f>
        <v>https://pbs.twimg.com/media/Fn6jrXTWAAEsrco.jpg</v>
      </c>
      <c r="W2744" s="76">
        <v>44959.470462962963</v>
      </c>
      <c r="X2744" s="80">
        <v>44959</v>
      </c>
      <c r="Y2744" s="78" t="s">
        <v>3356</v>
      </c>
      <c r="Z2744" s="77" t="str">
        <f>HYPERLINK("https://twitter.com/reminiscentxc/status/1621105515274334209")</f>
        <v>https://twitter.com/reminiscentxc/status/1621105515274334209</v>
      </c>
      <c r="AC2744" s="78" t="s">
        <v>4421</v>
      </c>
      <c r="AE2744" t="b">
        <v>0</v>
      </c>
      <c r="AF2744">
        <v>0</v>
      </c>
      <c r="AG2744" s="78" t="s">
        <v>4640</v>
      </c>
      <c r="AH2744" t="b">
        <v>0</v>
      </c>
      <c r="AI2744" t="s">
        <v>4829</v>
      </c>
      <c r="AK2744" s="78" t="s">
        <v>4640</v>
      </c>
      <c r="AL2744" t="b">
        <v>0</v>
      </c>
      <c r="AM2744">
        <v>8</v>
      </c>
      <c r="AN2744" s="78" t="s">
        <v>4420</v>
      </c>
      <c r="AO2744" s="78" t="s">
        <v>4851</v>
      </c>
      <c r="AP2744" t="b">
        <v>0</v>
      </c>
      <c r="AQ2744" s="78" t="s">
        <v>4420</v>
      </c>
      <c r="AR2744" t="s">
        <v>179</v>
      </c>
      <c r="AS2744">
        <v>0</v>
      </c>
      <c r="AT2744">
        <v>0</v>
      </c>
    </row>
    <row r="2745" spans="1:46" x14ac:dyDescent="0.45">
      <c r="A2745" s="62" t="s">
        <v>1047</v>
      </c>
      <c r="B2745" s="62" t="s">
        <v>242</v>
      </c>
      <c r="C2745" s="63"/>
      <c r="D2745" s="64"/>
      <c r="E2745" s="65"/>
      <c r="F2745" s="66"/>
      <c r="G2745" s="63"/>
      <c r="H2745" s="67"/>
      <c r="I2745" s="68"/>
      <c r="J2745" s="68"/>
      <c r="K2745" s="32"/>
      <c r="L2745" s="75"/>
      <c r="M2745" s="75"/>
      <c r="N2745" s="70"/>
      <c r="O2745" t="s">
        <v>1570</v>
      </c>
      <c r="P2745" s="76">
        <v>44959.470462962963</v>
      </c>
      <c r="Q2745" t="s">
        <v>1928</v>
      </c>
      <c r="U2745" s="77" t="str">
        <f>HYPERLINK("https://pbs.twimg.com/media/Fn6jrXTWAAEsrco.jpg")</f>
        <v>https://pbs.twimg.com/media/Fn6jrXTWAAEsrco.jpg</v>
      </c>
      <c r="V2745" s="77" t="str">
        <f>HYPERLINK("https://pbs.twimg.com/media/Fn6jrXTWAAEsrco.jpg")</f>
        <v>https://pbs.twimg.com/media/Fn6jrXTWAAEsrco.jpg</v>
      </c>
      <c r="W2745" s="76">
        <v>44959.470462962963</v>
      </c>
      <c r="X2745" s="80">
        <v>44959</v>
      </c>
      <c r="Y2745" s="78" t="s">
        <v>3356</v>
      </c>
      <c r="Z2745" s="77" t="str">
        <f>HYPERLINK("https://twitter.com/reminiscentxc/status/1621105515274334209")</f>
        <v>https://twitter.com/reminiscentxc/status/1621105515274334209</v>
      </c>
      <c r="AC2745" s="78" t="s">
        <v>4421</v>
      </c>
      <c r="AE2745" t="b">
        <v>0</v>
      </c>
      <c r="AF2745">
        <v>0</v>
      </c>
      <c r="AG2745" s="78" t="s">
        <v>4640</v>
      </c>
      <c r="AH2745" t="b">
        <v>0</v>
      </c>
      <c r="AI2745" t="s">
        <v>4829</v>
      </c>
      <c r="AK2745" s="78" t="s">
        <v>4640</v>
      </c>
      <c r="AL2745" t="b">
        <v>0</v>
      </c>
      <c r="AM2745">
        <v>8</v>
      </c>
      <c r="AN2745" s="78" t="s">
        <v>4420</v>
      </c>
      <c r="AO2745" s="78" t="s">
        <v>4851</v>
      </c>
      <c r="AP2745" t="b">
        <v>0</v>
      </c>
      <c r="AQ2745" s="78" t="s">
        <v>4420</v>
      </c>
      <c r="AR2745" t="s">
        <v>179</v>
      </c>
      <c r="AS2745">
        <v>0</v>
      </c>
      <c r="AT2745">
        <v>0</v>
      </c>
    </row>
    <row r="2746" spans="1:46" x14ac:dyDescent="0.45">
      <c r="A2746" s="62" t="s">
        <v>1050</v>
      </c>
      <c r="B2746" s="62" t="s">
        <v>242</v>
      </c>
      <c r="C2746" s="63"/>
      <c r="D2746" s="64"/>
      <c r="E2746" s="65"/>
      <c r="F2746" s="66"/>
      <c r="G2746" s="63"/>
      <c r="H2746" s="67"/>
      <c r="I2746" s="68"/>
      <c r="J2746" s="68"/>
      <c r="K2746" s="32"/>
      <c r="L2746" s="75"/>
      <c r="M2746" s="75"/>
      <c r="N2746" s="70"/>
      <c r="O2746" t="s">
        <v>1569</v>
      </c>
      <c r="P2746" s="76">
        <v>44959.484502314815</v>
      </c>
      <c r="Q2746" t="s">
        <v>2202</v>
      </c>
      <c r="V2746" s="77" t="str">
        <f>HYPERLINK("https://pbs.twimg.com/profile_images/1614744610558844928/rvjz6bKD_normal.jpg")</f>
        <v>https://pbs.twimg.com/profile_images/1614744610558844928/rvjz6bKD_normal.jpg</v>
      </c>
      <c r="W2746" s="76">
        <v>44959.484502314815</v>
      </c>
      <c r="X2746" s="80">
        <v>44959</v>
      </c>
      <c r="Y2746" s="78" t="s">
        <v>3362</v>
      </c>
      <c r="Z2746" s="77" t="str">
        <f>HYPERLINK("https://twitter.com/rowdy8nation/status/1621110603132669953")</f>
        <v>https://twitter.com/rowdy8nation/status/1621110603132669953</v>
      </c>
      <c r="AC2746" s="78" t="s">
        <v>4427</v>
      </c>
      <c r="AE2746" t="b">
        <v>0</v>
      </c>
      <c r="AF2746">
        <v>0</v>
      </c>
      <c r="AG2746" s="78" t="s">
        <v>4640</v>
      </c>
      <c r="AH2746" t="b">
        <v>0</v>
      </c>
      <c r="AI2746" t="s">
        <v>4829</v>
      </c>
      <c r="AK2746" s="78" t="s">
        <v>4640</v>
      </c>
      <c r="AL2746" t="b">
        <v>0</v>
      </c>
      <c r="AM2746">
        <v>1</v>
      </c>
      <c r="AN2746" s="78" t="s">
        <v>4425</v>
      </c>
      <c r="AO2746" s="78" t="s">
        <v>4850</v>
      </c>
      <c r="AP2746" t="b">
        <v>0</v>
      </c>
      <c r="AQ2746" s="78" t="s">
        <v>4425</v>
      </c>
      <c r="AR2746" t="s">
        <v>179</v>
      </c>
      <c r="AS2746">
        <v>0</v>
      </c>
      <c r="AT2746">
        <v>0</v>
      </c>
    </row>
    <row r="2747" spans="1:46" x14ac:dyDescent="0.45">
      <c r="A2747" s="62" t="s">
        <v>1051</v>
      </c>
      <c r="B2747" s="62" t="s">
        <v>1230</v>
      </c>
      <c r="C2747" s="63"/>
      <c r="D2747" s="64"/>
      <c r="E2747" s="65"/>
      <c r="F2747" s="66"/>
      <c r="G2747" s="63"/>
      <c r="H2747" s="67"/>
      <c r="I2747" s="68"/>
      <c r="J2747" s="68"/>
      <c r="K2747" s="32"/>
      <c r="L2747" s="75"/>
      <c r="M2747" s="75"/>
      <c r="N2747" s="70"/>
      <c r="O2747" t="s">
        <v>1570</v>
      </c>
      <c r="P2747" s="76">
        <v>44959.490254629629</v>
      </c>
      <c r="Q2747" t="s">
        <v>1693</v>
      </c>
      <c r="V2747" s="77" t="str">
        <f>HYPERLINK("https://pbs.twimg.com/profile_images/1616547101671915520/w46rX05W_normal.jpg")</f>
        <v>https://pbs.twimg.com/profile_images/1616547101671915520/w46rX05W_normal.jpg</v>
      </c>
      <c r="W2747" s="76">
        <v>44959.490254629629</v>
      </c>
      <c r="X2747" s="80">
        <v>44959</v>
      </c>
      <c r="Y2747" s="78" t="s">
        <v>3363</v>
      </c>
      <c r="Z2747" s="77" t="str">
        <f>HYPERLINK("https://twitter.com/thatgirlhaylz/status/1621112690281422850")</f>
        <v>https://twitter.com/thatgirlhaylz/status/1621112690281422850</v>
      </c>
      <c r="AC2747" s="78" t="s">
        <v>4428</v>
      </c>
      <c r="AE2747" t="b">
        <v>0</v>
      </c>
      <c r="AF2747">
        <v>0</v>
      </c>
      <c r="AG2747" s="78" t="s">
        <v>4640</v>
      </c>
      <c r="AH2747" t="b">
        <v>0</v>
      </c>
      <c r="AI2747" t="s">
        <v>4829</v>
      </c>
      <c r="AK2747" s="78" t="s">
        <v>4640</v>
      </c>
      <c r="AL2747" t="b">
        <v>0</v>
      </c>
      <c r="AM2747">
        <v>162</v>
      </c>
      <c r="AN2747" s="78" t="s">
        <v>4473</v>
      </c>
      <c r="AO2747" s="78" t="s">
        <v>4851</v>
      </c>
      <c r="AP2747" t="b">
        <v>0</v>
      </c>
      <c r="AQ2747" s="78" t="s">
        <v>4473</v>
      </c>
      <c r="AR2747" t="s">
        <v>179</v>
      </c>
      <c r="AS2747">
        <v>0</v>
      </c>
      <c r="AT2747">
        <v>0</v>
      </c>
    </row>
    <row r="2748" spans="1:46" x14ac:dyDescent="0.45">
      <c r="A2748" s="62" t="s">
        <v>1051</v>
      </c>
      <c r="B2748" s="62" t="s">
        <v>242</v>
      </c>
      <c r="C2748" s="63"/>
      <c r="D2748" s="64"/>
      <c r="E2748" s="65"/>
      <c r="F2748" s="66"/>
      <c r="G2748" s="63"/>
      <c r="H2748" s="67"/>
      <c r="I2748" s="68"/>
      <c r="J2748" s="68"/>
      <c r="K2748" s="32"/>
      <c r="L2748" s="75"/>
      <c r="M2748" s="75"/>
      <c r="N2748" s="70"/>
      <c r="O2748" t="s">
        <v>1569</v>
      </c>
      <c r="P2748" s="76">
        <v>44959.490254629629</v>
      </c>
      <c r="Q2748" t="s">
        <v>1693</v>
      </c>
      <c r="V2748" s="77" t="str">
        <f>HYPERLINK("https://pbs.twimg.com/profile_images/1616547101671915520/w46rX05W_normal.jpg")</f>
        <v>https://pbs.twimg.com/profile_images/1616547101671915520/w46rX05W_normal.jpg</v>
      </c>
      <c r="W2748" s="76">
        <v>44959.490254629629</v>
      </c>
      <c r="X2748" s="80">
        <v>44959</v>
      </c>
      <c r="Y2748" s="78" t="s">
        <v>3363</v>
      </c>
      <c r="Z2748" s="77" t="str">
        <f>HYPERLINK("https://twitter.com/thatgirlhaylz/status/1621112690281422850")</f>
        <v>https://twitter.com/thatgirlhaylz/status/1621112690281422850</v>
      </c>
      <c r="AC2748" s="78" t="s">
        <v>4428</v>
      </c>
      <c r="AE2748" t="b">
        <v>0</v>
      </c>
      <c r="AF2748">
        <v>0</v>
      </c>
      <c r="AG2748" s="78" t="s">
        <v>4640</v>
      </c>
      <c r="AH2748" t="b">
        <v>0</v>
      </c>
      <c r="AI2748" t="s">
        <v>4829</v>
      </c>
      <c r="AK2748" s="78" t="s">
        <v>4640</v>
      </c>
      <c r="AL2748" t="b">
        <v>0</v>
      </c>
      <c r="AM2748">
        <v>162</v>
      </c>
      <c r="AN2748" s="78" t="s">
        <v>4473</v>
      </c>
      <c r="AO2748" s="78" t="s">
        <v>4851</v>
      </c>
      <c r="AP2748" t="b">
        <v>0</v>
      </c>
      <c r="AQ2748" s="78" t="s">
        <v>4473</v>
      </c>
      <c r="AR2748" t="s">
        <v>179</v>
      </c>
      <c r="AS2748">
        <v>0</v>
      </c>
      <c r="AT2748">
        <v>0</v>
      </c>
    </row>
    <row r="2749" spans="1:46" x14ac:dyDescent="0.45">
      <c r="A2749" s="62" t="s">
        <v>1054</v>
      </c>
      <c r="B2749" s="62" t="s">
        <v>1230</v>
      </c>
      <c r="C2749" s="63"/>
      <c r="D2749" s="64"/>
      <c r="E2749" s="65"/>
      <c r="F2749" s="66"/>
      <c r="G2749" s="63"/>
      <c r="H2749" s="67"/>
      <c r="I2749" s="68"/>
      <c r="J2749" s="68"/>
      <c r="K2749" s="32"/>
      <c r="L2749" s="75"/>
      <c r="M2749" s="75"/>
      <c r="N2749" s="70"/>
      <c r="O2749" t="s">
        <v>1570</v>
      </c>
      <c r="P2749" s="76">
        <v>44959.497581018521</v>
      </c>
      <c r="Q2749" t="s">
        <v>1693</v>
      </c>
      <c r="V2749" s="77" t="str">
        <f>HYPERLINK("https://pbs.twimg.com/profile_images/1620894590801772550/REyesA_g_normal.jpg")</f>
        <v>https://pbs.twimg.com/profile_images/1620894590801772550/REyesA_g_normal.jpg</v>
      </c>
      <c r="W2749" s="76">
        <v>44959.497581018521</v>
      </c>
      <c r="X2749" s="80">
        <v>44959</v>
      </c>
      <c r="Y2749" s="78" t="s">
        <v>3367</v>
      </c>
      <c r="Z2749" s="77" t="str">
        <f>HYPERLINK("https://twitter.com/niallhwalls/status/1621115343363276800")</f>
        <v>https://twitter.com/niallhwalls/status/1621115343363276800</v>
      </c>
      <c r="AC2749" s="78" t="s">
        <v>4432</v>
      </c>
      <c r="AE2749" t="b">
        <v>0</v>
      </c>
      <c r="AF2749">
        <v>0</v>
      </c>
      <c r="AG2749" s="78" t="s">
        <v>4640</v>
      </c>
      <c r="AH2749" t="b">
        <v>0</v>
      </c>
      <c r="AI2749" t="s">
        <v>4829</v>
      </c>
      <c r="AK2749" s="78" t="s">
        <v>4640</v>
      </c>
      <c r="AL2749" t="b">
        <v>0</v>
      </c>
      <c r="AM2749">
        <v>162</v>
      </c>
      <c r="AN2749" s="78" t="s">
        <v>4473</v>
      </c>
      <c r="AO2749" s="78" t="s">
        <v>4849</v>
      </c>
      <c r="AP2749" t="b">
        <v>0</v>
      </c>
      <c r="AQ2749" s="78" t="s">
        <v>4473</v>
      </c>
      <c r="AR2749" t="s">
        <v>179</v>
      </c>
      <c r="AS2749">
        <v>0</v>
      </c>
      <c r="AT2749">
        <v>0</v>
      </c>
    </row>
    <row r="2750" spans="1:46" x14ac:dyDescent="0.45">
      <c r="A2750" s="62" t="s">
        <v>1054</v>
      </c>
      <c r="B2750" s="62" t="s">
        <v>242</v>
      </c>
      <c r="C2750" s="63"/>
      <c r="D2750" s="64"/>
      <c r="E2750" s="65"/>
      <c r="F2750" s="66"/>
      <c r="G2750" s="63"/>
      <c r="H2750" s="67"/>
      <c r="I2750" s="68"/>
      <c r="J2750" s="68"/>
      <c r="K2750" s="32"/>
      <c r="L2750" s="75"/>
      <c r="M2750" s="75"/>
      <c r="N2750" s="70"/>
      <c r="O2750" t="s">
        <v>1569</v>
      </c>
      <c r="P2750" s="76">
        <v>44959.497581018521</v>
      </c>
      <c r="Q2750" t="s">
        <v>1693</v>
      </c>
      <c r="V2750" s="77" t="str">
        <f>HYPERLINK("https://pbs.twimg.com/profile_images/1620894590801772550/REyesA_g_normal.jpg")</f>
        <v>https://pbs.twimg.com/profile_images/1620894590801772550/REyesA_g_normal.jpg</v>
      </c>
      <c r="W2750" s="76">
        <v>44959.497581018521</v>
      </c>
      <c r="X2750" s="80">
        <v>44959</v>
      </c>
      <c r="Y2750" s="78" t="s">
        <v>3367</v>
      </c>
      <c r="Z2750" s="77" t="str">
        <f>HYPERLINK("https://twitter.com/niallhwalls/status/1621115343363276800")</f>
        <v>https://twitter.com/niallhwalls/status/1621115343363276800</v>
      </c>
      <c r="AC2750" s="78" t="s">
        <v>4432</v>
      </c>
      <c r="AE2750" t="b">
        <v>0</v>
      </c>
      <c r="AF2750">
        <v>0</v>
      </c>
      <c r="AG2750" s="78" t="s">
        <v>4640</v>
      </c>
      <c r="AH2750" t="b">
        <v>0</v>
      </c>
      <c r="AI2750" t="s">
        <v>4829</v>
      </c>
      <c r="AK2750" s="78" t="s">
        <v>4640</v>
      </c>
      <c r="AL2750" t="b">
        <v>0</v>
      </c>
      <c r="AM2750">
        <v>162</v>
      </c>
      <c r="AN2750" s="78" t="s">
        <v>4473</v>
      </c>
      <c r="AO2750" s="78" t="s">
        <v>4849</v>
      </c>
      <c r="AP2750" t="b">
        <v>0</v>
      </c>
      <c r="AQ2750" s="78" t="s">
        <v>4473</v>
      </c>
      <c r="AR2750" t="s">
        <v>179</v>
      </c>
      <c r="AS2750">
        <v>0</v>
      </c>
      <c r="AT2750">
        <v>0</v>
      </c>
    </row>
    <row r="2751" spans="1:46" x14ac:dyDescent="0.45">
      <c r="A2751" s="62" t="s">
        <v>1055</v>
      </c>
      <c r="B2751" s="62" t="s">
        <v>242</v>
      </c>
      <c r="C2751" s="63"/>
      <c r="D2751" s="64"/>
      <c r="E2751" s="65"/>
      <c r="F2751" s="66"/>
      <c r="G2751" s="63"/>
      <c r="H2751" s="67"/>
      <c r="I2751" s="68"/>
      <c r="J2751" s="68"/>
      <c r="K2751" s="32"/>
      <c r="L2751" s="75"/>
      <c r="M2751" s="75"/>
      <c r="N2751" s="70"/>
      <c r="O2751" t="s">
        <v>1567</v>
      </c>
      <c r="P2751" s="76">
        <v>44959.500057870369</v>
      </c>
      <c r="Q2751" t="s">
        <v>2205</v>
      </c>
      <c r="V2751" s="77" t="str">
        <f>HYPERLINK("https://pbs.twimg.com/profile_images/654466913104437248/QFXnmCck_normal.jpg")</f>
        <v>https://pbs.twimg.com/profile_images/654466913104437248/QFXnmCck_normal.jpg</v>
      </c>
      <c r="W2751" s="76">
        <v>44959.500057870369</v>
      </c>
      <c r="X2751" s="80">
        <v>44959</v>
      </c>
      <c r="Y2751" s="78" t="s">
        <v>3368</v>
      </c>
      <c r="Z2751" s="77" t="str">
        <f>HYPERLINK("https://twitter.com/derekkage/status/1621116241208287233")</f>
        <v>https://twitter.com/derekkage/status/1621116241208287233</v>
      </c>
      <c r="AC2751" s="78" t="s">
        <v>4433</v>
      </c>
      <c r="AE2751" t="b">
        <v>0</v>
      </c>
      <c r="AF2751">
        <v>0</v>
      </c>
      <c r="AG2751" s="78" t="s">
        <v>4639</v>
      </c>
      <c r="AH2751" t="b">
        <v>0</v>
      </c>
      <c r="AI2751" t="s">
        <v>4829</v>
      </c>
      <c r="AK2751" s="78" t="s">
        <v>4640</v>
      </c>
      <c r="AL2751" t="b">
        <v>0</v>
      </c>
      <c r="AM2751">
        <v>0</v>
      </c>
      <c r="AN2751" s="78" t="s">
        <v>4640</v>
      </c>
      <c r="AO2751" s="78" t="s">
        <v>4850</v>
      </c>
      <c r="AP2751" t="b">
        <v>0</v>
      </c>
      <c r="AQ2751" s="78" t="s">
        <v>4433</v>
      </c>
      <c r="AR2751" t="s">
        <v>179</v>
      </c>
      <c r="AS2751">
        <v>0</v>
      </c>
      <c r="AT2751">
        <v>0</v>
      </c>
    </row>
    <row r="2752" spans="1:46" x14ac:dyDescent="0.45">
      <c r="A2752" s="62" t="s">
        <v>1056</v>
      </c>
      <c r="B2752" s="62" t="s">
        <v>242</v>
      </c>
      <c r="C2752" s="63"/>
      <c r="D2752" s="64"/>
      <c r="E2752" s="65"/>
      <c r="F2752" s="66"/>
      <c r="G2752" s="63"/>
      <c r="H2752" s="67"/>
      <c r="I2752" s="68"/>
      <c r="J2752" s="68"/>
      <c r="K2752" s="32"/>
      <c r="L2752" s="75"/>
      <c r="M2752" s="75"/>
      <c r="N2752" s="70"/>
      <c r="O2752" t="s">
        <v>1567</v>
      </c>
      <c r="P2752" s="76">
        <v>44959.500740740739</v>
      </c>
      <c r="Q2752" t="s">
        <v>2206</v>
      </c>
      <c r="V2752" s="77" t="str">
        <f>HYPERLINK("https://pbs.twimg.com/profile_images/1480784788113944578/-Mky7TLv_normal.jpg")</f>
        <v>https://pbs.twimg.com/profile_images/1480784788113944578/-Mky7TLv_normal.jpg</v>
      </c>
      <c r="W2752" s="76">
        <v>44959.500740740739</v>
      </c>
      <c r="X2752" s="80">
        <v>44959</v>
      </c>
      <c r="Y2752" s="78" t="s">
        <v>3369</v>
      </c>
      <c r="Z2752" s="77" t="str">
        <f>HYPERLINK("https://twitter.com/butterflybby333/status/1621116489012244480")</f>
        <v>https://twitter.com/butterflybby333/status/1621116489012244480</v>
      </c>
      <c r="AC2752" s="78" t="s">
        <v>4434</v>
      </c>
      <c r="AD2752" s="78" t="s">
        <v>4625</v>
      </c>
      <c r="AE2752" t="b">
        <v>0</v>
      </c>
      <c r="AF2752">
        <v>0</v>
      </c>
      <c r="AG2752" s="78" t="s">
        <v>4639</v>
      </c>
      <c r="AH2752" t="b">
        <v>0</v>
      </c>
      <c r="AI2752" t="s">
        <v>4829</v>
      </c>
      <c r="AK2752" s="78" t="s">
        <v>4640</v>
      </c>
      <c r="AL2752" t="b">
        <v>0</v>
      </c>
      <c r="AM2752">
        <v>0</v>
      </c>
      <c r="AN2752" s="78" t="s">
        <v>4640</v>
      </c>
      <c r="AO2752" s="78" t="s">
        <v>4851</v>
      </c>
      <c r="AP2752" t="b">
        <v>0</v>
      </c>
      <c r="AQ2752" s="78" t="s">
        <v>4625</v>
      </c>
      <c r="AR2752" t="s">
        <v>179</v>
      </c>
      <c r="AS2752">
        <v>0</v>
      </c>
      <c r="AT2752">
        <v>0</v>
      </c>
    </row>
    <row r="2753" spans="1:46" x14ac:dyDescent="0.45">
      <c r="A2753" s="62" t="s">
        <v>1059</v>
      </c>
      <c r="B2753" s="62" t="s">
        <v>1484</v>
      </c>
      <c r="C2753" s="63"/>
      <c r="D2753" s="64"/>
      <c r="E2753" s="65"/>
      <c r="F2753" s="66"/>
      <c r="G2753" s="63"/>
      <c r="H2753" s="67"/>
      <c r="I2753" s="68"/>
      <c r="J2753" s="68"/>
      <c r="K2753" s="32"/>
      <c r="L2753" s="75"/>
      <c r="M2753" s="75"/>
      <c r="N2753" s="70"/>
      <c r="O2753" t="s">
        <v>1568</v>
      </c>
      <c r="P2753" s="76">
        <v>44959.515393518515</v>
      </c>
      <c r="Q2753" t="s">
        <v>2208</v>
      </c>
      <c r="V2753" s="77" t="str">
        <f>HYPERLINK("https://pbs.twimg.com/profile_images/3260150374/5324587f7a1df18826d7dd9b18371685_normal.jpeg")</f>
        <v>https://pbs.twimg.com/profile_images/3260150374/5324587f7a1df18826d7dd9b18371685_normal.jpeg</v>
      </c>
      <c r="W2753" s="76">
        <v>44959.515393518515</v>
      </c>
      <c r="X2753" s="80">
        <v>44959</v>
      </c>
      <c r="Y2753" s="78" t="s">
        <v>3372</v>
      </c>
      <c r="Z2753" s="77" t="str">
        <f>HYPERLINK("https://twitter.com/iainms/status/1621121800053854209")</f>
        <v>https://twitter.com/iainms/status/1621121800053854209</v>
      </c>
      <c r="AC2753" s="78" t="s">
        <v>4437</v>
      </c>
      <c r="AD2753" s="78" t="s">
        <v>4626</v>
      </c>
      <c r="AE2753" t="b">
        <v>0</v>
      </c>
      <c r="AF2753">
        <v>0</v>
      </c>
      <c r="AG2753" s="78" t="s">
        <v>4812</v>
      </c>
      <c r="AH2753" t="b">
        <v>0</v>
      </c>
      <c r="AI2753" t="s">
        <v>4829</v>
      </c>
      <c r="AK2753" s="78" t="s">
        <v>4640</v>
      </c>
      <c r="AL2753" t="b">
        <v>0</v>
      </c>
      <c r="AM2753">
        <v>0</v>
      </c>
      <c r="AN2753" s="78" t="s">
        <v>4640</v>
      </c>
      <c r="AO2753" s="78" t="s">
        <v>4850</v>
      </c>
      <c r="AP2753" t="b">
        <v>0</v>
      </c>
      <c r="AQ2753" s="78" t="s">
        <v>4626</v>
      </c>
      <c r="AR2753" t="s">
        <v>179</v>
      </c>
      <c r="AS2753">
        <v>0</v>
      </c>
      <c r="AT2753">
        <v>0</v>
      </c>
    </row>
    <row r="2754" spans="1:46" x14ac:dyDescent="0.45">
      <c r="A2754" s="62" t="s">
        <v>1059</v>
      </c>
      <c r="B2754" s="62" t="s">
        <v>1537</v>
      </c>
      <c r="C2754" s="63"/>
      <c r="D2754" s="64"/>
      <c r="E2754" s="65"/>
      <c r="F2754" s="66"/>
      <c r="G2754" s="63"/>
      <c r="H2754" s="67"/>
      <c r="I2754" s="68"/>
      <c r="J2754" s="68"/>
      <c r="K2754" s="32"/>
      <c r="L2754" s="75"/>
      <c r="M2754" s="75"/>
      <c r="N2754" s="70"/>
      <c r="O2754" t="s">
        <v>1567</v>
      </c>
      <c r="P2754" s="76">
        <v>44959.515393518515</v>
      </c>
      <c r="Q2754" t="s">
        <v>2208</v>
      </c>
      <c r="V2754" s="77" t="str">
        <f>HYPERLINK("https://pbs.twimg.com/profile_images/3260150374/5324587f7a1df18826d7dd9b18371685_normal.jpeg")</f>
        <v>https://pbs.twimg.com/profile_images/3260150374/5324587f7a1df18826d7dd9b18371685_normal.jpeg</v>
      </c>
      <c r="W2754" s="76">
        <v>44959.515393518515</v>
      </c>
      <c r="X2754" s="80">
        <v>44959</v>
      </c>
      <c r="Y2754" s="78" t="s">
        <v>3372</v>
      </c>
      <c r="Z2754" s="77" t="str">
        <f>HYPERLINK("https://twitter.com/iainms/status/1621121800053854209")</f>
        <v>https://twitter.com/iainms/status/1621121800053854209</v>
      </c>
      <c r="AC2754" s="78" t="s">
        <v>4437</v>
      </c>
      <c r="AD2754" s="78" t="s">
        <v>4626</v>
      </c>
      <c r="AE2754" t="b">
        <v>0</v>
      </c>
      <c r="AF2754">
        <v>0</v>
      </c>
      <c r="AG2754" s="78" t="s">
        <v>4812</v>
      </c>
      <c r="AH2754" t="b">
        <v>0</v>
      </c>
      <c r="AI2754" t="s">
        <v>4829</v>
      </c>
      <c r="AK2754" s="78" t="s">
        <v>4640</v>
      </c>
      <c r="AL2754" t="b">
        <v>0</v>
      </c>
      <c r="AM2754">
        <v>0</v>
      </c>
      <c r="AN2754" s="78" t="s">
        <v>4640</v>
      </c>
      <c r="AO2754" s="78" t="s">
        <v>4850</v>
      </c>
      <c r="AP2754" t="b">
        <v>0</v>
      </c>
      <c r="AQ2754" s="78" t="s">
        <v>4626</v>
      </c>
      <c r="AR2754" t="s">
        <v>179</v>
      </c>
      <c r="AS2754">
        <v>0</v>
      </c>
      <c r="AT2754">
        <v>0</v>
      </c>
    </row>
    <row r="2755" spans="1:46" x14ac:dyDescent="0.45">
      <c r="A2755" s="62" t="s">
        <v>1059</v>
      </c>
      <c r="B2755" s="62" t="s">
        <v>242</v>
      </c>
      <c r="C2755" s="63"/>
      <c r="D2755" s="64"/>
      <c r="E2755" s="65"/>
      <c r="F2755" s="66"/>
      <c r="G2755" s="63"/>
      <c r="H2755" s="67"/>
      <c r="I2755" s="68"/>
      <c r="J2755" s="68"/>
      <c r="K2755" s="32"/>
      <c r="L2755" s="75"/>
      <c r="M2755" s="75"/>
      <c r="N2755" s="70"/>
      <c r="O2755" t="s">
        <v>1568</v>
      </c>
      <c r="P2755" s="76">
        <v>44959.515393518515</v>
      </c>
      <c r="Q2755" t="s">
        <v>2208</v>
      </c>
      <c r="V2755" s="77" t="str">
        <f>HYPERLINK("https://pbs.twimg.com/profile_images/3260150374/5324587f7a1df18826d7dd9b18371685_normal.jpeg")</f>
        <v>https://pbs.twimg.com/profile_images/3260150374/5324587f7a1df18826d7dd9b18371685_normal.jpeg</v>
      </c>
      <c r="W2755" s="76">
        <v>44959.515393518515</v>
      </c>
      <c r="X2755" s="80">
        <v>44959</v>
      </c>
      <c r="Y2755" s="78" t="s">
        <v>3372</v>
      </c>
      <c r="Z2755" s="77" t="str">
        <f>HYPERLINK("https://twitter.com/iainms/status/1621121800053854209")</f>
        <v>https://twitter.com/iainms/status/1621121800053854209</v>
      </c>
      <c r="AC2755" s="78" t="s">
        <v>4437</v>
      </c>
      <c r="AD2755" s="78" t="s">
        <v>4626</v>
      </c>
      <c r="AE2755" t="b">
        <v>0</v>
      </c>
      <c r="AF2755">
        <v>0</v>
      </c>
      <c r="AG2755" s="78" t="s">
        <v>4812</v>
      </c>
      <c r="AH2755" t="b">
        <v>0</v>
      </c>
      <c r="AI2755" t="s">
        <v>4829</v>
      </c>
      <c r="AK2755" s="78" t="s">
        <v>4640</v>
      </c>
      <c r="AL2755" t="b">
        <v>0</v>
      </c>
      <c r="AM2755">
        <v>0</v>
      </c>
      <c r="AN2755" s="78" t="s">
        <v>4640</v>
      </c>
      <c r="AO2755" s="78" t="s">
        <v>4850</v>
      </c>
      <c r="AP2755" t="b">
        <v>0</v>
      </c>
      <c r="AQ2755" s="78" t="s">
        <v>4626</v>
      </c>
      <c r="AR2755" t="s">
        <v>179</v>
      </c>
      <c r="AS2755">
        <v>0</v>
      </c>
      <c r="AT2755">
        <v>0</v>
      </c>
    </row>
    <row r="2756" spans="1:46" x14ac:dyDescent="0.45">
      <c r="A2756" s="62" t="s">
        <v>1061</v>
      </c>
      <c r="B2756" s="62" t="s">
        <v>1151</v>
      </c>
      <c r="C2756" s="63"/>
      <c r="D2756" s="64"/>
      <c r="E2756" s="65"/>
      <c r="F2756" s="66"/>
      <c r="G2756" s="63"/>
      <c r="H2756" s="67"/>
      <c r="I2756" s="68"/>
      <c r="J2756" s="68"/>
      <c r="K2756" s="32"/>
      <c r="L2756" s="75"/>
      <c r="M2756" s="75"/>
      <c r="N2756" s="70"/>
      <c r="O2756" t="s">
        <v>1567</v>
      </c>
      <c r="P2756" s="76">
        <v>44959.519872685189</v>
      </c>
      <c r="Q2756" t="s">
        <v>2210</v>
      </c>
      <c r="V2756" s="77" t="str">
        <f>HYPERLINK("https://pbs.twimg.com/profile_images/1615199627564797952/Au6y3Ba0_normal.jpg")</f>
        <v>https://pbs.twimg.com/profile_images/1615199627564797952/Au6y3Ba0_normal.jpg</v>
      </c>
      <c r="W2756" s="76">
        <v>44959.519872685189</v>
      </c>
      <c r="X2756" s="80">
        <v>44959</v>
      </c>
      <c r="Y2756" s="78" t="s">
        <v>3374</v>
      </c>
      <c r="Z2756" s="77" t="str">
        <f>HYPERLINK("https://twitter.com/john_piper01/status/1621123422041378817")</f>
        <v>https://twitter.com/john_piper01/status/1621123422041378817</v>
      </c>
      <c r="AC2756" s="78" t="s">
        <v>4439</v>
      </c>
      <c r="AD2756" s="78" t="s">
        <v>4628</v>
      </c>
      <c r="AE2756" t="b">
        <v>0</v>
      </c>
      <c r="AF2756">
        <v>0</v>
      </c>
      <c r="AG2756" s="78" t="s">
        <v>4655</v>
      </c>
      <c r="AH2756" t="b">
        <v>0</v>
      </c>
      <c r="AI2756" t="s">
        <v>4829</v>
      </c>
      <c r="AK2756" s="78" t="s">
        <v>4640</v>
      </c>
      <c r="AL2756" t="b">
        <v>0</v>
      </c>
      <c r="AM2756">
        <v>0</v>
      </c>
      <c r="AN2756" s="78" t="s">
        <v>4640</v>
      </c>
      <c r="AO2756" s="78" t="s">
        <v>4852</v>
      </c>
      <c r="AP2756" t="b">
        <v>0</v>
      </c>
      <c r="AQ2756" s="78" t="s">
        <v>4628</v>
      </c>
      <c r="AR2756" t="s">
        <v>179</v>
      </c>
      <c r="AS2756">
        <v>0</v>
      </c>
      <c r="AT2756">
        <v>0</v>
      </c>
    </row>
    <row r="2757" spans="1:46" x14ac:dyDescent="0.45">
      <c r="A2757" s="62" t="s">
        <v>1061</v>
      </c>
      <c r="B2757" s="62" t="s">
        <v>242</v>
      </c>
      <c r="C2757" s="63"/>
      <c r="D2757" s="64"/>
      <c r="E2757" s="65"/>
      <c r="F2757" s="66"/>
      <c r="G2757" s="63"/>
      <c r="H2757" s="67"/>
      <c r="I2757" s="68"/>
      <c r="J2757" s="68"/>
      <c r="K2757" s="32"/>
      <c r="L2757" s="75"/>
      <c r="M2757" s="75"/>
      <c r="N2757" s="70"/>
      <c r="O2757" t="s">
        <v>1568</v>
      </c>
      <c r="P2757" s="76">
        <v>44959.519872685189</v>
      </c>
      <c r="Q2757" t="s">
        <v>2210</v>
      </c>
      <c r="V2757" s="77" t="str">
        <f>HYPERLINK("https://pbs.twimg.com/profile_images/1615199627564797952/Au6y3Ba0_normal.jpg")</f>
        <v>https://pbs.twimg.com/profile_images/1615199627564797952/Au6y3Ba0_normal.jpg</v>
      </c>
      <c r="W2757" s="76">
        <v>44959.519872685189</v>
      </c>
      <c r="X2757" s="80">
        <v>44959</v>
      </c>
      <c r="Y2757" s="78" t="s">
        <v>3374</v>
      </c>
      <c r="Z2757" s="77" t="str">
        <f>HYPERLINK("https://twitter.com/john_piper01/status/1621123422041378817")</f>
        <v>https://twitter.com/john_piper01/status/1621123422041378817</v>
      </c>
      <c r="AC2757" s="78" t="s">
        <v>4439</v>
      </c>
      <c r="AD2757" s="78" t="s">
        <v>4628</v>
      </c>
      <c r="AE2757" t="b">
        <v>0</v>
      </c>
      <c r="AF2757">
        <v>0</v>
      </c>
      <c r="AG2757" s="78" t="s">
        <v>4655</v>
      </c>
      <c r="AH2757" t="b">
        <v>0</v>
      </c>
      <c r="AI2757" t="s">
        <v>4829</v>
      </c>
      <c r="AK2757" s="78" t="s">
        <v>4640</v>
      </c>
      <c r="AL2757" t="b">
        <v>0</v>
      </c>
      <c r="AM2757">
        <v>0</v>
      </c>
      <c r="AN2757" s="78" t="s">
        <v>4640</v>
      </c>
      <c r="AO2757" s="78" t="s">
        <v>4852</v>
      </c>
      <c r="AP2757" t="b">
        <v>0</v>
      </c>
      <c r="AQ2757" s="78" t="s">
        <v>4628</v>
      </c>
      <c r="AR2757" t="s">
        <v>179</v>
      </c>
      <c r="AS2757">
        <v>0</v>
      </c>
      <c r="AT2757">
        <v>0</v>
      </c>
    </row>
    <row r="2758" spans="1:46" x14ac:dyDescent="0.45">
      <c r="A2758" s="62" t="s">
        <v>1062</v>
      </c>
      <c r="B2758" s="62" t="s">
        <v>1181</v>
      </c>
      <c r="C2758" s="63"/>
      <c r="D2758" s="64"/>
      <c r="E2758" s="65"/>
      <c r="F2758" s="66"/>
      <c r="G2758" s="63"/>
      <c r="H2758" s="67"/>
      <c r="I2758" s="68"/>
      <c r="J2758" s="68"/>
      <c r="K2758" s="32"/>
      <c r="L2758" s="75"/>
      <c r="M2758" s="75"/>
      <c r="N2758" s="70"/>
      <c r="O2758" t="s">
        <v>1568</v>
      </c>
      <c r="P2758" s="76">
        <v>44959.520208333335</v>
      </c>
      <c r="Q2758" t="s">
        <v>2211</v>
      </c>
      <c r="V2758" s="77" t="str">
        <f>HYPERLINK("https://pbs.twimg.com/profile_images/1610611653682274305/pbXDdl0X_normal.jpg")</f>
        <v>https://pbs.twimg.com/profile_images/1610611653682274305/pbXDdl0X_normal.jpg</v>
      </c>
      <c r="W2758" s="76">
        <v>44959.520208333335</v>
      </c>
      <c r="X2758" s="80">
        <v>44959</v>
      </c>
      <c r="Y2758" s="78" t="s">
        <v>3375</v>
      </c>
      <c r="Z2758" s="77" t="str">
        <f>HYPERLINK("https://twitter.com/rekuuwu/status/1621123543101472769")</f>
        <v>https://twitter.com/rekuuwu/status/1621123543101472769</v>
      </c>
      <c r="AC2758" s="78" t="s">
        <v>4440</v>
      </c>
      <c r="AD2758" s="78" t="s">
        <v>4629</v>
      </c>
      <c r="AE2758" t="b">
        <v>0</v>
      </c>
      <c r="AF2758">
        <v>0</v>
      </c>
      <c r="AG2758" s="78" t="s">
        <v>4814</v>
      </c>
      <c r="AH2758" t="b">
        <v>0</v>
      </c>
      <c r="AI2758" t="s">
        <v>4829</v>
      </c>
      <c r="AK2758" s="78" t="s">
        <v>4640</v>
      </c>
      <c r="AL2758" t="b">
        <v>0</v>
      </c>
      <c r="AM2758">
        <v>0</v>
      </c>
      <c r="AN2758" s="78" t="s">
        <v>4640</v>
      </c>
      <c r="AO2758" s="78" t="s">
        <v>4850</v>
      </c>
      <c r="AP2758" t="b">
        <v>0</v>
      </c>
      <c r="AQ2758" s="78" t="s">
        <v>4629</v>
      </c>
      <c r="AR2758" t="s">
        <v>179</v>
      </c>
      <c r="AS2758">
        <v>0</v>
      </c>
      <c r="AT2758">
        <v>0</v>
      </c>
    </row>
    <row r="2759" spans="1:46" x14ac:dyDescent="0.45">
      <c r="A2759" s="62" t="s">
        <v>1062</v>
      </c>
      <c r="B2759" s="62" t="s">
        <v>1538</v>
      </c>
      <c r="C2759" s="63"/>
      <c r="D2759" s="64"/>
      <c r="E2759" s="65"/>
      <c r="F2759" s="66"/>
      <c r="G2759" s="63"/>
      <c r="H2759" s="67"/>
      <c r="I2759" s="68"/>
      <c r="J2759" s="68"/>
      <c r="K2759" s="32"/>
      <c r="L2759" s="75"/>
      <c r="M2759" s="75"/>
      <c r="N2759" s="70"/>
      <c r="O2759" t="s">
        <v>1568</v>
      </c>
      <c r="P2759" s="76">
        <v>44959.520208333335</v>
      </c>
      <c r="Q2759" t="s">
        <v>2211</v>
      </c>
      <c r="V2759" s="77" t="str">
        <f>HYPERLINK("https://pbs.twimg.com/profile_images/1610611653682274305/pbXDdl0X_normal.jpg")</f>
        <v>https://pbs.twimg.com/profile_images/1610611653682274305/pbXDdl0X_normal.jpg</v>
      </c>
      <c r="W2759" s="76">
        <v>44959.520208333335</v>
      </c>
      <c r="X2759" s="80">
        <v>44959</v>
      </c>
      <c r="Y2759" s="78" t="s">
        <v>3375</v>
      </c>
      <c r="Z2759" s="77" t="str">
        <f>HYPERLINK("https://twitter.com/rekuuwu/status/1621123543101472769")</f>
        <v>https://twitter.com/rekuuwu/status/1621123543101472769</v>
      </c>
      <c r="AC2759" s="78" t="s">
        <v>4440</v>
      </c>
      <c r="AD2759" s="78" t="s">
        <v>4629</v>
      </c>
      <c r="AE2759" t="b">
        <v>0</v>
      </c>
      <c r="AF2759">
        <v>0</v>
      </c>
      <c r="AG2759" s="78" t="s">
        <v>4814</v>
      </c>
      <c r="AH2759" t="b">
        <v>0</v>
      </c>
      <c r="AI2759" t="s">
        <v>4829</v>
      </c>
      <c r="AK2759" s="78" t="s">
        <v>4640</v>
      </c>
      <c r="AL2759" t="b">
        <v>0</v>
      </c>
      <c r="AM2759">
        <v>0</v>
      </c>
      <c r="AN2759" s="78" t="s">
        <v>4640</v>
      </c>
      <c r="AO2759" s="78" t="s">
        <v>4850</v>
      </c>
      <c r="AP2759" t="b">
        <v>0</v>
      </c>
      <c r="AQ2759" s="78" t="s">
        <v>4629</v>
      </c>
      <c r="AR2759" t="s">
        <v>179</v>
      </c>
      <c r="AS2759">
        <v>0</v>
      </c>
      <c r="AT2759">
        <v>0</v>
      </c>
    </row>
    <row r="2760" spans="1:46" x14ac:dyDescent="0.45">
      <c r="A2760" s="62" t="s">
        <v>1062</v>
      </c>
      <c r="B2760" s="62" t="s">
        <v>1539</v>
      </c>
      <c r="C2760" s="63"/>
      <c r="D2760" s="64"/>
      <c r="E2760" s="65"/>
      <c r="F2760" s="66"/>
      <c r="G2760" s="63"/>
      <c r="H2760" s="67"/>
      <c r="I2760" s="68"/>
      <c r="J2760" s="68"/>
      <c r="K2760" s="32"/>
      <c r="L2760" s="75"/>
      <c r="M2760" s="75"/>
      <c r="N2760" s="70"/>
      <c r="O2760" t="s">
        <v>1567</v>
      </c>
      <c r="P2760" s="76">
        <v>44959.520208333335</v>
      </c>
      <c r="Q2760" t="s">
        <v>2211</v>
      </c>
      <c r="V2760" s="77" t="str">
        <f>HYPERLINK("https://pbs.twimg.com/profile_images/1610611653682274305/pbXDdl0X_normal.jpg")</f>
        <v>https://pbs.twimg.com/profile_images/1610611653682274305/pbXDdl0X_normal.jpg</v>
      </c>
      <c r="W2760" s="76">
        <v>44959.520208333335</v>
      </c>
      <c r="X2760" s="80">
        <v>44959</v>
      </c>
      <c r="Y2760" s="78" t="s">
        <v>3375</v>
      </c>
      <c r="Z2760" s="77" t="str">
        <f>HYPERLINK("https://twitter.com/rekuuwu/status/1621123543101472769")</f>
        <v>https://twitter.com/rekuuwu/status/1621123543101472769</v>
      </c>
      <c r="AC2760" s="78" t="s">
        <v>4440</v>
      </c>
      <c r="AD2760" s="78" t="s">
        <v>4629</v>
      </c>
      <c r="AE2760" t="b">
        <v>0</v>
      </c>
      <c r="AF2760">
        <v>0</v>
      </c>
      <c r="AG2760" s="78" t="s">
        <v>4814</v>
      </c>
      <c r="AH2760" t="b">
        <v>0</v>
      </c>
      <c r="AI2760" t="s">
        <v>4829</v>
      </c>
      <c r="AK2760" s="78" t="s">
        <v>4640</v>
      </c>
      <c r="AL2760" t="b">
        <v>0</v>
      </c>
      <c r="AM2760">
        <v>0</v>
      </c>
      <c r="AN2760" s="78" t="s">
        <v>4640</v>
      </c>
      <c r="AO2760" s="78" t="s">
        <v>4850</v>
      </c>
      <c r="AP2760" t="b">
        <v>0</v>
      </c>
      <c r="AQ2760" s="78" t="s">
        <v>4629</v>
      </c>
      <c r="AR2760" t="s">
        <v>179</v>
      </c>
      <c r="AS2760">
        <v>0</v>
      </c>
      <c r="AT2760">
        <v>0</v>
      </c>
    </row>
    <row r="2761" spans="1:46" x14ac:dyDescent="0.45">
      <c r="A2761" s="62" t="s">
        <v>1062</v>
      </c>
      <c r="B2761" s="62" t="s">
        <v>242</v>
      </c>
      <c r="C2761" s="63"/>
      <c r="D2761" s="64"/>
      <c r="E2761" s="65"/>
      <c r="F2761" s="66"/>
      <c r="G2761" s="63"/>
      <c r="H2761" s="67"/>
      <c r="I2761" s="68"/>
      <c r="J2761" s="68"/>
      <c r="K2761" s="32"/>
      <c r="L2761" s="75"/>
      <c r="M2761" s="75"/>
      <c r="N2761" s="70"/>
      <c r="O2761" t="s">
        <v>1568</v>
      </c>
      <c r="P2761" s="76">
        <v>44959.520208333335</v>
      </c>
      <c r="Q2761" t="s">
        <v>2211</v>
      </c>
      <c r="V2761" s="77" t="str">
        <f>HYPERLINK("https://pbs.twimg.com/profile_images/1610611653682274305/pbXDdl0X_normal.jpg")</f>
        <v>https://pbs.twimg.com/profile_images/1610611653682274305/pbXDdl0X_normal.jpg</v>
      </c>
      <c r="W2761" s="76">
        <v>44959.520208333335</v>
      </c>
      <c r="X2761" s="80">
        <v>44959</v>
      </c>
      <c r="Y2761" s="78" t="s">
        <v>3375</v>
      </c>
      <c r="Z2761" s="77" t="str">
        <f>HYPERLINK("https://twitter.com/rekuuwu/status/1621123543101472769")</f>
        <v>https://twitter.com/rekuuwu/status/1621123543101472769</v>
      </c>
      <c r="AC2761" s="78" t="s">
        <v>4440</v>
      </c>
      <c r="AD2761" s="78" t="s">
        <v>4629</v>
      </c>
      <c r="AE2761" t="b">
        <v>0</v>
      </c>
      <c r="AF2761">
        <v>0</v>
      </c>
      <c r="AG2761" s="78" t="s">
        <v>4814</v>
      </c>
      <c r="AH2761" t="b">
        <v>0</v>
      </c>
      <c r="AI2761" t="s">
        <v>4829</v>
      </c>
      <c r="AK2761" s="78" t="s">
        <v>4640</v>
      </c>
      <c r="AL2761" t="b">
        <v>0</v>
      </c>
      <c r="AM2761">
        <v>0</v>
      </c>
      <c r="AN2761" s="78" t="s">
        <v>4640</v>
      </c>
      <c r="AO2761" s="78" t="s">
        <v>4850</v>
      </c>
      <c r="AP2761" t="b">
        <v>0</v>
      </c>
      <c r="AQ2761" s="78" t="s">
        <v>4629</v>
      </c>
      <c r="AR2761" t="s">
        <v>179</v>
      </c>
      <c r="AS2761">
        <v>0</v>
      </c>
      <c r="AT2761">
        <v>0</v>
      </c>
    </row>
    <row r="2762" spans="1:46" x14ac:dyDescent="0.45">
      <c r="A2762" s="62" t="s">
        <v>1064</v>
      </c>
      <c r="B2762" s="62" t="s">
        <v>242</v>
      </c>
      <c r="C2762" s="63"/>
      <c r="D2762" s="64"/>
      <c r="E2762" s="65"/>
      <c r="F2762" s="66"/>
      <c r="G2762" s="63"/>
      <c r="H2762" s="67"/>
      <c r="I2762" s="68"/>
      <c r="J2762" s="68"/>
      <c r="K2762" s="32"/>
      <c r="L2762" s="75"/>
      <c r="M2762" s="75"/>
      <c r="N2762" s="70"/>
      <c r="O2762" t="s">
        <v>1567</v>
      </c>
      <c r="P2762" s="76">
        <v>44959.536585648151</v>
      </c>
      <c r="Q2762" t="s">
        <v>2212</v>
      </c>
      <c r="V2762" s="77" t="str">
        <f>HYPERLINK("https://pbs.twimg.com/profile_images/1362473423817990144/u94ouXuz_normal.jpg")</f>
        <v>https://pbs.twimg.com/profile_images/1362473423817990144/u94ouXuz_normal.jpg</v>
      </c>
      <c r="W2762" s="76">
        <v>44959.536585648151</v>
      </c>
      <c r="X2762" s="80">
        <v>44959</v>
      </c>
      <c r="Y2762" s="78" t="s">
        <v>3377</v>
      </c>
      <c r="Z2762" s="77" t="str">
        <f>HYPERLINK("https://twitter.com/fresh248_/status/1621129477618286594")</f>
        <v>https://twitter.com/fresh248_/status/1621129477618286594</v>
      </c>
      <c r="AC2762" s="78" t="s">
        <v>4442</v>
      </c>
      <c r="AE2762" t="b">
        <v>0</v>
      </c>
      <c r="AF2762">
        <v>0</v>
      </c>
      <c r="AG2762" s="78" t="s">
        <v>4639</v>
      </c>
      <c r="AH2762" t="b">
        <v>0</v>
      </c>
      <c r="AI2762" t="s">
        <v>4829</v>
      </c>
      <c r="AK2762" s="78" t="s">
        <v>4640</v>
      </c>
      <c r="AL2762" t="b">
        <v>0</v>
      </c>
      <c r="AM2762">
        <v>0</v>
      </c>
      <c r="AN2762" s="78" t="s">
        <v>4640</v>
      </c>
      <c r="AO2762" s="78" t="s">
        <v>4849</v>
      </c>
      <c r="AP2762" t="b">
        <v>0</v>
      </c>
      <c r="AQ2762" s="78" t="s">
        <v>4442</v>
      </c>
      <c r="AR2762" t="s">
        <v>179</v>
      </c>
      <c r="AS2762">
        <v>0</v>
      </c>
      <c r="AT2762">
        <v>0</v>
      </c>
    </row>
    <row r="2763" spans="1:46" x14ac:dyDescent="0.45">
      <c r="A2763" s="62" t="s">
        <v>1066</v>
      </c>
      <c r="B2763" s="62" t="s">
        <v>1544</v>
      </c>
      <c r="C2763" s="63"/>
      <c r="D2763" s="64"/>
      <c r="E2763" s="65"/>
      <c r="F2763" s="66"/>
      <c r="G2763" s="63"/>
      <c r="H2763" s="67"/>
      <c r="I2763" s="68"/>
      <c r="J2763" s="68"/>
      <c r="K2763" s="32"/>
      <c r="L2763" s="75"/>
      <c r="M2763" s="75"/>
      <c r="N2763" s="70"/>
      <c r="O2763" t="s">
        <v>1568</v>
      </c>
      <c r="P2763" s="76">
        <v>44959.542233796295</v>
      </c>
      <c r="Q2763" t="s">
        <v>2214</v>
      </c>
      <c r="U2763" s="77" t="str">
        <f>HYPERLINK("https://pbs.twimg.com/media/Fn9qD5WaMAYIgIZ.jpg")</f>
        <v>https://pbs.twimg.com/media/Fn9qD5WaMAYIgIZ.jpg</v>
      </c>
      <c r="V2763" s="77" t="str">
        <f>HYPERLINK("https://pbs.twimg.com/media/Fn9qD5WaMAYIgIZ.jpg")</f>
        <v>https://pbs.twimg.com/media/Fn9qD5WaMAYIgIZ.jpg</v>
      </c>
      <c r="W2763" s="76">
        <v>44959.542233796295</v>
      </c>
      <c r="X2763" s="80">
        <v>44959</v>
      </c>
      <c r="Y2763" s="78" t="s">
        <v>3379</v>
      </c>
      <c r="Z2763" s="77" t="str">
        <f>HYPERLINK("https://twitter.com/ninjacart/status/1621131524220538881")</f>
        <v>https://twitter.com/ninjacart/status/1621131524220538881</v>
      </c>
      <c r="AC2763" s="78" t="s">
        <v>4444</v>
      </c>
      <c r="AD2763" s="78" t="s">
        <v>4631</v>
      </c>
      <c r="AE2763" t="b">
        <v>0</v>
      </c>
      <c r="AF2763">
        <v>0</v>
      </c>
      <c r="AG2763" s="78" t="s">
        <v>4816</v>
      </c>
      <c r="AH2763" t="b">
        <v>0</v>
      </c>
      <c r="AI2763" t="s">
        <v>4829</v>
      </c>
      <c r="AK2763" s="78" t="s">
        <v>4640</v>
      </c>
      <c r="AL2763" t="b">
        <v>0</v>
      </c>
      <c r="AM2763">
        <v>0</v>
      </c>
      <c r="AN2763" s="78" t="s">
        <v>4640</v>
      </c>
      <c r="AO2763" s="78" t="s">
        <v>4851</v>
      </c>
      <c r="AP2763" t="b">
        <v>0</v>
      </c>
      <c r="AQ2763" s="78" t="s">
        <v>4631</v>
      </c>
      <c r="AR2763" t="s">
        <v>179</v>
      </c>
      <c r="AS2763">
        <v>0</v>
      </c>
      <c r="AT2763">
        <v>0</v>
      </c>
    </row>
    <row r="2764" spans="1:46" x14ac:dyDescent="0.45">
      <c r="A2764" s="62" t="s">
        <v>1066</v>
      </c>
      <c r="B2764" s="62" t="s">
        <v>1545</v>
      </c>
      <c r="C2764" s="63"/>
      <c r="D2764" s="64"/>
      <c r="E2764" s="65"/>
      <c r="F2764" s="66"/>
      <c r="G2764" s="63"/>
      <c r="H2764" s="67"/>
      <c r="I2764" s="68"/>
      <c r="J2764" s="68"/>
      <c r="K2764" s="32"/>
      <c r="L2764" s="75"/>
      <c r="M2764" s="75"/>
      <c r="N2764" s="70"/>
      <c r="O2764" t="s">
        <v>1568</v>
      </c>
      <c r="P2764" s="76">
        <v>44959.542233796295</v>
      </c>
      <c r="Q2764" t="s">
        <v>2214</v>
      </c>
      <c r="U2764" s="77" t="str">
        <f>HYPERLINK("https://pbs.twimg.com/media/Fn9qD5WaMAYIgIZ.jpg")</f>
        <v>https://pbs.twimg.com/media/Fn9qD5WaMAYIgIZ.jpg</v>
      </c>
      <c r="V2764" s="77" t="str">
        <f>HYPERLINK("https://pbs.twimg.com/media/Fn9qD5WaMAYIgIZ.jpg")</f>
        <v>https://pbs.twimg.com/media/Fn9qD5WaMAYIgIZ.jpg</v>
      </c>
      <c r="W2764" s="76">
        <v>44959.542233796295</v>
      </c>
      <c r="X2764" s="80">
        <v>44959</v>
      </c>
      <c r="Y2764" s="78" t="s">
        <v>3379</v>
      </c>
      <c r="Z2764" s="77" t="str">
        <f>HYPERLINK("https://twitter.com/ninjacart/status/1621131524220538881")</f>
        <v>https://twitter.com/ninjacart/status/1621131524220538881</v>
      </c>
      <c r="AC2764" s="78" t="s">
        <v>4444</v>
      </c>
      <c r="AD2764" s="78" t="s">
        <v>4631</v>
      </c>
      <c r="AE2764" t="b">
        <v>0</v>
      </c>
      <c r="AF2764">
        <v>0</v>
      </c>
      <c r="AG2764" s="78" t="s">
        <v>4816</v>
      </c>
      <c r="AH2764" t="b">
        <v>0</v>
      </c>
      <c r="AI2764" t="s">
        <v>4829</v>
      </c>
      <c r="AK2764" s="78" t="s">
        <v>4640</v>
      </c>
      <c r="AL2764" t="b">
        <v>0</v>
      </c>
      <c r="AM2764">
        <v>0</v>
      </c>
      <c r="AN2764" s="78" t="s">
        <v>4640</v>
      </c>
      <c r="AO2764" s="78" t="s">
        <v>4851</v>
      </c>
      <c r="AP2764" t="b">
        <v>0</v>
      </c>
      <c r="AQ2764" s="78" t="s">
        <v>4631</v>
      </c>
      <c r="AR2764" t="s">
        <v>179</v>
      </c>
      <c r="AS2764">
        <v>0</v>
      </c>
      <c r="AT2764">
        <v>0</v>
      </c>
    </row>
    <row r="2765" spans="1:46" x14ac:dyDescent="0.45">
      <c r="A2765" s="62" t="s">
        <v>1066</v>
      </c>
      <c r="B2765" s="62" t="s">
        <v>1546</v>
      </c>
      <c r="C2765" s="63"/>
      <c r="D2765" s="64"/>
      <c r="E2765" s="65"/>
      <c r="F2765" s="66"/>
      <c r="G2765" s="63"/>
      <c r="H2765" s="67"/>
      <c r="I2765" s="68"/>
      <c r="J2765" s="68"/>
      <c r="K2765" s="32"/>
      <c r="L2765" s="75"/>
      <c r="M2765" s="75"/>
      <c r="N2765" s="70"/>
      <c r="O2765" t="s">
        <v>1568</v>
      </c>
      <c r="P2765" s="76">
        <v>44959.542233796295</v>
      </c>
      <c r="Q2765" t="s">
        <v>2214</v>
      </c>
      <c r="U2765" s="77" t="str">
        <f>HYPERLINK("https://pbs.twimg.com/media/Fn9qD5WaMAYIgIZ.jpg")</f>
        <v>https://pbs.twimg.com/media/Fn9qD5WaMAYIgIZ.jpg</v>
      </c>
      <c r="V2765" s="77" t="str">
        <f>HYPERLINK("https://pbs.twimg.com/media/Fn9qD5WaMAYIgIZ.jpg")</f>
        <v>https://pbs.twimg.com/media/Fn9qD5WaMAYIgIZ.jpg</v>
      </c>
      <c r="W2765" s="76">
        <v>44959.542233796295</v>
      </c>
      <c r="X2765" s="80">
        <v>44959</v>
      </c>
      <c r="Y2765" s="78" t="s">
        <v>3379</v>
      </c>
      <c r="Z2765" s="77" t="str">
        <f>HYPERLINK("https://twitter.com/ninjacart/status/1621131524220538881")</f>
        <v>https://twitter.com/ninjacart/status/1621131524220538881</v>
      </c>
      <c r="AC2765" s="78" t="s">
        <v>4444</v>
      </c>
      <c r="AD2765" s="78" t="s">
        <v>4631</v>
      </c>
      <c r="AE2765" t="b">
        <v>0</v>
      </c>
      <c r="AF2765">
        <v>0</v>
      </c>
      <c r="AG2765" s="78" t="s">
        <v>4816</v>
      </c>
      <c r="AH2765" t="b">
        <v>0</v>
      </c>
      <c r="AI2765" t="s">
        <v>4829</v>
      </c>
      <c r="AK2765" s="78" t="s">
        <v>4640</v>
      </c>
      <c r="AL2765" t="b">
        <v>0</v>
      </c>
      <c r="AM2765">
        <v>0</v>
      </c>
      <c r="AN2765" s="78" t="s">
        <v>4640</v>
      </c>
      <c r="AO2765" s="78" t="s">
        <v>4851</v>
      </c>
      <c r="AP2765" t="b">
        <v>0</v>
      </c>
      <c r="AQ2765" s="78" t="s">
        <v>4631</v>
      </c>
      <c r="AR2765" t="s">
        <v>179</v>
      </c>
      <c r="AS2765">
        <v>0</v>
      </c>
      <c r="AT2765">
        <v>0</v>
      </c>
    </row>
    <row r="2766" spans="1:46" x14ac:dyDescent="0.45">
      <c r="A2766" s="62" t="s">
        <v>1066</v>
      </c>
      <c r="B2766" s="62" t="s">
        <v>1547</v>
      </c>
      <c r="C2766" s="63"/>
      <c r="D2766" s="64"/>
      <c r="E2766" s="65"/>
      <c r="F2766" s="66"/>
      <c r="G2766" s="63"/>
      <c r="H2766" s="67"/>
      <c r="I2766" s="68"/>
      <c r="J2766" s="68"/>
      <c r="K2766" s="32"/>
      <c r="L2766" s="75"/>
      <c r="M2766" s="75"/>
      <c r="N2766" s="70"/>
      <c r="O2766" t="s">
        <v>1568</v>
      </c>
      <c r="P2766" s="76">
        <v>44959.542233796295</v>
      </c>
      <c r="Q2766" t="s">
        <v>2214</v>
      </c>
      <c r="U2766" s="77" t="str">
        <f>HYPERLINK("https://pbs.twimg.com/media/Fn9qD5WaMAYIgIZ.jpg")</f>
        <v>https://pbs.twimg.com/media/Fn9qD5WaMAYIgIZ.jpg</v>
      </c>
      <c r="V2766" s="77" t="str">
        <f>HYPERLINK("https://pbs.twimg.com/media/Fn9qD5WaMAYIgIZ.jpg")</f>
        <v>https://pbs.twimg.com/media/Fn9qD5WaMAYIgIZ.jpg</v>
      </c>
      <c r="W2766" s="76">
        <v>44959.542233796295</v>
      </c>
      <c r="X2766" s="80">
        <v>44959</v>
      </c>
      <c r="Y2766" s="78" t="s">
        <v>3379</v>
      </c>
      <c r="Z2766" s="77" t="str">
        <f>HYPERLINK("https://twitter.com/ninjacart/status/1621131524220538881")</f>
        <v>https://twitter.com/ninjacart/status/1621131524220538881</v>
      </c>
      <c r="AC2766" s="78" t="s">
        <v>4444</v>
      </c>
      <c r="AD2766" s="78" t="s">
        <v>4631</v>
      </c>
      <c r="AE2766" t="b">
        <v>0</v>
      </c>
      <c r="AF2766">
        <v>0</v>
      </c>
      <c r="AG2766" s="78" t="s">
        <v>4816</v>
      </c>
      <c r="AH2766" t="b">
        <v>0</v>
      </c>
      <c r="AI2766" t="s">
        <v>4829</v>
      </c>
      <c r="AK2766" s="78" t="s">
        <v>4640</v>
      </c>
      <c r="AL2766" t="b">
        <v>0</v>
      </c>
      <c r="AM2766">
        <v>0</v>
      </c>
      <c r="AN2766" s="78" t="s">
        <v>4640</v>
      </c>
      <c r="AO2766" s="78" t="s">
        <v>4851</v>
      </c>
      <c r="AP2766" t="b">
        <v>0</v>
      </c>
      <c r="AQ2766" s="78" t="s">
        <v>4631</v>
      </c>
      <c r="AR2766" t="s">
        <v>179</v>
      </c>
      <c r="AS2766">
        <v>0</v>
      </c>
      <c r="AT2766">
        <v>0</v>
      </c>
    </row>
    <row r="2767" spans="1:46" x14ac:dyDescent="0.45">
      <c r="A2767" s="62" t="s">
        <v>1066</v>
      </c>
      <c r="B2767" s="62" t="s">
        <v>1548</v>
      </c>
      <c r="C2767" s="63"/>
      <c r="D2767" s="64"/>
      <c r="E2767" s="65"/>
      <c r="F2767" s="66"/>
      <c r="G2767" s="63"/>
      <c r="H2767" s="67"/>
      <c r="I2767" s="68"/>
      <c r="J2767" s="68"/>
      <c r="K2767" s="32"/>
      <c r="L2767" s="75"/>
      <c r="M2767" s="75"/>
      <c r="N2767" s="70"/>
      <c r="O2767" t="s">
        <v>1568</v>
      </c>
      <c r="P2767" s="76">
        <v>44959.542233796295</v>
      </c>
      <c r="Q2767" t="s">
        <v>2214</v>
      </c>
      <c r="U2767" s="77" t="str">
        <f>HYPERLINK("https://pbs.twimg.com/media/Fn9qD5WaMAYIgIZ.jpg")</f>
        <v>https://pbs.twimg.com/media/Fn9qD5WaMAYIgIZ.jpg</v>
      </c>
      <c r="V2767" s="77" t="str">
        <f>HYPERLINK("https://pbs.twimg.com/media/Fn9qD5WaMAYIgIZ.jpg")</f>
        <v>https://pbs.twimg.com/media/Fn9qD5WaMAYIgIZ.jpg</v>
      </c>
      <c r="W2767" s="76">
        <v>44959.542233796295</v>
      </c>
      <c r="X2767" s="80">
        <v>44959</v>
      </c>
      <c r="Y2767" s="78" t="s">
        <v>3379</v>
      </c>
      <c r="Z2767" s="77" t="str">
        <f>HYPERLINK("https://twitter.com/ninjacart/status/1621131524220538881")</f>
        <v>https://twitter.com/ninjacart/status/1621131524220538881</v>
      </c>
      <c r="AC2767" s="78" t="s">
        <v>4444</v>
      </c>
      <c r="AD2767" s="78" t="s">
        <v>4631</v>
      </c>
      <c r="AE2767" t="b">
        <v>0</v>
      </c>
      <c r="AF2767">
        <v>0</v>
      </c>
      <c r="AG2767" s="78" t="s">
        <v>4816</v>
      </c>
      <c r="AH2767" t="b">
        <v>0</v>
      </c>
      <c r="AI2767" t="s">
        <v>4829</v>
      </c>
      <c r="AK2767" s="78" t="s">
        <v>4640</v>
      </c>
      <c r="AL2767" t="b">
        <v>0</v>
      </c>
      <c r="AM2767">
        <v>0</v>
      </c>
      <c r="AN2767" s="78" t="s">
        <v>4640</v>
      </c>
      <c r="AO2767" s="78" t="s">
        <v>4851</v>
      </c>
      <c r="AP2767" t="b">
        <v>0</v>
      </c>
      <c r="AQ2767" s="78" t="s">
        <v>4631</v>
      </c>
      <c r="AR2767" t="s">
        <v>179</v>
      </c>
      <c r="AS2767">
        <v>0</v>
      </c>
      <c r="AT2767">
        <v>0</v>
      </c>
    </row>
    <row r="2768" spans="1:46" x14ac:dyDescent="0.45">
      <c r="A2768" s="62" t="s">
        <v>1066</v>
      </c>
      <c r="B2768" s="62" t="s">
        <v>242</v>
      </c>
      <c r="C2768" s="63"/>
      <c r="D2768" s="64"/>
      <c r="E2768" s="65"/>
      <c r="F2768" s="66"/>
      <c r="G2768" s="63"/>
      <c r="H2768" s="67"/>
      <c r="I2768" s="68"/>
      <c r="J2768" s="68"/>
      <c r="K2768" s="32"/>
      <c r="L2768" s="75"/>
      <c r="M2768" s="75"/>
      <c r="N2768" s="70"/>
      <c r="O2768" t="s">
        <v>1568</v>
      </c>
      <c r="P2768" s="76">
        <v>44959.542233796295</v>
      </c>
      <c r="Q2768" t="s">
        <v>2214</v>
      </c>
      <c r="U2768" s="77" t="str">
        <f>HYPERLINK("https://pbs.twimg.com/media/Fn9qD5WaMAYIgIZ.jpg")</f>
        <v>https://pbs.twimg.com/media/Fn9qD5WaMAYIgIZ.jpg</v>
      </c>
      <c r="V2768" s="77" t="str">
        <f>HYPERLINK("https://pbs.twimg.com/media/Fn9qD5WaMAYIgIZ.jpg")</f>
        <v>https://pbs.twimg.com/media/Fn9qD5WaMAYIgIZ.jpg</v>
      </c>
      <c r="W2768" s="76">
        <v>44959.542233796295</v>
      </c>
      <c r="X2768" s="80">
        <v>44959</v>
      </c>
      <c r="Y2768" s="78" t="s">
        <v>3379</v>
      </c>
      <c r="Z2768" s="77" t="str">
        <f>HYPERLINK("https://twitter.com/ninjacart/status/1621131524220538881")</f>
        <v>https://twitter.com/ninjacart/status/1621131524220538881</v>
      </c>
      <c r="AC2768" s="78" t="s">
        <v>4444</v>
      </c>
      <c r="AD2768" s="78" t="s">
        <v>4631</v>
      </c>
      <c r="AE2768" t="b">
        <v>0</v>
      </c>
      <c r="AF2768">
        <v>0</v>
      </c>
      <c r="AG2768" s="78" t="s">
        <v>4816</v>
      </c>
      <c r="AH2768" t="b">
        <v>0</v>
      </c>
      <c r="AI2768" t="s">
        <v>4829</v>
      </c>
      <c r="AK2768" s="78" t="s">
        <v>4640</v>
      </c>
      <c r="AL2768" t="b">
        <v>0</v>
      </c>
      <c r="AM2768">
        <v>0</v>
      </c>
      <c r="AN2768" s="78" t="s">
        <v>4640</v>
      </c>
      <c r="AO2768" s="78" t="s">
        <v>4851</v>
      </c>
      <c r="AP2768" t="b">
        <v>0</v>
      </c>
      <c r="AQ2768" s="78" t="s">
        <v>4631</v>
      </c>
      <c r="AR2768" t="s">
        <v>179</v>
      </c>
      <c r="AS2768">
        <v>0</v>
      </c>
      <c r="AT2768">
        <v>0</v>
      </c>
    </row>
    <row r="2769" spans="1:46" x14ac:dyDescent="0.45">
      <c r="A2769" s="62" t="s">
        <v>1068</v>
      </c>
      <c r="B2769" s="62" t="s">
        <v>1067</v>
      </c>
      <c r="C2769" s="63"/>
      <c r="D2769" s="64"/>
      <c r="E2769" s="65"/>
      <c r="F2769" s="66"/>
      <c r="G2769" s="63"/>
      <c r="H2769" s="67"/>
      <c r="I2769" s="68"/>
      <c r="J2769" s="68"/>
      <c r="K2769" s="32"/>
      <c r="L2769" s="75"/>
      <c r="M2769" s="75"/>
      <c r="N2769" s="70"/>
      <c r="O2769" t="s">
        <v>1567</v>
      </c>
      <c r="P2769" s="76">
        <v>44959.546076388891</v>
      </c>
      <c r="Q2769" t="s">
        <v>2215</v>
      </c>
      <c r="V2769" s="77" t="str">
        <f>HYPERLINK("https://pbs.twimg.com/profile_images/1344016857771044864/Ne_2H9yO_normal.jpg")</f>
        <v>https://pbs.twimg.com/profile_images/1344016857771044864/Ne_2H9yO_normal.jpg</v>
      </c>
      <c r="W2769" s="76">
        <v>44959.546076388891</v>
      </c>
      <c r="X2769" s="80">
        <v>44959</v>
      </c>
      <c r="Y2769" s="78" t="s">
        <v>3381</v>
      </c>
      <c r="Z2769" s="77" t="str">
        <f>HYPERLINK("https://twitter.com/karonwilson4/status/1621132919975837701")</f>
        <v>https://twitter.com/karonwilson4/status/1621132919975837701</v>
      </c>
      <c r="AC2769" s="78" t="s">
        <v>4446</v>
      </c>
      <c r="AD2769" s="78" t="s">
        <v>4445</v>
      </c>
      <c r="AE2769" t="b">
        <v>0</v>
      </c>
      <c r="AF2769">
        <v>0</v>
      </c>
      <c r="AG2769" s="78" t="s">
        <v>4791</v>
      </c>
      <c r="AH2769" t="b">
        <v>0</v>
      </c>
      <c r="AI2769" t="s">
        <v>4829</v>
      </c>
      <c r="AK2769" s="78" t="s">
        <v>4640</v>
      </c>
      <c r="AL2769" t="b">
        <v>0</v>
      </c>
      <c r="AM2769">
        <v>0</v>
      </c>
      <c r="AN2769" s="78" t="s">
        <v>4640</v>
      </c>
      <c r="AO2769" s="78" t="s">
        <v>4850</v>
      </c>
      <c r="AP2769" t="b">
        <v>0</v>
      </c>
      <c r="AQ2769" s="78" t="s">
        <v>4445</v>
      </c>
      <c r="AR2769" t="s">
        <v>179</v>
      </c>
      <c r="AS2769">
        <v>0</v>
      </c>
      <c r="AT2769">
        <v>0</v>
      </c>
    </row>
    <row r="2770" spans="1:46" x14ac:dyDescent="0.45">
      <c r="A2770" s="62" t="s">
        <v>1068</v>
      </c>
      <c r="B2770" s="62" t="s">
        <v>242</v>
      </c>
      <c r="C2770" s="63"/>
      <c r="D2770" s="64"/>
      <c r="E2770" s="65"/>
      <c r="F2770" s="66"/>
      <c r="G2770" s="63"/>
      <c r="H2770" s="67"/>
      <c r="I2770" s="68"/>
      <c r="J2770" s="68"/>
      <c r="K2770" s="32"/>
      <c r="L2770" s="75"/>
      <c r="M2770" s="75"/>
      <c r="N2770" s="70"/>
      <c r="O2770" t="s">
        <v>1568</v>
      </c>
      <c r="P2770" s="76">
        <v>44959.546076388891</v>
      </c>
      <c r="Q2770" t="s">
        <v>2215</v>
      </c>
      <c r="V2770" s="77" t="str">
        <f>HYPERLINK("https://pbs.twimg.com/profile_images/1344016857771044864/Ne_2H9yO_normal.jpg")</f>
        <v>https://pbs.twimg.com/profile_images/1344016857771044864/Ne_2H9yO_normal.jpg</v>
      </c>
      <c r="W2770" s="76">
        <v>44959.546076388891</v>
      </c>
      <c r="X2770" s="80">
        <v>44959</v>
      </c>
      <c r="Y2770" s="78" t="s">
        <v>3381</v>
      </c>
      <c r="Z2770" s="77" t="str">
        <f>HYPERLINK("https://twitter.com/karonwilson4/status/1621132919975837701")</f>
        <v>https://twitter.com/karonwilson4/status/1621132919975837701</v>
      </c>
      <c r="AC2770" s="78" t="s">
        <v>4446</v>
      </c>
      <c r="AD2770" s="78" t="s">
        <v>4445</v>
      </c>
      <c r="AE2770" t="b">
        <v>0</v>
      </c>
      <c r="AF2770">
        <v>0</v>
      </c>
      <c r="AG2770" s="78" t="s">
        <v>4791</v>
      </c>
      <c r="AH2770" t="b">
        <v>0</v>
      </c>
      <c r="AI2770" t="s">
        <v>4829</v>
      </c>
      <c r="AK2770" s="78" t="s">
        <v>4640</v>
      </c>
      <c r="AL2770" t="b">
        <v>0</v>
      </c>
      <c r="AM2770">
        <v>0</v>
      </c>
      <c r="AN2770" s="78" t="s">
        <v>4640</v>
      </c>
      <c r="AO2770" s="78" t="s">
        <v>4850</v>
      </c>
      <c r="AP2770" t="b">
        <v>0</v>
      </c>
      <c r="AQ2770" s="78" t="s">
        <v>4445</v>
      </c>
      <c r="AR2770" t="s">
        <v>179</v>
      </c>
      <c r="AS2770">
        <v>0</v>
      </c>
      <c r="AT2770">
        <v>0</v>
      </c>
    </row>
    <row r="2771" spans="1:46" x14ac:dyDescent="0.45">
      <c r="A2771" s="62" t="s">
        <v>1069</v>
      </c>
      <c r="B2771" s="62" t="s">
        <v>1230</v>
      </c>
      <c r="C2771" s="63"/>
      <c r="D2771" s="64"/>
      <c r="E2771" s="65"/>
      <c r="F2771" s="66"/>
      <c r="G2771" s="63"/>
      <c r="H2771" s="67"/>
      <c r="I2771" s="68"/>
      <c r="J2771" s="68"/>
      <c r="K2771" s="32"/>
      <c r="L2771" s="75"/>
      <c r="M2771" s="75"/>
      <c r="N2771" s="70"/>
      <c r="O2771" t="s">
        <v>1568</v>
      </c>
      <c r="P2771" s="76">
        <v>44959.522905092592</v>
      </c>
      <c r="Q2771" t="s">
        <v>2216</v>
      </c>
      <c r="V2771" s="77" t="str">
        <f>HYPERLINK("https://pbs.twimg.com/profile_images/1592313932999450624/SrlDWBlZ_normal.jpg")</f>
        <v>https://pbs.twimg.com/profile_images/1592313932999450624/SrlDWBlZ_normal.jpg</v>
      </c>
      <c r="W2771" s="76">
        <v>44959.522905092592</v>
      </c>
      <c r="X2771" s="80">
        <v>44959</v>
      </c>
      <c r="Y2771" s="78" t="s">
        <v>3382</v>
      </c>
      <c r="Z2771" s="77" t="str">
        <f>HYPERLINK("https://twitter.com/dannielvb9/status/1621124519888027648")</f>
        <v>https://twitter.com/dannielvb9/status/1621124519888027648</v>
      </c>
      <c r="AC2771" s="78" t="s">
        <v>4447</v>
      </c>
      <c r="AD2771" s="78" t="s">
        <v>4449</v>
      </c>
      <c r="AE2771" t="b">
        <v>0</v>
      </c>
      <c r="AF2771">
        <v>0</v>
      </c>
      <c r="AG2771" s="78" t="s">
        <v>4817</v>
      </c>
      <c r="AH2771" t="b">
        <v>0</v>
      </c>
      <c r="AI2771" t="s">
        <v>4829</v>
      </c>
      <c r="AK2771" s="78" t="s">
        <v>4640</v>
      </c>
      <c r="AL2771" t="b">
        <v>0</v>
      </c>
      <c r="AM2771">
        <v>0</v>
      </c>
      <c r="AN2771" s="78" t="s">
        <v>4640</v>
      </c>
      <c r="AO2771" s="78" t="s">
        <v>4850</v>
      </c>
      <c r="AP2771" t="b">
        <v>0</v>
      </c>
      <c r="AQ2771" s="78" t="s">
        <v>4449</v>
      </c>
      <c r="AR2771" t="s">
        <v>179</v>
      </c>
      <c r="AS2771">
        <v>0</v>
      </c>
      <c r="AT2771">
        <v>0</v>
      </c>
    </row>
    <row r="2772" spans="1:46" x14ac:dyDescent="0.45">
      <c r="A2772" s="62" t="s">
        <v>1069</v>
      </c>
      <c r="B2772" s="62" t="s">
        <v>242</v>
      </c>
      <c r="C2772" s="63"/>
      <c r="D2772" s="64"/>
      <c r="E2772" s="65"/>
      <c r="F2772" s="66"/>
      <c r="G2772" s="63"/>
      <c r="H2772" s="67"/>
      <c r="I2772" s="68"/>
      <c r="J2772" s="68"/>
      <c r="K2772" s="32"/>
      <c r="L2772" s="75"/>
      <c r="M2772" s="75"/>
      <c r="N2772" s="70"/>
      <c r="O2772" t="s">
        <v>1568</v>
      </c>
      <c r="P2772" s="76">
        <v>44959.522905092592</v>
      </c>
      <c r="Q2772" t="s">
        <v>2216</v>
      </c>
      <c r="V2772" s="77" t="str">
        <f>HYPERLINK("https://pbs.twimg.com/profile_images/1592313932999450624/SrlDWBlZ_normal.jpg")</f>
        <v>https://pbs.twimg.com/profile_images/1592313932999450624/SrlDWBlZ_normal.jpg</v>
      </c>
      <c r="W2772" s="76">
        <v>44959.522905092592</v>
      </c>
      <c r="X2772" s="80">
        <v>44959</v>
      </c>
      <c r="Y2772" s="78" t="s">
        <v>3382</v>
      </c>
      <c r="Z2772" s="77" t="str">
        <f>HYPERLINK("https://twitter.com/dannielvb9/status/1621124519888027648")</f>
        <v>https://twitter.com/dannielvb9/status/1621124519888027648</v>
      </c>
      <c r="AC2772" s="78" t="s">
        <v>4447</v>
      </c>
      <c r="AD2772" s="78" t="s">
        <v>4449</v>
      </c>
      <c r="AE2772" t="b">
        <v>0</v>
      </c>
      <c r="AF2772">
        <v>0</v>
      </c>
      <c r="AG2772" s="78" t="s">
        <v>4817</v>
      </c>
      <c r="AH2772" t="b">
        <v>0</v>
      </c>
      <c r="AI2772" t="s">
        <v>4829</v>
      </c>
      <c r="AK2772" s="78" t="s">
        <v>4640</v>
      </c>
      <c r="AL2772" t="b">
        <v>0</v>
      </c>
      <c r="AM2772">
        <v>0</v>
      </c>
      <c r="AN2772" s="78" t="s">
        <v>4640</v>
      </c>
      <c r="AO2772" s="78" t="s">
        <v>4850</v>
      </c>
      <c r="AP2772" t="b">
        <v>0</v>
      </c>
      <c r="AQ2772" s="78" t="s">
        <v>4449</v>
      </c>
      <c r="AR2772" t="s">
        <v>179</v>
      </c>
      <c r="AS2772">
        <v>0</v>
      </c>
      <c r="AT2772">
        <v>0</v>
      </c>
    </row>
    <row r="2773" spans="1:46" x14ac:dyDescent="0.45">
      <c r="A2773" s="62" t="s">
        <v>1069</v>
      </c>
      <c r="B2773" s="62" t="s">
        <v>1070</v>
      </c>
      <c r="C2773" s="63"/>
      <c r="D2773" s="64"/>
      <c r="E2773" s="65"/>
      <c r="F2773" s="66"/>
      <c r="G2773" s="63"/>
      <c r="H2773" s="67"/>
      <c r="I2773" s="68"/>
      <c r="J2773" s="68"/>
      <c r="K2773" s="32"/>
      <c r="L2773" s="75"/>
      <c r="M2773" s="75"/>
      <c r="N2773" s="70"/>
      <c r="O2773" t="s">
        <v>1567</v>
      </c>
      <c r="P2773" s="76">
        <v>44959.522905092592</v>
      </c>
      <c r="Q2773" t="s">
        <v>2216</v>
      </c>
      <c r="V2773" s="77" t="str">
        <f>HYPERLINK("https://pbs.twimg.com/profile_images/1592313932999450624/SrlDWBlZ_normal.jpg")</f>
        <v>https://pbs.twimg.com/profile_images/1592313932999450624/SrlDWBlZ_normal.jpg</v>
      </c>
      <c r="W2773" s="76">
        <v>44959.522905092592</v>
      </c>
      <c r="X2773" s="80">
        <v>44959</v>
      </c>
      <c r="Y2773" s="78" t="s">
        <v>3382</v>
      </c>
      <c r="Z2773" s="77" t="str">
        <f>HYPERLINK("https://twitter.com/dannielvb9/status/1621124519888027648")</f>
        <v>https://twitter.com/dannielvb9/status/1621124519888027648</v>
      </c>
      <c r="AC2773" s="78" t="s">
        <v>4447</v>
      </c>
      <c r="AD2773" s="78" t="s">
        <v>4449</v>
      </c>
      <c r="AE2773" t="b">
        <v>0</v>
      </c>
      <c r="AF2773">
        <v>0</v>
      </c>
      <c r="AG2773" s="78" t="s">
        <v>4817</v>
      </c>
      <c r="AH2773" t="b">
        <v>0</v>
      </c>
      <c r="AI2773" t="s">
        <v>4829</v>
      </c>
      <c r="AK2773" s="78" t="s">
        <v>4640</v>
      </c>
      <c r="AL2773" t="b">
        <v>0</v>
      </c>
      <c r="AM2773">
        <v>0</v>
      </c>
      <c r="AN2773" s="78" t="s">
        <v>4640</v>
      </c>
      <c r="AO2773" s="78" t="s">
        <v>4850</v>
      </c>
      <c r="AP2773" t="b">
        <v>0</v>
      </c>
      <c r="AQ2773" s="78" t="s">
        <v>4449</v>
      </c>
      <c r="AR2773" t="s">
        <v>179</v>
      </c>
      <c r="AS2773">
        <v>0</v>
      </c>
      <c r="AT2773">
        <v>0</v>
      </c>
    </row>
    <row r="2774" spans="1:46" x14ac:dyDescent="0.45">
      <c r="A2774" s="62" t="s">
        <v>1070</v>
      </c>
      <c r="B2774" s="62" t="s">
        <v>1069</v>
      </c>
      <c r="C2774" s="63"/>
      <c r="D2774" s="64"/>
      <c r="E2774" s="65"/>
      <c r="F2774" s="66"/>
      <c r="G2774" s="63"/>
      <c r="H2774" s="67"/>
      <c r="I2774" s="68"/>
      <c r="J2774" s="68"/>
      <c r="K2774" s="32"/>
      <c r="L2774" s="75"/>
      <c r="M2774" s="75"/>
      <c r="N2774" s="70"/>
      <c r="O2774" t="s">
        <v>1567</v>
      </c>
      <c r="P2774" s="76">
        <v>44959.550555555557</v>
      </c>
      <c r="Q2774" t="s">
        <v>2217</v>
      </c>
      <c r="V2774" s="77" t="str">
        <f>HYPERLINK("https://pbs.twimg.com/profile_images/1611479392617652224/VxUozo9u_normal.jpg")</f>
        <v>https://pbs.twimg.com/profile_images/1611479392617652224/VxUozo9u_normal.jpg</v>
      </c>
      <c r="W2774" s="76">
        <v>44959.550555555557</v>
      </c>
      <c r="X2774" s="80">
        <v>44959</v>
      </c>
      <c r="Y2774" s="78" t="s">
        <v>3383</v>
      </c>
      <c r="Z2774" s="77" t="str">
        <f>HYPERLINK("https://twitter.com/spaceaur0ras/status/1621134542038831107")</f>
        <v>https://twitter.com/spaceaur0ras/status/1621134542038831107</v>
      </c>
      <c r="AC2774" s="78" t="s">
        <v>4448</v>
      </c>
      <c r="AD2774" s="78" t="s">
        <v>4447</v>
      </c>
      <c r="AE2774" t="b">
        <v>0</v>
      </c>
      <c r="AF2774">
        <v>0</v>
      </c>
      <c r="AG2774" s="78" t="s">
        <v>4818</v>
      </c>
      <c r="AH2774" t="b">
        <v>0</v>
      </c>
      <c r="AI2774" t="s">
        <v>4829</v>
      </c>
      <c r="AK2774" s="78" t="s">
        <v>4640</v>
      </c>
      <c r="AL2774" t="b">
        <v>0</v>
      </c>
      <c r="AM2774">
        <v>0</v>
      </c>
      <c r="AN2774" s="78" t="s">
        <v>4640</v>
      </c>
      <c r="AO2774" s="78" t="s">
        <v>4849</v>
      </c>
      <c r="AP2774" t="b">
        <v>0</v>
      </c>
      <c r="AQ2774" s="78" t="s">
        <v>4447</v>
      </c>
      <c r="AR2774" t="s">
        <v>179</v>
      </c>
      <c r="AS2774">
        <v>0</v>
      </c>
      <c r="AT2774">
        <v>0</v>
      </c>
    </row>
    <row r="2775" spans="1:46" x14ac:dyDescent="0.45">
      <c r="A2775" s="62" t="s">
        <v>1070</v>
      </c>
      <c r="B2775" s="62" t="s">
        <v>1230</v>
      </c>
      <c r="C2775" s="63"/>
      <c r="D2775" s="64"/>
      <c r="E2775" s="65"/>
      <c r="F2775" s="66"/>
      <c r="G2775" s="63"/>
      <c r="H2775" s="67"/>
      <c r="I2775" s="68"/>
      <c r="J2775" s="68"/>
      <c r="K2775" s="32"/>
      <c r="L2775" s="75"/>
      <c r="M2775" s="75"/>
      <c r="N2775" s="70"/>
      <c r="O2775" t="s">
        <v>1568</v>
      </c>
      <c r="P2775" s="76">
        <v>44959.550555555557</v>
      </c>
      <c r="Q2775" t="s">
        <v>2217</v>
      </c>
      <c r="V2775" s="77" t="str">
        <f>HYPERLINK("https://pbs.twimg.com/profile_images/1611479392617652224/VxUozo9u_normal.jpg")</f>
        <v>https://pbs.twimg.com/profile_images/1611479392617652224/VxUozo9u_normal.jpg</v>
      </c>
      <c r="W2775" s="76">
        <v>44959.550555555557</v>
      </c>
      <c r="X2775" s="80">
        <v>44959</v>
      </c>
      <c r="Y2775" s="78" t="s">
        <v>3383</v>
      </c>
      <c r="Z2775" s="77" t="str">
        <f>HYPERLINK("https://twitter.com/spaceaur0ras/status/1621134542038831107")</f>
        <v>https://twitter.com/spaceaur0ras/status/1621134542038831107</v>
      </c>
      <c r="AC2775" s="78" t="s">
        <v>4448</v>
      </c>
      <c r="AD2775" s="78" t="s">
        <v>4447</v>
      </c>
      <c r="AE2775" t="b">
        <v>0</v>
      </c>
      <c r="AF2775">
        <v>0</v>
      </c>
      <c r="AG2775" s="78" t="s">
        <v>4818</v>
      </c>
      <c r="AH2775" t="b">
        <v>0</v>
      </c>
      <c r="AI2775" t="s">
        <v>4829</v>
      </c>
      <c r="AK2775" s="78" t="s">
        <v>4640</v>
      </c>
      <c r="AL2775" t="b">
        <v>0</v>
      </c>
      <c r="AM2775">
        <v>0</v>
      </c>
      <c r="AN2775" s="78" t="s">
        <v>4640</v>
      </c>
      <c r="AO2775" s="78" t="s">
        <v>4849</v>
      </c>
      <c r="AP2775" t="b">
        <v>0</v>
      </c>
      <c r="AQ2775" s="78" t="s">
        <v>4447</v>
      </c>
      <c r="AR2775" t="s">
        <v>179</v>
      </c>
      <c r="AS2775">
        <v>0</v>
      </c>
      <c r="AT2775">
        <v>0</v>
      </c>
    </row>
    <row r="2776" spans="1:46" x14ac:dyDescent="0.45">
      <c r="A2776" s="62" t="s">
        <v>1070</v>
      </c>
      <c r="B2776" s="62" t="s">
        <v>242</v>
      </c>
      <c r="C2776" s="63"/>
      <c r="D2776" s="64"/>
      <c r="E2776" s="65"/>
      <c r="F2776" s="66"/>
      <c r="G2776" s="63"/>
      <c r="H2776" s="67"/>
      <c r="I2776" s="68"/>
      <c r="J2776" s="68"/>
      <c r="K2776" s="32"/>
      <c r="L2776" s="75"/>
      <c r="M2776" s="75"/>
      <c r="N2776" s="70"/>
      <c r="O2776" t="s">
        <v>1568</v>
      </c>
      <c r="P2776" s="76">
        <v>44959.550555555557</v>
      </c>
      <c r="Q2776" t="s">
        <v>2217</v>
      </c>
      <c r="V2776" s="77" t="str">
        <f>HYPERLINK("https://pbs.twimg.com/profile_images/1611479392617652224/VxUozo9u_normal.jpg")</f>
        <v>https://pbs.twimg.com/profile_images/1611479392617652224/VxUozo9u_normal.jpg</v>
      </c>
      <c r="W2776" s="76">
        <v>44959.550555555557</v>
      </c>
      <c r="X2776" s="80">
        <v>44959</v>
      </c>
      <c r="Y2776" s="78" t="s">
        <v>3383</v>
      </c>
      <c r="Z2776" s="77" t="str">
        <f>HYPERLINK("https://twitter.com/spaceaur0ras/status/1621134542038831107")</f>
        <v>https://twitter.com/spaceaur0ras/status/1621134542038831107</v>
      </c>
      <c r="AC2776" s="78" t="s">
        <v>4448</v>
      </c>
      <c r="AD2776" s="78" t="s">
        <v>4447</v>
      </c>
      <c r="AE2776" t="b">
        <v>0</v>
      </c>
      <c r="AF2776">
        <v>0</v>
      </c>
      <c r="AG2776" s="78" t="s">
        <v>4818</v>
      </c>
      <c r="AH2776" t="b">
        <v>0</v>
      </c>
      <c r="AI2776" t="s">
        <v>4829</v>
      </c>
      <c r="AK2776" s="78" t="s">
        <v>4640</v>
      </c>
      <c r="AL2776" t="b">
        <v>0</v>
      </c>
      <c r="AM2776">
        <v>0</v>
      </c>
      <c r="AN2776" s="78" t="s">
        <v>4640</v>
      </c>
      <c r="AO2776" s="78" t="s">
        <v>4849</v>
      </c>
      <c r="AP2776" t="b">
        <v>0</v>
      </c>
      <c r="AQ2776" s="78" t="s">
        <v>4447</v>
      </c>
      <c r="AR2776" t="s">
        <v>179</v>
      </c>
      <c r="AS2776">
        <v>0</v>
      </c>
      <c r="AT2776">
        <v>0</v>
      </c>
    </row>
    <row r="2777" spans="1:46" x14ac:dyDescent="0.45">
      <c r="A2777" s="62" t="s">
        <v>1072</v>
      </c>
      <c r="B2777" s="62" t="s">
        <v>1071</v>
      </c>
      <c r="C2777" s="63"/>
      <c r="D2777" s="64"/>
      <c r="E2777" s="65"/>
      <c r="F2777" s="66"/>
      <c r="G2777" s="63"/>
      <c r="H2777" s="67"/>
      <c r="I2777" s="68"/>
      <c r="J2777" s="68"/>
      <c r="K2777" s="32"/>
      <c r="L2777" s="75"/>
      <c r="M2777" s="75"/>
      <c r="N2777" s="70"/>
      <c r="O2777" t="s">
        <v>1567</v>
      </c>
      <c r="P2777" s="76">
        <v>44959.551168981481</v>
      </c>
      <c r="Q2777" t="s">
        <v>2219</v>
      </c>
      <c r="V2777" s="77" t="str">
        <f>HYPERLINK("https://pbs.twimg.com/profile_images/1580231000076046336/i4I2CVG-_normal.jpg")</f>
        <v>https://pbs.twimg.com/profile_images/1580231000076046336/i4I2CVG-_normal.jpg</v>
      </c>
      <c r="W2777" s="76">
        <v>44959.551168981481</v>
      </c>
      <c r="X2777" s="80">
        <v>44959</v>
      </c>
      <c r="Y2777" s="78" t="s">
        <v>3386</v>
      </c>
      <c r="Z2777" s="77" t="str">
        <f>HYPERLINK("https://twitter.com/finksta/status/1621134763145793537")</f>
        <v>https://twitter.com/finksta/status/1621134763145793537</v>
      </c>
      <c r="AC2777" s="78" t="s">
        <v>4451</v>
      </c>
      <c r="AD2777" s="78" t="s">
        <v>4450</v>
      </c>
      <c r="AE2777" t="b">
        <v>0</v>
      </c>
      <c r="AF2777">
        <v>0</v>
      </c>
      <c r="AG2777" s="78" t="s">
        <v>4820</v>
      </c>
      <c r="AH2777" t="b">
        <v>0</v>
      </c>
      <c r="AI2777" t="s">
        <v>4829</v>
      </c>
      <c r="AK2777" s="78" t="s">
        <v>4640</v>
      </c>
      <c r="AL2777" t="b">
        <v>0</v>
      </c>
      <c r="AM2777">
        <v>0</v>
      </c>
      <c r="AN2777" s="78" t="s">
        <v>4640</v>
      </c>
      <c r="AO2777" s="78" t="s">
        <v>4856</v>
      </c>
      <c r="AP2777" t="b">
        <v>0</v>
      </c>
      <c r="AQ2777" s="78" t="s">
        <v>4450</v>
      </c>
      <c r="AR2777" t="s">
        <v>179</v>
      </c>
      <c r="AS2777">
        <v>0</v>
      </c>
      <c r="AT2777">
        <v>0</v>
      </c>
    </row>
    <row r="2778" spans="1:46" x14ac:dyDescent="0.45">
      <c r="A2778" s="62" t="s">
        <v>1072</v>
      </c>
      <c r="B2778" s="62" t="s">
        <v>242</v>
      </c>
      <c r="C2778" s="63"/>
      <c r="D2778" s="64"/>
      <c r="E2778" s="65"/>
      <c r="F2778" s="66"/>
      <c r="G2778" s="63"/>
      <c r="H2778" s="67"/>
      <c r="I2778" s="68"/>
      <c r="J2778" s="68"/>
      <c r="K2778" s="32"/>
      <c r="L2778" s="75"/>
      <c r="M2778" s="75"/>
      <c r="N2778" s="70"/>
      <c r="O2778" t="s">
        <v>1567</v>
      </c>
      <c r="P2778" s="76">
        <v>44958.879490740743</v>
      </c>
      <c r="Q2778" t="s">
        <v>2221</v>
      </c>
      <c r="V2778" s="77" t="str">
        <f>HYPERLINK("https://pbs.twimg.com/profile_images/1580231000076046336/i4I2CVG-_normal.jpg")</f>
        <v>https://pbs.twimg.com/profile_images/1580231000076046336/i4I2CVG-_normal.jpg</v>
      </c>
      <c r="W2778" s="76">
        <v>44958.879490740743</v>
      </c>
      <c r="X2778" s="80">
        <v>44958</v>
      </c>
      <c r="Y2778" s="78" t="s">
        <v>3388</v>
      </c>
      <c r="Z2778" s="77" t="str">
        <f>HYPERLINK("https://twitter.com/finksta/status/1620891357484138503")</f>
        <v>https://twitter.com/finksta/status/1620891357484138503</v>
      </c>
      <c r="AC2778" s="78" t="s">
        <v>4453</v>
      </c>
      <c r="AD2778" s="78" t="s">
        <v>4452</v>
      </c>
      <c r="AE2778" t="b">
        <v>0</v>
      </c>
      <c r="AF2778">
        <v>0</v>
      </c>
      <c r="AG2778" s="78" t="s">
        <v>4819</v>
      </c>
      <c r="AH2778" t="b">
        <v>0</v>
      </c>
      <c r="AI2778" t="s">
        <v>4829</v>
      </c>
      <c r="AK2778" s="78" t="s">
        <v>4640</v>
      </c>
      <c r="AL2778" t="b">
        <v>0</v>
      </c>
      <c r="AM2778">
        <v>0</v>
      </c>
      <c r="AN2778" s="78" t="s">
        <v>4640</v>
      </c>
      <c r="AO2778" s="78" t="s">
        <v>4856</v>
      </c>
      <c r="AP2778" t="b">
        <v>0</v>
      </c>
      <c r="AQ2778" s="78" t="s">
        <v>4452</v>
      </c>
      <c r="AR2778" t="s">
        <v>179</v>
      </c>
      <c r="AS2778">
        <v>0</v>
      </c>
      <c r="AT2778">
        <v>0</v>
      </c>
    </row>
    <row r="2779" spans="1:46" x14ac:dyDescent="0.45">
      <c r="A2779" s="62" t="s">
        <v>1072</v>
      </c>
      <c r="B2779" s="62" t="s">
        <v>242</v>
      </c>
      <c r="C2779" s="63"/>
      <c r="D2779" s="64"/>
      <c r="E2779" s="65"/>
      <c r="F2779" s="66"/>
      <c r="G2779" s="63"/>
      <c r="H2779" s="67"/>
      <c r="I2779" s="68"/>
      <c r="J2779" s="68"/>
      <c r="K2779" s="32"/>
      <c r="L2779" s="75"/>
      <c r="M2779" s="75"/>
      <c r="N2779" s="70"/>
      <c r="O2779" t="s">
        <v>1568</v>
      </c>
      <c r="P2779" s="76">
        <v>44959.551168981481</v>
      </c>
      <c r="Q2779" t="s">
        <v>2219</v>
      </c>
      <c r="V2779" s="77" t="str">
        <f>HYPERLINK("https://pbs.twimg.com/profile_images/1580231000076046336/i4I2CVG-_normal.jpg")</f>
        <v>https://pbs.twimg.com/profile_images/1580231000076046336/i4I2CVG-_normal.jpg</v>
      </c>
      <c r="W2779" s="76">
        <v>44959.551168981481</v>
      </c>
      <c r="X2779" s="80">
        <v>44959</v>
      </c>
      <c r="Y2779" s="78" t="s">
        <v>3386</v>
      </c>
      <c r="Z2779" s="77" t="str">
        <f>HYPERLINK("https://twitter.com/finksta/status/1621134763145793537")</f>
        <v>https://twitter.com/finksta/status/1621134763145793537</v>
      </c>
      <c r="AC2779" s="78" t="s">
        <v>4451</v>
      </c>
      <c r="AD2779" s="78" t="s">
        <v>4450</v>
      </c>
      <c r="AE2779" t="b">
        <v>0</v>
      </c>
      <c r="AF2779">
        <v>0</v>
      </c>
      <c r="AG2779" s="78" t="s">
        <v>4820</v>
      </c>
      <c r="AH2779" t="b">
        <v>0</v>
      </c>
      <c r="AI2779" t="s">
        <v>4829</v>
      </c>
      <c r="AK2779" s="78" t="s">
        <v>4640</v>
      </c>
      <c r="AL2779" t="b">
        <v>0</v>
      </c>
      <c r="AM2779">
        <v>0</v>
      </c>
      <c r="AN2779" s="78" t="s">
        <v>4640</v>
      </c>
      <c r="AO2779" s="78" t="s">
        <v>4856</v>
      </c>
      <c r="AP2779" t="b">
        <v>0</v>
      </c>
      <c r="AQ2779" s="78" t="s">
        <v>4450</v>
      </c>
      <c r="AR2779" t="s">
        <v>179</v>
      </c>
      <c r="AS2779">
        <v>0</v>
      </c>
      <c r="AT2779">
        <v>0</v>
      </c>
    </row>
    <row r="2780" spans="1:46" x14ac:dyDescent="0.45">
      <c r="A2780" s="62" t="s">
        <v>1075</v>
      </c>
      <c r="B2780" s="62" t="s">
        <v>1549</v>
      </c>
      <c r="C2780" s="63"/>
      <c r="D2780" s="64"/>
      <c r="E2780" s="65"/>
      <c r="F2780" s="66"/>
      <c r="G2780" s="63"/>
      <c r="H2780" s="67"/>
      <c r="I2780" s="68"/>
      <c r="J2780" s="68"/>
      <c r="K2780" s="32"/>
      <c r="L2780" s="75"/>
      <c r="M2780" s="75"/>
      <c r="N2780" s="70"/>
      <c r="O2780" t="s">
        <v>1567</v>
      </c>
      <c r="P2780" s="76">
        <v>44959.558981481481</v>
      </c>
      <c r="Q2780" t="s">
        <v>2223</v>
      </c>
      <c r="V2780" s="77" t="str">
        <f>HYPERLINK("https://pbs.twimg.com/profile_images/1370850997325737984/fi5NdEu0_normal.jpg")</f>
        <v>https://pbs.twimg.com/profile_images/1370850997325737984/fi5NdEu0_normal.jpg</v>
      </c>
      <c r="W2780" s="76">
        <v>44959.558981481481</v>
      </c>
      <c r="X2780" s="80">
        <v>44959</v>
      </c>
      <c r="Y2780" s="78" t="s">
        <v>3391</v>
      </c>
      <c r="Z2780" s="77" t="str">
        <f>HYPERLINK("https://twitter.com/sterlingcat1200/status/1621137595685277696")</f>
        <v>https://twitter.com/sterlingcat1200/status/1621137595685277696</v>
      </c>
      <c r="AC2780" s="78" t="s">
        <v>4456</v>
      </c>
      <c r="AD2780" s="78" t="s">
        <v>4633</v>
      </c>
      <c r="AE2780" t="b">
        <v>0</v>
      </c>
      <c r="AF2780">
        <v>0</v>
      </c>
      <c r="AG2780" s="78" t="s">
        <v>4822</v>
      </c>
      <c r="AH2780" t="b">
        <v>0</v>
      </c>
      <c r="AI2780" t="s">
        <v>4829</v>
      </c>
      <c r="AK2780" s="78" t="s">
        <v>4640</v>
      </c>
      <c r="AL2780" t="b">
        <v>0</v>
      </c>
      <c r="AM2780">
        <v>0</v>
      </c>
      <c r="AN2780" s="78" t="s">
        <v>4640</v>
      </c>
      <c r="AO2780" s="78" t="s">
        <v>4851</v>
      </c>
      <c r="AP2780" t="b">
        <v>0</v>
      </c>
      <c r="AQ2780" s="78" t="s">
        <v>4633</v>
      </c>
      <c r="AR2780" t="s">
        <v>179</v>
      </c>
      <c r="AS2780">
        <v>0</v>
      </c>
      <c r="AT2780">
        <v>0</v>
      </c>
    </row>
    <row r="2781" spans="1:46" x14ac:dyDescent="0.45">
      <c r="A2781" s="62" t="s">
        <v>1075</v>
      </c>
      <c r="B2781" s="62" t="s">
        <v>242</v>
      </c>
      <c r="C2781" s="63"/>
      <c r="D2781" s="64"/>
      <c r="E2781" s="65"/>
      <c r="F2781" s="66"/>
      <c r="G2781" s="63"/>
      <c r="H2781" s="67"/>
      <c r="I2781" s="68"/>
      <c r="J2781" s="68"/>
      <c r="K2781" s="32"/>
      <c r="L2781" s="75"/>
      <c r="M2781" s="75"/>
      <c r="N2781" s="70"/>
      <c r="O2781" t="s">
        <v>1568</v>
      </c>
      <c r="P2781" s="76">
        <v>44959.558981481481</v>
      </c>
      <c r="Q2781" t="s">
        <v>2223</v>
      </c>
      <c r="V2781" s="77" t="str">
        <f>HYPERLINK("https://pbs.twimg.com/profile_images/1370850997325737984/fi5NdEu0_normal.jpg")</f>
        <v>https://pbs.twimg.com/profile_images/1370850997325737984/fi5NdEu0_normal.jpg</v>
      </c>
      <c r="W2781" s="76">
        <v>44959.558981481481</v>
      </c>
      <c r="X2781" s="80">
        <v>44959</v>
      </c>
      <c r="Y2781" s="78" t="s">
        <v>3391</v>
      </c>
      <c r="Z2781" s="77" t="str">
        <f>HYPERLINK("https://twitter.com/sterlingcat1200/status/1621137595685277696")</f>
        <v>https://twitter.com/sterlingcat1200/status/1621137595685277696</v>
      </c>
      <c r="AC2781" s="78" t="s">
        <v>4456</v>
      </c>
      <c r="AD2781" s="78" t="s">
        <v>4633</v>
      </c>
      <c r="AE2781" t="b">
        <v>0</v>
      </c>
      <c r="AF2781">
        <v>0</v>
      </c>
      <c r="AG2781" s="78" t="s">
        <v>4822</v>
      </c>
      <c r="AH2781" t="b">
        <v>0</v>
      </c>
      <c r="AI2781" t="s">
        <v>4829</v>
      </c>
      <c r="AK2781" s="78" t="s">
        <v>4640</v>
      </c>
      <c r="AL2781" t="b">
        <v>0</v>
      </c>
      <c r="AM2781">
        <v>0</v>
      </c>
      <c r="AN2781" s="78" t="s">
        <v>4640</v>
      </c>
      <c r="AO2781" s="78" t="s">
        <v>4851</v>
      </c>
      <c r="AP2781" t="b">
        <v>0</v>
      </c>
      <c r="AQ2781" s="78" t="s">
        <v>4633</v>
      </c>
      <c r="AR2781" t="s">
        <v>179</v>
      </c>
      <c r="AS2781">
        <v>0</v>
      </c>
      <c r="AT2781">
        <v>0</v>
      </c>
    </row>
    <row r="2782" spans="1:46" x14ac:dyDescent="0.45">
      <c r="A2782" s="62" t="s">
        <v>1076</v>
      </c>
      <c r="B2782" s="62" t="s">
        <v>242</v>
      </c>
      <c r="C2782" s="63"/>
      <c r="D2782" s="64"/>
      <c r="E2782" s="65"/>
      <c r="F2782" s="66"/>
      <c r="G2782" s="63"/>
      <c r="H2782" s="67"/>
      <c r="I2782" s="68"/>
      <c r="J2782" s="68"/>
      <c r="K2782" s="32"/>
      <c r="L2782" s="75"/>
      <c r="M2782" s="75"/>
      <c r="N2782" s="70"/>
      <c r="O2782" t="s">
        <v>1567</v>
      </c>
      <c r="P2782" s="76">
        <v>44959.560474537036</v>
      </c>
      <c r="Q2782" t="s">
        <v>2224</v>
      </c>
      <c r="V2782" s="77" t="str">
        <f>HYPERLINK("https://pbs.twimg.com/profile_images/1607358988269543424/7BTfxySk_normal.jpg")</f>
        <v>https://pbs.twimg.com/profile_images/1607358988269543424/7BTfxySk_normal.jpg</v>
      </c>
      <c r="W2782" s="76">
        <v>44959.560474537036</v>
      </c>
      <c r="X2782" s="80">
        <v>44959</v>
      </c>
      <c r="Y2782" s="78" t="s">
        <v>3392</v>
      </c>
      <c r="Z2782" s="77" t="str">
        <f>HYPERLINK("https://twitter.com/bmlfowler/status/1621138135584477194")</f>
        <v>https://twitter.com/bmlfowler/status/1621138135584477194</v>
      </c>
      <c r="AC2782" s="78" t="s">
        <v>4457</v>
      </c>
      <c r="AE2782" t="b">
        <v>0</v>
      </c>
      <c r="AF2782">
        <v>0</v>
      </c>
      <c r="AG2782" s="78" t="s">
        <v>4639</v>
      </c>
      <c r="AH2782" t="b">
        <v>0</v>
      </c>
      <c r="AI2782" t="s">
        <v>4829</v>
      </c>
      <c r="AK2782" s="78" t="s">
        <v>4640</v>
      </c>
      <c r="AL2782" t="b">
        <v>0</v>
      </c>
      <c r="AM2782">
        <v>0</v>
      </c>
      <c r="AN2782" s="78" t="s">
        <v>4640</v>
      </c>
      <c r="AO2782" s="78" t="s">
        <v>4849</v>
      </c>
      <c r="AP2782" t="b">
        <v>0</v>
      </c>
      <c r="AQ2782" s="78" t="s">
        <v>4457</v>
      </c>
      <c r="AR2782" t="s">
        <v>179</v>
      </c>
      <c r="AS2782">
        <v>0</v>
      </c>
      <c r="AT2782">
        <v>0</v>
      </c>
    </row>
    <row r="2783" spans="1:46" x14ac:dyDescent="0.45">
      <c r="A2783" s="62" t="s">
        <v>1077</v>
      </c>
      <c r="B2783" s="62" t="s">
        <v>1205</v>
      </c>
      <c r="C2783" s="63"/>
      <c r="D2783" s="64"/>
      <c r="E2783" s="65"/>
      <c r="F2783" s="66"/>
      <c r="G2783" s="63"/>
      <c r="H2783" s="67"/>
      <c r="I2783" s="68"/>
      <c r="J2783" s="68"/>
      <c r="K2783" s="32"/>
      <c r="L2783" s="75"/>
      <c r="M2783" s="75"/>
      <c r="N2783" s="70"/>
      <c r="O2783" t="s">
        <v>1568</v>
      </c>
      <c r="P2783" s="76">
        <v>44959.560937499999</v>
      </c>
      <c r="Q2783" t="s">
        <v>2225</v>
      </c>
      <c r="V2783" s="77" t="str">
        <f>HYPERLINK("https://pbs.twimg.com/profile_images/1394096812349280262/x0rU45qD_normal.jpg")</f>
        <v>https://pbs.twimg.com/profile_images/1394096812349280262/x0rU45qD_normal.jpg</v>
      </c>
      <c r="W2783" s="76">
        <v>44959.560937499999</v>
      </c>
      <c r="X2783" s="80">
        <v>44959</v>
      </c>
      <c r="Y2783" s="78" t="s">
        <v>3393</v>
      </c>
      <c r="Z2783" s="77" t="str">
        <f>HYPERLINK("https://twitter.com/imrajat1/status/1621138302815592448")</f>
        <v>https://twitter.com/imrajat1/status/1621138302815592448</v>
      </c>
      <c r="AC2783" s="78" t="s">
        <v>4458</v>
      </c>
      <c r="AE2783" t="b">
        <v>0</v>
      </c>
      <c r="AF2783">
        <v>0</v>
      </c>
      <c r="AG2783" s="78" t="s">
        <v>4640</v>
      </c>
      <c r="AH2783" t="b">
        <v>0</v>
      </c>
      <c r="AI2783" t="s">
        <v>4829</v>
      </c>
      <c r="AK2783" s="78" t="s">
        <v>4640</v>
      </c>
      <c r="AL2783" t="b">
        <v>0</v>
      </c>
      <c r="AM2783">
        <v>0</v>
      </c>
      <c r="AN2783" s="78" t="s">
        <v>4640</v>
      </c>
      <c r="AO2783" s="78" t="s">
        <v>4850</v>
      </c>
      <c r="AP2783" t="b">
        <v>0</v>
      </c>
      <c r="AQ2783" s="78" t="s">
        <v>4458</v>
      </c>
      <c r="AR2783" t="s">
        <v>179</v>
      </c>
      <c r="AS2783">
        <v>0</v>
      </c>
      <c r="AT2783">
        <v>0</v>
      </c>
    </row>
    <row r="2784" spans="1:46" x14ac:dyDescent="0.45">
      <c r="A2784" s="62" t="s">
        <v>1077</v>
      </c>
      <c r="B2784" s="62" t="s">
        <v>1109</v>
      </c>
      <c r="C2784" s="63"/>
      <c r="D2784" s="64"/>
      <c r="E2784" s="65"/>
      <c r="F2784" s="66"/>
      <c r="G2784" s="63"/>
      <c r="H2784" s="67"/>
      <c r="I2784" s="68"/>
      <c r="J2784" s="68"/>
      <c r="K2784" s="32"/>
      <c r="L2784" s="75"/>
      <c r="M2784" s="75"/>
      <c r="N2784" s="70"/>
      <c r="O2784" t="s">
        <v>1568</v>
      </c>
      <c r="P2784" s="76">
        <v>44959.560937499999</v>
      </c>
      <c r="Q2784" t="s">
        <v>2225</v>
      </c>
      <c r="V2784" s="77" t="str">
        <f>HYPERLINK("https://pbs.twimg.com/profile_images/1394096812349280262/x0rU45qD_normal.jpg")</f>
        <v>https://pbs.twimg.com/profile_images/1394096812349280262/x0rU45qD_normal.jpg</v>
      </c>
      <c r="W2784" s="76">
        <v>44959.560937499999</v>
      </c>
      <c r="X2784" s="80">
        <v>44959</v>
      </c>
      <c r="Y2784" s="78" t="s">
        <v>3393</v>
      </c>
      <c r="Z2784" s="77" t="str">
        <f>HYPERLINK("https://twitter.com/imrajat1/status/1621138302815592448")</f>
        <v>https://twitter.com/imrajat1/status/1621138302815592448</v>
      </c>
      <c r="AC2784" s="78" t="s">
        <v>4458</v>
      </c>
      <c r="AE2784" t="b">
        <v>0</v>
      </c>
      <c r="AF2784">
        <v>0</v>
      </c>
      <c r="AG2784" s="78" t="s">
        <v>4640</v>
      </c>
      <c r="AH2784" t="b">
        <v>0</v>
      </c>
      <c r="AI2784" t="s">
        <v>4829</v>
      </c>
      <c r="AK2784" s="78" t="s">
        <v>4640</v>
      </c>
      <c r="AL2784" t="b">
        <v>0</v>
      </c>
      <c r="AM2784">
        <v>0</v>
      </c>
      <c r="AN2784" s="78" t="s">
        <v>4640</v>
      </c>
      <c r="AO2784" s="78" t="s">
        <v>4850</v>
      </c>
      <c r="AP2784" t="b">
        <v>0</v>
      </c>
      <c r="AQ2784" s="78" t="s">
        <v>4458</v>
      </c>
      <c r="AR2784" t="s">
        <v>179</v>
      </c>
      <c r="AS2784">
        <v>0</v>
      </c>
      <c r="AT2784">
        <v>0</v>
      </c>
    </row>
    <row r="2785" spans="1:46" x14ac:dyDescent="0.45">
      <c r="A2785" s="62" t="s">
        <v>1077</v>
      </c>
      <c r="B2785" s="62" t="s">
        <v>1110</v>
      </c>
      <c r="C2785" s="63"/>
      <c r="D2785" s="64"/>
      <c r="E2785" s="65"/>
      <c r="F2785" s="66"/>
      <c r="G2785" s="63"/>
      <c r="H2785" s="67"/>
      <c r="I2785" s="68"/>
      <c r="J2785" s="68"/>
      <c r="K2785" s="32"/>
      <c r="L2785" s="75"/>
      <c r="M2785" s="75"/>
      <c r="N2785" s="70"/>
      <c r="O2785" t="s">
        <v>1568</v>
      </c>
      <c r="P2785" s="76">
        <v>44959.560937499999</v>
      </c>
      <c r="Q2785" t="s">
        <v>2225</v>
      </c>
      <c r="V2785" s="77" t="str">
        <f>HYPERLINK("https://pbs.twimg.com/profile_images/1394096812349280262/x0rU45qD_normal.jpg")</f>
        <v>https://pbs.twimg.com/profile_images/1394096812349280262/x0rU45qD_normal.jpg</v>
      </c>
      <c r="W2785" s="76">
        <v>44959.560937499999</v>
      </c>
      <c r="X2785" s="80">
        <v>44959</v>
      </c>
      <c r="Y2785" s="78" t="s">
        <v>3393</v>
      </c>
      <c r="Z2785" s="77" t="str">
        <f>HYPERLINK("https://twitter.com/imrajat1/status/1621138302815592448")</f>
        <v>https://twitter.com/imrajat1/status/1621138302815592448</v>
      </c>
      <c r="AC2785" s="78" t="s">
        <v>4458</v>
      </c>
      <c r="AE2785" t="b">
        <v>0</v>
      </c>
      <c r="AF2785">
        <v>0</v>
      </c>
      <c r="AG2785" s="78" t="s">
        <v>4640</v>
      </c>
      <c r="AH2785" t="b">
        <v>0</v>
      </c>
      <c r="AI2785" t="s">
        <v>4829</v>
      </c>
      <c r="AK2785" s="78" t="s">
        <v>4640</v>
      </c>
      <c r="AL2785" t="b">
        <v>0</v>
      </c>
      <c r="AM2785">
        <v>0</v>
      </c>
      <c r="AN2785" s="78" t="s">
        <v>4640</v>
      </c>
      <c r="AO2785" s="78" t="s">
        <v>4850</v>
      </c>
      <c r="AP2785" t="b">
        <v>0</v>
      </c>
      <c r="AQ2785" s="78" t="s">
        <v>4458</v>
      </c>
      <c r="AR2785" t="s">
        <v>179</v>
      </c>
      <c r="AS2785">
        <v>0</v>
      </c>
      <c r="AT2785">
        <v>0</v>
      </c>
    </row>
    <row r="2786" spans="1:46" x14ac:dyDescent="0.45">
      <c r="A2786" s="62" t="s">
        <v>1077</v>
      </c>
      <c r="B2786" s="62" t="s">
        <v>242</v>
      </c>
      <c r="C2786" s="63"/>
      <c r="D2786" s="64"/>
      <c r="E2786" s="65"/>
      <c r="F2786" s="66"/>
      <c r="G2786" s="63"/>
      <c r="H2786" s="67"/>
      <c r="I2786" s="68"/>
      <c r="J2786" s="68"/>
      <c r="K2786" s="32"/>
      <c r="L2786" s="75"/>
      <c r="M2786" s="75"/>
      <c r="N2786" s="70"/>
      <c r="O2786" t="s">
        <v>1568</v>
      </c>
      <c r="P2786" s="76">
        <v>44959.560937499999</v>
      </c>
      <c r="Q2786" t="s">
        <v>2225</v>
      </c>
      <c r="V2786" s="77" t="str">
        <f>HYPERLINK("https://pbs.twimg.com/profile_images/1394096812349280262/x0rU45qD_normal.jpg")</f>
        <v>https://pbs.twimg.com/profile_images/1394096812349280262/x0rU45qD_normal.jpg</v>
      </c>
      <c r="W2786" s="76">
        <v>44959.560937499999</v>
      </c>
      <c r="X2786" s="80">
        <v>44959</v>
      </c>
      <c r="Y2786" s="78" t="s">
        <v>3393</v>
      </c>
      <c r="Z2786" s="77" t="str">
        <f>HYPERLINK("https://twitter.com/imrajat1/status/1621138302815592448")</f>
        <v>https://twitter.com/imrajat1/status/1621138302815592448</v>
      </c>
      <c r="AC2786" s="78" t="s">
        <v>4458</v>
      </c>
      <c r="AE2786" t="b">
        <v>0</v>
      </c>
      <c r="AF2786">
        <v>0</v>
      </c>
      <c r="AG2786" s="78" t="s">
        <v>4640</v>
      </c>
      <c r="AH2786" t="b">
        <v>0</v>
      </c>
      <c r="AI2786" t="s">
        <v>4829</v>
      </c>
      <c r="AK2786" s="78" t="s">
        <v>4640</v>
      </c>
      <c r="AL2786" t="b">
        <v>0</v>
      </c>
      <c r="AM2786">
        <v>0</v>
      </c>
      <c r="AN2786" s="78" t="s">
        <v>4640</v>
      </c>
      <c r="AO2786" s="78" t="s">
        <v>4850</v>
      </c>
      <c r="AP2786" t="b">
        <v>0</v>
      </c>
      <c r="AQ2786" s="78" t="s">
        <v>4458</v>
      </c>
      <c r="AR2786" t="s">
        <v>179</v>
      </c>
      <c r="AS2786">
        <v>0</v>
      </c>
      <c r="AT2786">
        <v>0</v>
      </c>
    </row>
    <row r="2787" spans="1:46" x14ac:dyDescent="0.45">
      <c r="A2787" s="62" t="s">
        <v>1080</v>
      </c>
      <c r="B2787" s="62" t="s">
        <v>242</v>
      </c>
      <c r="C2787" s="63"/>
      <c r="D2787" s="64"/>
      <c r="E2787" s="65"/>
      <c r="F2787" s="66"/>
      <c r="G2787" s="63"/>
      <c r="H2787" s="67"/>
      <c r="I2787" s="68"/>
      <c r="J2787" s="68"/>
      <c r="K2787" s="32"/>
      <c r="L2787" s="75"/>
      <c r="M2787" s="75"/>
      <c r="N2787" s="70"/>
      <c r="O2787" t="s">
        <v>1568</v>
      </c>
      <c r="P2787" s="76">
        <v>44959.568969907406</v>
      </c>
      <c r="Q2787" t="s">
        <v>2228</v>
      </c>
      <c r="V2787" s="77" t="str">
        <f>HYPERLINK("https://pbs.twimg.com/profile_images/1434900437904379905/kx3wxpB8_normal.jpg")</f>
        <v>https://pbs.twimg.com/profile_images/1434900437904379905/kx3wxpB8_normal.jpg</v>
      </c>
      <c r="W2787" s="76">
        <v>44959.568969907406</v>
      </c>
      <c r="X2787" s="80">
        <v>44959</v>
      </c>
      <c r="Y2787" s="78" t="s">
        <v>3396</v>
      </c>
      <c r="Z2787" s="77" t="str">
        <f>HYPERLINK("https://twitter.com/laurelworlds/status/1621141215013122051")</f>
        <v>https://twitter.com/laurelworlds/status/1621141215013122051</v>
      </c>
      <c r="AC2787" s="78" t="s">
        <v>4461</v>
      </c>
      <c r="AE2787" t="b">
        <v>0</v>
      </c>
      <c r="AF2787">
        <v>0</v>
      </c>
      <c r="AG2787" s="78" t="s">
        <v>4640</v>
      </c>
      <c r="AH2787" t="b">
        <v>0</v>
      </c>
      <c r="AI2787" t="s">
        <v>4829</v>
      </c>
      <c r="AK2787" s="78" t="s">
        <v>4640</v>
      </c>
      <c r="AL2787" t="b">
        <v>0</v>
      </c>
      <c r="AM2787">
        <v>0</v>
      </c>
      <c r="AN2787" s="78" t="s">
        <v>4640</v>
      </c>
      <c r="AO2787" s="78" t="s">
        <v>4851</v>
      </c>
      <c r="AP2787" t="b">
        <v>0</v>
      </c>
      <c r="AQ2787" s="78" t="s">
        <v>4461</v>
      </c>
      <c r="AR2787" t="s">
        <v>179</v>
      </c>
      <c r="AS2787">
        <v>0</v>
      </c>
      <c r="AT2787">
        <v>0</v>
      </c>
    </row>
    <row r="2788" spans="1:46" x14ac:dyDescent="0.45">
      <c r="A2788" s="62" t="s">
        <v>1082</v>
      </c>
      <c r="B2788" s="62" t="s">
        <v>1555</v>
      </c>
      <c r="C2788" s="63"/>
      <c r="D2788" s="64"/>
      <c r="E2788" s="65"/>
      <c r="F2788" s="66"/>
      <c r="G2788" s="63"/>
      <c r="H2788" s="67"/>
      <c r="I2788" s="68"/>
      <c r="J2788" s="68"/>
      <c r="K2788" s="32"/>
      <c r="L2788" s="75"/>
      <c r="M2788" s="75"/>
      <c r="N2788" s="70"/>
      <c r="O2788" t="s">
        <v>1568</v>
      </c>
      <c r="P2788" s="76">
        <v>44959.572060185186</v>
      </c>
      <c r="Q2788" t="s">
        <v>2230</v>
      </c>
      <c r="U2788" s="77" t="str">
        <f>HYPERLINK("https://pbs.twimg.com/media/Fn90WwjacAEA5nC.jpg")</f>
        <v>https://pbs.twimg.com/media/Fn90WwjacAEA5nC.jpg</v>
      </c>
      <c r="V2788" s="77" t="str">
        <f>HYPERLINK("https://pbs.twimg.com/media/Fn90WwjacAEA5nC.jpg")</f>
        <v>https://pbs.twimg.com/media/Fn90WwjacAEA5nC.jpg</v>
      </c>
      <c r="W2788" s="76">
        <v>44959.572060185186</v>
      </c>
      <c r="X2788" s="80">
        <v>44959</v>
      </c>
      <c r="Y2788" s="78" t="s">
        <v>3398</v>
      </c>
      <c r="Z2788" s="77" t="str">
        <f>HYPERLINK("https://twitter.com/richlandrams/status/1621142333768232964")</f>
        <v>https://twitter.com/richlandrams/status/1621142333768232964</v>
      </c>
      <c r="AC2788" s="78" t="s">
        <v>4463</v>
      </c>
      <c r="AE2788" t="b">
        <v>0</v>
      </c>
      <c r="AF2788">
        <v>0</v>
      </c>
      <c r="AG2788" s="78" t="s">
        <v>4640</v>
      </c>
      <c r="AH2788" t="b">
        <v>0</v>
      </c>
      <c r="AI2788" t="s">
        <v>4829</v>
      </c>
      <c r="AK2788" s="78" t="s">
        <v>4640</v>
      </c>
      <c r="AL2788" t="b">
        <v>0</v>
      </c>
      <c r="AM2788">
        <v>0</v>
      </c>
      <c r="AN2788" s="78" t="s">
        <v>4640</v>
      </c>
      <c r="AO2788" s="78" t="s">
        <v>4849</v>
      </c>
      <c r="AP2788" t="b">
        <v>0</v>
      </c>
      <c r="AQ2788" s="78" t="s">
        <v>4463</v>
      </c>
      <c r="AR2788" t="s">
        <v>179</v>
      </c>
      <c r="AS2788">
        <v>0</v>
      </c>
      <c r="AT2788">
        <v>0</v>
      </c>
    </row>
    <row r="2789" spans="1:46" x14ac:dyDescent="0.45">
      <c r="A2789" s="62" t="s">
        <v>1082</v>
      </c>
      <c r="B2789" s="62" t="s">
        <v>1556</v>
      </c>
      <c r="C2789" s="63"/>
      <c r="D2789" s="64"/>
      <c r="E2789" s="65"/>
      <c r="F2789" s="66"/>
      <c r="G2789" s="63"/>
      <c r="H2789" s="67"/>
      <c r="I2789" s="68"/>
      <c r="J2789" s="68"/>
      <c r="K2789" s="32"/>
      <c r="L2789" s="75"/>
      <c r="M2789" s="75"/>
      <c r="N2789" s="70"/>
      <c r="O2789" t="s">
        <v>1568</v>
      </c>
      <c r="P2789" s="76">
        <v>44959.572060185186</v>
      </c>
      <c r="Q2789" t="s">
        <v>2230</v>
      </c>
      <c r="U2789" s="77" t="str">
        <f>HYPERLINK("https://pbs.twimg.com/media/Fn90WwjacAEA5nC.jpg")</f>
        <v>https://pbs.twimg.com/media/Fn90WwjacAEA5nC.jpg</v>
      </c>
      <c r="V2789" s="77" t="str">
        <f>HYPERLINK("https://pbs.twimg.com/media/Fn90WwjacAEA5nC.jpg")</f>
        <v>https://pbs.twimg.com/media/Fn90WwjacAEA5nC.jpg</v>
      </c>
      <c r="W2789" s="76">
        <v>44959.572060185186</v>
      </c>
      <c r="X2789" s="80">
        <v>44959</v>
      </c>
      <c r="Y2789" s="78" t="s">
        <v>3398</v>
      </c>
      <c r="Z2789" s="77" t="str">
        <f>HYPERLINK("https://twitter.com/richlandrams/status/1621142333768232964")</f>
        <v>https://twitter.com/richlandrams/status/1621142333768232964</v>
      </c>
      <c r="AC2789" s="78" t="s">
        <v>4463</v>
      </c>
      <c r="AE2789" t="b">
        <v>0</v>
      </c>
      <c r="AF2789">
        <v>0</v>
      </c>
      <c r="AG2789" s="78" t="s">
        <v>4640</v>
      </c>
      <c r="AH2789" t="b">
        <v>0</v>
      </c>
      <c r="AI2789" t="s">
        <v>4829</v>
      </c>
      <c r="AK2789" s="78" t="s">
        <v>4640</v>
      </c>
      <c r="AL2789" t="b">
        <v>0</v>
      </c>
      <c r="AM2789">
        <v>0</v>
      </c>
      <c r="AN2789" s="78" t="s">
        <v>4640</v>
      </c>
      <c r="AO2789" s="78" t="s">
        <v>4849</v>
      </c>
      <c r="AP2789" t="b">
        <v>0</v>
      </c>
      <c r="AQ2789" s="78" t="s">
        <v>4463</v>
      </c>
      <c r="AR2789" t="s">
        <v>179</v>
      </c>
      <c r="AS2789">
        <v>0</v>
      </c>
      <c r="AT2789">
        <v>0</v>
      </c>
    </row>
    <row r="2790" spans="1:46" x14ac:dyDescent="0.45">
      <c r="A2790" s="62" t="s">
        <v>1082</v>
      </c>
      <c r="B2790" s="62" t="s">
        <v>1557</v>
      </c>
      <c r="C2790" s="63"/>
      <c r="D2790" s="64"/>
      <c r="E2790" s="65"/>
      <c r="F2790" s="66"/>
      <c r="G2790" s="63"/>
      <c r="H2790" s="67"/>
      <c r="I2790" s="68"/>
      <c r="J2790" s="68"/>
      <c r="K2790" s="32"/>
      <c r="L2790" s="75"/>
      <c r="M2790" s="75"/>
      <c r="N2790" s="70"/>
      <c r="O2790" t="s">
        <v>1568</v>
      </c>
      <c r="P2790" s="76">
        <v>44959.572060185186</v>
      </c>
      <c r="Q2790" t="s">
        <v>2230</v>
      </c>
      <c r="U2790" s="77" t="str">
        <f>HYPERLINK("https://pbs.twimg.com/media/Fn90WwjacAEA5nC.jpg")</f>
        <v>https://pbs.twimg.com/media/Fn90WwjacAEA5nC.jpg</v>
      </c>
      <c r="V2790" s="77" t="str">
        <f>HYPERLINK("https://pbs.twimg.com/media/Fn90WwjacAEA5nC.jpg")</f>
        <v>https://pbs.twimg.com/media/Fn90WwjacAEA5nC.jpg</v>
      </c>
      <c r="W2790" s="76">
        <v>44959.572060185186</v>
      </c>
      <c r="X2790" s="80">
        <v>44959</v>
      </c>
      <c r="Y2790" s="78" t="s">
        <v>3398</v>
      </c>
      <c r="Z2790" s="77" t="str">
        <f>HYPERLINK("https://twitter.com/richlandrams/status/1621142333768232964")</f>
        <v>https://twitter.com/richlandrams/status/1621142333768232964</v>
      </c>
      <c r="AC2790" s="78" t="s">
        <v>4463</v>
      </c>
      <c r="AE2790" t="b">
        <v>0</v>
      </c>
      <c r="AF2790">
        <v>0</v>
      </c>
      <c r="AG2790" s="78" t="s">
        <v>4640</v>
      </c>
      <c r="AH2790" t="b">
        <v>0</v>
      </c>
      <c r="AI2790" t="s">
        <v>4829</v>
      </c>
      <c r="AK2790" s="78" t="s">
        <v>4640</v>
      </c>
      <c r="AL2790" t="b">
        <v>0</v>
      </c>
      <c r="AM2790">
        <v>0</v>
      </c>
      <c r="AN2790" s="78" t="s">
        <v>4640</v>
      </c>
      <c r="AO2790" s="78" t="s">
        <v>4849</v>
      </c>
      <c r="AP2790" t="b">
        <v>0</v>
      </c>
      <c r="AQ2790" s="78" t="s">
        <v>4463</v>
      </c>
      <c r="AR2790" t="s">
        <v>179</v>
      </c>
      <c r="AS2790">
        <v>0</v>
      </c>
      <c r="AT2790">
        <v>0</v>
      </c>
    </row>
    <row r="2791" spans="1:46" x14ac:dyDescent="0.45">
      <c r="A2791" s="62" t="s">
        <v>1082</v>
      </c>
      <c r="B2791" s="62" t="s">
        <v>1558</v>
      </c>
      <c r="C2791" s="63"/>
      <c r="D2791" s="64"/>
      <c r="E2791" s="65"/>
      <c r="F2791" s="66"/>
      <c r="G2791" s="63"/>
      <c r="H2791" s="67"/>
      <c r="I2791" s="68"/>
      <c r="J2791" s="68"/>
      <c r="K2791" s="32"/>
      <c r="L2791" s="75"/>
      <c r="M2791" s="75"/>
      <c r="N2791" s="70"/>
      <c r="O2791" t="s">
        <v>1568</v>
      </c>
      <c r="P2791" s="76">
        <v>44959.572060185186</v>
      </c>
      <c r="Q2791" t="s">
        <v>2230</v>
      </c>
      <c r="U2791" s="77" t="str">
        <f>HYPERLINK("https://pbs.twimg.com/media/Fn90WwjacAEA5nC.jpg")</f>
        <v>https://pbs.twimg.com/media/Fn90WwjacAEA5nC.jpg</v>
      </c>
      <c r="V2791" s="77" t="str">
        <f>HYPERLINK("https://pbs.twimg.com/media/Fn90WwjacAEA5nC.jpg")</f>
        <v>https://pbs.twimg.com/media/Fn90WwjacAEA5nC.jpg</v>
      </c>
      <c r="W2791" s="76">
        <v>44959.572060185186</v>
      </c>
      <c r="X2791" s="80">
        <v>44959</v>
      </c>
      <c r="Y2791" s="78" t="s">
        <v>3398</v>
      </c>
      <c r="Z2791" s="77" t="str">
        <f>HYPERLINK("https://twitter.com/richlandrams/status/1621142333768232964")</f>
        <v>https://twitter.com/richlandrams/status/1621142333768232964</v>
      </c>
      <c r="AC2791" s="78" t="s">
        <v>4463</v>
      </c>
      <c r="AE2791" t="b">
        <v>0</v>
      </c>
      <c r="AF2791">
        <v>0</v>
      </c>
      <c r="AG2791" s="78" t="s">
        <v>4640</v>
      </c>
      <c r="AH2791" t="b">
        <v>0</v>
      </c>
      <c r="AI2791" t="s">
        <v>4829</v>
      </c>
      <c r="AK2791" s="78" t="s">
        <v>4640</v>
      </c>
      <c r="AL2791" t="b">
        <v>0</v>
      </c>
      <c r="AM2791">
        <v>0</v>
      </c>
      <c r="AN2791" s="78" t="s">
        <v>4640</v>
      </c>
      <c r="AO2791" s="78" t="s">
        <v>4849</v>
      </c>
      <c r="AP2791" t="b">
        <v>0</v>
      </c>
      <c r="AQ2791" s="78" t="s">
        <v>4463</v>
      </c>
      <c r="AR2791" t="s">
        <v>179</v>
      </c>
      <c r="AS2791">
        <v>0</v>
      </c>
      <c r="AT2791">
        <v>0</v>
      </c>
    </row>
    <row r="2792" spans="1:46" x14ac:dyDescent="0.45">
      <c r="A2792" s="62" t="s">
        <v>1082</v>
      </c>
      <c r="B2792" s="62" t="s">
        <v>1559</v>
      </c>
      <c r="C2792" s="63"/>
      <c r="D2792" s="64"/>
      <c r="E2792" s="65"/>
      <c r="F2792" s="66"/>
      <c r="G2792" s="63"/>
      <c r="H2792" s="67"/>
      <c r="I2792" s="68"/>
      <c r="J2792" s="68"/>
      <c r="K2792" s="32"/>
      <c r="L2792" s="75"/>
      <c r="M2792" s="75"/>
      <c r="N2792" s="70"/>
      <c r="O2792" t="s">
        <v>1568</v>
      </c>
      <c r="P2792" s="76">
        <v>44959.572060185186</v>
      </c>
      <c r="Q2792" t="s">
        <v>2230</v>
      </c>
      <c r="U2792" s="77" t="str">
        <f>HYPERLINK("https://pbs.twimg.com/media/Fn90WwjacAEA5nC.jpg")</f>
        <v>https://pbs.twimg.com/media/Fn90WwjacAEA5nC.jpg</v>
      </c>
      <c r="V2792" s="77" t="str">
        <f>HYPERLINK("https://pbs.twimg.com/media/Fn90WwjacAEA5nC.jpg")</f>
        <v>https://pbs.twimg.com/media/Fn90WwjacAEA5nC.jpg</v>
      </c>
      <c r="W2792" s="76">
        <v>44959.572060185186</v>
      </c>
      <c r="X2792" s="80">
        <v>44959</v>
      </c>
      <c r="Y2792" s="78" t="s">
        <v>3398</v>
      </c>
      <c r="Z2792" s="77" t="str">
        <f>HYPERLINK("https://twitter.com/richlandrams/status/1621142333768232964")</f>
        <v>https://twitter.com/richlandrams/status/1621142333768232964</v>
      </c>
      <c r="AC2792" s="78" t="s">
        <v>4463</v>
      </c>
      <c r="AE2792" t="b">
        <v>0</v>
      </c>
      <c r="AF2792">
        <v>0</v>
      </c>
      <c r="AG2792" s="78" t="s">
        <v>4640</v>
      </c>
      <c r="AH2792" t="b">
        <v>0</v>
      </c>
      <c r="AI2792" t="s">
        <v>4829</v>
      </c>
      <c r="AK2792" s="78" t="s">
        <v>4640</v>
      </c>
      <c r="AL2792" t="b">
        <v>0</v>
      </c>
      <c r="AM2792">
        <v>0</v>
      </c>
      <c r="AN2792" s="78" t="s">
        <v>4640</v>
      </c>
      <c r="AO2792" s="78" t="s">
        <v>4849</v>
      </c>
      <c r="AP2792" t="b">
        <v>0</v>
      </c>
      <c r="AQ2792" s="78" t="s">
        <v>4463</v>
      </c>
      <c r="AR2792" t="s">
        <v>179</v>
      </c>
      <c r="AS2792">
        <v>0</v>
      </c>
      <c r="AT2792">
        <v>0</v>
      </c>
    </row>
    <row r="2793" spans="1:46" x14ac:dyDescent="0.45">
      <c r="A2793" s="62" t="s">
        <v>1082</v>
      </c>
      <c r="B2793" s="62" t="s">
        <v>242</v>
      </c>
      <c r="C2793" s="63"/>
      <c r="D2793" s="64"/>
      <c r="E2793" s="65"/>
      <c r="F2793" s="66"/>
      <c r="G2793" s="63"/>
      <c r="H2793" s="67"/>
      <c r="I2793" s="68"/>
      <c r="J2793" s="68"/>
      <c r="K2793" s="32"/>
      <c r="L2793" s="75"/>
      <c r="M2793" s="75"/>
      <c r="N2793" s="70"/>
      <c r="O2793" t="s">
        <v>1568</v>
      </c>
      <c r="P2793" s="76">
        <v>44959.572060185186</v>
      </c>
      <c r="Q2793" t="s">
        <v>2230</v>
      </c>
      <c r="U2793" s="77" t="str">
        <f>HYPERLINK("https://pbs.twimg.com/media/Fn90WwjacAEA5nC.jpg")</f>
        <v>https://pbs.twimg.com/media/Fn90WwjacAEA5nC.jpg</v>
      </c>
      <c r="V2793" s="77" t="str">
        <f>HYPERLINK("https://pbs.twimg.com/media/Fn90WwjacAEA5nC.jpg")</f>
        <v>https://pbs.twimg.com/media/Fn90WwjacAEA5nC.jpg</v>
      </c>
      <c r="W2793" s="76">
        <v>44959.572060185186</v>
      </c>
      <c r="X2793" s="80">
        <v>44959</v>
      </c>
      <c r="Y2793" s="78" t="s">
        <v>3398</v>
      </c>
      <c r="Z2793" s="77" t="str">
        <f>HYPERLINK("https://twitter.com/richlandrams/status/1621142333768232964")</f>
        <v>https://twitter.com/richlandrams/status/1621142333768232964</v>
      </c>
      <c r="AC2793" s="78" t="s">
        <v>4463</v>
      </c>
      <c r="AE2793" t="b">
        <v>0</v>
      </c>
      <c r="AF2793">
        <v>0</v>
      </c>
      <c r="AG2793" s="78" t="s">
        <v>4640</v>
      </c>
      <c r="AH2793" t="b">
        <v>0</v>
      </c>
      <c r="AI2793" t="s">
        <v>4829</v>
      </c>
      <c r="AK2793" s="78" t="s">
        <v>4640</v>
      </c>
      <c r="AL2793" t="b">
        <v>0</v>
      </c>
      <c r="AM2793">
        <v>0</v>
      </c>
      <c r="AN2793" s="78" t="s">
        <v>4640</v>
      </c>
      <c r="AO2793" s="78" t="s">
        <v>4849</v>
      </c>
      <c r="AP2793" t="b">
        <v>0</v>
      </c>
      <c r="AQ2793" s="78" t="s">
        <v>4463</v>
      </c>
      <c r="AR2793" t="s">
        <v>179</v>
      </c>
      <c r="AS2793">
        <v>0</v>
      </c>
      <c r="AT2793">
        <v>0</v>
      </c>
    </row>
    <row r="2794" spans="1:46" x14ac:dyDescent="0.45">
      <c r="A2794" s="62" t="s">
        <v>1083</v>
      </c>
      <c r="B2794" s="62" t="s">
        <v>1230</v>
      </c>
      <c r="C2794" s="63"/>
      <c r="D2794" s="64"/>
      <c r="E2794" s="65"/>
      <c r="F2794" s="66"/>
      <c r="G2794" s="63"/>
      <c r="H2794" s="67"/>
      <c r="I2794" s="68"/>
      <c r="J2794" s="68"/>
      <c r="K2794" s="32"/>
      <c r="L2794" s="75"/>
      <c r="M2794" s="75"/>
      <c r="N2794" s="70"/>
      <c r="O2794" t="s">
        <v>1570</v>
      </c>
      <c r="P2794" s="76">
        <v>44959.573368055557</v>
      </c>
      <c r="Q2794" t="s">
        <v>1693</v>
      </c>
      <c r="V2794" s="77" t="str">
        <f>HYPERLINK("https://pbs.twimg.com/profile_images/1289577046125895683/0YR0aRZI_normal.jpg")</f>
        <v>https://pbs.twimg.com/profile_images/1289577046125895683/0YR0aRZI_normal.jpg</v>
      </c>
      <c r="W2794" s="76">
        <v>44959.573368055557</v>
      </c>
      <c r="X2794" s="80">
        <v>44959</v>
      </c>
      <c r="Y2794" s="78" t="s">
        <v>3399</v>
      </c>
      <c r="Z2794" s="77" t="str">
        <f>HYPERLINK("https://twitter.com/cxrioxs/status/1621142806713765889")</f>
        <v>https://twitter.com/cxrioxs/status/1621142806713765889</v>
      </c>
      <c r="AC2794" s="78" t="s">
        <v>4464</v>
      </c>
      <c r="AE2794" t="b">
        <v>0</v>
      </c>
      <c r="AF2794">
        <v>0</v>
      </c>
      <c r="AG2794" s="78" t="s">
        <v>4640</v>
      </c>
      <c r="AH2794" t="b">
        <v>0</v>
      </c>
      <c r="AI2794" t="s">
        <v>4829</v>
      </c>
      <c r="AK2794" s="78" t="s">
        <v>4640</v>
      </c>
      <c r="AL2794" t="b">
        <v>0</v>
      </c>
      <c r="AM2794">
        <v>162</v>
      </c>
      <c r="AN2794" s="78" t="s">
        <v>4473</v>
      </c>
      <c r="AO2794" s="78" t="s">
        <v>4849</v>
      </c>
      <c r="AP2794" t="b">
        <v>0</v>
      </c>
      <c r="AQ2794" s="78" t="s">
        <v>4473</v>
      </c>
      <c r="AR2794" t="s">
        <v>179</v>
      </c>
      <c r="AS2794">
        <v>0</v>
      </c>
      <c r="AT2794">
        <v>0</v>
      </c>
    </row>
    <row r="2795" spans="1:46" x14ac:dyDescent="0.45">
      <c r="A2795" s="62" t="s">
        <v>1083</v>
      </c>
      <c r="B2795" s="62" t="s">
        <v>242</v>
      </c>
      <c r="C2795" s="63"/>
      <c r="D2795" s="64"/>
      <c r="E2795" s="65"/>
      <c r="F2795" s="66"/>
      <c r="G2795" s="63"/>
      <c r="H2795" s="67"/>
      <c r="I2795" s="68"/>
      <c r="J2795" s="68"/>
      <c r="K2795" s="32"/>
      <c r="L2795" s="75"/>
      <c r="M2795" s="75"/>
      <c r="N2795" s="70"/>
      <c r="O2795" t="s">
        <v>1569</v>
      </c>
      <c r="P2795" s="76">
        <v>44959.573368055557</v>
      </c>
      <c r="Q2795" t="s">
        <v>1693</v>
      </c>
      <c r="V2795" s="77" t="str">
        <f>HYPERLINK("https://pbs.twimg.com/profile_images/1289577046125895683/0YR0aRZI_normal.jpg")</f>
        <v>https://pbs.twimg.com/profile_images/1289577046125895683/0YR0aRZI_normal.jpg</v>
      </c>
      <c r="W2795" s="76">
        <v>44959.573368055557</v>
      </c>
      <c r="X2795" s="80">
        <v>44959</v>
      </c>
      <c r="Y2795" s="78" t="s">
        <v>3399</v>
      </c>
      <c r="Z2795" s="77" t="str">
        <f>HYPERLINK("https://twitter.com/cxrioxs/status/1621142806713765889")</f>
        <v>https://twitter.com/cxrioxs/status/1621142806713765889</v>
      </c>
      <c r="AC2795" s="78" t="s">
        <v>4464</v>
      </c>
      <c r="AE2795" t="b">
        <v>0</v>
      </c>
      <c r="AF2795">
        <v>0</v>
      </c>
      <c r="AG2795" s="78" t="s">
        <v>4640</v>
      </c>
      <c r="AH2795" t="b">
        <v>0</v>
      </c>
      <c r="AI2795" t="s">
        <v>4829</v>
      </c>
      <c r="AK2795" s="78" t="s">
        <v>4640</v>
      </c>
      <c r="AL2795" t="b">
        <v>0</v>
      </c>
      <c r="AM2795">
        <v>162</v>
      </c>
      <c r="AN2795" s="78" t="s">
        <v>4473</v>
      </c>
      <c r="AO2795" s="78" t="s">
        <v>4849</v>
      </c>
      <c r="AP2795" t="b">
        <v>0</v>
      </c>
      <c r="AQ2795" s="78" t="s">
        <v>4473</v>
      </c>
      <c r="AR2795" t="s">
        <v>179</v>
      </c>
      <c r="AS2795">
        <v>0</v>
      </c>
      <c r="AT2795">
        <v>0</v>
      </c>
    </row>
    <row r="2796" spans="1:46" x14ac:dyDescent="0.45">
      <c r="A2796" s="62" t="s">
        <v>1085</v>
      </c>
      <c r="B2796" s="62" t="s">
        <v>1187</v>
      </c>
      <c r="C2796" s="63"/>
      <c r="D2796" s="64"/>
      <c r="E2796" s="65"/>
      <c r="F2796" s="66"/>
      <c r="G2796" s="63"/>
      <c r="H2796" s="67"/>
      <c r="I2796" s="68"/>
      <c r="J2796" s="68"/>
      <c r="K2796" s="32"/>
      <c r="L2796" s="75"/>
      <c r="M2796" s="75"/>
      <c r="N2796" s="70"/>
      <c r="O2796" t="s">
        <v>1570</v>
      </c>
      <c r="P2796" s="76">
        <v>44959.57372685185</v>
      </c>
      <c r="Q2796" t="s">
        <v>1643</v>
      </c>
      <c r="V2796" s="77" t="str">
        <f>HYPERLINK("https://pbs.twimg.com/profile_images/1283863282927968258/2LWz7-78_normal.jpg")</f>
        <v>https://pbs.twimg.com/profile_images/1283863282927968258/2LWz7-78_normal.jpg</v>
      </c>
      <c r="W2796" s="76">
        <v>44959.57372685185</v>
      </c>
      <c r="X2796" s="80">
        <v>44959</v>
      </c>
      <c r="Y2796" s="78" t="s">
        <v>3401</v>
      </c>
      <c r="Z2796" s="77" t="str">
        <f>HYPERLINK("https://twitter.com/dextercmason/status/1621142938423267333")</f>
        <v>https://twitter.com/dextercmason/status/1621142938423267333</v>
      </c>
      <c r="AC2796" s="78" t="s">
        <v>4466</v>
      </c>
      <c r="AE2796" t="b">
        <v>0</v>
      </c>
      <c r="AF2796">
        <v>0</v>
      </c>
      <c r="AG2796" s="78" t="s">
        <v>4640</v>
      </c>
      <c r="AH2796" t="b">
        <v>0</v>
      </c>
      <c r="AI2796" t="s">
        <v>4829</v>
      </c>
      <c r="AK2796" s="78" t="s">
        <v>4640</v>
      </c>
      <c r="AL2796" t="b">
        <v>0</v>
      </c>
      <c r="AM2796">
        <v>1</v>
      </c>
      <c r="AN2796" s="78" t="s">
        <v>4465</v>
      </c>
      <c r="AO2796" s="78" t="s">
        <v>4849</v>
      </c>
      <c r="AP2796" t="b">
        <v>0</v>
      </c>
      <c r="AQ2796" s="78" t="s">
        <v>4465</v>
      </c>
      <c r="AR2796" t="s">
        <v>179</v>
      </c>
      <c r="AS2796">
        <v>0</v>
      </c>
      <c r="AT2796">
        <v>0</v>
      </c>
    </row>
    <row r="2797" spans="1:46" x14ac:dyDescent="0.45">
      <c r="A2797" s="62" t="s">
        <v>1085</v>
      </c>
      <c r="B2797" s="62" t="s">
        <v>1188</v>
      </c>
      <c r="C2797" s="63"/>
      <c r="D2797" s="64"/>
      <c r="E2797" s="65"/>
      <c r="F2797" s="66"/>
      <c r="G2797" s="63"/>
      <c r="H2797" s="67"/>
      <c r="I2797" s="68"/>
      <c r="J2797" s="68"/>
      <c r="K2797" s="32"/>
      <c r="L2797" s="75"/>
      <c r="M2797" s="75"/>
      <c r="N2797" s="70"/>
      <c r="O2797" t="s">
        <v>1570</v>
      </c>
      <c r="P2797" s="76">
        <v>44959.57372685185</v>
      </c>
      <c r="Q2797" t="s">
        <v>1643</v>
      </c>
      <c r="V2797" s="77" t="str">
        <f>HYPERLINK("https://pbs.twimg.com/profile_images/1283863282927968258/2LWz7-78_normal.jpg")</f>
        <v>https://pbs.twimg.com/profile_images/1283863282927968258/2LWz7-78_normal.jpg</v>
      </c>
      <c r="W2797" s="76">
        <v>44959.57372685185</v>
      </c>
      <c r="X2797" s="80">
        <v>44959</v>
      </c>
      <c r="Y2797" s="78" t="s">
        <v>3401</v>
      </c>
      <c r="Z2797" s="77" t="str">
        <f>HYPERLINK("https://twitter.com/dextercmason/status/1621142938423267333")</f>
        <v>https://twitter.com/dextercmason/status/1621142938423267333</v>
      </c>
      <c r="AC2797" s="78" t="s">
        <v>4466</v>
      </c>
      <c r="AE2797" t="b">
        <v>0</v>
      </c>
      <c r="AF2797">
        <v>0</v>
      </c>
      <c r="AG2797" s="78" t="s">
        <v>4640</v>
      </c>
      <c r="AH2797" t="b">
        <v>0</v>
      </c>
      <c r="AI2797" t="s">
        <v>4829</v>
      </c>
      <c r="AK2797" s="78" t="s">
        <v>4640</v>
      </c>
      <c r="AL2797" t="b">
        <v>0</v>
      </c>
      <c r="AM2797">
        <v>1</v>
      </c>
      <c r="AN2797" s="78" t="s">
        <v>4465</v>
      </c>
      <c r="AO2797" s="78" t="s">
        <v>4849</v>
      </c>
      <c r="AP2797" t="b">
        <v>0</v>
      </c>
      <c r="AQ2797" s="78" t="s">
        <v>4465</v>
      </c>
      <c r="AR2797" t="s">
        <v>179</v>
      </c>
      <c r="AS2797">
        <v>0</v>
      </c>
      <c r="AT2797">
        <v>0</v>
      </c>
    </row>
    <row r="2798" spans="1:46" x14ac:dyDescent="0.45">
      <c r="A2798" s="62" t="s">
        <v>1085</v>
      </c>
      <c r="B2798" s="62" t="s">
        <v>1189</v>
      </c>
      <c r="C2798" s="63"/>
      <c r="D2798" s="64"/>
      <c r="E2798" s="65"/>
      <c r="F2798" s="66"/>
      <c r="G2798" s="63"/>
      <c r="H2798" s="67"/>
      <c r="I2798" s="68"/>
      <c r="J2798" s="68"/>
      <c r="K2798" s="32"/>
      <c r="L2798" s="75"/>
      <c r="M2798" s="75"/>
      <c r="N2798" s="70"/>
      <c r="O2798" t="s">
        <v>1570</v>
      </c>
      <c r="P2798" s="76">
        <v>44959.57372685185</v>
      </c>
      <c r="Q2798" t="s">
        <v>1643</v>
      </c>
      <c r="V2798" s="77" t="str">
        <f>HYPERLINK("https://pbs.twimg.com/profile_images/1283863282927968258/2LWz7-78_normal.jpg")</f>
        <v>https://pbs.twimg.com/profile_images/1283863282927968258/2LWz7-78_normal.jpg</v>
      </c>
      <c r="W2798" s="76">
        <v>44959.57372685185</v>
      </c>
      <c r="X2798" s="80">
        <v>44959</v>
      </c>
      <c r="Y2798" s="78" t="s">
        <v>3401</v>
      </c>
      <c r="Z2798" s="77" t="str">
        <f>HYPERLINK("https://twitter.com/dextercmason/status/1621142938423267333")</f>
        <v>https://twitter.com/dextercmason/status/1621142938423267333</v>
      </c>
      <c r="AC2798" s="78" t="s">
        <v>4466</v>
      </c>
      <c r="AE2798" t="b">
        <v>0</v>
      </c>
      <c r="AF2798">
        <v>0</v>
      </c>
      <c r="AG2798" s="78" t="s">
        <v>4640</v>
      </c>
      <c r="AH2798" t="b">
        <v>0</v>
      </c>
      <c r="AI2798" t="s">
        <v>4829</v>
      </c>
      <c r="AK2798" s="78" t="s">
        <v>4640</v>
      </c>
      <c r="AL2798" t="b">
        <v>0</v>
      </c>
      <c r="AM2798">
        <v>1</v>
      </c>
      <c r="AN2798" s="78" t="s">
        <v>4465</v>
      </c>
      <c r="AO2798" s="78" t="s">
        <v>4849</v>
      </c>
      <c r="AP2798" t="b">
        <v>0</v>
      </c>
      <c r="AQ2798" s="78" t="s">
        <v>4465</v>
      </c>
      <c r="AR2798" t="s">
        <v>179</v>
      </c>
      <c r="AS2798">
        <v>0</v>
      </c>
      <c r="AT2798">
        <v>0</v>
      </c>
    </row>
    <row r="2799" spans="1:46" x14ac:dyDescent="0.45">
      <c r="A2799" s="62" t="s">
        <v>1085</v>
      </c>
      <c r="B2799" s="62" t="s">
        <v>1190</v>
      </c>
      <c r="C2799" s="63"/>
      <c r="D2799" s="64"/>
      <c r="E2799" s="65"/>
      <c r="F2799" s="66"/>
      <c r="G2799" s="63"/>
      <c r="H2799" s="67"/>
      <c r="I2799" s="68"/>
      <c r="J2799" s="68"/>
      <c r="K2799" s="32"/>
      <c r="L2799" s="75"/>
      <c r="M2799" s="75"/>
      <c r="N2799" s="70"/>
      <c r="O2799" t="s">
        <v>1570</v>
      </c>
      <c r="P2799" s="76">
        <v>44959.57372685185</v>
      </c>
      <c r="Q2799" t="s">
        <v>1643</v>
      </c>
      <c r="V2799" s="77" t="str">
        <f>HYPERLINK("https://pbs.twimg.com/profile_images/1283863282927968258/2LWz7-78_normal.jpg")</f>
        <v>https://pbs.twimg.com/profile_images/1283863282927968258/2LWz7-78_normal.jpg</v>
      </c>
      <c r="W2799" s="76">
        <v>44959.57372685185</v>
      </c>
      <c r="X2799" s="80">
        <v>44959</v>
      </c>
      <c r="Y2799" s="78" t="s">
        <v>3401</v>
      </c>
      <c r="Z2799" s="77" t="str">
        <f>HYPERLINK("https://twitter.com/dextercmason/status/1621142938423267333")</f>
        <v>https://twitter.com/dextercmason/status/1621142938423267333</v>
      </c>
      <c r="AC2799" s="78" t="s">
        <v>4466</v>
      </c>
      <c r="AE2799" t="b">
        <v>0</v>
      </c>
      <c r="AF2799">
        <v>0</v>
      </c>
      <c r="AG2799" s="78" t="s">
        <v>4640</v>
      </c>
      <c r="AH2799" t="b">
        <v>0</v>
      </c>
      <c r="AI2799" t="s">
        <v>4829</v>
      </c>
      <c r="AK2799" s="78" t="s">
        <v>4640</v>
      </c>
      <c r="AL2799" t="b">
        <v>0</v>
      </c>
      <c r="AM2799">
        <v>1</v>
      </c>
      <c r="AN2799" s="78" t="s">
        <v>4465</v>
      </c>
      <c r="AO2799" s="78" t="s">
        <v>4849</v>
      </c>
      <c r="AP2799" t="b">
        <v>0</v>
      </c>
      <c r="AQ2799" s="78" t="s">
        <v>4465</v>
      </c>
      <c r="AR2799" t="s">
        <v>179</v>
      </c>
      <c r="AS2799">
        <v>0</v>
      </c>
      <c r="AT2799">
        <v>0</v>
      </c>
    </row>
    <row r="2800" spans="1:46" x14ac:dyDescent="0.45">
      <c r="A2800" s="62" t="s">
        <v>1085</v>
      </c>
      <c r="B2800" s="62" t="s">
        <v>1191</v>
      </c>
      <c r="C2800" s="63"/>
      <c r="D2800" s="64"/>
      <c r="E2800" s="65"/>
      <c r="F2800" s="66"/>
      <c r="G2800" s="63"/>
      <c r="H2800" s="67"/>
      <c r="I2800" s="68"/>
      <c r="J2800" s="68"/>
      <c r="K2800" s="32"/>
      <c r="L2800" s="75"/>
      <c r="M2800" s="75"/>
      <c r="N2800" s="70"/>
      <c r="O2800" t="s">
        <v>1570</v>
      </c>
      <c r="P2800" s="76">
        <v>44959.57372685185</v>
      </c>
      <c r="Q2800" t="s">
        <v>1643</v>
      </c>
      <c r="V2800" s="77" t="str">
        <f>HYPERLINK("https://pbs.twimg.com/profile_images/1283863282927968258/2LWz7-78_normal.jpg")</f>
        <v>https://pbs.twimg.com/profile_images/1283863282927968258/2LWz7-78_normal.jpg</v>
      </c>
      <c r="W2800" s="76">
        <v>44959.57372685185</v>
      </c>
      <c r="X2800" s="80">
        <v>44959</v>
      </c>
      <c r="Y2800" s="78" t="s">
        <v>3401</v>
      </c>
      <c r="Z2800" s="77" t="str">
        <f>HYPERLINK("https://twitter.com/dextercmason/status/1621142938423267333")</f>
        <v>https://twitter.com/dextercmason/status/1621142938423267333</v>
      </c>
      <c r="AC2800" s="78" t="s">
        <v>4466</v>
      </c>
      <c r="AE2800" t="b">
        <v>0</v>
      </c>
      <c r="AF2800">
        <v>0</v>
      </c>
      <c r="AG2800" s="78" t="s">
        <v>4640</v>
      </c>
      <c r="AH2800" t="b">
        <v>0</v>
      </c>
      <c r="AI2800" t="s">
        <v>4829</v>
      </c>
      <c r="AK2800" s="78" t="s">
        <v>4640</v>
      </c>
      <c r="AL2800" t="b">
        <v>0</v>
      </c>
      <c r="AM2800">
        <v>1</v>
      </c>
      <c r="AN2800" s="78" t="s">
        <v>4465</v>
      </c>
      <c r="AO2800" s="78" t="s">
        <v>4849</v>
      </c>
      <c r="AP2800" t="b">
        <v>0</v>
      </c>
      <c r="AQ2800" s="78" t="s">
        <v>4465</v>
      </c>
      <c r="AR2800" t="s">
        <v>179</v>
      </c>
      <c r="AS2800">
        <v>0</v>
      </c>
      <c r="AT2800">
        <v>0</v>
      </c>
    </row>
    <row r="2801" spans="1:46" x14ac:dyDescent="0.45">
      <c r="A2801" s="62" t="s">
        <v>1085</v>
      </c>
      <c r="B2801" s="62" t="s">
        <v>1192</v>
      </c>
      <c r="C2801" s="63"/>
      <c r="D2801" s="64"/>
      <c r="E2801" s="65"/>
      <c r="F2801" s="66"/>
      <c r="G2801" s="63"/>
      <c r="H2801" s="67"/>
      <c r="I2801" s="68"/>
      <c r="J2801" s="68"/>
      <c r="K2801" s="32"/>
      <c r="L2801" s="75"/>
      <c r="M2801" s="75"/>
      <c r="N2801" s="70"/>
      <c r="O2801" t="s">
        <v>1570</v>
      </c>
      <c r="P2801" s="76">
        <v>44959.57372685185</v>
      </c>
      <c r="Q2801" t="s">
        <v>1643</v>
      </c>
      <c r="V2801" s="77" t="str">
        <f>HYPERLINK("https://pbs.twimg.com/profile_images/1283863282927968258/2LWz7-78_normal.jpg")</f>
        <v>https://pbs.twimg.com/profile_images/1283863282927968258/2LWz7-78_normal.jpg</v>
      </c>
      <c r="W2801" s="76">
        <v>44959.57372685185</v>
      </c>
      <c r="X2801" s="80">
        <v>44959</v>
      </c>
      <c r="Y2801" s="78" t="s">
        <v>3401</v>
      </c>
      <c r="Z2801" s="77" t="str">
        <f>HYPERLINK("https://twitter.com/dextercmason/status/1621142938423267333")</f>
        <v>https://twitter.com/dextercmason/status/1621142938423267333</v>
      </c>
      <c r="AC2801" s="78" t="s">
        <v>4466</v>
      </c>
      <c r="AE2801" t="b">
        <v>0</v>
      </c>
      <c r="AF2801">
        <v>0</v>
      </c>
      <c r="AG2801" s="78" t="s">
        <v>4640</v>
      </c>
      <c r="AH2801" t="b">
        <v>0</v>
      </c>
      <c r="AI2801" t="s">
        <v>4829</v>
      </c>
      <c r="AK2801" s="78" t="s">
        <v>4640</v>
      </c>
      <c r="AL2801" t="b">
        <v>0</v>
      </c>
      <c r="AM2801">
        <v>1</v>
      </c>
      <c r="AN2801" s="78" t="s">
        <v>4465</v>
      </c>
      <c r="AO2801" s="78" t="s">
        <v>4849</v>
      </c>
      <c r="AP2801" t="b">
        <v>0</v>
      </c>
      <c r="AQ2801" s="78" t="s">
        <v>4465</v>
      </c>
      <c r="AR2801" t="s">
        <v>179</v>
      </c>
      <c r="AS2801">
        <v>0</v>
      </c>
      <c r="AT2801">
        <v>0</v>
      </c>
    </row>
    <row r="2802" spans="1:46" x14ac:dyDescent="0.45">
      <c r="A2802" s="62" t="s">
        <v>1085</v>
      </c>
      <c r="B2802" s="62" t="s">
        <v>1193</v>
      </c>
      <c r="C2802" s="63"/>
      <c r="D2802" s="64"/>
      <c r="E2802" s="65"/>
      <c r="F2802" s="66"/>
      <c r="G2802" s="63"/>
      <c r="H2802" s="67"/>
      <c r="I2802" s="68"/>
      <c r="J2802" s="68"/>
      <c r="K2802" s="32"/>
      <c r="L2802" s="75"/>
      <c r="M2802" s="75"/>
      <c r="N2802" s="70"/>
      <c r="O2802" t="s">
        <v>1570</v>
      </c>
      <c r="P2802" s="76">
        <v>44959.57372685185</v>
      </c>
      <c r="Q2802" t="s">
        <v>1643</v>
      </c>
      <c r="V2802" s="77" t="str">
        <f>HYPERLINK("https://pbs.twimg.com/profile_images/1283863282927968258/2LWz7-78_normal.jpg")</f>
        <v>https://pbs.twimg.com/profile_images/1283863282927968258/2LWz7-78_normal.jpg</v>
      </c>
      <c r="W2802" s="76">
        <v>44959.57372685185</v>
      </c>
      <c r="X2802" s="80">
        <v>44959</v>
      </c>
      <c r="Y2802" s="78" t="s">
        <v>3401</v>
      </c>
      <c r="Z2802" s="77" t="str">
        <f>HYPERLINK("https://twitter.com/dextercmason/status/1621142938423267333")</f>
        <v>https://twitter.com/dextercmason/status/1621142938423267333</v>
      </c>
      <c r="AC2802" s="78" t="s">
        <v>4466</v>
      </c>
      <c r="AE2802" t="b">
        <v>0</v>
      </c>
      <c r="AF2802">
        <v>0</v>
      </c>
      <c r="AG2802" s="78" t="s">
        <v>4640</v>
      </c>
      <c r="AH2802" t="b">
        <v>0</v>
      </c>
      <c r="AI2802" t="s">
        <v>4829</v>
      </c>
      <c r="AK2802" s="78" t="s">
        <v>4640</v>
      </c>
      <c r="AL2802" t="b">
        <v>0</v>
      </c>
      <c r="AM2802">
        <v>1</v>
      </c>
      <c r="AN2802" s="78" t="s">
        <v>4465</v>
      </c>
      <c r="AO2802" s="78" t="s">
        <v>4849</v>
      </c>
      <c r="AP2802" t="b">
        <v>0</v>
      </c>
      <c r="AQ2802" s="78" t="s">
        <v>4465</v>
      </c>
      <c r="AR2802" t="s">
        <v>179</v>
      </c>
      <c r="AS2802">
        <v>0</v>
      </c>
      <c r="AT2802">
        <v>0</v>
      </c>
    </row>
    <row r="2803" spans="1:46" x14ac:dyDescent="0.45">
      <c r="A2803" s="62" t="s">
        <v>1085</v>
      </c>
      <c r="B2803" s="62" t="s">
        <v>1194</v>
      </c>
      <c r="C2803" s="63"/>
      <c r="D2803" s="64"/>
      <c r="E2803" s="65"/>
      <c r="F2803" s="66"/>
      <c r="G2803" s="63"/>
      <c r="H2803" s="67"/>
      <c r="I2803" s="68"/>
      <c r="J2803" s="68"/>
      <c r="K2803" s="32"/>
      <c r="L2803" s="75"/>
      <c r="M2803" s="75"/>
      <c r="N2803" s="70"/>
      <c r="O2803" t="s">
        <v>1570</v>
      </c>
      <c r="P2803" s="76">
        <v>44959.57372685185</v>
      </c>
      <c r="Q2803" t="s">
        <v>1643</v>
      </c>
      <c r="V2803" s="77" t="str">
        <f>HYPERLINK("https://pbs.twimg.com/profile_images/1283863282927968258/2LWz7-78_normal.jpg")</f>
        <v>https://pbs.twimg.com/profile_images/1283863282927968258/2LWz7-78_normal.jpg</v>
      </c>
      <c r="W2803" s="76">
        <v>44959.57372685185</v>
      </c>
      <c r="X2803" s="80">
        <v>44959</v>
      </c>
      <c r="Y2803" s="78" t="s">
        <v>3401</v>
      </c>
      <c r="Z2803" s="77" t="str">
        <f>HYPERLINK("https://twitter.com/dextercmason/status/1621142938423267333")</f>
        <v>https://twitter.com/dextercmason/status/1621142938423267333</v>
      </c>
      <c r="AC2803" s="78" t="s">
        <v>4466</v>
      </c>
      <c r="AE2803" t="b">
        <v>0</v>
      </c>
      <c r="AF2803">
        <v>0</v>
      </c>
      <c r="AG2803" s="78" t="s">
        <v>4640</v>
      </c>
      <c r="AH2803" t="b">
        <v>0</v>
      </c>
      <c r="AI2803" t="s">
        <v>4829</v>
      </c>
      <c r="AK2803" s="78" t="s">
        <v>4640</v>
      </c>
      <c r="AL2803" t="b">
        <v>0</v>
      </c>
      <c r="AM2803">
        <v>1</v>
      </c>
      <c r="AN2803" s="78" t="s">
        <v>4465</v>
      </c>
      <c r="AO2803" s="78" t="s">
        <v>4849</v>
      </c>
      <c r="AP2803" t="b">
        <v>0</v>
      </c>
      <c r="AQ2803" s="78" t="s">
        <v>4465</v>
      </c>
      <c r="AR2803" t="s">
        <v>179</v>
      </c>
      <c r="AS2803">
        <v>0</v>
      </c>
      <c r="AT2803">
        <v>0</v>
      </c>
    </row>
    <row r="2804" spans="1:46" x14ac:dyDescent="0.45">
      <c r="A2804" s="62" t="s">
        <v>1085</v>
      </c>
      <c r="B2804" s="62" t="s">
        <v>1195</v>
      </c>
      <c r="C2804" s="63"/>
      <c r="D2804" s="64"/>
      <c r="E2804" s="65"/>
      <c r="F2804" s="66"/>
      <c r="G2804" s="63"/>
      <c r="H2804" s="67"/>
      <c r="I2804" s="68"/>
      <c r="J2804" s="68"/>
      <c r="K2804" s="32"/>
      <c r="L2804" s="75"/>
      <c r="M2804" s="75"/>
      <c r="N2804" s="70"/>
      <c r="O2804" t="s">
        <v>1570</v>
      </c>
      <c r="P2804" s="76">
        <v>44959.57372685185</v>
      </c>
      <c r="Q2804" t="s">
        <v>1643</v>
      </c>
      <c r="V2804" s="77" t="str">
        <f>HYPERLINK("https://pbs.twimg.com/profile_images/1283863282927968258/2LWz7-78_normal.jpg")</f>
        <v>https://pbs.twimg.com/profile_images/1283863282927968258/2LWz7-78_normal.jpg</v>
      </c>
      <c r="W2804" s="76">
        <v>44959.57372685185</v>
      </c>
      <c r="X2804" s="80">
        <v>44959</v>
      </c>
      <c r="Y2804" s="78" t="s">
        <v>3401</v>
      </c>
      <c r="Z2804" s="77" t="str">
        <f>HYPERLINK("https://twitter.com/dextercmason/status/1621142938423267333")</f>
        <v>https://twitter.com/dextercmason/status/1621142938423267333</v>
      </c>
      <c r="AC2804" s="78" t="s">
        <v>4466</v>
      </c>
      <c r="AE2804" t="b">
        <v>0</v>
      </c>
      <c r="AF2804">
        <v>0</v>
      </c>
      <c r="AG2804" s="78" t="s">
        <v>4640</v>
      </c>
      <c r="AH2804" t="b">
        <v>0</v>
      </c>
      <c r="AI2804" t="s">
        <v>4829</v>
      </c>
      <c r="AK2804" s="78" t="s">
        <v>4640</v>
      </c>
      <c r="AL2804" t="b">
        <v>0</v>
      </c>
      <c r="AM2804">
        <v>1</v>
      </c>
      <c r="AN2804" s="78" t="s">
        <v>4465</v>
      </c>
      <c r="AO2804" s="78" t="s">
        <v>4849</v>
      </c>
      <c r="AP2804" t="b">
        <v>0</v>
      </c>
      <c r="AQ2804" s="78" t="s">
        <v>4465</v>
      </c>
      <c r="AR2804" t="s">
        <v>179</v>
      </c>
      <c r="AS2804">
        <v>0</v>
      </c>
      <c r="AT2804">
        <v>0</v>
      </c>
    </row>
    <row r="2805" spans="1:46" x14ac:dyDescent="0.45">
      <c r="A2805" s="62" t="s">
        <v>1085</v>
      </c>
      <c r="B2805" s="62" t="s">
        <v>1196</v>
      </c>
      <c r="C2805" s="63"/>
      <c r="D2805" s="64"/>
      <c r="E2805" s="65"/>
      <c r="F2805" s="66"/>
      <c r="G2805" s="63"/>
      <c r="H2805" s="67"/>
      <c r="I2805" s="68"/>
      <c r="J2805" s="68"/>
      <c r="K2805" s="32"/>
      <c r="L2805" s="75"/>
      <c r="M2805" s="75"/>
      <c r="N2805" s="70"/>
      <c r="O2805" t="s">
        <v>1570</v>
      </c>
      <c r="P2805" s="76">
        <v>44959.57372685185</v>
      </c>
      <c r="Q2805" t="s">
        <v>1643</v>
      </c>
      <c r="V2805" s="77" t="str">
        <f>HYPERLINK("https://pbs.twimg.com/profile_images/1283863282927968258/2LWz7-78_normal.jpg")</f>
        <v>https://pbs.twimg.com/profile_images/1283863282927968258/2LWz7-78_normal.jpg</v>
      </c>
      <c r="W2805" s="76">
        <v>44959.57372685185</v>
      </c>
      <c r="X2805" s="80">
        <v>44959</v>
      </c>
      <c r="Y2805" s="78" t="s">
        <v>3401</v>
      </c>
      <c r="Z2805" s="77" t="str">
        <f>HYPERLINK("https://twitter.com/dextercmason/status/1621142938423267333")</f>
        <v>https://twitter.com/dextercmason/status/1621142938423267333</v>
      </c>
      <c r="AC2805" s="78" t="s">
        <v>4466</v>
      </c>
      <c r="AE2805" t="b">
        <v>0</v>
      </c>
      <c r="AF2805">
        <v>0</v>
      </c>
      <c r="AG2805" s="78" t="s">
        <v>4640</v>
      </c>
      <c r="AH2805" t="b">
        <v>0</v>
      </c>
      <c r="AI2805" t="s">
        <v>4829</v>
      </c>
      <c r="AK2805" s="78" t="s">
        <v>4640</v>
      </c>
      <c r="AL2805" t="b">
        <v>0</v>
      </c>
      <c r="AM2805">
        <v>1</v>
      </c>
      <c r="AN2805" s="78" t="s">
        <v>4465</v>
      </c>
      <c r="AO2805" s="78" t="s">
        <v>4849</v>
      </c>
      <c r="AP2805" t="b">
        <v>0</v>
      </c>
      <c r="AQ2805" s="78" t="s">
        <v>4465</v>
      </c>
      <c r="AR2805" t="s">
        <v>179</v>
      </c>
      <c r="AS2805">
        <v>0</v>
      </c>
      <c r="AT2805">
        <v>0</v>
      </c>
    </row>
    <row r="2806" spans="1:46" x14ac:dyDescent="0.45">
      <c r="A2806" s="62" t="s">
        <v>1085</v>
      </c>
      <c r="B2806" s="62" t="s">
        <v>1197</v>
      </c>
      <c r="C2806" s="63"/>
      <c r="D2806" s="64"/>
      <c r="E2806" s="65"/>
      <c r="F2806" s="66"/>
      <c r="G2806" s="63"/>
      <c r="H2806" s="67"/>
      <c r="I2806" s="68"/>
      <c r="J2806" s="68"/>
      <c r="K2806" s="32"/>
      <c r="L2806" s="75"/>
      <c r="M2806" s="75"/>
      <c r="N2806" s="70"/>
      <c r="O2806" t="s">
        <v>1570</v>
      </c>
      <c r="P2806" s="76">
        <v>44959.57372685185</v>
      </c>
      <c r="Q2806" t="s">
        <v>1643</v>
      </c>
      <c r="V2806" s="77" t="str">
        <f>HYPERLINK("https://pbs.twimg.com/profile_images/1283863282927968258/2LWz7-78_normal.jpg")</f>
        <v>https://pbs.twimg.com/profile_images/1283863282927968258/2LWz7-78_normal.jpg</v>
      </c>
      <c r="W2806" s="76">
        <v>44959.57372685185</v>
      </c>
      <c r="X2806" s="80">
        <v>44959</v>
      </c>
      <c r="Y2806" s="78" t="s">
        <v>3401</v>
      </c>
      <c r="Z2806" s="77" t="str">
        <f>HYPERLINK("https://twitter.com/dextercmason/status/1621142938423267333")</f>
        <v>https://twitter.com/dextercmason/status/1621142938423267333</v>
      </c>
      <c r="AC2806" s="78" t="s">
        <v>4466</v>
      </c>
      <c r="AE2806" t="b">
        <v>0</v>
      </c>
      <c r="AF2806">
        <v>0</v>
      </c>
      <c r="AG2806" s="78" t="s">
        <v>4640</v>
      </c>
      <c r="AH2806" t="b">
        <v>0</v>
      </c>
      <c r="AI2806" t="s">
        <v>4829</v>
      </c>
      <c r="AK2806" s="78" t="s">
        <v>4640</v>
      </c>
      <c r="AL2806" t="b">
        <v>0</v>
      </c>
      <c r="AM2806">
        <v>1</v>
      </c>
      <c r="AN2806" s="78" t="s">
        <v>4465</v>
      </c>
      <c r="AO2806" s="78" t="s">
        <v>4849</v>
      </c>
      <c r="AP2806" t="b">
        <v>0</v>
      </c>
      <c r="AQ2806" s="78" t="s">
        <v>4465</v>
      </c>
      <c r="AR2806" t="s">
        <v>179</v>
      </c>
      <c r="AS2806">
        <v>0</v>
      </c>
      <c r="AT2806">
        <v>0</v>
      </c>
    </row>
    <row r="2807" spans="1:46" x14ac:dyDescent="0.45">
      <c r="A2807" s="62" t="s">
        <v>1085</v>
      </c>
      <c r="B2807" s="62" t="s">
        <v>1084</v>
      </c>
      <c r="C2807" s="63"/>
      <c r="D2807" s="64"/>
      <c r="E2807" s="65"/>
      <c r="F2807" s="66"/>
      <c r="G2807" s="63"/>
      <c r="H2807" s="67"/>
      <c r="I2807" s="68"/>
      <c r="J2807" s="68"/>
      <c r="K2807" s="32"/>
      <c r="L2807" s="75"/>
      <c r="M2807" s="75"/>
      <c r="N2807" s="70"/>
      <c r="O2807" t="s">
        <v>1569</v>
      </c>
      <c r="P2807" s="76">
        <v>44959.57372685185</v>
      </c>
      <c r="Q2807" t="s">
        <v>1643</v>
      </c>
      <c r="V2807" s="77" t="str">
        <f>HYPERLINK("https://pbs.twimg.com/profile_images/1283863282927968258/2LWz7-78_normal.jpg")</f>
        <v>https://pbs.twimg.com/profile_images/1283863282927968258/2LWz7-78_normal.jpg</v>
      </c>
      <c r="W2807" s="76">
        <v>44959.57372685185</v>
      </c>
      <c r="X2807" s="80">
        <v>44959</v>
      </c>
      <c r="Y2807" s="78" t="s">
        <v>3401</v>
      </c>
      <c r="Z2807" s="77" t="str">
        <f>HYPERLINK("https://twitter.com/dextercmason/status/1621142938423267333")</f>
        <v>https://twitter.com/dextercmason/status/1621142938423267333</v>
      </c>
      <c r="AC2807" s="78" t="s">
        <v>4466</v>
      </c>
      <c r="AE2807" t="b">
        <v>0</v>
      </c>
      <c r="AF2807">
        <v>0</v>
      </c>
      <c r="AG2807" s="78" t="s">
        <v>4640</v>
      </c>
      <c r="AH2807" t="b">
        <v>0</v>
      </c>
      <c r="AI2807" t="s">
        <v>4829</v>
      </c>
      <c r="AK2807" s="78" t="s">
        <v>4640</v>
      </c>
      <c r="AL2807" t="b">
        <v>0</v>
      </c>
      <c r="AM2807">
        <v>1</v>
      </c>
      <c r="AN2807" s="78" t="s">
        <v>4465</v>
      </c>
      <c r="AO2807" s="78" t="s">
        <v>4849</v>
      </c>
      <c r="AP2807" t="b">
        <v>0</v>
      </c>
      <c r="AQ2807" s="78" t="s">
        <v>4465</v>
      </c>
      <c r="AR2807" t="s">
        <v>179</v>
      </c>
      <c r="AS2807">
        <v>0</v>
      </c>
      <c r="AT2807">
        <v>0</v>
      </c>
    </row>
    <row r="2808" spans="1:46" x14ac:dyDescent="0.45">
      <c r="A2808" s="62" t="s">
        <v>1085</v>
      </c>
      <c r="B2808" s="62" t="s">
        <v>242</v>
      </c>
      <c r="C2808" s="63"/>
      <c r="D2808" s="64"/>
      <c r="E2808" s="65"/>
      <c r="F2808" s="66"/>
      <c r="G2808" s="63"/>
      <c r="H2808" s="67"/>
      <c r="I2808" s="68"/>
      <c r="J2808" s="68"/>
      <c r="K2808" s="32"/>
      <c r="L2808" s="75"/>
      <c r="M2808" s="75"/>
      <c r="N2808" s="70"/>
      <c r="O2808" t="s">
        <v>1570</v>
      </c>
      <c r="P2808" s="76">
        <v>44959.57372685185</v>
      </c>
      <c r="Q2808" t="s">
        <v>1643</v>
      </c>
      <c r="V2808" s="77" t="str">
        <f>HYPERLINK("https://pbs.twimg.com/profile_images/1283863282927968258/2LWz7-78_normal.jpg")</f>
        <v>https://pbs.twimg.com/profile_images/1283863282927968258/2LWz7-78_normal.jpg</v>
      </c>
      <c r="W2808" s="76">
        <v>44959.57372685185</v>
      </c>
      <c r="X2808" s="80">
        <v>44959</v>
      </c>
      <c r="Y2808" s="78" t="s">
        <v>3401</v>
      </c>
      <c r="Z2808" s="77" t="str">
        <f>HYPERLINK("https://twitter.com/dextercmason/status/1621142938423267333")</f>
        <v>https://twitter.com/dextercmason/status/1621142938423267333</v>
      </c>
      <c r="AC2808" s="78" t="s">
        <v>4466</v>
      </c>
      <c r="AE2808" t="b">
        <v>0</v>
      </c>
      <c r="AF2808">
        <v>0</v>
      </c>
      <c r="AG2808" s="78" t="s">
        <v>4640</v>
      </c>
      <c r="AH2808" t="b">
        <v>0</v>
      </c>
      <c r="AI2808" t="s">
        <v>4829</v>
      </c>
      <c r="AK2808" s="78" t="s">
        <v>4640</v>
      </c>
      <c r="AL2808" t="b">
        <v>0</v>
      </c>
      <c r="AM2808">
        <v>1</v>
      </c>
      <c r="AN2808" s="78" t="s">
        <v>4465</v>
      </c>
      <c r="AO2808" s="78" t="s">
        <v>4849</v>
      </c>
      <c r="AP2808" t="b">
        <v>0</v>
      </c>
      <c r="AQ2808" s="78" t="s">
        <v>4465</v>
      </c>
      <c r="AR2808" t="s">
        <v>179</v>
      </c>
      <c r="AS2808">
        <v>0</v>
      </c>
      <c r="AT2808">
        <v>0</v>
      </c>
    </row>
    <row r="2809" spans="1:46" x14ac:dyDescent="0.45">
      <c r="A2809" s="62" t="s">
        <v>1086</v>
      </c>
      <c r="B2809" s="62" t="s">
        <v>1230</v>
      </c>
      <c r="C2809" s="63"/>
      <c r="D2809" s="64"/>
      <c r="E2809" s="65"/>
      <c r="F2809" s="66"/>
      <c r="G2809" s="63"/>
      <c r="H2809" s="67"/>
      <c r="I2809" s="68"/>
      <c r="J2809" s="68"/>
      <c r="K2809" s="32"/>
      <c r="L2809" s="75"/>
      <c r="M2809" s="75"/>
      <c r="N2809" s="70"/>
      <c r="O2809" t="s">
        <v>1568</v>
      </c>
      <c r="P2809" s="76">
        <v>44959.57571759259</v>
      </c>
      <c r="Q2809" t="s">
        <v>2231</v>
      </c>
      <c r="V2809" s="77" t="str">
        <f>HYPERLINK("https://pbs.twimg.com/profile_images/1599551077166338048/Ckqjmvo5_normal.jpg")</f>
        <v>https://pbs.twimg.com/profile_images/1599551077166338048/Ckqjmvo5_normal.jpg</v>
      </c>
      <c r="W2809" s="76">
        <v>44959.57571759259</v>
      </c>
      <c r="X2809" s="80">
        <v>44959</v>
      </c>
      <c r="Y2809" s="78" t="s">
        <v>3402</v>
      </c>
      <c r="Z2809" s="77" t="str">
        <f>HYPERLINK("https://twitter.com/garzanil/status/1621143658367168514")</f>
        <v>https://twitter.com/garzanil/status/1621143658367168514</v>
      </c>
      <c r="AC2809" s="78" t="s">
        <v>4467</v>
      </c>
      <c r="AD2809" s="78" t="s">
        <v>4473</v>
      </c>
      <c r="AE2809" t="b">
        <v>0</v>
      </c>
      <c r="AF2809">
        <v>0</v>
      </c>
      <c r="AG2809" s="78" t="s">
        <v>4639</v>
      </c>
      <c r="AH2809" t="b">
        <v>0</v>
      </c>
      <c r="AI2809" t="s">
        <v>4829</v>
      </c>
      <c r="AK2809" s="78" t="s">
        <v>4640</v>
      </c>
      <c r="AL2809" t="b">
        <v>0</v>
      </c>
      <c r="AM2809">
        <v>0</v>
      </c>
      <c r="AN2809" s="78" t="s">
        <v>4640</v>
      </c>
      <c r="AO2809" s="78" t="s">
        <v>4851</v>
      </c>
      <c r="AP2809" t="b">
        <v>0</v>
      </c>
      <c r="AQ2809" s="78" t="s">
        <v>4473</v>
      </c>
      <c r="AR2809" t="s">
        <v>179</v>
      </c>
      <c r="AS2809">
        <v>0</v>
      </c>
      <c r="AT2809">
        <v>0</v>
      </c>
    </row>
    <row r="2810" spans="1:46" x14ac:dyDescent="0.45">
      <c r="A2810" s="62" t="s">
        <v>1086</v>
      </c>
      <c r="B2810" s="62" t="s">
        <v>242</v>
      </c>
      <c r="C2810" s="63"/>
      <c r="D2810" s="64"/>
      <c r="E2810" s="65"/>
      <c r="F2810" s="66"/>
      <c r="G2810" s="63"/>
      <c r="H2810" s="67"/>
      <c r="I2810" s="68"/>
      <c r="J2810" s="68"/>
      <c r="K2810" s="32"/>
      <c r="L2810" s="75"/>
      <c r="M2810" s="75"/>
      <c r="N2810" s="70"/>
      <c r="O2810" t="s">
        <v>1567</v>
      </c>
      <c r="P2810" s="76">
        <v>44959.57571759259</v>
      </c>
      <c r="Q2810" t="s">
        <v>2231</v>
      </c>
      <c r="V2810" s="77" t="str">
        <f>HYPERLINK("https://pbs.twimg.com/profile_images/1599551077166338048/Ckqjmvo5_normal.jpg")</f>
        <v>https://pbs.twimg.com/profile_images/1599551077166338048/Ckqjmvo5_normal.jpg</v>
      </c>
      <c r="W2810" s="76">
        <v>44959.57571759259</v>
      </c>
      <c r="X2810" s="80">
        <v>44959</v>
      </c>
      <c r="Y2810" s="78" t="s">
        <v>3402</v>
      </c>
      <c r="Z2810" s="77" t="str">
        <f>HYPERLINK("https://twitter.com/garzanil/status/1621143658367168514")</f>
        <v>https://twitter.com/garzanil/status/1621143658367168514</v>
      </c>
      <c r="AC2810" s="78" t="s">
        <v>4467</v>
      </c>
      <c r="AD2810" s="78" t="s">
        <v>4473</v>
      </c>
      <c r="AE2810" t="b">
        <v>0</v>
      </c>
      <c r="AF2810">
        <v>0</v>
      </c>
      <c r="AG2810" s="78" t="s">
        <v>4639</v>
      </c>
      <c r="AH2810" t="b">
        <v>0</v>
      </c>
      <c r="AI2810" t="s">
        <v>4829</v>
      </c>
      <c r="AK2810" s="78" t="s">
        <v>4640</v>
      </c>
      <c r="AL2810" t="b">
        <v>0</v>
      </c>
      <c r="AM2810">
        <v>0</v>
      </c>
      <c r="AN2810" s="78" t="s">
        <v>4640</v>
      </c>
      <c r="AO2810" s="78" t="s">
        <v>4851</v>
      </c>
      <c r="AP2810" t="b">
        <v>0</v>
      </c>
      <c r="AQ2810" s="78" t="s">
        <v>4473</v>
      </c>
      <c r="AR2810" t="s">
        <v>179</v>
      </c>
      <c r="AS2810">
        <v>0</v>
      </c>
      <c r="AT2810">
        <v>0</v>
      </c>
    </row>
    <row r="2811" spans="1:46" x14ac:dyDescent="0.45">
      <c r="A2811" s="62" t="s">
        <v>1087</v>
      </c>
      <c r="B2811" s="62" t="s">
        <v>1560</v>
      </c>
      <c r="C2811" s="63"/>
      <c r="D2811" s="64"/>
      <c r="E2811" s="65"/>
      <c r="F2811" s="66"/>
      <c r="G2811" s="63"/>
      <c r="H2811" s="67"/>
      <c r="I2811" s="68"/>
      <c r="J2811" s="68"/>
      <c r="K2811" s="32"/>
      <c r="L2811" s="75"/>
      <c r="M2811" s="75"/>
      <c r="N2811" s="70"/>
      <c r="O2811" t="s">
        <v>1568</v>
      </c>
      <c r="P2811" s="76">
        <v>44959.578703703701</v>
      </c>
      <c r="Q2811" t="s">
        <v>2232</v>
      </c>
      <c r="V2811" s="77" t="str">
        <f>HYPERLINK("https://pbs.twimg.com/profile_images/1574435751546294275/Zod20ZD3_normal.jpg")</f>
        <v>https://pbs.twimg.com/profile_images/1574435751546294275/Zod20ZD3_normal.jpg</v>
      </c>
      <c r="W2811" s="76">
        <v>44959.578703703701</v>
      </c>
      <c r="X2811" s="80">
        <v>44959</v>
      </c>
      <c r="Y2811" s="78" t="s">
        <v>3403</v>
      </c>
      <c r="Z2811" s="77" t="str">
        <f>HYPERLINK("https://twitter.com/the_og_hipiap/status/1621144743513030656")</f>
        <v>https://twitter.com/the_og_hipiap/status/1621144743513030656</v>
      </c>
      <c r="AC2811" s="78" t="s">
        <v>4468</v>
      </c>
      <c r="AD2811" s="78" t="s">
        <v>4635</v>
      </c>
      <c r="AE2811" t="b">
        <v>0</v>
      </c>
      <c r="AF2811">
        <v>0</v>
      </c>
      <c r="AG2811" s="78" t="s">
        <v>4824</v>
      </c>
      <c r="AH2811" t="b">
        <v>0</v>
      </c>
      <c r="AI2811" t="s">
        <v>4829</v>
      </c>
      <c r="AK2811" s="78" t="s">
        <v>4640</v>
      </c>
      <c r="AL2811" t="b">
        <v>0</v>
      </c>
      <c r="AM2811">
        <v>0</v>
      </c>
      <c r="AN2811" s="78" t="s">
        <v>4640</v>
      </c>
      <c r="AO2811" s="78" t="s">
        <v>4849</v>
      </c>
      <c r="AP2811" t="b">
        <v>0</v>
      </c>
      <c r="AQ2811" s="78" t="s">
        <v>4635</v>
      </c>
      <c r="AR2811" t="s">
        <v>179</v>
      </c>
      <c r="AS2811">
        <v>0</v>
      </c>
      <c r="AT2811">
        <v>0</v>
      </c>
    </row>
    <row r="2812" spans="1:46" x14ac:dyDescent="0.45">
      <c r="A2812" s="62" t="s">
        <v>1087</v>
      </c>
      <c r="B2812" s="62" t="s">
        <v>1242</v>
      </c>
      <c r="C2812" s="63"/>
      <c r="D2812" s="64"/>
      <c r="E2812" s="65"/>
      <c r="F2812" s="66"/>
      <c r="G2812" s="63"/>
      <c r="H2812" s="67"/>
      <c r="I2812" s="68"/>
      <c r="J2812" s="68"/>
      <c r="K2812" s="32"/>
      <c r="L2812" s="75"/>
      <c r="M2812" s="75"/>
      <c r="N2812" s="70"/>
      <c r="O2812" t="s">
        <v>1568</v>
      </c>
      <c r="P2812" s="76">
        <v>44959.578703703701</v>
      </c>
      <c r="Q2812" t="s">
        <v>2232</v>
      </c>
      <c r="V2812" s="77" t="str">
        <f>HYPERLINK("https://pbs.twimg.com/profile_images/1574435751546294275/Zod20ZD3_normal.jpg")</f>
        <v>https://pbs.twimg.com/profile_images/1574435751546294275/Zod20ZD3_normal.jpg</v>
      </c>
      <c r="W2812" s="76">
        <v>44959.578703703701</v>
      </c>
      <c r="X2812" s="80">
        <v>44959</v>
      </c>
      <c r="Y2812" s="78" t="s">
        <v>3403</v>
      </c>
      <c r="Z2812" s="77" t="str">
        <f>HYPERLINK("https://twitter.com/the_og_hipiap/status/1621144743513030656")</f>
        <v>https://twitter.com/the_og_hipiap/status/1621144743513030656</v>
      </c>
      <c r="AC2812" s="78" t="s">
        <v>4468</v>
      </c>
      <c r="AD2812" s="78" t="s">
        <v>4635</v>
      </c>
      <c r="AE2812" t="b">
        <v>0</v>
      </c>
      <c r="AF2812">
        <v>0</v>
      </c>
      <c r="AG2812" s="78" t="s">
        <v>4824</v>
      </c>
      <c r="AH2812" t="b">
        <v>0</v>
      </c>
      <c r="AI2812" t="s">
        <v>4829</v>
      </c>
      <c r="AK2812" s="78" t="s">
        <v>4640</v>
      </c>
      <c r="AL2812" t="b">
        <v>0</v>
      </c>
      <c r="AM2812">
        <v>0</v>
      </c>
      <c r="AN2812" s="78" t="s">
        <v>4640</v>
      </c>
      <c r="AO2812" s="78" t="s">
        <v>4849</v>
      </c>
      <c r="AP2812" t="b">
        <v>0</v>
      </c>
      <c r="AQ2812" s="78" t="s">
        <v>4635</v>
      </c>
      <c r="AR2812" t="s">
        <v>179</v>
      </c>
      <c r="AS2812">
        <v>0</v>
      </c>
      <c r="AT2812">
        <v>0</v>
      </c>
    </row>
    <row r="2813" spans="1:46" x14ac:dyDescent="0.45">
      <c r="A2813" s="62" t="s">
        <v>1087</v>
      </c>
      <c r="B2813" s="62" t="s">
        <v>1185</v>
      </c>
      <c r="C2813" s="63"/>
      <c r="D2813" s="64"/>
      <c r="E2813" s="65"/>
      <c r="F2813" s="66"/>
      <c r="G2813" s="63"/>
      <c r="H2813" s="67"/>
      <c r="I2813" s="68"/>
      <c r="J2813" s="68"/>
      <c r="K2813" s="32"/>
      <c r="L2813" s="75"/>
      <c r="M2813" s="75"/>
      <c r="N2813" s="70"/>
      <c r="O2813" t="s">
        <v>1568</v>
      </c>
      <c r="P2813" s="76">
        <v>44959.578703703701</v>
      </c>
      <c r="Q2813" t="s">
        <v>2232</v>
      </c>
      <c r="V2813" s="77" t="str">
        <f>HYPERLINK("https://pbs.twimg.com/profile_images/1574435751546294275/Zod20ZD3_normal.jpg")</f>
        <v>https://pbs.twimg.com/profile_images/1574435751546294275/Zod20ZD3_normal.jpg</v>
      </c>
      <c r="W2813" s="76">
        <v>44959.578703703701</v>
      </c>
      <c r="X2813" s="80">
        <v>44959</v>
      </c>
      <c r="Y2813" s="78" t="s">
        <v>3403</v>
      </c>
      <c r="Z2813" s="77" t="str">
        <f>HYPERLINK("https://twitter.com/the_og_hipiap/status/1621144743513030656")</f>
        <v>https://twitter.com/the_og_hipiap/status/1621144743513030656</v>
      </c>
      <c r="AC2813" s="78" t="s">
        <v>4468</v>
      </c>
      <c r="AD2813" s="78" t="s">
        <v>4635</v>
      </c>
      <c r="AE2813" t="b">
        <v>0</v>
      </c>
      <c r="AF2813">
        <v>0</v>
      </c>
      <c r="AG2813" s="78" t="s">
        <v>4824</v>
      </c>
      <c r="AH2813" t="b">
        <v>0</v>
      </c>
      <c r="AI2813" t="s">
        <v>4829</v>
      </c>
      <c r="AK2813" s="78" t="s">
        <v>4640</v>
      </c>
      <c r="AL2813" t="b">
        <v>0</v>
      </c>
      <c r="AM2813">
        <v>0</v>
      </c>
      <c r="AN2813" s="78" t="s">
        <v>4640</v>
      </c>
      <c r="AO2813" s="78" t="s">
        <v>4849</v>
      </c>
      <c r="AP2813" t="b">
        <v>0</v>
      </c>
      <c r="AQ2813" s="78" t="s">
        <v>4635</v>
      </c>
      <c r="AR2813" t="s">
        <v>179</v>
      </c>
      <c r="AS2813">
        <v>0</v>
      </c>
      <c r="AT2813">
        <v>0</v>
      </c>
    </row>
    <row r="2814" spans="1:46" x14ac:dyDescent="0.45">
      <c r="A2814" s="62" t="s">
        <v>1087</v>
      </c>
      <c r="B2814" s="62" t="s">
        <v>1561</v>
      </c>
      <c r="C2814" s="63"/>
      <c r="D2814" s="64"/>
      <c r="E2814" s="65"/>
      <c r="F2814" s="66"/>
      <c r="G2814" s="63"/>
      <c r="H2814" s="67"/>
      <c r="I2814" s="68"/>
      <c r="J2814" s="68"/>
      <c r="K2814" s="32"/>
      <c r="L2814" s="75"/>
      <c r="M2814" s="75"/>
      <c r="N2814" s="70"/>
      <c r="O2814" t="s">
        <v>1568</v>
      </c>
      <c r="P2814" s="76">
        <v>44959.578703703701</v>
      </c>
      <c r="Q2814" t="s">
        <v>2232</v>
      </c>
      <c r="V2814" s="77" t="str">
        <f>HYPERLINK("https://pbs.twimg.com/profile_images/1574435751546294275/Zod20ZD3_normal.jpg")</f>
        <v>https://pbs.twimg.com/profile_images/1574435751546294275/Zod20ZD3_normal.jpg</v>
      </c>
      <c r="W2814" s="76">
        <v>44959.578703703701</v>
      </c>
      <c r="X2814" s="80">
        <v>44959</v>
      </c>
      <c r="Y2814" s="78" t="s">
        <v>3403</v>
      </c>
      <c r="Z2814" s="77" t="str">
        <f>HYPERLINK("https://twitter.com/the_og_hipiap/status/1621144743513030656")</f>
        <v>https://twitter.com/the_og_hipiap/status/1621144743513030656</v>
      </c>
      <c r="AC2814" s="78" t="s">
        <v>4468</v>
      </c>
      <c r="AD2814" s="78" t="s">
        <v>4635</v>
      </c>
      <c r="AE2814" t="b">
        <v>0</v>
      </c>
      <c r="AF2814">
        <v>0</v>
      </c>
      <c r="AG2814" s="78" t="s">
        <v>4824</v>
      </c>
      <c r="AH2814" t="b">
        <v>0</v>
      </c>
      <c r="AI2814" t="s">
        <v>4829</v>
      </c>
      <c r="AK2814" s="78" t="s">
        <v>4640</v>
      </c>
      <c r="AL2814" t="b">
        <v>0</v>
      </c>
      <c r="AM2814">
        <v>0</v>
      </c>
      <c r="AN2814" s="78" t="s">
        <v>4640</v>
      </c>
      <c r="AO2814" s="78" t="s">
        <v>4849</v>
      </c>
      <c r="AP2814" t="b">
        <v>0</v>
      </c>
      <c r="AQ2814" s="78" t="s">
        <v>4635</v>
      </c>
      <c r="AR2814" t="s">
        <v>179</v>
      </c>
      <c r="AS2814">
        <v>0</v>
      </c>
      <c r="AT2814">
        <v>0</v>
      </c>
    </row>
    <row r="2815" spans="1:46" x14ac:dyDescent="0.45">
      <c r="A2815" s="62" t="s">
        <v>1087</v>
      </c>
      <c r="B2815" s="62" t="s">
        <v>1562</v>
      </c>
      <c r="C2815" s="63"/>
      <c r="D2815" s="64"/>
      <c r="E2815" s="65"/>
      <c r="F2815" s="66"/>
      <c r="G2815" s="63"/>
      <c r="H2815" s="67"/>
      <c r="I2815" s="68"/>
      <c r="J2815" s="68"/>
      <c r="K2815" s="32"/>
      <c r="L2815" s="75"/>
      <c r="M2815" s="75"/>
      <c r="N2815" s="70"/>
      <c r="O2815" t="s">
        <v>1567</v>
      </c>
      <c r="P2815" s="76">
        <v>44959.578703703701</v>
      </c>
      <c r="Q2815" t="s">
        <v>2232</v>
      </c>
      <c r="V2815" s="77" t="str">
        <f>HYPERLINK("https://pbs.twimg.com/profile_images/1574435751546294275/Zod20ZD3_normal.jpg")</f>
        <v>https://pbs.twimg.com/profile_images/1574435751546294275/Zod20ZD3_normal.jpg</v>
      </c>
      <c r="W2815" s="76">
        <v>44959.578703703701</v>
      </c>
      <c r="X2815" s="80">
        <v>44959</v>
      </c>
      <c r="Y2815" s="78" t="s">
        <v>3403</v>
      </c>
      <c r="Z2815" s="77" t="str">
        <f>HYPERLINK("https://twitter.com/the_og_hipiap/status/1621144743513030656")</f>
        <v>https://twitter.com/the_og_hipiap/status/1621144743513030656</v>
      </c>
      <c r="AC2815" s="78" t="s">
        <v>4468</v>
      </c>
      <c r="AD2815" s="78" t="s">
        <v>4635</v>
      </c>
      <c r="AE2815" t="b">
        <v>0</v>
      </c>
      <c r="AF2815">
        <v>0</v>
      </c>
      <c r="AG2815" s="78" t="s">
        <v>4824</v>
      </c>
      <c r="AH2815" t="b">
        <v>0</v>
      </c>
      <c r="AI2815" t="s">
        <v>4829</v>
      </c>
      <c r="AK2815" s="78" t="s">
        <v>4640</v>
      </c>
      <c r="AL2815" t="b">
        <v>0</v>
      </c>
      <c r="AM2815">
        <v>0</v>
      </c>
      <c r="AN2815" s="78" t="s">
        <v>4640</v>
      </c>
      <c r="AO2815" s="78" t="s">
        <v>4849</v>
      </c>
      <c r="AP2815" t="b">
        <v>0</v>
      </c>
      <c r="AQ2815" s="78" t="s">
        <v>4635</v>
      </c>
      <c r="AR2815" t="s">
        <v>179</v>
      </c>
      <c r="AS2815">
        <v>0</v>
      </c>
      <c r="AT2815">
        <v>0</v>
      </c>
    </row>
    <row r="2816" spans="1:46" x14ac:dyDescent="0.45">
      <c r="A2816" s="62" t="s">
        <v>1087</v>
      </c>
      <c r="B2816" s="62" t="s">
        <v>242</v>
      </c>
      <c r="C2816" s="63"/>
      <c r="D2816" s="64"/>
      <c r="E2816" s="65"/>
      <c r="F2816" s="66"/>
      <c r="G2816" s="63"/>
      <c r="H2816" s="67"/>
      <c r="I2816" s="68"/>
      <c r="J2816" s="68"/>
      <c r="K2816" s="32"/>
      <c r="L2816" s="75"/>
      <c r="M2816" s="75"/>
      <c r="N2816" s="70"/>
      <c r="O2816" t="s">
        <v>1568</v>
      </c>
      <c r="P2816" s="76">
        <v>44959.578703703701</v>
      </c>
      <c r="Q2816" t="s">
        <v>2232</v>
      </c>
      <c r="V2816" s="77" t="str">
        <f>HYPERLINK("https://pbs.twimg.com/profile_images/1574435751546294275/Zod20ZD3_normal.jpg")</f>
        <v>https://pbs.twimg.com/profile_images/1574435751546294275/Zod20ZD3_normal.jpg</v>
      </c>
      <c r="W2816" s="76">
        <v>44959.578703703701</v>
      </c>
      <c r="X2816" s="80">
        <v>44959</v>
      </c>
      <c r="Y2816" s="78" t="s">
        <v>3403</v>
      </c>
      <c r="Z2816" s="77" t="str">
        <f>HYPERLINK("https://twitter.com/the_og_hipiap/status/1621144743513030656")</f>
        <v>https://twitter.com/the_og_hipiap/status/1621144743513030656</v>
      </c>
      <c r="AC2816" s="78" t="s">
        <v>4468</v>
      </c>
      <c r="AD2816" s="78" t="s">
        <v>4635</v>
      </c>
      <c r="AE2816" t="b">
        <v>0</v>
      </c>
      <c r="AF2816">
        <v>0</v>
      </c>
      <c r="AG2816" s="78" t="s">
        <v>4824</v>
      </c>
      <c r="AH2816" t="b">
        <v>0</v>
      </c>
      <c r="AI2816" t="s">
        <v>4829</v>
      </c>
      <c r="AK2816" s="78" t="s">
        <v>4640</v>
      </c>
      <c r="AL2816" t="b">
        <v>0</v>
      </c>
      <c r="AM2816">
        <v>0</v>
      </c>
      <c r="AN2816" s="78" t="s">
        <v>4640</v>
      </c>
      <c r="AO2816" s="78" t="s">
        <v>4849</v>
      </c>
      <c r="AP2816" t="b">
        <v>0</v>
      </c>
      <c r="AQ2816" s="78" t="s">
        <v>4635</v>
      </c>
      <c r="AR2816" t="s">
        <v>179</v>
      </c>
      <c r="AS2816">
        <v>0</v>
      </c>
      <c r="AT2816">
        <v>0</v>
      </c>
    </row>
    <row r="2817" spans="1:46" x14ac:dyDescent="0.45">
      <c r="A2817" s="62" t="s">
        <v>1088</v>
      </c>
      <c r="B2817" s="62" t="s">
        <v>242</v>
      </c>
      <c r="C2817" s="63"/>
      <c r="D2817" s="64"/>
      <c r="E2817" s="65"/>
      <c r="F2817" s="66"/>
      <c r="G2817" s="63"/>
      <c r="H2817" s="67"/>
      <c r="I2817" s="68"/>
      <c r="J2817" s="68"/>
      <c r="K2817" s="32"/>
      <c r="L2817" s="75"/>
      <c r="M2817" s="75"/>
      <c r="N2817" s="70"/>
      <c r="O2817" t="s">
        <v>1568</v>
      </c>
      <c r="P2817" s="76">
        <v>44959.580983796295</v>
      </c>
      <c r="Q2817" t="s">
        <v>2233</v>
      </c>
      <c r="V2817" s="77" t="str">
        <f>HYPERLINK("https://pbs.twimg.com/profile_images/1618878877270433792/RE8bKG3a_normal.jpg")</f>
        <v>https://pbs.twimg.com/profile_images/1618878877270433792/RE8bKG3a_normal.jpg</v>
      </c>
      <c r="W2817" s="76">
        <v>44959.580983796295</v>
      </c>
      <c r="X2817" s="80">
        <v>44959</v>
      </c>
      <c r="Y2817" s="78" t="s">
        <v>3404</v>
      </c>
      <c r="Z2817" s="77" t="str">
        <f>HYPERLINK("https://twitter.com/yuupisaidthat/status/1621145569245954057")</f>
        <v>https://twitter.com/yuupisaidthat/status/1621145569245954057</v>
      </c>
      <c r="AC2817" s="78" t="s">
        <v>4469</v>
      </c>
      <c r="AE2817" t="b">
        <v>0</v>
      </c>
      <c r="AF2817">
        <v>0</v>
      </c>
      <c r="AG2817" s="78" t="s">
        <v>4640</v>
      </c>
      <c r="AH2817" t="b">
        <v>0</v>
      </c>
      <c r="AI2817" t="s">
        <v>4829</v>
      </c>
      <c r="AK2817" s="78" t="s">
        <v>4640</v>
      </c>
      <c r="AL2817" t="b">
        <v>0</v>
      </c>
      <c r="AM2817">
        <v>0</v>
      </c>
      <c r="AN2817" s="78" t="s">
        <v>4640</v>
      </c>
      <c r="AO2817" s="78" t="s">
        <v>4850</v>
      </c>
      <c r="AP2817" t="b">
        <v>0</v>
      </c>
      <c r="AQ2817" s="78" t="s">
        <v>4469</v>
      </c>
      <c r="AR2817" t="s">
        <v>179</v>
      </c>
      <c r="AS2817">
        <v>0</v>
      </c>
      <c r="AT2817">
        <v>0</v>
      </c>
    </row>
    <row r="2818" spans="1:46" x14ac:dyDescent="0.45">
      <c r="A2818" s="62" t="s">
        <v>1089</v>
      </c>
      <c r="B2818" s="62" t="s">
        <v>242</v>
      </c>
      <c r="C2818" s="63"/>
      <c r="D2818" s="64"/>
      <c r="E2818" s="65"/>
      <c r="F2818" s="66"/>
      <c r="G2818" s="63"/>
      <c r="H2818" s="67"/>
      <c r="I2818" s="68"/>
      <c r="J2818" s="68"/>
      <c r="K2818" s="32"/>
      <c r="L2818" s="75"/>
      <c r="M2818" s="75"/>
      <c r="N2818" s="70"/>
      <c r="O2818" t="s">
        <v>1567</v>
      </c>
      <c r="P2818" s="76">
        <v>44959.581354166665</v>
      </c>
      <c r="Q2818" t="s">
        <v>2234</v>
      </c>
      <c r="V2818" s="77" t="str">
        <f>HYPERLINK("https://pbs.twimg.com/profile_images/1511102908133085187/lNmpTfIK_normal.jpg")</f>
        <v>https://pbs.twimg.com/profile_images/1511102908133085187/lNmpTfIK_normal.jpg</v>
      </c>
      <c r="W2818" s="76">
        <v>44959.581354166665</v>
      </c>
      <c r="X2818" s="80">
        <v>44959</v>
      </c>
      <c r="Y2818" s="78" t="s">
        <v>3405</v>
      </c>
      <c r="Z2818" s="77" t="str">
        <f>HYPERLINK("https://twitter.com/bluegone/status/1621145702159245312")</f>
        <v>https://twitter.com/bluegone/status/1621145702159245312</v>
      </c>
      <c r="AC2818" s="78" t="s">
        <v>4470</v>
      </c>
      <c r="AE2818" t="b">
        <v>0</v>
      </c>
      <c r="AF2818">
        <v>0</v>
      </c>
      <c r="AG2818" s="78" t="s">
        <v>4639</v>
      </c>
      <c r="AH2818" t="b">
        <v>0</v>
      </c>
      <c r="AI2818" t="s">
        <v>4829</v>
      </c>
      <c r="AK2818" s="78" t="s">
        <v>4640</v>
      </c>
      <c r="AL2818" t="b">
        <v>0</v>
      </c>
      <c r="AM2818">
        <v>0</v>
      </c>
      <c r="AN2818" s="78" t="s">
        <v>4640</v>
      </c>
      <c r="AO2818" s="78" t="s">
        <v>4850</v>
      </c>
      <c r="AP2818" t="b">
        <v>0</v>
      </c>
      <c r="AQ2818" s="78" t="s">
        <v>4470</v>
      </c>
      <c r="AR2818" t="s">
        <v>179</v>
      </c>
      <c r="AS2818">
        <v>0</v>
      </c>
      <c r="AT2818">
        <v>0</v>
      </c>
    </row>
    <row r="2819" spans="1:46" x14ac:dyDescent="0.45">
      <c r="A2819" s="62" t="s">
        <v>1091</v>
      </c>
      <c r="B2819" s="62" t="s">
        <v>242</v>
      </c>
      <c r="C2819" s="63"/>
      <c r="D2819" s="64"/>
      <c r="E2819" s="65"/>
      <c r="F2819" s="66"/>
      <c r="G2819" s="63"/>
      <c r="H2819" s="67"/>
      <c r="I2819" s="68"/>
      <c r="J2819" s="68"/>
      <c r="K2819" s="32"/>
      <c r="L2819" s="75"/>
      <c r="M2819" s="75"/>
      <c r="N2819" s="70"/>
      <c r="O2819" t="s">
        <v>1569</v>
      </c>
      <c r="P2819" s="76">
        <v>44959.585243055553</v>
      </c>
      <c r="Q2819" t="s">
        <v>2236</v>
      </c>
      <c r="U2819" s="77" t="str">
        <f>HYPERLINK("https://pbs.twimg.com/media/Fn1K-7xWQAkfLgW.jpg")</f>
        <v>https://pbs.twimg.com/media/Fn1K-7xWQAkfLgW.jpg</v>
      </c>
      <c r="V2819" s="77" t="str">
        <f>HYPERLINK("https://pbs.twimg.com/media/Fn1K-7xWQAkfLgW.jpg")</f>
        <v>https://pbs.twimg.com/media/Fn1K-7xWQAkfLgW.jpg</v>
      </c>
      <c r="W2819" s="76">
        <v>44959.585243055553</v>
      </c>
      <c r="X2819" s="80">
        <v>44959</v>
      </c>
      <c r="Y2819" s="78" t="s">
        <v>3407</v>
      </c>
      <c r="Z2819" s="77" t="str">
        <f>HYPERLINK("https://twitter.com/jayelucky/status/1621147111923531778")</f>
        <v>https://twitter.com/jayelucky/status/1621147111923531778</v>
      </c>
      <c r="AC2819" s="78" t="s">
        <v>4472</v>
      </c>
      <c r="AE2819" t="b">
        <v>0</v>
      </c>
      <c r="AF2819">
        <v>0</v>
      </c>
      <c r="AG2819" s="78" t="s">
        <v>4640</v>
      </c>
      <c r="AH2819" t="b">
        <v>0</v>
      </c>
      <c r="AI2819" t="s">
        <v>4829</v>
      </c>
      <c r="AK2819" s="78" t="s">
        <v>4640</v>
      </c>
      <c r="AL2819" t="b">
        <v>0</v>
      </c>
      <c r="AM2819">
        <v>27</v>
      </c>
      <c r="AN2819" s="78" t="s">
        <v>4498</v>
      </c>
      <c r="AO2819" s="78" t="s">
        <v>4850</v>
      </c>
      <c r="AP2819" t="b">
        <v>0</v>
      </c>
      <c r="AQ2819" s="78" t="s">
        <v>4498</v>
      </c>
      <c r="AR2819" t="s">
        <v>179</v>
      </c>
      <c r="AS2819">
        <v>0</v>
      </c>
      <c r="AT2819">
        <v>0</v>
      </c>
    </row>
    <row r="2820" spans="1:46" x14ac:dyDescent="0.45">
      <c r="A2820" s="62" t="s">
        <v>1092</v>
      </c>
      <c r="B2820" s="62" t="s">
        <v>1230</v>
      </c>
      <c r="C2820" s="63"/>
      <c r="D2820" s="64"/>
      <c r="E2820" s="65"/>
      <c r="F2820" s="66"/>
      <c r="G2820" s="63"/>
      <c r="H2820" s="67"/>
      <c r="I2820" s="68"/>
      <c r="J2820" s="68"/>
      <c r="K2820" s="32"/>
      <c r="L2820" s="75"/>
      <c r="M2820" s="75"/>
      <c r="N2820" s="70"/>
      <c r="O2820" t="s">
        <v>1568</v>
      </c>
      <c r="P2820" s="76">
        <v>44959.588263888887</v>
      </c>
      <c r="Q2820" t="s">
        <v>2237</v>
      </c>
      <c r="U2820" s="77" t="str">
        <f>HYPERLINK("https://pbs.twimg.com/media/Fn95smUaYAI7MdG.jpg")</f>
        <v>https://pbs.twimg.com/media/Fn95smUaYAI7MdG.jpg</v>
      </c>
      <c r="V2820" s="77" t="str">
        <f>HYPERLINK("https://pbs.twimg.com/media/Fn95smUaYAI7MdG.jpg")</f>
        <v>https://pbs.twimg.com/media/Fn95smUaYAI7MdG.jpg</v>
      </c>
      <c r="W2820" s="76">
        <v>44959.588263888887</v>
      </c>
      <c r="X2820" s="80">
        <v>44959</v>
      </c>
      <c r="Y2820" s="78" t="s">
        <v>3409</v>
      </c>
      <c r="Z2820" s="77" t="str">
        <f>HYPERLINK("https://twitter.com/angel_kidwell/status/1621148204803964929")</f>
        <v>https://twitter.com/angel_kidwell/status/1621148204803964929</v>
      </c>
      <c r="AC2820" s="78" t="s">
        <v>4474</v>
      </c>
      <c r="AD2820" s="78" t="s">
        <v>4473</v>
      </c>
      <c r="AE2820" t="b">
        <v>0</v>
      </c>
      <c r="AF2820">
        <v>0</v>
      </c>
      <c r="AG2820" s="78" t="s">
        <v>4639</v>
      </c>
      <c r="AH2820" t="b">
        <v>0</v>
      </c>
      <c r="AI2820" t="s">
        <v>4829</v>
      </c>
      <c r="AK2820" s="78" t="s">
        <v>4640</v>
      </c>
      <c r="AL2820" t="b">
        <v>0</v>
      </c>
      <c r="AM2820">
        <v>0</v>
      </c>
      <c r="AN2820" s="78" t="s">
        <v>4640</v>
      </c>
      <c r="AO2820" s="78" t="s">
        <v>4849</v>
      </c>
      <c r="AP2820" t="b">
        <v>0</v>
      </c>
      <c r="AQ2820" s="78" t="s">
        <v>4473</v>
      </c>
      <c r="AR2820" t="s">
        <v>179</v>
      </c>
      <c r="AS2820">
        <v>0</v>
      </c>
      <c r="AT2820">
        <v>0</v>
      </c>
    </row>
    <row r="2821" spans="1:46" x14ac:dyDescent="0.45">
      <c r="A2821" s="62" t="s">
        <v>1092</v>
      </c>
      <c r="B2821" s="62" t="s">
        <v>242</v>
      </c>
      <c r="C2821" s="63"/>
      <c r="D2821" s="64"/>
      <c r="E2821" s="65"/>
      <c r="F2821" s="66"/>
      <c r="G2821" s="63"/>
      <c r="H2821" s="67"/>
      <c r="I2821" s="68"/>
      <c r="J2821" s="68"/>
      <c r="K2821" s="32"/>
      <c r="L2821" s="75"/>
      <c r="M2821" s="75"/>
      <c r="N2821" s="70"/>
      <c r="O2821" t="s">
        <v>1567</v>
      </c>
      <c r="P2821" s="76">
        <v>44959.588263888887</v>
      </c>
      <c r="Q2821" t="s">
        <v>2237</v>
      </c>
      <c r="U2821" s="77" t="str">
        <f>HYPERLINK("https://pbs.twimg.com/media/Fn95smUaYAI7MdG.jpg")</f>
        <v>https://pbs.twimg.com/media/Fn95smUaYAI7MdG.jpg</v>
      </c>
      <c r="V2821" s="77" t="str">
        <f>HYPERLINK("https://pbs.twimg.com/media/Fn95smUaYAI7MdG.jpg")</f>
        <v>https://pbs.twimg.com/media/Fn95smUaYAI7MdG.jpg</v>
      </c>
      <c r="W2821" s="76">
        <v>44959.588263888887</v>
      </c>
      <c r="X2821" s="80">
        <v>44959</v>
      </c>
      <c r="Y2821" s="78" t="s">
        <v>3409</v>
      </c>
      <c r="Z2821" s="77" t="str">
        <f>HYPERLINK("https://twitter.com/angel_kidwell/status/1621148204803964929")</f>
        <v>https://twitter.com/angel_kidwell/status/1621148204803964929</v>
      </c>
      <c r="AC2821" s="78" t="s">
        <v>4474</v>
      </c>
      <c r="AD2821" s="78" t="s">
        <v>4473</v>
      </c>
      <c r="AE2821" t="b">
        <v>0</v>
      </c>
      <c r="AF2821">
        <v>0</v>
      </c>
      <c r="AG2821" s="78" t="s">
        <v>4639</v>
      </c>
      <c r="AH2821" t="b">
        <v>0</v>
      </c>
      <c r="AI2821" t="s">
        <v>4829</v>
      </c>
      <c r="AK2821" s="78" t="s">
        <v>4640</v>
      </c>
      <c r="AL2821" t="b">
        <v>0</v>
      </c>
      <c r="AM2821">
        <v>0</v>
      </c>
      <c r="AN2821" s="78" t="s">
        <v>4640</v>
      </c>
      <c r="AO2821" s="78" t="s">
        <v>4849</v>
      </c>
      <c r="AP2821" t="b">
        <v>0</v>
      </c>
      <c r="AQ2821" s="78" t="s">
        <v>4473</v>
      </c>
      <c r="AR2821" t="s">
        <v>179</v>
      </c>
      <c r="AS2821">
        <v>0</v>
      </c>
      <c r="AT2821">
        <v>0</v>
      </c>
    </row>
    <row r="2822" spans="1:46" x14ac:dyDescent="0.45">
      <c r="A2822" s="62" t="s">
        <v>1093</v>
      </c>
      <c r="B2822" s="62" t="s">
        <v>242</v>
      </c>
      <c r="C2822" s="63"/>
      <c r="D2822" s="64"/>
      <c r="E2822" s="65"/>
      <c r="F2822" s="66"/>
      <c r="G2822" s="63"/>
      <c r="H2822" s="67"/>
      <c r="I2822" s="68"/>
      <c r="J2822" s="68"/>
      <c r="K2822" s="32"/>
      <c r="L2822" s="75"/>
      <c r="M2822" s="75"/>
      <c r="N2822" s="70"/>
      <c r="O2822" t="s">
        <v>1567</v>
      </c>
      <c r="P2822" s="76">
        <v>44959.59034722222</v>
      </c>
      <c r="Q2822" t="s">
        <v>2238</v>
      </c>
      <c r="V2822" s="77" t="str">
        <f>HYPERLINK("https://pbs.twimg.com/profile_images/1200451845036089344/qEb9yMU1_normal.jpg")</f>
        <v>https://pbs.twimg.com/profile_images/1200451845036089344/qEb9yMU1_normal.jpg</v>
      </c>
      <c r="W2822" s="76">
        <v>44959.59034722222</v>
      </c>
      <c r="X2822" s="80">
        <v>44959</v>
      </c>
      <c r="Y2822" s="78" t="s">
        <v>3410</v>
      </c>
      <c r="Z2822" s="77" t="str">
        <f>HYPERLINK("https://twitter.com/francbenphoto/status/1621148959854198787")</f>
        <v>https://twitter.com/francbenphoto/status/1621148959854198787</v>
      </c>
      <c r="AC2822" s="78" t="s">
        <v>4475</v>
      </c>
      <c r="AD2822" s="78" t="s">
        <v>4636</v>
      </c>
      <c r="AE2822" t="b">
        <v>0</v>
      </c>
      <c r="AF2822">
        <v>0</v>
      </c>
      <c r="AG2822" s="78" t="s">
        <v>4825</v>
      </c>
      <c r="AH2822" t="b">
        <v>0</v>
      </c>
      <c r="AI2822" t="s">
        <v>4829</v>
      </c>
      <c r="AK2822" s="78" t="s">
        <v>4640</v>
      </c>
      <c r="AL2822" t="b">
        <v>0</v>
      </c>
      <c r="AM2822">
        <v>0</v>
      </c>
      <c r="AN2822" s="78" t="s">
        <v>4640</v>
      </c>
      <c r="AO2822" s="78" t="s">
        <v>4850</v>
      </c>
      <c r="AP2822" t="b">
        <v>0</v>
      </c>
      <c r="AQ2822" s="78" t="s">
        <v>4636</v>
      </c>
      <c r="AR2822" t="s">
        <v>179</v>
      </c>
      <c r="AS2822">
        <v>0</v>
      </c>
      <c r="AT2822">
        <v>0</v>
      </c>
    </row>
    <row r="2823" spans="1:46" x14ac:dyDescent="0.45">
      <c r="A2823" s="62" t="s">
        <v>1096</v>
      </c>
      <c r="B2823" s="62" t="s">
        <v>242</v>
      </c>
      <c r="C2823" s="63"/>
      <c r="D2823" s="64"/>
      <c r="E2823" s="65"/>
      <c r="F2823" s="66"/>
      <c r="G2823" s="63"/>
      <c r="H2823" s="67"/>
      <c r="I2823" s="68"/>
      <c r="J2823" s="68"/>
      <c r="K2823" s="32"/>
      <c r="L2823" s="75"/>
      <c r="M2823" s="75"/>
      <c r="N2823" s="70"/>
      <c r="O2823" t="s">
        <v>1567</v>
      </c>
      <c r="P2823" s="76">
        <v>44959.597557870373</v>
      </c>
      <c r="Q2823" t="s">
        <v>2241</v>
      </c>
      <c r="V2823" s="77" t="str">
        <f>HYPERLINK("https://pbs.twimg.com/profile_images/1614728831411142657/oc612_cO_normal.jpg")</f>
        <v>https://pbs.twimg.com/profile_images/1614728831411142657/oc612_cO_normal.jpg</v>
      </c>
      <c r="W2823" s="76">
        <v>44959.597557870373</v>
      </c>
      <c r="X2823" s="80">
        <v>44959</v>
      </c>
      <c r="Y2823" s="78" t="s">
        <v>3413</v>
      </c>
      <c r="Z2823" s="77" t="str">
        <f>HYPERLINK("https://twitter.com/shreyashgupta55/status/1621151574889467912")</f>
        <v>https://twitter.com/shreyashgupta55/status/1621151574889467912</v>
      </c>
      <c r="AC2823" s="78" t="s">
        <v>4478</v>
      </c>
      <c r="AD2823" s="78" t="s">
        <v>4638</v>
      </c>
      <c r="AE2823" t="b">
        <v>0</v>
      </c>
      <c r="AF2823">
        <v>0</v>
      </c>
      <c r="AG2823" s="78" t="s">
        <v>4639</v>
      </c>
      <c r="AH2823" t="b">
        <v>0</v>
      </c>
      <c r="AI2823" t="s">
        <v>4829</v>
      </c>
      <c r="AK2823" s="78" t="s">
        <v>4640</v>
      </c>
      <c r="AL2823" t="b">
        <v>0</v>
      </c>
      <c r="AM2823">
        <v>0</v>
      </c>
      <c r="AN2823" s="78" t="s">
        <v>4640</v>
      </c>
      <c r="AO2823" s="78" t="s">
        <v>4849</v>
      </c>
      <c r="AP2823" t="b">
        <v>0</v>
      </c>
      <c r="AQ2823" s="78" t="s">
        <v>4638</v>
      </c>
      <c r="AR2823" t="s">
        <v>179</v>
      </c>
      <c r="AS2823">
        <v>0</v>
      </c>
      <c r="AT2823">
        <v>0</v>
      </c>
    </row>
    <row r="2824" spans="1:46" x14ac:dyDescent="0.45">
      <c r="A2824" s="62" t="s">
        <v>1098</v>
      </c>
      <c r="B2824" s="62" t="s">
        <v>242</v>
      </c>
      <c r="C2824" s="63"/>
      <c r="D2824" s="64"/>
      <c r="E2824" s="65"/>
      <c r="F2824" s="66"/>
      <c r="G2824" s="63"/>
      <c r="H2824" s="67"/>
      <c r="I2824" s="68"/>
      <c r="J2824" s="68"/>
      <c r="K2824" s="32"/>
      <c r="L2824" s="75"/>
      <c r="M2824" s="75"/>
      <c r="N2824" s="70"/>
      <c r="O2824" t="s">
        <v>1567</v>
      </c>
      <c r="P2824" s="76">
        <v>44959.602453703701</v>
      </c>
      <c r="Q2824" t="s">
        <v>2243</v>
      </c>
      <c r="V2824" s="77" t="str">
        <f>HYPERLINK("https://pbs.twimg.com/profile_images/1619733008080060421/G-IQK6bj_normal.jpg")</f>
        <v>https://pbs.twimg.com/profile_images/1619733008080060421/G-IQK6bj_normal.jpg</v>
      </c>
      <c r="W2824" s="76">
        <v>44959.602453703701</v>
      </c>
      <c r="X2824" s="80">
        <v>44959</v>
      </c>
      <c r="Y2824" s="78" t="s">
        <v>3415</v>
      </c>
      <c r="Z2824" s="77" t="str">
        <f>HYPERLINK("https://twitter.com/onceatweeter/status/1621153346521563144")</f>
        <v>https://twitter.com/onceatweeter/status/1621153346521563144</v>
      </c>
      <c r="AC2824" s="78" t="s">
        <v>4480</v>
      </c>
      <c r="AE2824" t="b">
        <v>0</v>
      </c>
      <c r="AF2824">
        <v>0</v>
      </c>
      <c r="AG2824" s="78" t="s">
        <v>4639</v>
      </c>
      <c r="AH2824" t="b">
        <v>0</v>
      </c>
      <c r="AI2824" t="s">
        <v>4829</v>
      </c>
      <c r="AK2824" s="78" t="s">
        <v>4640</v>
      </c>
      <c r="AL2824" t="b">
        <v>0</v>
      </c>
      <c r="AM2824">
        <v>0</v>
      </c>
      <c r="AN2824" s="78" t="s">
        <v>4640</v>
      </c>
      <c r="AO2824" s="78" t="s">
        <v>4849</v>
      </c>
      <c r="AP2824" t="b">
        <v>0</v>
      </c>
      <c r="AQ2824" s="78" t="s">
        <v>4480</v>
      </c>
      <c r="AR2824" t="s">
        <v>179</v>
      </c>
      <c r="AS2824">
        <v>0</v>
      </c>
      <c r="AT2824">
        <v>0</v>
      </c>
    </row>
    <row r="2825" spans="1:46" x14ac:dyDescent="0.45">
      <c r="A2825" s="62" t="s">
        <v>1099</v>
      </c>
      <c r="B2825" s="62" t="s">
        <v>1424</v>
      </c>
      <c r="C2825" s="63"/>
      <c r="D2825" s="64"/>
      <c r="E2825" s="65"/>
      <c r="F2825" s="66"/>
      <c r="G2825" s="63"/>
      <c r="H2825" s="67"/>
      <c r="I2825" s="68"/>
      <c r="J2825" s="68"/>
      <c r="K2825" s="32"/>
      <c r="L2825" s="75"/>
      <c r="M2825" s="75"/>
      <c r="N2825" s="70"/>
      <c r="O2825" t="s">
        <v>1567</v>
      </c>
      <c r="P2825" s="76">
        <v>44959.602511574078</v>
      </c>
      <c r="Q2825" t="s">
        <v>2244</v>
      </c>
      <c r="U2825" s="77" t="str">
        <f>HYPERLINK("https://pbs.twimg.com/media/Fn9-ZOuacAA7bm4.jpg")</f>
        <v>https://pbs.twimg.com/media/Fn9-ZOuacAA7bm4.jpg</v>
      </c>
      <c r="V2825" s="77" t="str">
        <f>HYPERLINK("https://pbs.twimg.com/media/Fn9-ZOuacAA7bm4.jpg")</f>
        <v>https://pbs.twimg.com/media/Fn9-ZOuacAA7bm4.jpg</v>
      </c>
      <c r="W2825" s="76">
        <v>44959.602511574078</v>
      </c>
      <c r="X2825" s="80">
        <v>44959</v>
      </c>
      <c r="Y2825" s="78" t="s">
        <v>3416</v>
      </c>
      <c r="Z2825" s="77" t="str">
        <f>HYPERLINK("https://twitter.com/nando052705/status/1621153368470347777")</f>
        <v>https://twitter.com/nando052705/status/1621153368470347777</v>
      </c>
      <c r="AC2825" s="78" t="s">
        <v>4481</v>
      </c>
      <c r="AE2825" t="b">
        <v>0</v>
      </c>
      <c r="AF2825">
        <v>0</v>
      </c>
      <c r="AG2825" s="78" t="s">
        <v>4827</v>
      </c>
      <c r="AH2825" t="b">
        <v>0</v>
      </c>
      <c r="AI2825" t="s">
        <v>4829</v>
      </c>
      <c r="AK2825" s="78" t="s">
        <v>4640</v>
      </c>
      <c r="AL2825" t="b">
        <v>0</v>
      </c>
      <c r="AM2825">
        <v>0</v>
      </c>
      <c r="AN2825" s="78" t="s">
        <v>4640</v>
      </c>
      <c r="AO2825" s="78" t="s">
        <v>4849</v>
      </c>
      <c r="AP2825" t="b">
        <v>0</v>
      </c>
      <c r="AQ2825" s="78" t="s">
        <v>4481</v>
      </c>
      <c r="AR2825" t="s">
        <v>179</v>
      </c>
      <c r="AS2825">
        <v>0</v>
      </c>
      <c r="AT2825">
        <v>0</v>
      </c>
    </row>
    <row r="2826" spans="1:46" x14ac:dyDescent="0.45">
      <c r="A2826" s="62" t="s">
        <v>1099</v>
      </c>
      <c r="B2826" s="62" t="s">
        <v>242</v>
      </c>
      <c r="C2826" s="63"/>
      <c r="D2826" s="64"/>
      <c r="E2826" s="65"/>
      <c r="F2826" s="66"/>
      <c r="G2826" s="63"/>
      <c r="H2826" s="67"/>
      <c r="I2826" s="68"/>
      <c r="J2826" s="68"/>
      <c r="K2826" s="32"/>
      <c r="L2826" s="75"/>
      <c r="M2826" s="75"/>
      <c r="N2826" s="70"/>
      <c r="O2826" t="s">
        <v>1568</v>
      </c>
      <c r="P2826" s="76">
        <v>44959.602511574078</v>
      </c>
      <c r="Q2826" t="s">
        <v>2244</v>
      </c>
      <c r="U2826" s="77" t="str">
        <f>HYPERLINK("https://pbs.twimg.com/media/Fn9-ZOuacAA7bm4.jpg")</f>
        <v>https://pbs.twimg.com/media/Fn9-ZOuacAA7bm4.jpg</v>
      </c>
      <c r="V2826" s="77" t="str">
        <f>HYPERLINK("https://pbs.twimg.com/media/Fn9-ZOuacAA7bm4.jpg")</f>
        <v>https://pbs.twimg.com/media/Fn9-ZOuacAA7bm4.jpg</v>
      </c>
      <c r="W2826" s="76">
        <v>44959.602511574078</v>
      </c>
      <c r="X2826" s="80">
        <v>44959</v>
      </c>
      <c r="Y2826" s="78" t="s">
        <v>3416</v>
      </c>
      <c r="Z2826" s="77" t="str">
        <f>HYPERLINK("https://twitter.com/nando052705/status/1621153368470347777")</f>
        <v>https://twitter.com/nando052705/status/1621153368470347777</v>
      </c>
      <c r="AC2826" s="78" t="s">
        <v>4481</v>
      </c>
      <c r="AE2826" t="b">
        <v>0</v>
      </c>
      <c r="AF2826">
        <v>0</v>
      </c>
      <c r="AG2826" s="78" t="s">
        <v>4827</v>
      </c>
      <c r="AH2826" t="b">
        <v>0</v>
      </c>
      <c r="AI2826" t="s">
        <v>4829</v>
      </c>
      <c r="AK2826" s="78" t="s">
        <v>4640</v>
      </c>
      <c r="AL2826" t="b">
        <v>0</v>
      </c>
      <c r="AM2826">
        <v>0</v>
      </c>
      <c r="AN2826" s="78" t="s">
        <v>4640</v>
      </c>
      <c r="AO2826" s="78" t="s">
        <v>4849</v>
      </c>
      <c r="AP2826" t="b">
        <v>0</v>
      </c>
      <c r="AQ2826" s="78" t="s">
        <v>4481</v>
      </c>
      <c r="AR2826" t="s">
        <v>179</v>
      </c>
      <c r="AS2826">
        <v>0</v>
      </c>
      <c r="AT2826">
        <v>0</v>
      </c>
    </row>
    <row r="2827" spans="1:46" x14ac:dyDescent="0.45">
      <c r="A2827" s="62" t="s">
        <v>1100</v>
      </c>
      <c r="B2827" s="62" t="s">
        <v>1565</v>
      </c>
      <c r="C2827" s="63"/>
      <c r="D2827" s="64"/>
      <c r="E2827" s="65"/>
      <c r="F2827" s="66"/>
      <c r="G2827" s="63"/>
      <c r="H2827" s="67"/>
      <c r="I2827" s="68"/>
      <c r="J2827" s="68"/>
      <c r="K2827" s="32"/>
      <c r="L2827" s="75"/>
      <c r="M2827" s="75"/>
      <c r="N2827" s="70"/>
      <c r="O2827" t="s">
        <v>1568</v>
      </c>
      <c r="P2827" s="76">
        <v>44959.603159722225</v>
      </c>
      <c r="Q2827" t="s">
        <v>2245</v>
      </c>
      <c r="V2827" s="77" t="str">
        <f>HYPERLINK("https://pbs.twimg.com/profile_images/1539408413481902084/2yv2fv5Y_normal.jpg")</f>
        <v>https://pbs.twimg.com/profile_images/1539408413481902084/2yv2fv5Y_normal.jpg</v>
      </c>
      <c r="W2827" s="76">
        <v>44959.603159722225</v>
      </c>
      <c r="X2827" s="80">
        <v>44959</v>
      </c>
      <c r="Y2827" s="78" t="s">
        <v>3417</v>
      </c>
      <c r="Z2827" s="77" t="str">
        <f>HYPERLINK("https://twitter.com/juanteddoa/status/1621153603754024967")</f>
        <v>https://twitter.com/juanteddoa/status/1621153603754024967</v>
      </c>
      <c r="AC2827" s="78" t="s">
        <v>4482</v>
      </c>
      <c r="AE2827" t="b">
        <v>0</v>
      </c>
      <c r="AF2827">
        <v>0</v>
      </c>
      <c r="AG2827" s="78" t="s">
        <v>4640</v>
      </c>
      <c r="AH2827" t="b">
        <v>0</v>
      </c>
      <c r="AI2827" t="s">
        <v>4829</v>
      </c>
      <c r="AK2827" s="78" t="s">
        <v>4640</v>
      </c>
      <c r="AL2827" t="b">
        <v>0</v>
      </c>
      <c r="AM2827">
        <v>0</v>
      </c>
      <c r="AN2827" s="78" t="s">
        <v>4640</v>
      </c>
      <c r="AO2827" s="78" t="s">
        <v>4849</v>
      </c>
      <c r="AP2827" t="b">
        <v>0</v>
      </c>
      <c r="AQ2827" s="78" t="s">
        <v>4482</v>
      </c>
      <c r="AR2827" t="s">
        <v>179</v>
      </c>
      <c r="AS2827">
        <v>0</v>
      </c>
      <c r="AT2827">
        <v>0</v>
      </c>
    </row>
    <row r="2828" spans="1:46" x14ac:dyDescent="0.45">
      <c r="A2828" s="62" t="s">
        <v>1100</v>
      </c>
      <c r="B2828" s="62" t="s">
        <v>242</v>
      </c>
      <c r="C2828" s="63"/>
      <c r="D2828" s="64"/>
      <c r="E2828" s="65"/>
      <c r="F2828" s="66"/>
      <c r="G2828" s="63"/>
      <c r="H2828" s="67"/>
      <c r="I2828" s="68"/>
      <c r="J2828" s="68"/>
      <c r="K2828" s="32"/>
      <c r="L2828" s="75"/>
      <c r="M2828" s="75"/>
      <c r="N2828" s="70"/>
      <c r="O2828" t="s">
        <v>1568</v>
      </c>
      <c r="P2828" s="76">
        <v>44959.603159722225</v>
      </c>
      <c r="Q2828" t="s">
        <v>2245</v>
      </c>
      <c r="V2828" s="77" t="str">
        <f>HYPERLINK("https://pbs.twimg.com/profile_images/1539408413481902084/2yv2fv5Y_normal.jpg")</f>
        <v>https://pbs.twimg.com/profile_images/1539408413481902084/2yv2fv5Y_normal.jpg</v>
      </c>
      <c r="W2828" s="76">
        <v>44959.603159722225</v>
      </c>
      <c r="X2828" s="80">
        <v>44959</v>
      </c>
      <c r="Y2828" s="78" t="s">
        <v>3417</v>
      </c>
      <c r="Z2828" s="77" t="str">
        <f>HYPERLINK("https://twitter.com/juanteddoa/status/1621153603754024967")</f>
        <v>https://twitter.com/juanteddoa/status/1621153603754024967</v>
      </c>
      <c r="AC2828" s="78" t="s">
        <v>4482</v>
      </c>
      <c r="AE2828" t="b">
        <v>0</v>
      </c>
      <c r="AF2828">
        <v>0</v>
      </c>
      <c r="AG2828" s="78" t="s">
        <v>4640</v>
      </c>
      <c r="AH2828" t="b">
        <v>0</v>
      </c>
      <c r="AI2828" t="s">
        <v>4829</v>
      </c>
      <c r="AK2828" s="78" t="s">
        <v>4640</v>
      </c>
      <c r="AL2828" t="b">
        <v>0</v>
      </c>
      <c r="AM2828">
        <v>0</v>
      </c>
      <c r="AN2828" s="78" t="s">
        <v>4640</v>
      </c>
      <c r="AO2828" s="78" t="s">
        <v>4849</v>
      </c>
      <c r="AP2828" t="b">
        <v>0</v>
      </c>
      <c r="AQ2828" s="78" t="s">
        <v>4482</v>
      </c>
      <c r="AR2828" t="s">
        <v>179</v>
      </c>
      <c r="AS2828">
        <v>0</v>
      </c>
      <c r="AT2828">
        <v>0</v>
      </c>
    </row>
    <row r="2829" spans="1:46" x14ac:dyDescent="0.45">
      <c r="A2829" s="62" t="s">
        <v>1101</v>
      </c>
      <c r="B2829" s="62" t="s">
        <v>1258</v>
      </c>
      <c r="C2829" s="63"/>
      <c r="D2829" s="64"/>
      <c r="E2829" s="65"/>
      <c r="F2829" s="66"/>
      <c r="G2829" s="63"/>
      <c r="H2829" s="67"/>
      <c r="I2829" s="68"/>
      <c r="J2829" s="68"/>
      <c r="K2829" s="32"/>
      <c r="L2829" s="75"/>
      <c r="M2829" s="75"/>
      <c r="N2829" s="70"/>
      <c r="O2829" t="s">
        <v>1570</v>
      </c>
      <c r="P2829" s="76">
        <v>44959.605393518519</v>
      </c>
      <c r="Q2829" t="s">
        <v>1745</v>
      </c>
      <c r="U2829" s="77" t="str">
        <f>HYPERLINK("https://pbs.twimg.com/media/FnwXCZxWYAAmxik.jpg")</f>
        <v>https://pbs.twimg.com/media/FnwXCZxWYAAmxik.jpg</v>
      </c>
      <c r="V2829" s="77" t="str">
        <f>HYPERLINK("https://pbs.twimg.com/media/FnwXCZxWYAAmxik.jpg")</f>
        <v>https://pbs.twimg.com/media/FnwXCZxWYAAmxik.jpg</v>
      </c>
      <c r="W2829" s="76">
        <v>44959.605393518519</v>
      </c>
      <c r="X2829" s="80">
        <v>44959</v>
      </c>
      <c r="Y2829" s="78" t="s">
        <v>3419</v>
      </c>
      <c r="Z2829" s="77" t="str">
        <f>HYPERLINK("https://twitter.com/yahairardz_/status/1621154412604588033")</f>
        <v>https://twitter.com/yahairardz_/status/1621154412604588033</v>
      </c>
      <c r="AC2829" s="78" t="s">
        <v>4484</v>
      </c>
      <c r="AE2829" t="b">
        <v>0</v>
      </c>
      <c r="AF2829">
        <v>0</v>
      </c>
      <c r="AG2829" s="78" t="s">
        <v>4640</v>
      </c>
      <c r="AH2829" t="b">
        <v>0</v>
      </c>
      <c r="AI2829" t="s">
        <v>4829</v>
      </c>
      <c r="AK2829" s="78" t="s">
        <v>4640</v>
      </c>
      <c r="AL2829" t="b">
        <v>0</v>
      </c>
      <c r="AM2829">
        <v>6</v>
      </c>
      <c r="AN2829" s="78" t="s">
        <v>4483</v>
      </c>
      <c r="AO2829" s="78" t="s">
        <v>4849</v>
      </c>
      <c r="AP2829" t="b">
        <v>0</v>
      </c>
      <c r="AQ2829" s="78" t="s">
        <v>4483</v>
      </c>
      <c r="AR2829" t="s">
        <v>179</v>
      </c>
      <c r="AS2829">
        <v>0</v>
      </c>
      <c r="AT2829">
        <v>0</v>
      </c>
    </row>
    <row r="2830" spans="1:46" x14ac:dyDescent="0.45">
      <c r="A2830" s="62" t="s">
        <v>1101</v>
      </c>
      <c r="B2830" s="62" t="s">
        <v>627</v>
      </c>
      <c r="C2830" s="63"/>
      <c r="D2830" s="64"/>
      <c r="E2830" s="65"/>
      <c r="F2830" s="66"/>
      <c r="G2830" s="63"/>
      <c r="H2830" s="67"/>
      <c r="I2830" s="68"/>
      <c r="J2830" s="68"/>
      <c r="K2830" s="32"/>
      <c r="L2830" s="75"/>
      <c r="M2830" s="75"/>
      <c r="N2830" s="70"/>
      <c r="O2830" t="s">
        <v>1569</v>
      </c>
      <c r="P2830" s="76">
        <v>44959.605393518519</v>
      </c>
      <c r="Q2830" t="s">
        <v>1745</v>
      </c>
      <c r="U2830" s="77" t="str">
        <f>HYPERLINK("https://pbs.twimg.com/media/FnwXCZxWYAAmxik.jpg")</f>
        <v>https://pbs.twimg.com/media/FnwXCZxWYAAmxik.jpg</v>
      </c>
      <c r="V2830" s="77" t="str">
        <f>HYPERLINK("https://pbs.twimg.com/media/FnwXCZxWYAAmxik.jpg")</f>
        <v>https://pbs.twimg.com/media/FnwXCZxWYAAmxik.jpg</v>
      </c>
      <c r="W2830" s="76">
        <v>44959.605393518519</v>
      </c>
      <c r="X2830" s="80">
        <v>44959</v>
      </c>
      <c r="Y2830" s="78" t="s">
        <v>3419</v>
      </c>
      <c r="Z2830" s="77" t="str">
        <f>HYPERLINK("https://twitter.com/yahairardz_/status/1621154412604588033")</f>
        <v>https://twitter.com/yahairardz_/status/1621154412604588033</v>
      </c>
      <c r="AC2830" s="78" t="s">
        <v>4484</v>
      </c>
      <c r="AE2830" t="b">
        <v>0</v>
      </c>
      <c r="AF2830">
        <v>0</v>
      </c>
      <c r="AG2830" s="78" t="s">
        <v>4640</v>
      </c>
      <c r="AH2830" t="b">
        <v>0</v>
      </c>
      <c r="AI2830" t="s">
        <v>4829</v>
      </c>
      <c r="AK2830" s="78" t="s">
        <v>4640</v>
      </c>
      <c r="AL2830" t="b">
        <v>0</v>
      </c>
      <c r="AM2830">
        <v>6</v>
      </c>
      <c r="AN2830" s="78" t="s">
        <v>4483</v>
      </c>
      <c r="AO2830" s="78" t="s">
        <v>4849</v>
      </c>
      <c r="AP2830" t="b">
        <v>0</v>
      </c>
      <c r="AQ2830" s="78" t="s">
        <v>4483</v>
      </c>
      <c r="AR2830" t="s">
        <v>179</v>
      </c>
      <c r="AS2830">
        <v>0</v>
      </c>
      <c r="AT2830">
        <v>0</v>
      </c>
    </row>
    <row r="2831" spans="1:46" x14ac:dyDescent="0.45">
      <c r="A2831" s="62" t="s">
        <v>1101</v>
      </c>
      <c r="B2831" s="62" t="s">
        <v>242</v>
      </c>
      <c r="C2831" s="63"/>
      <c r="D2831" s="64"/>
      <c r="E2831" s="65"/>
      <c r="F2831" s="66"/>
      <c r="G2831" s="63"/>
      <c r="H2831" s="67"/>
      <c r="I2831" s="68"/>
      <c r="J2831" s="68"/>
      <c r="K2831" s="32"/>
      <c r="L2831" s="75"/>
      <c r="M2831" s="75"/>
      <c r="N2831" s="70"/>
      <c r="O2831" t="s">
        <v>1570</v>
      </c>
      <c r="P2831" s="76">
        <v>44959.605393518519</v>
      </c>
      <c r="Q2831" t="s">
        <v>1745</v>
      </c>
      <c r="U2831" s="77" t="str">
        <f>HYPERLINK("https://pbs.twimg.com/media/FnwXCZxWYAAmxik.jpg")</f>
        <v>https://pbs.twimg.com/media/FnwXCZxWYAAmxik.jpg</v>
      </c>
      <c r="V2831" s="77" t="str">
        <f>HYPERLINK("https://pbs.twimg.com/media/FnwXCZxWYAAmxik.jpg")</f>
        <v>https://pbs.twimg.com/media/FnwXCZxWYAAmxik.jpg</v>
      </c>
      <c r="W2831" s="76">
        <v>44959.605393518519</v>
      </c>
      <c r="X2831" s="80">
        <v>44959</v>
      </c>
      <c r="Y2831" s="78" t="s">
        <v>3419</v>
      </c>
      <c r="Z2831" s="77" t="str">
        <f>HYPERLINK("https://twitter.com/yahairardz_/status/1621154412604588033")</f>
        <v>https://twitter.com/yahairardz_/status/1621154412604588033</v>
      </c>
      <c r="AC2831" s="78" t="s">
        <v>4484</v>
      </c>
      <c r="AE2831" t="b">
        <v>0</v>
      </c>
      <c r="AF2831">
        <v>0</v>
      </c>
      <c r="AG2831" s="78" t="s">
        <v>4640</v>
      </c>
      <c r="AH2831" t="b">
        <v>0</v>
      </c>
      <c r="AI2831" t="s">
        <v>4829</v>
      </c>
      <c r="AK2831" s="78" t="s">
        <v>4640</v>
      </c>
      <c r="AL2831" t="b">
        <v>0</v>
      </c>
      <c r="AM2831">
        <v>6</v>
      </c>
      <c r="AN2831" s="78" t="s">
        <v>4483</v>
      </c>
      <c r="AO2831" s="78" t="s">
        <v>4849</v>
      </c>
      <c r="AP2831" t="b">
        <v>0</v>
      </c>
      <c r="AQ2831" s="78" t="s">
        <v>4483</v>
      </c>
      <c r="AR2831" t="s">
        <v>179</v>
      </c>
      <c r="AS2831">
        <v>0</v>
      </c>
      <c r="AT2831">
        <v>0</v>
      </c>
    </row>
    <row r="2832" spans="1:46" x14ac:dyDescent="0.45">
      <c r="A2832" s="62" t="s">
        <v>1103</v>
      </c>
      <c r="B2832" s="62" t="s">
        <v>1113</v>
      </c>
      <c r="C2832" s="63"/>
      <c r="D2832" s="64"/>
      <c r="E2832" s="65"/>
      <c r="F2832" s="66"/>
      <c r="G2832" s="63"/>
      <c r="H2832" s="67"/>
      <c r="I2832" s="68"/>
      <c r="J2832" s="68"/>
      <c r="K2832" s="32"/>
      <c r="L2832" s="75"/>
      <c r="M2832" s="75"/>
      <c r="N2832" s="70"/>
      <c r="O2832" t="s">
        <v>1568</v>
      </c>
      <c r="P2832" s="76">
        <v>44959.605543981481</v>
      </c>
      <c r="Q2832" t="s">
        <v>2248</v>
      </c>
      <c r="V2832" s="77" t="str">
        <f>HYPERLINK("https://abs.twimg.com/sticky/default_profile_images/default_profile_normal.png")</f>
        <v>https://abs.twimg.com/sticky/default_profile_images/default_profile_normal.png</v>
      </c>
      <c r="W2832" s="76">
        <v>44959.605543981481</v>
      </c>
      <c r="X2832" s="80">
        <v>44959</v>
      </c>
      <c r="Y2832" s="78" t="s">
        <v>3422</v>
      </c>
      <c r="Z2832" s="77" t="str">
        <f>HYPERLINK("https://twitter.com/nancykirkbride3/status/1621154468241997826")</f>
        <v>https://twitter.com/nancykirkbride3/status/1621154468241997826</v>
      </c>
      <c r="AC2832" s="78" t="s">
        <v>4487</v>
      </c>
      <c r="AD2832" s="78" t="s">
        <v>4486</v>
      </c>
      <c r="AE2832" t="b">
        <v>0</v>
      </c>
      <c r="AF2832">
        <v>0</v>
      </c>
      <c r="AG2832" s="78" t="s">
        <v>4828</v>
      </c>
      <c r="AH2832" t="b">
        <v>0</v>
      </c>
      <c r="AI2832" t="s">
        <v>4829</v>
      </c>
      <c r="AK2832" s="78" t="s">
        <v>4640</v>
      </c>
      <c r="AL2832" t="b">
        <v>0</v>
      </c>
      <c r="AM2832">
        <v>0</v>
      </c>
      <c r="AN2832" s="78" t="s">
        <v>4640</v>
      </c>
      <c r="AO2832" s="78" t="s">
        <v>4850</v>
      </c>
      <c r="AP2832" t="b">
        <v>0</v>
      </c>
      <c r="AQ2832" s="78" t="s">
        <v>4486</v>
      </c>
      <c r="AR2832" t="s">
        <v>179</v>
      </c>
      <c r="AS2832">
        <v>0</v>
      </c>
      <c r="AT2832">
        <v>0</v>
      </c>
    </row>
    <row r="2833" spans="1:46" x14ac:dyDescent="0.45">
      <c r="A2833" s="62" t="s">
        <v>1103</v>
      </c>
      <c r="B2833" s="62" t="s">
        <v>1102</v>
      </c>
      <c r="C2833" s="63"/>
      <c r="D2833" s="64"/>
      <c r="E2833" s="65"/>
      <c r="F2833" s="66"/>
      <c r="G2833" s="63"/>
      <c r="H2833" s="67"/>
      <c r="I2833" s="68"/>
      <c r="J2833" s="68"/>
      <c r="K2833" s="32"/>
      <c r="L2833" s="75"/>
      <c r="M2833" s="75"/>
      <c r="N2833" s="70"/>
      <c r="O2833" t="s">
        <v>1567</v>
      </c>
      <c r="P2833" s="76">
        <v>44959.605543981481</v>
      </c>
      <c r="Q2833" t="s">
        <v>2248</v>
      </c>
      <c r="V2833" s="77" t="str">
        <f>HYPERLINK("https://abs.twimg.com/sticky/default_profile_images/default_profile_normal.png")</f>
        <v>https://abs.twimg.com/sticky/default_profile_images/default_profile_normal.png</v>
      </c>
      <c r="W2833" s="76">
        <v>44959.605543981481</v>
      </c>
      <c r="X2833" s="80">
        <v>44959</v>
      </c>
      <c r="Y2833" s="78" t="s">
        <v>3422</v>
      </c>
      <c r="Z2833" s="77" t="str">
        <f>HYPERLINK("https://twitter.com/nancykirkbride3/status/1621154468241997826")</f>
        <v>https://twitter.com/nancykirkbride3/status/1621154468241997826</v>
      </c>
      <c r="AC2833" s="78" t="s">
        <v>4487</v>
      </c>
      <c r="AD2833" s="78" t="s">
        <v>4486</v>
      </c>
      <c r="AE2833" t="b">
        <v>0</v>
      </c>
      <c r="AF2833">
        <v>0</v>
      </c>
      <c r="AG2833" s="78" t="s">
        <v>4828</v>
      </c>
      <c r="AH2833" t="b">
        <v>0</v>
      </c>
      <c r="AI2833" t="s">
        <v>4829</v>
      </c>
      <c r="AK2833" s="78" t="s">
        <v>4640</v>
      </c>
      <c r="AL2833" t="b">
        <v>0</v>
      </c>
      <c r="AM2833">
        <v>0</v>
      </c>
      <c r="AN2833" s="78" t="s">
        <v>4640</v>
      </c>
      <c r="AO2833" s="78" t="s">
        <v>4850</v>
      </c>
      <c r="AP2833" t="b">
        <v>0</v>
      </c>
      <c r="AQ2833" s="78" t="s">
        <v>4486</v>
      </c>
      <c r="AR2833" t="s">
        <v>179</v>
      </c>
      <c r="AS2833">
        <v>0</v>
      </c>
      <c r="AT2833">
        <v>0</v>
      </c>
    </row>
    <row r="2834" spans="1:46" x14ac:dyDescent="0.45">
      <c r="A2834" s="62" t="s">
        <v>1103</v>
      </c>
      <c r="B2834" s="62" t="s">
        <v>242</v>
      </c>
      <c r="C2834" s="63"/>
      <c r="D2834" s="64"/>
      <c r="E2834" s="65"/>
      <c r="F2834" s="66"/>
      <c r="G2834" s="63"/>
      <c r="H2834" s="67"/>
      <c r="I2834" s="68"/>
      <c r="J2834" s="68"/>
      <c r="K2834" s="32"/>
      <c r="L2834" s="75"/>
      <c r="M2834" s="75"/>
      <c r="N2834" s="70"/>
      <c r="O2834" t="s">
        <v>1568</v>
      </c>
      <c r="P2834" s="76">
        <v>44959.605543981481</v>
      </c>
      <c r="Q2834" t="s">
        <v>2248</v>
      </c>
      <c r="V2834" s="77" t="str">
        <f>HYPERLINK("https://abs.twimg.com/sticky/default_profile_images/default_profile_normal.png")</f>
        <v>https://abs.twimg.com/sticky/default_profile_images/default_profile_normal.png</v>
      </c>
      <c r="W2834" s="76">
        <v>44959.605543981481</v>
      </c>
      <c r="X2834" s="80">
        <v>44959</v>
      </c>
      <c r="Y2834" s="78" t="s">
        <v>3422</v>
      </c>
      <c r="Z2834" s="77" t="str">
        <f>HYPERLINK("https://twitter.com/nancykirkbride3/status/1621154468241997826")</f>
        <v>https://twitter.com/nancykirkbride3/status/1621154468241997826</v>
      </c>
      <c r="AC2834" s="78" t="s">
        <v>4487</v>
      </c>
      <c r="AD2834" s="78" t="s">
        <v>4486</v>
      </c>
      <c r="AE2834" t="b">
        <v>0</v>
      </c>
      <c r="AF2834">
        <v>0</v>
      </c>
      <c r="AG2834" s="78" t="s">
        <v>4828</v>
      </c>
      <c r="AH2834" t="b">
        <v>0</v>
      </c>
      <c r="AI2834" t="s">
        <v>4829</v>
      </c>
      <c r="AK2834" s="78" t="s">
        <v>4640</v>
      </c>
      <c r="AL2834" t="b">
        <v>0</v>
      </c>
      <c r="AM2834">
        <v>0</v>
      </c>
      <c r="AN2834" s="78" t="s">
        <v>4640</v>
      </c>
      <c r="AO2834" s="78" t="s">
        <v>4850</v>
      </c>
      <c r="AP2834" t="b">
        <v>0</v>
      </c>
      <c r="AQ2834" s="78" t="s">
        <v>4486</v>
      </c>
      <c r="AR2834" t="s">
        <v>179</v>
      </c>
      <c r="AS2834">
        <v>0</v>
      </c>
      <c r="AT2834">
        <v>0</v>
      </c>
    </row>
    <row r="2835" spans="1:46" x14ac:dyDescent="0.45">
      <c r="A2835" s="62" t="s">
        <v>1104</v>
      </c>
      <c r="B2835" s="62" t="s">
        <v>242</v>
      </c>
      <c r="C2835" s="63"/>
      <c r="D2835" s="64"/>
      <c r="E2835" s="65"/>
      <c r="F2835" s="66"/>
      <c r="G2835" s="63"/>
      <c r="H2835" s="67"/>
      <c r="I2835" s="68"/>
      <c r="J2835" s="68"/>
      <c r="K2835" s="32"/>
      <c r="L2835" s="75"/>
      <c r="M2835" s="75"/>
      <c r="N2835" s="70"/>
      <c r="O2835" t="s">
        <v>1567</v>
      </c>
      <c r="P2835" s="76">
        <v>44959.607719907406</v>
      </c>
      <c r="Q2835" t="s">
        <v>2249</v>
      </c>
      <c r="V2835" s="77" t="str">
        <f>HYPERLINK("https://pbs.twimg.com/profile_images/481476367985307649/HqqZ9Fnd_normal.jpeg")</f>
        <v>https://pbs.twimg.com/profile_images/481476367985307649/HqqZ9Fnd_normal.jpeg</v>
      </c>
      <c r="W2835" s="76">
        <v>44959.607719907406</v>
      </c>
      <c r="X2835" s="80">
        <v>44959</v>
      </c>
      <c r="Y2835" s="78" t="s">
        <v>3434</v>
      </c>
      <c r="Z2835" s="77" t="str">
        <f>HYPERLINK("https://twitter.com/uslynnukandrew/status/1621155257148649473")</f>
        <v>https://twitter.com/uslynnukandrew/status/1621155257148649473</v>
      </c>
      <c r="AC2835" s="78" t="s">
        <v>4499</v>
      </c>
      <c r="AE2835" t="b">
        <v>0</v>
      </c>
      <c r="AF2835">
        <v>0</v>
      </c>
      <c r="AG2835" s="78" t="s">
        <v>4639</v>
      </c>
      <c r="AH2835" t="b">
        <v>0</v>
      </c>
      <c r="AI2835" t="s">
        <v>4829</v>
      </c>
      <c r="AK2835" s="78" t="s">
        <v>4640</v>
      </c>
      <c r="AL2835" t="b">
        <v>0</v>
      </c>
      <c r="AM2835">
        <v>0</v>
      </c>
      <c r="AN2835" s="78" t="s">
        <v>4640</v>
      </c>
      <c r="AO2835" s="78" t="s">
        <v>4849</v>
      </c>
      <c r="AP2835" t="b">
        <v>0</v>
      </c>
      <c r="AQ2835" s="78" t="s">
        <v>4499</v>
      </c>
      <c r="AR2835" t="s">
        <v>179</v>
      </c>
      <c r="AS2835">
        <v>0</v>
      </c>
      <c r="AT2835">
        <v>0</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835"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835" xr:uid="{00000000-0002-0000-0000-000001000000}"/>
    <dataValidation allowBlank="1" showErrorMessage="1" sqref="N2:N2835"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835"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835" xr:uid="{00000000-0002-0000-0000-000004000000}"/>
    <dataValidation allowBlank="1" showInputMessage="1" promptTitle="Edge Color" prompt="To select an optional edge color, right-click and select Select Color on the right-click menu." sqref="C3:C2835" xr:uid="{00000000-0002-0000-0000-000005000000}"/>
    <dataValidation allowBlank="1" showInputMessage="1" errorTitle="Invalid Edge Width" error="The optional edge width must be a whole number between 1 and 10." promptTitle="Edge Width" prompt="Enter an optional edge width between 1 and 10." sqref="D3:D2835"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835"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835" xr:uid="{00000000-0002-0000-0000-000008000000}">
      <formula1>ValidEdgeVisibilities</formula1>
    </dataValidation>
    <dataValidation allowBlank="1" showInputMessage="1" showErrorMessage="1" promptTitle="Vertex 1 Name" prompt="Enter the name of the edge's first vertex." sqref="A3:A2835" xr:uid="{00000000-0002-0000-0000-000009000000}"/>
    <dataValidation allowBlank="1" showInputMessage="1" showErrorMessage="1" promptTitle="Vertex 2 Name" prompt="Enter the name of the edge's second vertex." sqref="B3:B2835"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835"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835"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835" xr:uid="{00000000-0002-0000-0000-00000D000000}"/>
  </dataValidations>
  <hyperlinks>
    <hyperlink ref="R43" r:id="rId1" display="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xr:uid="{F2BF606F-3B2D-49F0-9BC3-4C073DE79CE5}"/>
    <hyperlink ref="R44" r:id="rId2" display="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xr:uid="{270BB3FA-BD3B-4DF8-A457-3C87E069EE37}"/>
    <hyperlink ref="R45" r:id="rId3" display="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xr:uid="{B98D1931-BB80-453C-A4DA-168FB7542F74}"/>
    <hyperlink ref="R52" r:id="rId4" display="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xr:uid="{61C50BDE-A7DC-4400-8525-9D9FA70B4FCA}"/>
    <hyperlink ref="R53" r:id="rId5" display="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xr:uid="{C257ED3C-ED2E-494E-8426-E712ED006DE3}"/>
    <hyperlink ref="R54" r:id="rId6" display="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xr:uid="{2F732230-31D7-4B3B-A5A2-FE21114E2FDA}"/>
    <hyperlink ref="R55" r:id="rId7" display="https://www.ebay.com/itm/203148824268?amdata=enc%3AAQAHAAAAkCD6xrZwacUu02bQiSuv8FREnFV8kk7n4YmHWu1ipzKXpSifhHtliFEpK5YFv70oKYaq4bWTEFODcXeuNQSEbTS%2FMIjcV9Xb64hBG5uBkgGPnqXFYNWcP2b4N%2BFprQUGLDvFmshpa96CgV6e2GPu3AcbkfZjV8b4UDPWclsPv3E8Xt4cnHduhrmw%2FD2EmisNtQ%3D%3D&amp;mkcid=1&amp;mkrid=711-53200-19255-0&amp;siteid=0&amp;campid=5337892447&amp;customid=&amp;toolid=20012&amp;mkevt=1" xr:uid="{6B400B52-A2D1-463A-A7A2-469FCC158A3A}"/>
    <hyperlink ref="R422" r:id="rId8" display="https://www.thepennyhoarder.com/save-money/walmart-plus-vs-amazon-prime/?aff_id=128&amp;utm_source=twitter&amp;utm_medium=social-organic&amp;utm_campaign=/save-money/walmart-plus-vs-amazon-prime/&amp;utm_content=20230202&amp;aff_sub3=/save-money/walmart-plus-vs-amazon-prime/_20230202_social-organic_twitter" xr:uid="{7CCDE10D-2822-4BE1-993D-8EEBFDBCB44C}"/>
    <hyperlink ref="R423" r:id="rId9" display="https://www.thepennyhoarder.com/save-money/walmart-plus-vs-amazon-prime/?aff_id=128&amp;utm_source=twitter&amp;utm_medium=social-organic&amp;utm_campaign=/save-money/walmart-plus-vs-amazon-prime/&amp;utm_content=20230202&amp;aff_sub3=/save-money/walmart-plus-vs-amazon-prime/_20230202_social-organic_twitter" xr:uid="{118A4AED-22B7-40CB-A9AD-731FB7B42538}"/>
  </hyperlinks>
  <pageMargins left="0.7" right="0.7" top="0.75" bottom="0.75" header="0.3" footer="0.3"/>
  <pageSetup orientation="portrait" verticalDpi="0" r:id="rId10"/>
  <legacyDrawing r:id="rId11"/>
  <tableParts count="1">
    <tablePart r:id="rId1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A1352"/>
  <sheetViews>
    <sheetView workbookViewId="0">
      <pane xSplit="1" ySplit="2" topLeftCell="B3" activePane="bottomRight" state="frozen"/>
      <selection pane="topRight" activeCell="B1" sqref="B1"/>
      <selection pane="bottomLeft" activeCell="A3" sqref="A3"/>
      <selection pane="bottomRight" activeCell="AI10" sqref="AI10"/>
    </sheetView>
  </sheetViews>
  <sheetFormatPr defaultRowHeight="14.25" x14ac:dyDescent="0.45"/>
  <cols>
    <col min="1" max="1" width="9.1328125" style="1"/>
    <col min="2" max="2" width="7.86328125" customWidth="1"/>
    <col min="3" max="3" width="8.53125" customWidth="1"/>
    <col min="4" max="4" width="6.6640625" customWidth="1"/>
    <col min="5" max="5" width="9.86328125" customWidth="1"/>
    <col min="6" max="6" width="7.6640625" customWidth="1"/>
    <col min="7" max="7" width="11" customWidth="1"/>
    <col min="8" max="8" width="8.53125" customWidth="1"/>
    <col min="9" max="9" width="9.6640625" customWidth="1"/>
    <col min="10" max="10" width="10.53125" customWidth="1"/>
    <col min="11" max="11" width="9.1328125" customWidth="1"/>
    <col min="12" max="12" width="9.1328125" hidden="1" customWidth="1"/>
    <col min="13" max="14" width="4.33203125" hidden="1" customWidth="1"/>
    <col min="15" max="15" width="10.33203125" hidden="1" customWidth="1"/>
    <col min="16" max="16" width="6.46484375" hidden="1" customWidth="1"/>
    <col min="17" max="17" width="8.33203125" hidden="1" customWidth="1"/>
    <col min="18" max="18" width="9.53125" hidden="1" customWidth="1"/>
    <col min="19" max="19" width="9.33203125" hidden="1" customWidth="1"/>
    <col min="20" max="20" width="9.53125" hidden="1" customWidth="1"/>
    <col min="21" max="23" width="14.33203125" hidden="1" customWidth="1"/>
    <col min="24" max="24" width="11.86328125" hidden="1" customWidth="1"/>
    <col min="25" max="25" width="14.46484375" hidden="1" customWidth="1"/>
    <col min="26" max="26" width="18.33203125" hidden="1" customWidth="1"/>
    <col min="27" max="27" width="5" hidden="1" customWidth="1"/>
    <col min="28" max="28" width="16" hidden="1" customWidth="1"/>
    <col min="29" max="29" width="16" style="5" bestFit="1" customWidth="1"/>
    <col min="30" max="30" width="7.59765625" style="2" bestFit="1" customWidth="1"/>
    <col min="31" max="31" width="8.6640625" bestFit="1" customWidth="1"/>
    <col min="32" max="32" width="10.06640625" bestFit="1" customWidth="1"/>
    <col min="33" max="33" width="10.46484375" bestFit="1" customWidth="1"/>
    <col min="34" max="34" width="8.53125" bestFit="1" customWidth="1"/>
    <col min="35" max="35" width="8.3984375" bestFit="1" customWidth="1"/>
    <col min="36" max="36" width="15.796875" bestFit="1" customWidth="1"/>
    <col min="37" max="37" width="11.86328125" bestFit="1" customWidth="1"/>
    <col min="38" max="38" width="9.59765625" bestFit="1" customWidth="1"/>
    <col min="39" max="39" width="6.59765625" bestFit="1" customWidth="1"/>
    <col min="40" max="40" width="11.1328125" bestFit="1" customWidth="1"/>
    <col min="41" max="41" width="14.59765625" bestFit="1" customWidth="1"/>
    <col min="42" max="42" width="11.3984375" bestFit="1" customWidth="1"/>
    <col min="43" max="43" width="9.19921875" bestFit="1" customWidth="1"/>
    <col min="44" max="44" width="14.796875" bestFit="1" customWidth="1"/>
    <col min="45" max="45" width="9.19921875" bestFit="1" customWidth="1"/>
    <col min="46" max="46" width="10.3984375" bestFit="1" customWidth="1"/>
    <col min="47" max="47" width="8" bestFit="1" customWidth="1"/>
    <col min="48" max="48" width="18.33203125" bestFit="1" customWidth="1"/>
    <col min="50" max="51" width="14.3984375" bestFit="1" customWidth="1"/>
    <col min="52" max="52" width="13.53125" bestFit="1" customWidth="1"/>
  </cols>
  <sheetData>
    <row r="1" spans="1:53" x14ac:dyDescent="0.4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53" ht="30" customHeight="1" x14ac:dyDescent="0.4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4978</v>
      </c>
      <c r="AE2" s="7" t="s">
        <v>4979</v>
      </c>
      <c r="AF2" s="7" t="s">
        <v>4980</v>
      </c>
      <c r="AG2" s="7" t="s">
        <v>4981</v>
      </c>
      <c r="AH2" s="7" t="s">
        <v>4982</v>
      </c>
      <c r="AI2" s="7" t="s">
        <v>4983</v>
      </c>
      <c r="AJ2" s="7" t="s">
        <v>4984</v>
      </c>
      <c r="AK2" s="7" t="s">
        <v>4985</v>
      </c>
      <c r="AL2" s="7" t="s">
        <v>4986</v>
      </c>
      <c r="AM2" s="7" t="s">
        <v>4987</v>
      </c>
      <c r="AN2" s="7" t="s">
        <v>4988</v>
      </c>
      <c r="AO2" s="7" t="s">
        <v>4989</v>
      </c>
      <c r="AP2" s="7" t="s">
        <v>4990</v>
      </c>
      <c r="AQ2" s="7" t="s">
        <v>4991</v>
      </c>
      <c r="AR2" s="7" t="s">
        <v>4992</v>
      </c>
      <c r="AS2" s="7" t="s">
        <v>4993</v>
      </c>
      <c r="AT2" s="7" t="s">
        <v>197</v>
      </c>
      <c r="AU2" s="7" t="s">
        <v>4994</v>
      </c>
      <c r="AV2" s="7" t="s">
        <v>4995</v>
      </c>
      <c r="AW2" s="7" t="s">
        <v>4996</v>
      </c>
      <c r="AX2" s="7" t="s">
        <v>4997</v>
      </c>
      <c r="AY2" s="7" t="s">
        <v>4998</v>
      </c>
      <c r="AZ2" s="7" t="s">
        <v>4999</v>
      </c>
    </row>
    <row r="3" spans="1:53" ht="15" customHeight="1" x14ac:dyDescent="0.45">
      <c r="A3" s="62" t="s">
        <v>1247</v>
      </c>
      <c r="B3" s="63"/>
      <c r="C3" s="63"/>
      <c r="D3" s="64"/>
      <c r="E3" s="66"/>
      <c r="F3" s="98" t="str">
        <f>HYPERLINK("https://pbs.twimg.com/profile_images/1590968738358079488/IY9Gx6Ok_normal.jpg")</f>
        <v>https://pbs.twimg.com/profile_images/1590968738358079488/IY9Gx6Ok_normal.jpg</v>
      </c>
      <c r="G3" s="63"/>
      <c r="H3" s="67"/>
      <c r="I3" s="68"/>
      <c r="J3" s="68"/>
      <c r="K3" s="67" t="s">
        <v>9604</v>
      </c>
      <c r="L3" s="71"/>
      <c r="M3" s="72"/>
      <c r="N3" s="72"/>
      <c r="O3" s="73"/>
      <c r="P3" s="74"/>
      <c r="Q3" s="74"/>
      <c r="R3" s="81"/>
      <c r="S3" s="81"/>
      <c r="T3" s="81"/>
      <c r="U3" s="81"/>
      <c r="V3" s="48"/>
      <c r="W3" s="48"/>
      <c r="X3" s="48"/>
      <c r="Y3" s="48"/>
      <c r="Z3" s="47"/>
      <c r="AA3" s="69"/>
      <c r="AB3" s="69"/>
      <c r="AC3" s="70"/>
      <c r="AD3" t="s">
        <v>5297</v>
      </c>
      <c r="AE3" s="78" t="s">
        <v>6575</v>
      </c>
      <c r="AF3">
        <v>179</v>
      </c>
      <c r="AG3">
        <v>127735491</v>
      </c>
      <c r="AH3">
        <v>22530</v>
      </c>
      <c r="AI3">
        <v>17664</v>
      </c>
      <c r="AO3" s="76">
        <v>39966.842002314814</v>
      </c>
      <c r="AP3" s="79" t="str">
        <f>HYPERLINK("https://pbs.twimg.com/profile_banners/44196397/1576183471")</f>
        <v>https://pbs.twimg.com/profile_banners/44196397/1576183471</v>
      </c>
      <c r="AQ3" t="b">
        <v>0</v>
      </c>
      <c r="AR3" t="b">
        <v>0</v>
      </c>
      <c r="AS3" t="b">
        <v>0</v>
      </c>
      <c r="AU3">
        <v>113932</v>
      </c>
      <c r="AV3" s="79" t="str">
        <f>HYPERLINK("https://abs.twimg.com/images/themes/theme1/bg.png")</f>
        <v>https://abs.twimg.com/images/themes/theme1/bg.png</v>
      </c>
      <c r="AW3" t="b">
        <v>1</v>
      </c>
      <c r="AX3" t="s">
        <v>9303</v>
      </c>
      <c r="AY3" s="79" t="str">
        <f>HYPERLINK("https://twitter.com/elonmusk")</f>
        <v>https://twitter.com/elonmusk</v>
      </c>
      <c r="AZ3" t="s">
        <v>65</v>
      </c>
    </row>
    <row r="4" spans="1:53" x14ac:dyDescent="0.45">
      <c r="A4" s="62" t="s">
        <v>1338</v>
      </c>
      <c r="B4" s="63"/>
      <c r="C4" s="63"/>
      <c r="D4" s="64"/>
      <c r="E4" s="66"/>
      <c r="F4" s="98" t="str">
        <f>HYPERLINK("https://pbs.twimg.com/profile_images/874276197357596672/kUuht00m_normal.jpg")</f>
        <v>https://pbs.twimg.com/profile_images/874276197357596672/kUuht00m_normal.jpg</v>
      </c>
      <c r="G4" s="63"/>
      <c r="H4" s="67"/>
      <c r="I4" s="68"/>
      <c r="J4" s="68"/>
      <c r="K4" s="67" t="s">
        <v>10024</v>
      </c>
      <c r="L4" s="71"/>
      <c r="M4" s="72"/>
      <c r="N4" s="72"/>
      <c r="O4" s="73"/>
      <c r="P4" s="74"/>
      <c r="Q4" s="74"/>
      <c r="R4" s="81"/>
      <c r="S4" s="81"/>
      <c r="T4" s="81"/>
      <c r="U4" s="81"/>
      <c r="V4" s="48"/>
      <c r="W4" s="48"/>
      <c r="X4" s="48"/>
      <c r="Y4" s="48"/>
      <c r="Z4" s="47"/>
      <c r="AA4" s="69"/>
      <c r="AB4" s="69"/>
      <c r="AC4" s="70"/>
      <c r="AD4" t="s">
        <v>5714</v>
      </c>
      <c r="AE4" s="78" t="s">
        <v>6952</v>
      </c>
      <c r="AF4">
        <v>50</v>
      </c>
      <c r="AG4">
        <v>87694414</v>
      </c>
      <c r="AH4">
        <v>59141</v>
      </c>
      <c r="AI4">
        <v>0</v>
      </c>
      <c r="AK4" t="s">
        <v>8117</v>
      </c>
      <c r="AL4" t="s">
        <v>8703</v>
      </c>
      <c r="AM4" s="79" t="str">
        <f>HYPERLINK("https://t.co/8f9VFxztEJ")</f>
        <v>https://t.co/8f9VFxztEJ</v>
      </c>
      <c r="AO4" s="76">
        <v>39890.574050925927</v>
      </c>
      <c r="AP4" s="79" t="str">
        <f>HYPERLINK("https://pbs.twimg.com/profile_banners/25073877/1604214583")</f>
        <v>https://pbs.twimg.com/profile_banners/25073877/1604214583</v>
      </c>
      <c r="AQ4" t="b">
        <v>0</v>
      </c>
      <c r="AR4" t="b">
        <v>0</v>
      </c>
      <c r="AS4" t="b">
        <v>1</v>
      </c>
      <c r="AU4">
        <v>113014</v>
      </c>
      <c r="AV4" s="79" t="str">
        <f>HYPERLINK("https://abs.twimg.com/images/themes/theme1/bg.png")</f>
        <v>https://abs.twimg.com/images/themes/theme1/bg.png</v>
      </c>
      <c r="AW4" t="b">
        <v>1</v>
      </c>
      <c r="AX4" t="s">
        <v>9303</v>
      </c>
      <c r="AY4" s="79" t="str">
        <f>HYPERLINK("https://twitter.com/realdonaldtrump")</f>
        <v>https://twitter.com/realdonaldtrump</v>
      </c>
      <c r="AZ4" t="s">
        <v>65</v>
      </c>
      <c r="BA4" s="2"/>
    </row>
    <row r="5" spans="1:53" x14ac:dyDescent="0.45">
      <c r="A5" s="62" t="s">
        <v>1311</v>
      </c>
      <c r="B5" s="63"/>
      <c r="C5" s="63"/>
      <c r="D5" s="64"/>
      <c r="E5" s="66"/>
      <c r="F5" s="98" t="str">
        <f>HYPERLINK("https://pbs.twimg.com/profile_images/1427292844612595720/RC1YSvuT_normal.jpg")</f>
        <v>https://pbs.twimg.com/profile_images/1427292844612595720/RC1YSvuT_normal.jpg</v>
      </c>
      <c r="G5" s="63"/>
      <c r="H5" s="67"/>
      <c r="I5" s="68"/>
      <c r="J5" s="68"/>
      <c r="K5" s="67" t="s">
        <v>9928</v>
      </c>
      <c r="L5" s="71"/>
      <c r="M5" s="72"/>
      <c r="N5" s="72"/>
      <c r="O5" s="73"/>
      <c r="P5" s="74"/>
      <c r="Q5" s="74"/>
      <c r="R5" s="81"/>
      <c r="S5" s="81"/>
      <c r="T5" s="81"/>
      <c r="U5" s="81"/>
      <c r="V5" s="48"/>
      <c r="W5" s="48"/>
      <c r="X5" s="48"/>
      <c r="Y5" s="48"/>
      <c r="Z5" s="47"/>
      <c r="AA5" s="69"/>
      <c r="AB5" s="69"/>
      <c r="AC5" s="70"/>
      <c r="AD5" t="s">
        <v>5619</v>
      </c>
      <c r="AE5" s="78" t="s">
        <v>6863</v>
      </c>
      <c r="AF5">
        <v>1192</v>
      </c>
      <c r="AG5">
        <v>78542840</v>
      </c>
      <c r="AH5">
        <v>50739</v>
      </c>
      <c r="AI5">
        <v>6135</v>
      </c>
      <c r="AK5" t="s">
        <v>8037</v>
      </c>
      <c r="AL5" t="s">
        <v>9001</v>
      </c>
      <c r="AM5" s="79" t="str">
        <f>HYPERLINK("https://t.co/bUisN3Y1A6")</f>
        <v>https://t.co/bUisN3Y1A6</v>
      </c>
      <c r="AO5" s="76">
        <v>39399.905393518522</v>
      </c>
      <c r="AP5" s="79" t="str">
        <f>HYPERLINK("https://pbs.twimg.com/profile_banners/10228272/1670547873")</f>
        <v>https://pbs.twimg.com/profile_banners/10228272/1670547873</v>
      </c>
      <c r="AQ5" t="b">
        <v>0</v>
      </c>
      <c r="AR5" t="b">
        <v>0</v>
      </c>
      <c r="AS5" t="b">
        <v>0</v>
      </c>
      <c r="AU5">
        <v>80124</v>
      </c>
      <c r="AV5" s="79" t="str">
        <f>HYPERLINK("https://abs.twimg.com/images/themes/theme14/bg.gif")</f>
        <v>https://abs.twimg.com/images/themes/theme14/bg.gif</v>
      </c>
      <c r="AW5" t="b">
        <v>1</v>
      </c>
      <c r="AX5" t="s">
        <v>9303</v>
      </c>
      <c r="AY5" s="79" t="str">
        <f>HYPERLINK("https://twitter.com/youtube")</f>
        <v>https://twitter.com/youtube</v>
      </c>
      <c r="AZ5" t="s">
        <v>65</v>
      </c>
      <c r="BA5" s="2"/>
    </row>
    <row r="6" spans="1:53" x14ac:dyDescent="0.45">
      <c r="A6" s="62" t="s">
        <v>1248</v>
      </c>
      <c r="B6" s="63"/>
      <c r="C6" s="63"/>
      <c r="D6" s="64"/>
      <c r="E6" s="66"/>
      <c r="F6" s="98" t="str">
        <f>HYPERLINK("https://pbs.twimg.com/profile_images/1488548719062654976/u6qfBBkF_normal.jpg")</f>
        <v>https://pbs.twimg.com/profile_images/1488548719062654976/u6qfBBkF_normal.jpg</v>
      </c>
      <c r="G6" s="63"/>
      <c r="H6" s="67"/>
      <c r="I6" s="68"/>
      <c r="J6" s="68"/>
      <c r="K6" s="67" t="s">
        <v>9605</v>
      </c>
      <c r="L6" s="71"/>
      <c r="M6" s="72"/>
      <c r="N6" s="72"/>
      <c r="O6" s="73"/>
      <c r="P6" s="74"/>
      <c r="Q6" s="74"/>
      <c r="R6" s="81"/>
      <c r="S6" s="81"/>
      <c r="T6" s="81"/>
      <c r="U6" s="81"/>
      <c r="V6" s="48"/>
      <c r="W6" s="48"/>
      <c r="X6" s="48"/>
      <c r="Y6" s="48"/>
      <c r="Z6" s="47"/>
      <c r="AA6" s="69"/>
      <c r="AB6" s="69"/>
      <c r="AC6" s="70"/>
      <c r="AD6" t="s">
        <v>5298</v>
      </c>
      <c r="AE6" s="78" t="s">
        <v>6576</v>
      </c>
      <c r="AF6">
        <v>5</v>
      </c>
      <c r="AG6">
        <v>65410301</v>
      </c>
      <c r="AH6">
        <v>15045</v>
      </c>
      <c r="AI6">
        <v>6161</v>
      </c>
      <c r="AK6" t="s">
        <v>7754</v>
      </c>
      <c r="AL6" t="s">
        <v>8835</v>
      </c>
      <c r="AM6" s="79" t="str">
        <f>HYPERLINK("https://t.co/DAtOo6uuHk")</f>
        <v>https://t.co/DAtOo6uuHk</v>
      </c>
      <c r="AO6" s="76">
        <v>39133.608263888891</v>
      </c>
      <c r="AP6" s="79" t="str">
        <f>HYPERLINK("https://pbs.twimg.com/profile_banners/783214/1646075315")</f>
        <v>https://pbs.twimg.com/profile_banners/783214/1646075315</v>
      </c>
      <c r="AQ6" t="b">
        <v>0</v>
      </c>
      <c r="AR6" t="b">
        <v>0</v>
      </c>
      <c r="AS6" t="b">
        <v>1</v>
      </c>
      <c r="AU6">
        <v>87774</v>
      </c>
      <c r="AV6" s="79" t="str">
        <f>HYPERLINK("https://abs.twimg.com/images/themes/theme18/bg.gif")</f>
        <v>https://abs.twimg.com/images/themes/theme18/bg.gif</v>
      </c>
      <c r="AW6" t="b">
        <v>1</v>
      </c>
      <c r="AX6" t="s">
        <v>9303</v>
      </c>
      <c r="AY6" s="79" t="str">
        <f>HYPERLINK("https://twitter.com/twitter")</f>
        <v>https://twitter.com/twitter</v>
      </c>
      <c r="AZ6" t="s">
        <v>65</v>
      </c>
      <c r="BA6" s="2"/>
    </row>
    <row r="7" spans="1:53" x14ac:dyDescent="0.45">
      <c r="A7" s="62" t="s">
        <v>1506</v>
      </c>
      <c r="B7" s="63"/>
      <c r="C7" s="63"/>
      <c r="D7" s="64"/>
      <c r="E7" s="66"/>
      <c r="F7" s="98" t="str">
        <f>HYPERLINK("https://pbs.twimg.com/profile_images/1134090740592627712/0Fp-U5-p_normal.png")</f>
        <v>https://pbs.twimg.com/profile_images/1134090740592627712/0Fp-U5-p_normal.png</v>
      </c>
      <c r="G7" s="63"/>
      <c r="H7" s="67"/>
      <c r="I7" s="68"/>
      <c r="J7" s="68"/>
      <c r="K7" s="67" t="s">
        <v>10524</v>
      </c>
      <c r="L7" s="71"/>
      <c r="M7" s="72"/>
      <c r="N7" s="72"/>
      <c r="O7" s="73"/>
      <c r="P7" s="74"/>
      <c r="Q7" s="74"/>
      <c r="R7" s="81"/>
      <c r="S7" s="81"/>
      <c r="T7" s="81"/>
      <c r="U7" s="81"/>
      <c r="V7" s="48"/>
      <c r="W7" s="48"/>
      <c r="X7" s="48"/>
      <c r="Y7" s="48"/>
      <c r="Z7" s="47"/>
      <c r="AA7" s="69"/>
      <c r="AB7" s="69"/>
      <c r="AC7" s="70"/>
      <c r="AD7" t="s">
        <v>6202</v>
      </c>
      <c r="AE7" s="78" t="s">
        <v>7383</v>
      </c>
      <c r="AF7">
        <v>506</v>
      </c>
      <c r="AG7">
        <v>52270955</v>
      </c>
      <c r="AH7">
        <v>33821</v>
      </c>
      <c r="AI7">
        <v>3</v>
      </c>
      <c r="AK7" t="s">
        <v>8555</v>
      </c>
      <c r="AL7" t="s">
        <v>4898</v>
      </c>
      <c r="AM7" s="79" t="str">
        <f>HYPERLINK("http://t.co/8rx4lFTNxZ")</f>
        <v>http://t.co/8rx4lFTNxZ</v>
      </c>
      <c r="AO7" s="76">
        <v>40931.267268518517</v>
      </c>
      <c r="AP7" s="79" t="str">
        <f>HYPERLINK("https://pbs.twimg.com/profile_banners/471741741/1559223310")</f>
        <v>https://pbs.twimg.com/profile_banners/471741741/1559223310</v>
      </c>
      <c r="AQ7" t="b">
        <v>0</v>
      </c>
      <c r="AR7" t="b">
        <v>0</v>
      </c>
      <c r="AS7" t="b">
        <v>0</v>
      </c>
      <c r="AU7">
        <v>13814</v>
      </c>
      <c r="AV7" s="79" t="str">
        <f>HYPERLINK("https://abs.twimg.com/images/themes/theme1/bg.png")</f>
        <v>https://abs.twimg.com/images/themes/theme1/bg.png</v>
      </c>
      <c r="AW7" t="b">
        <v>1</v>
      </c>
      <c r="AX7" t="s">
        <v>9303</v>
      </c>
      <c r="AY7" s="79" t="str">
        <f>HYPERLINK("https://twitter.com/pmoindia")</f>
        <v>https://twitter.com/pmoindia</v>
      </c>
      <c r="AZ7" t="s">
        <v>65</v>
      </c>
      <c r="BA7" s="2"/>
    </row>
    <row r="8" spans="1:53" x14ac:dyDescent="0.45">
      <c r="A8" s="62" t="s">
        <v>1230</v>
      </c>
      <c r="B8" s="63"/>
      <c r="C8" s="63"/>
      <c r="D8" s="64"/>
      <c r="E8" s="66"/>
      <c r="F8" s="98" t="str">
        <f>HYPERLINK("https://pbs.twimg.com/profile_images/1609416420076535808/4BwbURyI_normal.jpg")</f>
        <v>https://pbs.twimg.com/profile_images/1609416420076535808/4BwbURyI_normal.jpg</v>
      </c>
      <c r="G8" s="63"/>
      <c r="H8" s="67"/>
      <c r="I8" s="68"/>
      <c r="J8" s="68"/>
      <c r="K8" s="67" t="s">
        <v>9573</v>
      </c>
      <c r="L8" s="71"/>
      <c r="M8" s="72"/>
      <c r="N8" s="72"/>
      <c r="O8" s="73"/>
      <c r="P8" s="74"/>
      <c r="Q8" s="74"/>
      <c r="R8" s="81"/>
      <c r="S8" s="81"/>
      <c r="T8" s="81"/>
      <c r="U8" s="81"/>
      <c r="V8" s="48"/>
      <c r="W8" s="48"/>
      <c r="X8" s="48"/>
      <c r="Y8" s="48"/>
      <c r="Z8" s="47"/>
      <c r="AA8" s="69"/>
      <c r="AB8" s="69"/>
      <c r="AC8" s="70"/>
      <c r="AD8" t="s">
        <v>5266</v>
      </c>
      <c r="AE8" s="78" t="s">
        <v>6544</v>
      </c>
      <c r="AF8">
        <v>72</v>
      </c>
      <c r="AG8">
        <v>46913779</v>
      </c>
      <c r="AH8">
        <v>12169</v>
      </c>
      <c r="AI8">
        <v>1380</v>
      </c>
      <c r="AK8" t="s">
        <v>7729</v>
      </c>
      <c r="AM8" s="79" t="str">
        <f>HYPERLINK("https://t.co/fynbLBl2LU")</f>
        <v>https://t.co/fynbLBl2LU</v>
      </c>
      <c r="AO8" s="76">
        <v>40620.775023148148</v>
      </c>
      <c r="AP8" s="79" t="str">
        <f>HYPERLINK("https://pbs.twimg.com/profile_banners/268414482/1672931171")</f>
        <v>https://pbs.twimg.com/profile_banners/268414482/1672931171</v>
      </c>
      <c r="AQ8" t="b">
        <v>0</v>
      </c>
      <c r="AR8" t="b">
        <v>0</v>
      </c>
      <c r="AS8" t="b">
        <v>0</v>
      </c>
      <c r="AU8">
        <v>51986</v>
      </c>
      <c r="AV8" s="79" t="str">
        <f>HYPERLINK("https://abs.twimg.com/images/themes/theme1/bg.png")</f>
        <v>https://abs.twimg.com/images/themes/theme1/bg.png</v>
      </c>
      <c r="AW8" t="b">
        <v>1</v>
      </c>
      <c r="AX8" t="s">
        <v>9303</v>
      </c>
      <c r="AY8" s="79" t="str">
        <f>HYPERLINK("https://twitter.com/mileycyrus")</f>
        <v>https://twitter.com/mileycyrus</v>
      </c>
      <c r="AZ8" t="s">
        <v>65</v>
      </c>
      <c r="BA8" s="2"/>
    </row>
    <row r="9" spans="1:53" x14ac:dyDescent="0.45">
      <c r="A9" s="62" t="s">
        <v>1488</v>
      </c>
      <c r="B9" s="63"/>
      <c r="C9" s="63"/>
      <c r="D9" s="64"/>
      <c r="E9" s="66"/>
      <c r="F9" s="98" t="str">
        <f>HYPERLINK("https://pbs.twimg.com/profile_images/1380530524779859970/TfwVAbyX_normal.jpg")</f>
        <v>https://pbs.twimg.com/profile_images/1380530524779859970/TfwVAbyX_normal.jpg</v>
      </c>
      <c r="G9" s="63"/>
      <c r="H9" s="67"/>
      <c r="I9" s="68"/>
      <c r="J9" s="68"/>
      <c r="K9" s="67" t="s">
        <v>10487</v>
      </c>
      <c r="L9" s="71"/>
      <c r="M9" s="72"/>
      <c r="N9" s="72"/>
      <c r="O9" s="73"/>
      <c r="P9" s="74"/>
      <c r="Q9" s="74"/>
      <c r="R9" s="81"/>
      <c r="S9" s="81"/>
      <c r="T9" s="81"/>
      <c r="U9" s="81"/>
      <c r="V9" s="48"/>
      <c r="W9" s="48"/>
      <c r="X9" s="48"/>
      <c r="Y9" s="48"/>
      <c r="Z9" s="47"/>
      <c r="AA9" s="69"/>
      <c r="AB9" s="69"/>
      <c r="AC9" s="70"/>
      <c r="AD9" t="s">
        <v>6165</v>
      </c>
      <c r="AE9" s="78" t="s">
        <v>4795</v>
      </c>
      <c r="AF9">
        <v>13</v>
      </c>
      <c r="AG9">
        <v>29324219</v>
      </c>
      <c r="AH9">
        <v>5202</v>
      </c>
      <c r="AI9">
        <v>10</v>
      </c>
      <c r="AK9" t="s">
        <v>8523</v>
      </c>
      <c r="AM9" s="79" t="str">
        <f>HYPERLINK("https://t.co/MzB1JWfbJ0")</f>
        <v>https://t.co/MzB1JWfbJ0</v>
      </c>
      <c r="AO9" s="76">
        <v>44209.025787037041</v>
      </c>
      <c r="AP9" s="79" t="str">
        <f>HYPERLINK("https://pbs.twimg.com/profile_banners/1349149096909668363/1675274517")</f>
        <v>https://pbs.twimg.com/profile_banners/1349149096909668363/1675274517</v>
      </c>
      <c r="AQ9" t="b">
        <v>1</v>
      </c>
      <c r="AR9" t="b">
        <v>0</v>
      </c>
      <c r="AS9" t="b">
        <v>0</v>
      </c>
      <c r="AU9">
        <v>22816</v>
      </c>
      <c r="AW9" t="b">
        <v>1</v>
      </c>
      <c r="AX9" t="s">
        <v>9303</v>
      </c>
      <c r="AY9" s="79" t="str">
        <f>HYPERLINK("https://twitter.com/potus")</f>
        <v>https://twitter.com/potus</v>
      </c>
      <c r="AZ9" t="s">
        <v>65</v>
      </c>
      <c r="BA9" s="2"/>
    </row>
    <row r="10" spans="1:53" x14ac:dyDescent="0.45">
      <c r="A10" s="62" t="s">
        <v>1540</v>
      </c>
      <c r="B10" s="63"/>
      <c r="C10" s="63"/>
      <c r="D10" s="64"/>
      <c r="E10" s="66"/>
      <c r="F10" s="98" t="str">
        <f>HYPERLINK("https://pbs.twimg.com/profile_images/1605297940242669568/q8-vPggS_normal.jpg")</f>
        <v>https://pbs.twimg.com/profile_images/1605297940242669568/q8-vPggS_normal.jpg</v>
      </c>
      <c r="G10" s="63"/>
      <c r="H10" s="67"/>
      <c r="I10" s="68"/>
      <c r="J10" s="68"/>
      <c r="K10" s="67" t="s">
        <v>10590</v>
      </c>
      <c r="L10" s="71"/>
      <c r="M10" s="72"/>
      <c r="N10" s="72"/>
      <c r="O10" s="73"/>
      <c r="P10" s="74"/>
      <c r="Q10" s="74"/>
      <c r="R10" s="81"/>
      <c r="S10" s="81"/>
      <c r="T10" s="81"/>
      <c r="U10" s="81"/>
      <c r="V10" s="48"/>
      <c r="W10" s="48"/>
      <c r="X10" s="48"/>
      <c r="Y10" s="48"/>
      <c r="Z10" s="47"/>
      <c r="AA10" s="69"/>
      <c r="AB10" s="69"/>
      <c r="AC10" s="70"/>
      <c r="AD10" t="s">
        <v>6268</v>
      </c>
      <c r="AE10" s="78" t="s">
        <v>7438</v>
      </c>
      <c r="AF10">
        <v>294</v>
      </c>
      <c r="AG10">
        <v>28384718</v>
      </c>
      <c r="AH10">
        <v>175976</v>
      </c>
      <c r="AI10">
        <v>3264</v>
      </c>
      <c r="AK10" t="s">
        <v>8614</v>
      </c>
      <c r="AL10" t="s">
        <v>9277</v>
      </c>
      <c r="AM10" s="79" t="str">
        <f>HYPERLINK("https://t.co/RS3iU873QG")</f>
        <v>https://t.co/RS3iU873QG</v>
      </c>
      <c r="AO10" s="76">
        <v>39854.801840277774</v>
      </c>
      <c r="AP10" s="79" t="str">
        <f>HYPERLINK("https://pbs.twimg.com/profile_banners/20536157/1672956278")</f>
        <v>https://pbs.twimg.com/profile_banners/20536157/1672956278</v>
      </c>
      <c r="AQ10" t="b">
        <v>0</v>
      </c>
      <c r="AR10" t="b">
        <v>0</v>
      </c>
      <c r="AS10" t="b">
        <v>1</v>
      </c>
      <c r="AU10">
        <v>93400</v>
      </c>
      <c r="AV10" s="79" t="str">
        <f>HYPERLINK("https://abs.twimg.com/images/themes/theme1/bg.png")</f>
        <v>https://abs.twimg.com/images/themes/theme1/bg.png</v>
      </c>
      <c r="AW10" t="b">
        <v>1</v>
      </c>
      <c r="AX10" t="s">
        <v>9303</v>
      </c>
      <c r="AY10" s="79" t="str">
        <f>HYPERLINK("https://twitter.com/google")</f>
        <v>https://twitter.com/google</v>
      </c>
      <c r="AZ10" t="s">
        <v>65</v>
      </c>
      <c r="BA10" s="2"/>
    </row>
    <row r="11" spans="1:53" x14ac:dyDescent="0.45">
      <c r="A11" s="62" t="s">
        <v>1314</v>
      </c>
      <c r="B11" s="63"/>
      <c r="C11" s="63"/>
      <c r="D11" s="64"/>
      <c r="E11" s="66"/>
      <c r="F11" s="98" t="str">
        <f>HYPERLINK("https://pbs.twimg.com/profile_images/1591278197844414464/O6Fp0hFB_normal.jpg")</f>
        <v>https://pbs.twimg.com/profile_images/1591278197844414464/O6Fp0hFB_normal.jpg</v>
      </c>
      <c r="G11" s="63"/>
      <c r="H11" s="67"/>
      <c r="I11" s="68"/>
      <c r="J11" s="68"/>
      <c r="K11" s="67" t="s">
        <v>9946</v>
      </c>
      <c r="L11" s="71"/>
      <c r="M11" s="72"/>
      <c r="N11" s="72"/>
      <c r="O11" s="73"/>
      <c r="P11" s="74"/>
      <c r="Q11" s="74"/>
      <c r="R11" s="81"/>
      <c r="S11" s="81"/>
      <c r="T11" s="81"/>
      <c r="U11" s="81"/>
      <c r="V11" s="48"/>
      <c r="W11" s="48"/>
      <c r="X11" s="48"/>
      <c r="Y11" s="48"/>
      <c r="Z11" s="47"/>
      <c r="AA11" s="69"/>
      <c r="AB11" s="69"/>
      <c r="AC11" s="70"/>
      <c r="AD11" t="s">
        <v>5637</v>
      </c>
      <c r="AE11" s="78" t="s">
        <v>6880</v>
      </c>
      <c r="AF11">
        <v>262</v>
      </c>
      <c r="AG11">
        <v>23681625</v>
      </c>
      <c r="AH11">
        <v>525121</v>
      </c>
      <c r="AI11">
        <v>4</v>
      </c>
      <c r="AK11" t="s">
        <v>8051</v>
      </c>
      <c r="AL11" t="s">
        <v>9009</v>
      </c>
      <c r="AM11" s="79" t="str">
        <f>HYPERLINK("https://t.co/s4jEId5Aef")</f>
        <v>https://t.co/s4jEId5Aef</v>
      </c>
      <c r="AO11" s="76">
        <v>39158.792662037034</v>
      </c>
      <c r="AP11" s="79" t="str">
        <f>HYPERLINK("https://pbs.twimg.com/profile_banners/1367531/1492649996")</f>
        <v>https://pbs.twimg.com/profile_banners/1367531/1492649996</v>
      </c>
      <c r="AQ11" t="b">
        <v>0</v>
      </c>
      <c r="AR11" t="b">
        <v>0</v>
      </c>
      <c r="AS11" t="b">
        <v>1</v>
      </c>
      <c r="AU11">
        <v>74546</v>
      </c>
      <c r="AV11" s="79" t="str">
        <f>HYPERLINK("https://abs.twimg.com/images/themes/theme1/bg.png")</f>
        <v>https://abs.twimg.com/images/themes/theme1/bg.png</v>
      </c>
      <c r="AW11" t="b">
        <v>1</v>
      </c>
      <c r="AX11" t="s">
        <v>9303</v>
      </c>
      <c r="AY11" s="79" t="str">
        <f>HYPERLINK("https://twitter.com/foxnews")</f>
        <v>https://twitter.com/foxnews</v>
      </c>
      <c r="AZ11" t="s">
        <v>65</v>
      </c>
      <c r="BA11" s="2"/>
    </row>
    <row r="12" spans="1:53" x14ac:dyDescent="0.45">
      <c r="A12" s="62" t="s">
        <v>1249</v>
      </c>
      <c r="B12" s="63"/>
      <c r="C12" s="63"/>
      <c r="D12" s="64"/>
      <c r="E12" s="66"/>
      <c r="F12" s="98" t="str">
        <f>HYPERLINK("https://pbs.twimg.com/profile_images/1235992718171467776/PaX2Bz1S_normal.jpg")</f>
        <v>https://pbs.twimg.com/profile_images/1235992718171467776/PaX2Bz1S_normal.jpg</v>
      </c>
      <c r="G12" s="63"/>
      <c r="H12" s="67"/>
      <c r="I12" s="68"/>
      <c r="J12" s="68"/>
      <c r="K12" s="67" t="s">
        <v>9614</v>
      </c>
      <c r="L12" s="71"/>
      <c r="M12" s="72"/>
      <c r="N12" s="72"/>
      <c r="O12" s="73"/>
      <c r="P12" s="74"/>
      <c r="Q12" s="74"/>
      <c r="R12" s="81"/>
      <c r="S12" s="81"/>
      <c r="T12" s="81"/>
      <c r="U12" s="81"/>
      <c r="V12" s="48"/>
      <c r="W12" s="48"/>
      <c r="X12" s="48"/>
      <c r="Y12" s="48"/>
      <c r="Z12" s="47"/>
      <c r="AA12" s="69"/>
      <c r="AB12" s="69"/>
      <c r="AC12" s="70"/>
      <c r="AD12" t="s">
        <v>5307</v>
      </c>
      <c r="AE12" s="78" t="s">
        <v>6585</v>
      </c>
      <c r="AF12">
        <v>2238</v>
      </c>
      <c r="AG12">
        <v>21430038</v>
      </c>
      <c r="AH12">
        <v>47707</v>
      </c>
      <c r="AI12">
        <v>15002</v>
      </c>
      <c r="AK12" t="s">
        <v>7762</v>
      </c>
      <c r="AL12" t="s">
        <v>8830</v>
      </c>
      <c r="AM12" s="79" t="str">
        <f>HYPERLINK("https://t.co/tTViR6Ydd7")</f>
        <v>https://t.co/tTViR6Ydd7</v>
      </c>
      <c r="AO12" s="76">
        <v>39724.177974537037</v>
      </c>
      <c r="AP12" s="79" t="str">
        <f>HYPERLINK("https://pbs.twimg.com/profile_banners/16573941/1674838733")</f>
        <v>https://pbs.twimg.com/profile_banners/16573941/1674838733</v>
      </c>
      <c r="AQ12" t="b">
        <v>0</v>
      </c>
      <c r="AR12" t="b">
        <v>0</v>
      </c>
      <c r="AS12" t="b">
        <v>1</v>
      </c>
      <c r="AU12">
        <v>20891</v>
      </c>
      <c r="AV12" s="79" t="str">
        <f>HYPERLINK("https://abs.twimg.com/images/themes/theme1/bg.png")</f>
        <v>https://abs.twimg.com/images/themes/theme1/bg.png</v>
      </c>
      <c r="AW12" t="b">
        <v>1</v>
      </c>
      <c r="AX12" t="s">
        <v>9303</v>
      </c>
      <c r="AY12" s="79" t="str">
        <f>HYPERLINK("https://twitter.com/netflix")</f>
        <v>https://twitter.com/netflix</v>
      </c>
      <c r="AZ12" t="s">
        <v>65</v>
      </c>
      <c r="BA12" s="2"/>
    </row>
    <row r="13" spans="1:53" x14ac:dyDescent="0.45">
      <c r="A13" s="62" t="s">
        <v>1504</v>
      </c>
      <c r="B13" s="63"/>
      <c r="C13" s="63"/>
      <c r="D13" s="64"/>
      <c r="E13" s="66"/>
      <c r="F13" s="98" t="str">
        <f>HYPERLINK("https://pbs.twimg.com/profile_images/1564512488271466496/co_3FO0o_normal.jpg")</f>
        <v>https://pbs.twimg.com/profile_images/1564512488271466496/co_3FO0o_normal.jpg</v>
      </c>
      <c r="G13" s="63"/>
      <c r="H13" s="67"/>
      <c r="I13" s="68"/>
      <c r="J13" s="68"/>
      <c r="K13" s="67" t="s">
        <v>10520</v>
      </c>
      <c r="L13" s="71"/>
      <c r="M13" s="72"/>
      <c r="N13" s="72"/>
      <c r="O13" s="73"/>
      <c r="P13" s="74"/>
      <c r="Q13" s="74"/>
      <c r="R13" s="81"/>
      <c r="S13" s="81"/>
      <c r="T13" s="81"/>
      <c r="U13" s="81"/>
      <c r="V13" s="48"/>
      <c r="W13" s="48"/>
      <c r="X13" s="48"/>
      <c r="Y13" s="48"/>
      <c r="Z13" s="47"/>
      <c r="AA13" s="69"/>
      <c r="AB13" s="69"/>
      <c r="AC13" s="70"/>
      <c r="AD13" t="s">
        <v>6198</v>
      </c>
      <c r="AE13" s="78" t="s">
        <v>7379</v>
      </c>
      <c r="AF13">
        <v>2</v>
      </c>
      <c r="AG13">
        <v>21225926</v>
      </c>
      <c r="AH13">
        <v>12151</v>
      </c>
      <c r="AI13">
        <v>1</v>
      </c>
      <c r="AK13" t="s">
        <v>8551</v>
      </c>
      <c r="AL13" t="s">
        <v>8783</v>
      </c>
      <c r="AM13" s="79" t="str">
        <f>HYPERLINK("https://t.co/uURXhUHd8P")</f>
        <v>https://t.co/uURXhUHd8P</v>
      </c>
      <c r="AO13" s="76">
        <v>42929.550196759257</v>
      </c>
      <c r="AP13" s="79" t="str">
        <f>HYPERLINK("https://pbs.twimg.com/profile_banners/885487044243238912/1532677314")</f>
        <v>https://pbs.twimg.com/profile_banners/885487044243238912/1532677314</v>
      </c>
      <c r="AQ13" t="b">
        <v>1</v>
      </c>
      <c r="AR13" t="b">
        <v>0</v>
      </c>
      <c r="AS13" t="b">
        <v>0</v>
      </c>
      <c r="AU13">
        <v>3288</v>
      </c>
      <c r="AW13" t="b">
        <v>1</v>
      </c>
      <c r="AX13" t="s">
        <v>9303</v>
      </c>
      <c r="AY13" s="79" t="str">
        <f>HYPERLINK("https://twitter.com/rashtrapatibhvn")</f>
        <v>https://twitter.com/rashtrapatibhvn</v>
      </c>
      <c r="AZ13" t="s">
        <v>65</v>
      </c>
      <c r="BA13" s="2"/>
    </row>
    <row r="14" spans="1:53" x14ac:dyDescent="0.45">
      <c r="A14" s="62" t="s">
        <v>1289</v>
      </c>
      <c r="B14" s="63"/>
      <c r="C14" s="63"/>
      <c r="D14" s="64"/>
      <c r="E14" s="66"/>
      <c r="F14" s="98" t="str">
        <f>HYPERLINK("https://pbs.twimg.com/profile_images/1620829850092339201/s5JD6znP_normal.jpg")</f>
        <v>https://pbs.twimg.com/profile_images/1620829850092339201/s5JD6znP_normal.jpg</v>
      </c>
      <c r="G14" s="63"/>
      <c r="H14" s="67"/>
      <c r="I14" s="68"/>
      <c r="J14" s="68"/>
      <c r="K14" s="67" t="s">
        <v>9798</v>
      </c>
      <c r="L14" s="71"/>
      <c r="M14" s="72"/>
      <c r="N14" s="72"/>
      <c r="O14" s="73"/>
      <c r="P14" s="74"/>
      <c r="Q14" s="74"/>
      <c r="R14" s="81"/>
      <c r="S14" s="81"/>
      <c r="T14" s="81"/>
      <c r="U14" s="81"/>
      <c r="V14" s="48"/>
      <c r="W14" s="48"/>
      <c r="X14" s="48"/>
      <c r="Y14" s="48"/>
      <c r="Z14" s="47"/>
      <c r="AA14" s="69"/>
      <c r="AB14" s="69"/>
      <c r="AC14" s="70"/>
      <c r="AD14" t="s">
        <v>5489</v>
      </c>
      <c r="AE14" s="78" t="s">
        <v>4708</v>
      </c>
      <c r="AF14">
        <v>15925</v>
      </c>
      <c r="AG14">
        <v>20536434</v>
      </c>
      <c r="AH14">
        <v>296932</v>
      </c>
      <c r="AI14">
        <v>5171</v>
      </c>
      <c r="AK14" t="s">
        <v>7919</v>
      </c>
      <c r="AL14" t="s">
        <v>8925</v>
      </c>
      <c r="AM14" s="79" t="str">
        <f>HYPERLINK("https://t.co/C1bIH5PDZK")</f>
        <v>https://t.co/C1bIH5PDZK</v>
      </c>
      <c r="AO14" s="76">
        <v>39888.771435185183</v>
      </c>
      <c r="AP14" s="79" t="str">
        <f>HYPERLINK("https://pbs.twimg.com/profile_banners/24742040/1675270926")</f>
        <v>https://pbs.twimg.com/profile_banners/24742040/1675270926</v>
      </c>
      <c r="AQ14" t="b">
        <v>0</v>
      </c>
      <c r="AR14" t="b">
        <v>0</v>
      </c>
      <c r="AS14" t="b">
        <v>0</v>
      </c>
      <c r="AU14">
        <v>21496</v>
      </c>
      <c r="AV14" s="79" t="str">
        <f>HYPERLINK("https://abs.twimg.com/images/themes/theme14/bg.gif")</f>
        <v>https://abs.twimg.com/images/themes/theme14/bg.gif</v>
      </c>
      <c r="AW14" t="b">
        <v>1</v>
      </c>
      <c r="AX14" t="s">
        <v>9303</v>
      </c>
      <c r="AY14" s="79" t="str">
        <f>HYPERLINK("https://twitter.com/xbox")</f>
        <v>https://twitter.com/xbox</v>
      </c>
      <c r="AZ14" t="s">
        <v>65</v>
      </c>
      <c r="BA14" s="2"/>
    </row>
    <row r="15" spans="1:53" x14ac:dyDescent="0.45">
      <c r="A15" s="62" t="s">
        <v>1511</v>
      </c>
      <c r="B15" s="63"/>
      <c r="C15" s="63"/>
      <c r="D15" s="64"/>
      <c r="E15" s="66"/>
      <c r="F15" s="98" t="str">
        <f>HYPERLINK("https://pbs.twimg.com/profile_images/1395254075285860354/LG45JNi8_normal.jpg")</f>
        <v>https://pbs.twimg.com/profile_images/1395254075285860354/LG45JNi8_normal.jpg</v>
      </c>
      <c r="G15" s="63"/>
      <c r="H15" s="67"/>
      <c r="I15" s="68"/>
      <c r="J15" s="68"/>
      <c r="K15" s="67" t="s">
        <v>10530</v>
      </c>
      <c r="L15" s="71"/>
      <c r="M15" s="72"/>
      <c r="N15" s="72"/>
      <c r="O15" s="73"/>
      <c r="P15" s="74"/>
      <c r="Q15" s="74"/>
      <c r="R15" s="81"/>
      <c r="S15" s="81"/>
      <c r="T15" s="81"/>
      <c r="U15" s="81"/>
      <c r="V15" s="48"/>
      <c r="W15" s="48"/>
      <c r="X15" s="48"/>
      <c r="Y15" s="48"/>
      <c r="Z15" s="47"/>
      <c r="AA15" s="69"/>
      <c r="AB15" s="69"/>
      <c r="AC15" s="70"/>
      <c r="AD15" t="s">
        <v>6208</v>
      </c>
      <c r="AE15" s="78" t="s">
        <v>7389</v>
      </c>
      <c r="AF15">
        <v>36</v>
      </c>
      <c r="AG15">
        <v>19636425</v>
      </c>
      <c r="AH15">
        <v>764537</v>
      </c>
      <c r="AI15">
        <v>16838</v>
      </c>
      <c r="AK15" t="s">
        <v>8560</v>
      </c>
      <c r="AL15" t="s">
        <v>4898</v>
      </c>
      <c r="AM15" s="79" t="str">
        <f>HYPERLINK("https://t.co/jTY7hX5Wgc")</f>
        <v>https://t.co/jTY7hX5Wgc</v>
      </c>
      <c r="AO15" s="76">
        <v>39959.479861111111</v>
      </c>
      <c r="AP15" s="79" t="str">
        <f>HYPERLINK("https://pbs.twimg.com/profile_banners/42606652/1675308192")</f>
        <v>https://pbs.twimg.com/profile_banners/42606652/1675308192</v>
      </c>
      <c r="AQ15" t="b">
        <v>0</v>
      </c>
      <c r="AR15" t="b">
        <v>0</v>
      </c>
      <c r="AS15" t="b">
        <v>1</v>
      </c>
      <c r="AU15">
        <v>5236</v>
      </c>
      <c r="AV15" s="79" t="str">
        <f>HYPERLINK("https://abs.twimg.com/images/themes/theme16/bg.gif")</f>
        <v>https://abs.twimg.com/images/themes/theme16/bg.gif</v>
      </c>
      <c r="AW15" t="b">
        <v>1</v>
      </c>
      <c r="AX15" t="s">
        <v>9303</v>
      </c>
      <c r="AY15" s="79" t="str">
        <f>HYPERLINK("https://twitter.com/aajtak")</f>
        <v>https://twitter.com/aajtak</v>
      </c>
      <c r="AZ15" t="s">
        <v>65</v>
      </c>
      <c r="BA15" s="2"/>
    </row>
    <row r="16" spans="1:53" x14ac:dyDescent="0.45">
      <c r="A16" s="62" t="s">
        <v>1143</v>
      </c>
      <c r="B16" s="63"/>
      <c r="C16" s="63"/>
      <c r="D16" s="64"/>
      <c r="E16" s="66"/>
      <c r="F16" s="98" t="str">
        <f>HYPERLINK("https://pbs.twimg.com/profile_images/1577646609923543041/NcCeduIc_normal.jpg")</f>
        <v>https://pbs.twimg.com/profile_images/1577646609923543041/NcCeduIc_normal.jpg</v>
      </c>
      <c r="G16" s="63"/>
      <c r="H16" s="67"/>
      <c r="I16" s="68"/>
      <c r="J16" s="68"/>
      <c r="K16" s="67" t="s">
        <v>9368</v>
      </c>
      <c r="L16" s="71"/>
      <c r="M16" s="72"/>
      <c r="N16" s="72"/>
      <c r="O16" s="73"/>
      <c r="P16" s="74"/>
      <c r="Q16" s="74"/>
      <c r="R16" s="81"/>
      <c r="S16" s="81"/>
      <c r="T16" s="81"/>
      <c r="U16" s="81"/>
      <c r="V16" s="48"/>
      <c r="W16" s="48"/>
      <c r="X16" s="48"/>
      <c r="Y16" s="48"/>
      <c r="Z16" s="47"/>
      <c r="AA16" s="69"/>
      <c r="AB16" s="69"/>
      <c r="AC16" s="70"/>
      <c r="AD16" t="s">
        <v>5064</v>
      </c>
      <c r="AE16" s="78" t="s">
        <v>6379</v>
      </c>
      <c r="AF16">
        <v>5038</v>
      </c>
      <c r="AG16">
        <v>18700559</v>
      </c>
      <c r="AH16">
        <v>452992</v>
      </c>
      <c r="AI16">
        <v>10129</v>
      </c>
      <c r="AK16" t="s">
        <v>7550</v>
      </c>
      <c r="AL16" t="s">
        <v>8719</v>
      </c>
      <c r="AM16" s="79" t="str">
        <f>HYPERLINK("https://t.co/6qjZ8PCpvM")</f>
        <v>https://t.co/6qjZ8PCpvM</v>
      </c>
      <c r="AO16" s="76">
        <v>40138.090243055558</v>
      </c>
      <c r="AP16" s="79" t="str">
        <f>HYPERLINK("https://pbs.twimg.com/profile_banners/91478624/1664976352")</f>
        <v>https://pbs.twimg.com/profile_banners/91478624/1664976352</v>
      </c>
      <c r="AQ16" t="b">
        <v>0</v>
      </c>
      <c r="AR16" t="b">
        <v>0</v>
      </c>
      <c r="AS16" t="b">
        <v>1</v>
      </c>
      <c r="AU16">
        <v>63575</v>
      </c>
      <c r="AV16" s="79" t="str">
        <f>HYPERLINK("https://abs.twimg.com/images/themes/theme1/bg.png")</f>
        <v>https://abs.twimg.com/images/themes/theme1/bg.png</v>
      </c>
      <c r="AW16" t="b">
        <v>1</v>
      </c>
      <c r="AX16" t="s">
        <v>9303</v>
      </c>
      <c r="AY16" s="79" t="str">
        <f>HYPERLINK("https://twitter.com/forbes")</f>
        <v>https://twitter.com/forbes</v>
      </c>
      <c r="AZ16" t="s">
        <v>65</v>
      </c>
      <c r="BA16" s="2"/>
    </row>
    <row r="17" spans="1:53" x14ac:dyDescent="0.45">
      <c r="A17" s="62" t="s">
        <v>1477</v>
      </c>
      <c r="B17" s="63"/>
      <c r="C17" s="63"/>
      <c r="D17" s="64"/>
      <c r="E17" s="66"/>
      <c r="F17" s="98" t="str">
        <f>HYPERLINK("https://pbs.twimg.com/profile_images/994592419705274369/RLplF55e_normal.jpg")</f>
        <v>https://pbs.twimg.com/profile_images/994592419705274369/RLplF55e_normal.jpg</v>
      </c>
      <c r="G17" s="63"/>
      <c r="H17" s="67"/>
      <c r="I17" s="68"/>
      <c r="J17" s="68"/>
      <c r="K17" s="67" t="s">
        <v>10463</v>
      </c>
      <c r="L17" s="71"/>
      <c r="M17" s="72"/>
      <c r="N17" s="72"/>
      <c r="O17" s="73"/>
      <c r="P17" s="74"/>
      <c r="Q17" s="74"/>
      <c r="R17" s="81"/>
      <c r="S17" s="81"/>
      <c r="T17" s="81"/>
      <c r="U17" s="81"/>
      <c r="V17" s="48"/>
      <c r="W17" s="48"/>
      <c r="X17" s="48"/>
      <c r="Y17" s="48"/>
      <c r="Z17" s="47"/>
      <c r="AA17" s="69"/>
      <c r="AB17" s="69"/>
      <c r="AC17" s="70"/>
      <c r="AD17" t="s">
        <v>6144</v>
      </c>
      <c r="AE17" s="78" t="s">
        <v>7331</v>
      </c>
      <c r="AF17">
        <v>1869</v>
      </c>
      <c r="AG17">
        <v>18214718</v>
      </c>
      <c r="AH17">
        <v>6000</v>
      </c>
      <c r="AI17">
        <v>24911</v>
      </c>
      <c r="AK17" t="s">
        <v>8502</v>
      </c>
      <c r="AL17" t="s">
        <v>9226</v>
      </c>
      <c r="AM17" s="79" t="str">
        <f>HYPERLINK("https://t.co/34hIUViVI7")</f>
        <v>https://t.co/34hIUViVI7</v>
      </c>
      <c r="AO17" s="76">
        <v>41750.019930555558</v>
      </c>
      <c r="AP17" s="79" t="str">
        <f>HYPERLINK("https://pbs.twimg.com/profile_banners/2455740283/1601560191")</f>
        <v>https://pbs.twimg.com/profile_banners/2455740283/1601560191</v>
      </c>
      <c r="AQ17" t="b">
        <v>0</v>
      </c>
      <c r="AR17" t="b">
        <v>0</v>
      </c>
      <c r="AS17" t="b">
        <v>1</v>
      </c>
      <c r="AU17">
        <v>5140</v>
      </c>
      <c r="AV17" s="79" t="str">
        <f>HYPERLINK("https://abs.twimg.com/images/themes/theme9/bg.gif")</f>
        <v>https://abs.twimg.com/images/themes/theme9/bg.gif</v>
      </c>
      <c r="AW17" t="b">
        <v>1</v>
      </c>
      <c r="AX17" t="s">
        <v>9303</v>
      </c>
      <c r="AY17" s="79" t="str">
        <f>HYPERLINK("https://twitter.com/mrbeast")</f>
        <v>https://twitter.com/mrbeast</v>
      </c>
      <c r="AZ17" t="s">
        <v>65</v>
      </c>
      <c r="BA17" s="2"/>
    </row>
    <row r="18" spans="1:53" x14ac:dyDescent="0.45">
      <c r="A18" s="62" t="s">
        <v>1391</v>
      </c>
      <c r="B18" s="63"/>
      <c r="C18" s="63"/>
      <c r="D18" s="64"/>
      <c r="E18" s="66"/>
      <c r="F18" s="98" t="str">
        <f>HYPERLINK("https://pbs.twimg.com/profile_images/1605211963096801282/3flU1i5o_normal.jpg")</f>
        <v>https://pbs.twimg.com/profile_images/1605211963096801282/3flU1i5o_normal.jpg</v>
      </c>
      <c r="G18" s="63"/>
      <c r="H18" s="67"/>
      <c r="I18" s="68"/>
      <c r="J18" s="68"/>
      <c r="K18" s="67" t="s">
        <v>10210</v>
      </c>
      <c r="L18" s="71"/>
      <c r="M18" s="72"/>
      <c r="N18" s="72"/>
      <c r="O18" s="73"/>
      <c r="P18" s="74"/>
      <c r="Q18" s="74"/>
      <c r="R18" s="81"/>
      <c r="S18" s="81"/>
      <c r="T18" s="81"/>
      <c r="U18" s="81"/>
      <c r="V18" s="48"/>
      <c r="W18" s="48"/>
      <c r="X18" s="48"/>
      <c r="Y18" s="48"/>
      <c r="Z18" s="47"/>
      <c r="AA18" s="69"/>
      <c r="AB18" s="69"/>
      <c r="AC18" s="70"/>
      <c r="AD18" t="s">
        <v>5894</v>
      </c>
      <c r="AE18" s="78" t="s">
        <v>7113</v>
      </c>
      <c r="AF18">
        <v>445</v>
      </c>
      <c r="AG18">
        <v>17800022</v>
      </c>
      <c r="AH18">
        <v>406387</v>
      </c>
      <c r="AI18">
        <v>51</v>
      </c>
      <c r="AK18" t="s">
        <v>8278</v>
      </c>
      <c r="AL18" t="s">
        <v>9124</v>
      </c>
      <c r="AM18" s="79" t="str">
        <f>HYPERLINK("https://t.co/26XEt8onYo")</f>
        <v>https://t.co/26XEt8onYo</v>
      </c>
      <c r="AO18" s="76">
        <v>39907.528148148151</v>
      </c>
      <c r="AP18" s="79" t="str">
        <f>HYPERLINK("https://pbs.twimg.com/profile_banners/28785486/1505493568")</f>
        <v>https://pbs.twimg.com/profile_banners/28785486/1505493568</v>
      </c>
      <c r="AQ18" t="b">
        <v>0</v>
      </c>
      <c r="AR18" t="b">
        <v>0</v>
      </c>
      <c r="AS18" t="b">
        <v>1</v>
      </c>
      <c r="AU18">
        <v>66842</v>
      </c>
      <c r="AV18" s="79" t="str">
        <f>HYPERLINK("https://abs.twimg.com/images/themes/theme1/bg.png")</f>
        <v>https://abs.twimg.com/images/themes/theme1/bg.png</v>
      </c>
      <c r="AW18" t="b">
        <v>1</v>
      </c>
      <c r="AX18" t="s">
        <v>9303</v>
      </c>
      <c r="AY18" s="79" t="str">
        <f>HYPERLINK("https://twitter.com/abc")</f>
        <v>https://twitter.com/abc</v>
      </c>
      <c r="AZ18" t="s">
        <v>65</v>
      </c>
      <c r="BA18" s="2"/>
    </row>
    <row r="19" spans="1:53" x14ac:dyDescent="0.45">
      <c r="A19" s="62" t="s">
        <v>1512</v>
      </c>
      <c r="B19" s="63"/>
      <c r="C19" s="63"/>
      <c r="D19" s="64"/>
      <c r="E19" s="66"/>
      <c r="F19" s="98" t="str">
        <f>HYPERLINK("https://pbs.twimg.com/profile_images/1561248901117923328/To5m8vSP_normal.png")</f>
        <v>https://pbs.twimg.com/profile_images/1561248901117923328/To5m8vSP_normal.png</v>
      </c>
      <c r="G19" s="63"/>
      <c r="H19" s="67"/>
      <c r="I19" s="68"/>
      <c r="J19" s="68"/>
      <c r="K19" s="67" t="s">
        <v>10531</v>
      </c>
      <c r="L19" s="71"/>
      <c r="M19" s="72"/>
      <c r="N19" s="72"/>
      <c r="O19" s="73"/>
      <c r="P19" s="74"/>
      <c r="Q19" s="74"/>
      <c r="R19" s="81"/>
      <c r="S19" s="81"/>
      <c r="T19" s="81"/>
      <c r="U19" s="81"/>
      <c r="V19" s="48"/>
      <c r="W19" s="48"/>
      <c r="X19" s="48"/>
      <c r="Y19" s="48"/>
      <c r="Z19" s="47"/>
      <c r="AA19" s="69"/>
      <c r="AB19" s="69"/>
      <c r="AC19" s="70"/>
      <c r="AD19" t="s">
        <v>6209</v>
      </c>
      <c r="AE19" s="78" t="s">
        <v>7390</v>
      </c>
      <c r="AF19">
        <v>12</v>
      </c>
      <c r="AG19">
        <v>17694914</v>
      </c>
      <c r="AH19">
        <v>1080548</v>
      </c>
      <c r="AI19">
        <v>60</v>
      </c>
      <c r="AK19" t="s">
        <v>8561</v>
      </c>
      <c r="AL19" t="s">
        <v>4898</v>
      </c>
      <c r="AM19" s="79" t="str">
        <f>HYPERLINK("https://t.co/KFTuQYHgSv")</f>
        <v>https://t.co/KFTuQYHgSv</v>
      </c>
      <c r="AO19" s="76">
        <v>39934.857499999998</v>
      </c>
      <c r="AP19" s="79" t="str">
        <f>HYPERLINK("https://pbs.twimg.com/profile_banners/37034483/1636163355")</f>
        <v>https://pbs.twimg.com/profile_banners/37034483/1636163355</v>
      </c>
      <c r="AQ19" t="b">
        <v>0</v>
      </c>
      <c r="AR19" t="b">
        <v>0</v>
      </c>
      <c r="AS19" t="b">
        <v>1</v>
      </c>
      <c r="AU19">
        <v>14581</v>
      </c>
      <c r="AV19" s="79" t="str">
        <f>HYPERLINK("https://abs.twimg.com/images/themes/theme1/bg.png")</f>
        <v>https://abs.twimg.com/images/themes/theme1/bg.png</v>
      </c>
      <c r="AW19" t="b">
        <v>1</v>
      </c>
      <c r="AX19" t="s">
        <v>9303</v>
      </c>
      <c r="AY19" s="79" t="str">
        <f>HYPERLINK("https://twitter.com/ndtv")</f>
        <v>https://twitter.com/ndtv</v>
      </c>
      <c r="AZ19" t="s">
        <v>65</v>
      </c>
      <c r="BA19" s="2"/>
    </row>
    <row r="20" spans="1:53" x14ac:dyDescent="0.45">
      <c r="A20" s="62" t="s">
        <v>1028</v>
      </c>
      <c r="B20" s="63"/>
      <c r="C20" s="63"/>
      <c r="D20" s="64"/>
      <c r="E20" s="66"/>
      <c r="F20" s="98" t="str">
        <f>HYPERLINK("https://pbs.twimg.com/profile_images/1620173271114326016/ROD2oSOb_normal.jpg")</f>
        <v>https://pbs.twimg.com/profile_images/1620173271114326016/ROD2oSOb_normal.jpg</v>
      </c>
      <c r="G20" s="63"/>
      <c r="H20" s="67"/>
      <c r="I20" s="68"/>
      <c r="J20" s="68"/>
      <c r="K20" s="67" t="s">
        <v>10515</v>
      </c>
      <c r="L20" s="71"/>
      <c r="M20" s="72"/>
      <c r="N20" s="72"/>
      <c r="O20" s="73"/>
      <c r="P20" s="74"/>
      <c r="Q20" s="74"/>
      <c r="R20" s="81"/>
      <c r="S20" s="81"/>
      <c r="T20" s="81"/>
      <c r="U20" s="81"/>
      <c r="V20" s="48"/>
      <c r="W20" s="48"/>
      <c r="X20" s="48"/>
      <c r="Y20" s="48"/>
      <c r="Z20" s="47"/>
      <c r="AA20" s="69"/>
      <c r="AB20" s="69"/>
      <c r="AC20" s="70"/>
      <c r="AD20" t="s">
        <v>6193</v>
      </c>
      <c r="AE20" s="78" t="s">
        <v>7375</v>
      </c>
      <c r="AF20">
        <v>612</v>
      </c>
      <c r="AG20">
        <v>14081494</v>
      </c>
      <c r="AH20">
        <v>6375</v>
      </c>
      <c r="AI20">
        <v>7265</v>
      </c>
      <c r="AL20" t="s">
        <v>4924</v>
      </c>
      <c r="AM20" s="79" t="str">
        <f>HYPERLINK("https://t.co/EdyfZ2oSh8")</f>
        <v>https://t.co/EdyfZ2oSh8</v>
      </c>
      <c r="AO20" s="76">
        <v>40008.796585648146</v>
      </c>
      <c r="AP20" s="79" t="str">
        <f>HYPERLINK("https://pbs.twimg.com/profile_banners/56783491/1675114396")</f>
        <v>https://pbs.twimg.com/profile_banners/56783491/1675114396</v>
      </c>
      <c r="AQ20" t="b">
        <v>0</v>
      </c>
      <c r="AR20" t="b">
        <v>0</v>
      </c>
      <c r="AS20" t="b">
        <v>1</v>
      </c>
      <c r="AU20">
        <v>47851</v>
      </c>
      <c r="AV20" s="79" t="str">
        <f>HYPERLINK("https://abs.twimg.com/images/themes/theme1/bg.png")</f>
        <v>https://abs.twimg.com/images/themes/theme1/bg.png</v>
      </c>
      <c r="AW20" t="b">
        <v>1</v>
      </c>
      <c r="AX20" t="s">
        <v>9303</v>
      </c>
      <c r="AY20" s="79" t="str">
        <f>HYPERLINK("https://twitter.com/nickjonas")</f>
        <v>https://twitter.com/nickjonas</v>
      </c>
      <c r="AZ20" t="s">
        <v>66</v>
      </c>
      <c r="BA20" s="2"/>
    </row>
    <row r="21" spans="1:53" x14ac:dyDescent="0.45">
      <c r="A21" s="62" t="s">
        <v>1509</v>
      </c>
      <c r="B21" s="63"/>
      <c r="C21" s="63"/>
      <c r="D21" s="64"/>
      <c r="E21" s="66"/>
      <c r="F21" s="98" t="str">
        <f>HYPERLINK("https://pbs.twimg.com/profile_images/1572512818796335105/YF_H68EL_normal.jpg")</f>
        <v>https://pbs.twimg.com/profile_images/1572512818796335105/YF_H68EL_normal.jpg</v>
      </c>
      <c r="G21" s="63"/>
      <c r="H21" s="67"/>
      <c r="I21" s="68"/>
      <c r="J21" s="68"/>
      <c r="K21" s="67" t="s">
        <v>10528</v>
      </c>
      <c r="L21" s="71"/>
      <c r="M21" s="72"/>
      <c r="N21" s="72"/>
      <c r="O21" s="73"/>
      <c r="P21" s="74"/>
      <c r="Q21" s="74"/>
      <c r="R21" s="81"/>
      <c r="S21" s="81"/>
      <c r="T21" s="81"/>
      <c r="U21" s="81"/>
      <c r="V21" s="48"/>
      <c r="W21" s="48"/>
      <c r="X21" s="48"/>
      <c r="Y21" s="48"/>
      <c r="Z21" s="47"/>
      <c r="AA21" s="69"/>
      <c r="AB21" s="69"/>
      <c r="AC21" s="70"/>
      <c r="AD21" t="s">
        <v>6206</v>
      </c>
      <c r="AE21" s="78" t="s">
        <v>7387</v>
      </c>
      <c r="AF21">
        <v>1771</v>
      </c>
      <c r="AG21">
        <v>12062008</v>
      </c>
      <c r="AH21">
        <v>72920</v>
      </c>
      <c r="AI21">
        <v>12343</v>
      </c>
      <c r="AK21" t="s">
        <v>8558</v>
      </c>
      <c r="AL21" t="s">
        <v>9251</v>
      </c>
      <c r="AM21" s="79" t="str">
        <f>HYPERLINK("https://t.co/28yN4nSRNK")</f>
        <v>https://t.co/28yN4nSRNK</v>
      </c>
      <c r="AO21" s="76">
        <v>39561.830868055556</v>
      </c>
      <c r="AP21" s="79" t="str">
        <f>HYPERLINK("https://pbs.twimg.com/profile_banners/14499829/1655310037")</f>
        <v>https://pbs.twimg.com/profile_banners/14499829/1655310037</v>
      </c>
      <c r="AQ21" t="b">
        <v>0</v>
      </c>
      <c r="AR21" t="b">
        <v>0</v>
      </c>
      <c r="AS21" t="b">
        <v>1</v>
      </c>
      <c r="AU21">
        <v>35327</v>
      </c>
      <c r="AV21" s="79" t="str">
        <f>HYPERLINK("https://abs.twimg.com/images/themes/theme1/bg.png")</f>
        <v>https://abs.twimg.com/images/themes/theme1/bg.png</v>
      </c>
      <c r="AW21" t="b">
        <v>1</v>
      </c>
      <c r="AX21" t="s">
        <v>9303</v>
      </c>
      <c r="AY21" s="79" t="str">
        <f>HYPERLINK("https://twitter.com/who")</f>
        <v>https://twitter.com/who</v>
      </c>
      <c r="AZ21" t="s">
        <v>65</v>
      </c>
      <c r="BA21" s="2"/>
    </row>
    <row r="22" spans="1:53" x14ac:dyDescent="0.45">
      <c r="A22" s="62" t="s">
        <v>1503</v>
      </c>
      <c r="B22" s="63"/>
      <c r="C22" s="63"/>
      <c r="D22" s="64"/>
      <c r="E22" s="66"/>
      <c r="F22" s="98" t="str">
        <f>HYPERLINK("https://pbs.twimg.com/profile_images/1532497747609149441/vfV_T5s5_normal.jpg")</f>
        <v>https://pbs.twimg.com/profile_images/1532497747609149441/vfV_T5s5_normal.jpg</v>
      </c>
      <c r="G22" s="63"/>
      <c r="H22" s="67"/>
      <c r="I22" s="68"/>
      <c r="J22" s="68"/>
      <c r="K22" s="67" t="s">
        <v>10518</v>
      </c>
      <c r="L22" s="71"/>
      <c r="M22" s="72"/>
      <c r="N22" s="72"/>
      <c r="O22" s="73"/>
      <c r="P22" s="74"/>
      <c r="Q22" s="74"/>
      <c r="R22" s="81"/>
      <c r="S22" s="81"/>
      <c r="T22" s="81"/>
      <c r="U22" s="81"/>
      <c r="V22" s="48"/>
      <c r="W22" s="48"/>
      <c r="X22" s="48"/>
      <c r="Y22" s="48"/>
      <c r="Z22" s="47"/>
      <c r="AA22" s="69"/>
      <c r="AB22" s="69"/>
      <c r="AC22" s="70"/>
      <c r="AD22" t="s">
        <v>6196</v>
      </c>
      <c r="AE22" s="78" t="s">
        <v>7378</v>
      </c>
      <c r="AF22">
        <v>142</v>
      </c>
      <c r="AG22">
        <v>12037185</v>
      </c>
      <c r="AH22">
        <v>9372</v>
      </c>
      <c r="AI22">
        <v>202</v>
      </c>
      <c r="AK22" t="s">
        <v>8549</v>
      </c>
      <c r="AL22" t="s">
        <v>9153</v>
      </c>
      <c r="AM22" s="79" t="str">
        <f>HYPERLINK("https://t.co/4YrBXWhdH9")</f>
        <v>https://t.co/4YrBXWhdH9</v>
      </c>
      <c r="AO22" s="76">
        <v>39883.020370370374</v>
      </c>
      <c r="AP22" s="79" t="str">
        <f>HYPERLINK("https://pbs.twimg.com/profile_banners/23690344/1670261859")</f>
        <v>https://pbs.twimg.com/profile_banners/23690344/1670261859</v>
      </c>
      <c r="AQ22" t="b">
        <v>0</v>
      </c>
      <c r="AR22" t="b">
        <v>0</v>
      </c>
      <c r="AS22" t="b">
        <v>1</v>
      </c>
      <c r="AU22">
        <v>31675</v>
      </c>
      <c r="AV22" s="79" t="str">
        <f>HYPERLINK("https://abs.twimg.com/images/themes/theme17/bg.gif")</f>
        <v>https://abs.twimg.com/images/themes/theme17/bg.gif</v>
      </c>
      <c r="AW22" t="b">
        <v>1</v>
      </c>
      <c r="AX22" t="s">
        <v>9303</v>
      </c>
      <c r="AY22" s="79" t="str">
        <f>HYPERLINK("https://twitter.com/kellyclarkson")</f>
        <v>https://twitter.com/kellyclarkson</v>
      </c>
      <c r="AZ22" t="s">
        <v>65</v>
      </c>
      <c r="BA22" s="2"/>
    </row>
    <row r="23" spans="1:53" x14ac:dyDescent="0.45">
      <c r="A23" s="62" t="s">
        <v>1437</v>
      </c>
      <c r="B23" s="63"/>
      <c r="C23" s="63"/>
      <c r="D23" s="64"/>
      <c r="E23" s="66"/>
      <c r="F23" s="98" t="str">
        <f>HYPERLINK("https://pbs.twimg.com/profile_images/1566450905976672260/I39Q62WR_normal.jpg")</f>
        <v>https://pbs.twimg.com/profile_images/1566450905976672260/I39Q62WR_normal.jpg</v>
      </c>
      <c r="G23" s="63"/>
      <c r="H23" s="67"/>
      <c r="I23" s="68"/>
      <c r="J23" s="68"/>
      <c r="K23" s="67" t="s">
        <v>10344</v>
      </c>
      <c r="L23" s="71"/>
      <c r="M23" s="72"/>
      <c r="N23" s="72"/>
      <c r="O23" s="73"/>
      <c r="P23" s="74"/>
      <c r="Q23" s="74"/>
      <c r="R23" s="81"/>
      <c r="S23" s="81"/>
      <c r="T23" s="81"/>
      <c r="U23" s="81"/>
      <c r="V23" s="48"/>
      <c r="W23" s="48"/>
      <c r="X23" s="48"/>
      <c r="Y23" s="48"/>
      <c r="Z23" s="47"/>
      <c r="AA23" s="69"/>
      <c r="AB23" s="69"/>
      <c r="AC23" s="70"/>
      <c r="AD23" t="s">
        <v>6027</v>
      </c>
      <c r="AE23" s="78" t="s">
        <v>7235</v>
      </c>
      <c r="AF23">
        <v>601</v>
      </c>
      <c r="AG23">
        <v>11677117</v>
      </c>
      <c r="AH23">
        <v>42864</v>
      </c>
      <c r="AI23">
        <v>8486</v>
      </c>
      <c r="AK23" t="s">
        <v>8397</v>
      </c>
      <c r="AL23" t="s">
        <v>4898</v>
      </c>
      <c r="AM23" s="79" t="str">
        <f>HYPERLINK("https://t.co/TKynAjgNdd")</f>
        <v>https://t.co/TKynAjgNdd</v>
      </c>
      <c r="AO23" s="76">
        <v>41367.45988425926</v>
      </c>
      <c r="AP23" s="79" t="str">
        <f>HYPERLINK("https://pbs.twimg.com/profile_banners/1324334436/1638439189")</f>
        <v>https://pbs.twimg.com/profile_banners/1324334436/1638439189</v>
      </c>
      <c r="AQ23" t="b">
        <v>0</v>
      </c>
      <c r="AR23" t="b">
        <v>0</v>
      </c>
      <c r="AS23" t="b">
        <v>0</v>
      </c>
      <c r="AU23">
        <v>3495</v>
      </c>
      <c r="AV23" s="79" t="str">
        <f>HYPERLINK("https://abs.twimg.com/images/themes/theme14/bg.gif")</f>
        <v>https://abs.twimg.com/images/themes/theme14/bg.gif</v>
      </c>
      <c r="AW23" t="b">
        <v>1</v>
      </c>
      <c r="AX23" t="s">
        <v>9303</v>
      </c>
      <c r="AY23" s="79" t="str">
        <f>HYPERLINK("https://twitter.com/piyushgoyal")</f>
        <v>https://twitter.com/piyushgoyal</v>
      </c>
      <c r="AZ23" t="s">
        <v>65</v>
      </c>
      <c r="BA23" s="2"/>
    </row>
    <row r="24" spans="1:53" x14ac:dyDescent="0.45">
      <c r="A24" s="62" t="s">
        <v>1468</v>
      </c>
      <c r="B24" s="63"/>
      <c r="C24" s="63"/>
      <c r="D24" s="64"/>
      <c r="E24" s="66"/>
      <c r="F24" s="98" t="str">
        <f>HYPERLINK("https://pbs.twimg.com/profile_images/1603132896461565952/nQgHD0HB_normal.jpg")</f>
        <v>https://pbs.twimg.com/profile_images/1603132896461565952/nQgHD0HB_normal.jpg</v>
      </c>
      <c r="G24" s="63"/>
      <c r="H24" s="67"/>
      <c r="I24" s="68"/>
      <c r="J24" s="68"/>
      <c r="K24" s="67" t="s">
        <v>10419</v>
      </c>
      <c r="L24" s="71"/>
      <c r="M24" s="72"/>
      <c r="N24" s="72"/>
      <c r="O24" s="73"/>
      <c r="P24" s="74"/>
      <c r="Q24" s="74"/>
      <c r="R24" s="81"/>
      <c r="S24" s="81"/>
      <c r="T24" s="81"/>
      <c r="U24" s="81"/>
      <c r="V24" s="48"/>
      <c r="W24" s="48"/>
      <c r="X24" s="48"/>
      <c r="Y24" s="48"/>
      <c r="Z24" s="47"/>
      <c r="AA24" s="69"/>
      <c r="AB24" s="69"/>
      <c r="AC24" s="70"/>
      <c r="AD24" t="s">
        <v>6101</v>
      </c>
      <c r="AE24" s="78" t="s">
        <v>7299</v>
      </c>
      <c r="AF24">
        <v>77</v>
      </c>
      <c r="AG24">
        <v>11348716</v>
      </c>
      <c r="AH24">
        <v>77864</v>
      </c>
      <c r="AI24">
        <v>12291</v>
      </c>
      <c r="AK24" t="s">
        <v>8462</v>
      </c>
      <c r="AL24" t="s">
        <v>4924</v>
      </c>
      <c r="AM24" s="79" t="str">
        <f>HYPERLINK("https://t.co/ZX634Jmab5")</f>
        <v>https://t.co/ZX634Jmab5</v>
      </c>
      <c r="AO24" s="76">
        <v>39852.093460648146</v>
      </c>
      <c r="AP24" s="79" t="str">
        <f>HYPERLINK("https://pbs.twimg.com/profile_banners/20346956/1667410230")</f>
        <v>https://pbs.twimg.com/profile_banners/20346956/1667410230</v>
      </c>
      <c r="AQ24" t="b">
        <v>0</v>
      </c>
      <c r="AR24" t="b">
        <v>0</v>
      </c>
      <c r="AS24" t="b">
        <v>1</v>
      </c>
      <c r="AU24">
        <v>23245</v>
      </c>
      <c r="AV24" s="79" t="str">
        <f>HYPERLINK("https://abs.twimg.com/images/themes/theme10/bg.gif")</f>
        <v>https://abs.twimg.com/images/themes/theme10/bg.gif</v>
      </c>
      <c r="AW24" t="b">
        <v>1</v>
      </c>
      <c r="AX24" t="s">
        <v>9303</v>
      </c>
      <c r="AY24" s="79" t="str">
        <f>HYPERLINK("https://twitter.com/lakers")</f>
        <v>https://twitter.com/lakers</v>
      </c>
      <c r="AZ24" t="s">
        <v>65</v>
      </c>
      <c r="BA24" s="2"/>
    </row>
    <row r="25" spans="1:53" x14ac:dyDescent="0.45">
      <c r="A25" s="62" t="s">
        <v>1556</v>
      </c>
      <c r="B25" s="63"/>
      <c r="C25" s="63"/>
      <c r="D25" s="64"/>
      <c r="E25" s="66"/>
      <c r="F25" s="98" t="str">
        <f>HYPERLINK("https://pbs.twimg.com/profile_images/1268570190855331841/CiNnNX94_normal.jpg")</f>
        <v>https://pbs.twimg.com/profile_images/1268570190855331841/CiNnNX94_normal.jpg</v>
      </c>
      <c r="G25" s="63"/>
      <c r="H25" s="67"/>
      <c r="I25" s="68"/>
      <c r="J25" s="68"/>
      <c r="K25" s="67" t="s">
        <v>10621</v>
      </c>
      <c r="L25" s="71"/>
      <c r="M25" s="72"/>
      <c r="N25" s="72"/>
      <c r="O25" s="73"/>
      <c r="P25" s="74"/>
      <c r="Q25" s="74"/>
      <c r="R25" s="81"/>
      <c r="S25" s="81"/>
      <c r="T25" s="81"/>
      <c r="U25" s="81"/>
      <c r="V25" s="48"/>
      <c r="W25" s="48"/>
      <c r="X25" s="48"/>
      <c r="Y25" s="48"/>
      <c r="Z25" s="47"/>
      <c r="AA25" s="69"/>
      <c r="AB25" s="69"/>
      <c r="AC25" s="70"/>
      <c r="AD25" t="s">
        <v>6297</v>
      </c>
      <c r="AE25" s="78" t="s">
        <v>7462</v>
      </c>
      <c r="AF25">
        <v>87832</v>
      </c>
      <c r="AG25">
        <v>11126027</v>
      </c>
      <c r="AH25">
        <v>266152</v>
      </c>
      <c r="AI25">
        <v>22742</v>
      </c>
      <c r="AK25" t="s">
        <v>8642</v>
      </c>
      <c r="AL25" t="s">
        <v>8995</v>
      </c>
      <c r="AM25" s="79" t="str">
        <f>HYPERLINK("https://t.co/t8oOUu1aeX")</f>
        <v>https://t.co/t8oOUu1aeX</v>
      </c>
      <c r="AO25" s="76">
        <v>39050.804884259262</v>
      </c>
      <c r="AP25" s="79" t="str">
        <f>HYPERLINK("https://pbs.twimg.com/profile_banners/30973/1672754287")</f>
        <v>https://pbs.twimg.com/profile_banners/30973/1672754287</v>
      </c>
      <c r="AQ25" t="b">
        <v>0</v>
      </c>
      <c r="AR25" t="b">
        <v>0</v>
      </c>
      <c r="AS25" t="b">
        <v>1</v>
      </c>
      <c r="AU25">
        <v>25158</v>
      </c>
      <c r="AV25" s="79" t="str">
        <f>HYPERLINK("https://abs.twimg.com/images/themes/theme1/bg.png")</f>
        <v>https://abs.twimg.com/images/themes/theme1/bg.png</v>
      </c>
      <c r="AW25" t="b">
        <v>1</v>
      </c>
      <c r="AX25" t="s">
        <v>9303</v>
      </c>
      <c r="AY25" s="79" t="str">
        <f>HYPERLINK("https://twitter.com/starbucks")</f>
        <v>https://twitter.com/starbucks</v>
      </c>
      <c r="AZ25" t="s">
        <v>65</v>
      </c>
      <c r="BA25" s="2"/>
    </row>
    <row r="26" spans="1:53" x14ac:dyDescent="0.45">
      <c r="A26" s="62" t="s">
        <v>1297</v>
      </c>
      <c r="B26" s="63"/>
      <c r="C26" s="63"/>
      <c r="D26" s="64"/>
      <c r="E26" s="66"/>
      <c r="F26" s="98" t="str">
        <f>HYPERLINK("https://pbs.twimg.com/profile_images/1532044350019907585/Oo1-e1N2_normal.jpg")</f>
        <v>https://pbs.twimg.com/profile_images/1532044350019907585/Oo1-e1N2_normal.jpg</v>
      </c>
      <c r="G26" s="63"/>
      <c r="H26" s="67"/>
      <c r="I26" s="68"/>
      <c r="J26" s="68"/>
      <c r="K26" s="67" t="s">
        <v>9822</v>
      </c>
      <c r="L26" s="71"/>
      <c r="M26" s="72"/>
      <c r="N26" s="72"/>
      <c r="O26" s="73"/>
      <c r="P26" s="74"/>
      <c r="Q26" s="74"/>
      <c r="R26" s="81"/>
      <c r="S26" s="81"/>
      <c r="T26" s="81"/>
      <c r="U26" s="81"/>
      <c r="V26" s="48"/>
      <c r="W26" s="48"/>
      <c r="X26" s="48"/>
      <c r="Y26" s="48"/>
      <c r="Z26" s="47"/>
      <c r="AA26" s="69"/>
      <c r="AB26" s="69"/>
      <c r="AC26" s="70"/>
      <c r="AD26" t="s">
        <v>5513</v>
      </c>
      <c r="AE26" s="78" t="s">
        <v>6764</v>
      </c>
      <c r="AF26">
        <v>118</v>
      </c>
      <c r="AG26">
        <v>9695488</v>
      </c>
      <c r="AH26">
        <v>38127</v>
      </c>
      <c r="AI26">
        <v>6968</v>
      </c>
      <c r="AK26" t="s">
        <v>7940</v>
      </c>
      <c r="AL26" t="s">
        <v>8931</v>
      </c>
      <c r="AM26" s="79" t="str">
        <f>HYPERLINK("https://t.co/keUPAvTfId")</f>
        <v>https://t.co/keUPAvTfId</v>
      </c>
      <c r="AO26" s="76">
        <v>40865.938402777778</v>
      </c>
      <c r="AP26" s="79" t="str">
        <f>HYPERLINK("https://pbs.twimg.com/profile_banners/415859364/1654102812")</f>
        <v>https://pbs.twimg.com/profile_banners/415859364/1654102812</v>
      </c>
      <c r="AQ26" t="b">
        <v>0</v>
      </c>
      <c r="AR26" t="b">
        <v>0</v>
      </c>
      <c r="AS26" t="b">
        <v>1</v>
      </c>
      <c r="AU26">
        <v>11422</v>
      </c>
      <c r="AV26" s="79" t="str">
        <f>HYPERLINK("https://abs.twimg.com/images/themes/theme14/bg.gif")</f>
        <v>https://abs.twimg.com/images/themes/theme14/bg.gif</v>
      </c>
      <c r="AW26" t="b">
        <v>1</v>
      </c>
      <c r="AX26" t="s">
        <v>9303</v>
      </c>
      <c r="AY26" s="79" t="str">
        <f>HYPERLINK("https://twitter.com/nike")</f>
        <v>https://twitter.com/nike</v>
      </c>
      <c r="AZ26" t="s">
        <v>65</v>
      </c>
      <c r="BA26" s="2"/>
    </row>
    <row r="27" spans="1:53" x14ac:dyDescent="0.45">
      <c r="A27" s="62" t="s">
        <v>1520</v>
      </c>
      <c r="B27" s="63"/>
      <c r="C27" s="63"/>
      <c r="D27" s="64"/>
      <c r="E27" s="66"/>
      <c r="F27" s="98" t="str">
        <f>HYPERLINK("https://pbs.twimg.com/profile_images/991818020233404416/alrBF_dr_normal.jpg")</f>
        <v>https://pbs.twimg.com/profile_images/991818020233404416/alrBF_dr_normal.jpg</v>
      </c>
      <c r="G27" s="63"/>
      <c r="H27" s="67"/>
      <c r="I27" s="68"/>
      <c r="J27" s="68"/>
      <c r="K27" s="67" t="s">
        <v>10551</v>
      </c>
      <c r="L27" s="71"/>
      <c r="M27" s="72"/>
      <c r="N27" s="72"/>
      <c r="O27" s="73"/>
      <c r="P27" s="74"/>
      <c r="Q27" s="74"/>
      <c r="R27" s="81"/>
      <c r="S27" s="81"/>
      <c r="T27" s="81"/>
      <c r="U27" s="81"/>
      <c r="V27" s="48"/>
      <c r="W27" s="48"/>
      <c r="X27" s="48"/>
      <c r="Y27" s="48"/>
      <c r="Z27" s="47"/>
      <c r="AA27" s="69"/>
      <c r="AB27" s="69"/>
      <c r="AC27" s="70"/>
      <c r="AD27" t="s">
        <v>6229</v>
      </c>
      <c r="AE27" s="78" t="s">
        <v>7405</v>
      </c>
      <c r="AF27">
        <v>1461</v>
      </c>
      <c r="AG27">
        <v>9147129</v>
      </c>
      <c r="AH27">
        <v>894436</v>
      </c>
      <c r="AI27">
        <v>3751</v>
      </c>
      <c r="AK27" t="s">
        <v>8577</v>
      </c>
      <c r="AL27" t="s">
        <v>9255</v>
      </c>
      <c r="AM27" s="79" t="str">
        <f>HYPERLINK("https://t.co/kCDIdvrKHF")</f>
        <v>https://t.co/kCDIdvrKHF</v>
      </c>
      <c r="AO27" s="76">
        <v>39926.837002314816</v>
      </c>
      <c r="AP27" s="79" t="str">
        <f>HYPERLINK("https://pbs.twimg.com/profile_banners/34713362/1674413263")</f>
        <v>https://pbs.twimg.com/profile_banners/34713362/1674413263</v>
      </c>
      <c r="AQ27" t="b">
        <v>0</v>
      </c>
      <c r="AR27" t="b">
        <v>0</v>
      </c>
      <c r="AS27" t="b">
        <v>1</v>
      </c>
      <c r="AU27">
        <v>69560</v>
      </c>
      <c r="AV27" s="79" t="str">
        <f>HYPERLINK("https://abs.twimg.com/images/themes/theme9/bg.gif")</f>
        <v>https://abs.twimg.com/images/themes/theme9/bg.gif</v>
      </c>
      <c r="AW27" t="b">
        <v>1</v>
      </c>
      <c r="AX27" t="s">
        <v>9303</v>
      </c>
      <c r="AY27" s="79" t="str">
        <f>HYPERLINK("https://twitter.com/business")</f>
        <v>https://twitter.com/business</v>
      </c>
      <c r="AZ27" t="s">
        <v>65</v>
      </c>
      <c r="BA27" s="2"/>
    </row>
    <row r="28" spans="1:53" x14ac:dyDescent="0.45">
      <c r="A28" s="62" t="s">
        <v>1216</v>
      </c>
      <c r="B28" s="63"/>
      <c r="C28" s="63"/>
      <c r="D28" s="64"/>
      <c r="E28" s="66"/>
      <c r="F28" s="98" t="str">
        <f>HYPERLINK("https://pbs.twimg.com/profile_images/1283958620359516160/p7zz5dxZ_normal.jpg")</f>
        <v>https://pbs.twimg.com/profile_images/1283958620359516160/p7zz5dxZ_normal.jpg</v>
      </c>
      <c r="G28" s="63"/>
      <c r="H28" s="67"/>
      <c r="I28" s="68"/>
      <c r="J28" s="68"/>
      <c r="K28" s="67" t="s">
        <v>9535</v>
      </c>
      <c r="L28" s="71"/>
      <c r="M28" s="72"/>
      <c r="N28" s="72"/>
      <c r="O28" s="73"/>
      <c r="P28" s="74"/>
      <c r="Q28" s="74"/>
      <c r="R28" s="81"/>
      <c r="S28" s="81"/>
      <c r="T28" s="81"/>
      <c r="U28" s="81"/>
      <c r="V28" s="48"/>
      <c r="W28" s="48"/>
      <c r="X28" s="48"/>
      <c r="Y28" s="48"/>
      <c r="Z28" s="47"/>
      <c r="AA28" s="69"/>
      <c r="AB28" s="69"/>
      <c r="AC28" s="70"/>
      <c r="AD28" t="s">
        <v>5228</v>
      </c>
      <c r="AE28" s="78" t="s">
        <v>6513</v>
      </c>
      <c r="AF28">
        <v>0</v>
      </c>
      <c r="AG28">
        <v>8995923</v>
      </c>
      <c r="AH28">
        <v>0</v>
      </c>
      <c r="AI28">
        <v>3</v>
      </c>
      <c r="AK28" s="79" t="str">
        <f>HYPERLINK("https://t.co/4dZx1rem2Q")</f>
        <v>https://t.co/4dZx1rem2Q</v>
      </c>
      <c r="AL28" t="s">
        <v>8802</v>
      </c>
      <c r="AO28" s="76">
        <v>40813.209756944445</v>
      </c>
      <c r="AP28" s="79" t="str">
        <f>HYPERLINK("https://pbs.twimg.com/profile_banners/380749300/1666106284")</f>
        <v>https://pbs.twimg.com/profile_banners/380749300/1666106284</v>
      </c>
      <c r="AQ28" t="b">
        <v>0</v>
      </c>
      <c r="AR28" t="b">
        <v>0</v>
      </c>
      <c r="AS28" t="b">
        <v>0</v>
      </c>
      <c r="AU28">
        <v>14451</v>
      </c>
      <c r="AV28" s="79" t="str">
        <f>HYPERLINK("https://abs.twimg.com/images/themes/theme1/bg.png")</f>
        <v>https://abs.twimg.com/images/themes/theme1/bg.png</v>
      </c>
      <c r="AW28" t="b">
        <v>1</v>
      </c>
      <c r="AX28" t="s">
        <v>9303</v>
      </c>
      <c r="AY28" s="79" t="str">
        <f>HYPERLINK("https://twitter.com/apple")</f>
        <v>https://twitter.com/apple</v>
      </c>
      <c r="AZ28" t="s">
        <v>65</v>
      </c>
      <c r="BA28" s="2"/>
    </row>
    <row r="29" spans="1:53" x14ac:dyDescent="0.45">
      <c r="A29" s="62" t="s">
        <v>1542</v>
      </c>
      <c r="B29" s="63"/>
      <c r="C29" s="63"/>
      <c r="D29" s="64"/>
      <c r="E29" s="66"/>
      <c r="F29" s="98" t="str">
        <f>HYPERLINK("https://pbs.twimg.com/profile_images/1422637130/mccigartrophy_normal.jpg")</f>
        <v>https://pbs.twimg.com/profile_images/1422637130/mccigartrophy_normal.jpg</v>
      </c>
      <c r="G29" s="63"/>
      <c r="H29" s="67"/>
      <c r="I29" s="68"/>
      <c r="J29" s="68"/>
      <c r="K29" s="67" t="s">
        <v>10592</v>
      </c>
      <c r="L29" s="71"/>
      <c r="M29" s="72"/>
      <c r="N29" s="72"/>
      <c r="O29" s="73"/>
      <c r="P29" s="74"/>
      <c r="Q29" s="74"/>
      <c r="R29" s="81"/>
      <c r="S29" s="81"/>
      <c r="T29" s="81"/>
      <c r="U29" s="81"/>
      <c r="V29" s="48"/>
      <c r="W29" s="48"/>
      <c r="X29" s="48"/>
      <c r="Y29" s="48"/>
      <c r="Z29" s="47"/>
      <c r="AA29" s="69"/>
      <c r="AB29" s="69"/>
      <c r="AC29" s="70"/>
      <c r="AD29" t="s">
        <v>6270</v>
      </c>
      <c r="AE29" s="78" t="s">
        <v>7440</v>
      </c>
      <c r="AF29">
        <v>1969</v>
      </c>
      <c r="AG29">
        <v>8893186</v>
      </c>
      <c r="AH29">
        <v>5865</v>
      </c>
      <c r="AI29">
        <v>8238</v>
      </c>
      <c r="AK29" t="s">
        <v>8616</v>
      </c>
      <c r="AM29" s="79" t="str">
        <f>HYPERLINK("https://t.co/s6rJcyXrSL")</f>
        <v>https://t.co/s6rJcyXrSL</v>
      </c>
      <c r="AO29" s="76">
        <v>39701.883344907408</v>
      </c>
      <c r="AP29" s="79" t="str">
        <f>HYPERLINK("https://pbs.twimg.com/profile_banners/16228398/1398982404")</f>
        <v>https://pbs.twimg.com/profile_banners/16228398/1398982404</v>
      </c>
      <c r="AQ29" t="b">
        <v>0</v>
      </c>
      <c r="AR29" t="b">
        <v>0</v>
      </c>
      <c r="AS29" t="b">
        <v>1</v>
      </c>
      <c r="AU29">
        <v>29746</v>
      </c>
      <c r="AV29" s="79" t="str">
        <f>HYPERLINK("https://abs.twimg.com/images/themes/theme1/bg.png")</f>
        <v>https://abs.twimg.com/images/themes/theme1/bg.png</v>
      </c>
      <c r="AW29" t="b">
        <v>1</v>
      </c>
      <c r="AX29" t="s">
        <v>9303</v>
      </c>
      <c r="AY29" s="79" t="str">
        <f>HYPERLINK("https://twitter.com/mcuban")</f>
        <v>https://twitter.com/mcuban</v>
      </c>
      <c r="AZ29" t="s">
        <v>65</v>
      </c>
      <c r="BA29" s="2"/>
    </row>
    <row r="30" spans="1:53" x14ac:dyDescent="0.45">
      <c r="A30" s="62" t="s">
        <v>1517</v>
      </c>
      <c r="B30" s="63"/>
      <c r="C30" s="63"/>
      <c r="D30" s="64"/>
      <c r="E30" s="66"/>
      <c r="F30" s="98" t="str">
        <f>HYPERLINK("https://pbs.twimg.com/profile_images/1351938473142448133/JQT93Cjo_normal.jpg")</f>
        <v>https://pbs.twimg.com/profile_images/1351938473142448133/JQT93Cjo_normal.jpg</v>
      </c>
      <c r="G30" s="63"/>
      <c r="H30" s="67"/>
      <c r="I30" s="68"/>
      <c r="J30" s="68"/>
      <c r="K30" s="67" t="s">
        <v>10542</v>
      </c>
      <c r="L30" s="71"/>
      <c r="M30" s="72"/>
      <c r="N30" s="72"/>
      <c r="O30" s="73"/>
      <c r="P30" s="74"/>
      <c r="Q30" s="74"/>
      <c r="R30" s="81"/>
      <c r="S30" s="81"/>
      <c r="T30" s="81"/>
      <c r="U30" s="81"/>
      <c r="V30" s="48"/>
      <c r="W30" s="48"/>
      <c r="X30" s="48"/>
      <c r="Y30" s="48"/>
      <c r="Z30" s="47"/>
      <c r="AA30" s="69"/>
      <c r="AB30" s="69"/>
      <c r="AC30" s="70"/>
      <c r="AD30" t="s">
        <v>6220</v>
      </c>
      <c r="AE30" s="78" t="s">
        <v>4805</v>
      </c>
      <c r="AF30">
        <v>6</v>
      </c>
      <c r="AG30">
        <v>8448304</v>
      </c>
      <c r="AH30">
        <v>5381</v>
      </c>
      <c r="AI30">
        <v>15</v>
      </c>
      <c r="AK30" t="s">
        <v>8569</v>
      </c>
      <c r="AL30" t="s">
        <v>9253</v>
      </c>
      <c r="AM30" s="79" t="str">
        <f>HYPERLINK("https://t.co/121St65y97")</f>
        <v>https://t.co/121St65y97</v>
      </c>
      <c r="AO30" s="76">
        <v>44138.872199074074</v>
      </c>
      <c r="AP30" s="79" t="str">
        <f>HYPERLINK("https://pbs.twimg.com/profile_banners/1323730225067339784/1675274552")</f>
        <v>https://pbs.twimg.com/profile_banners/1323730225067339784/1675274552</v>
      </c>
      <c r="AQ30" t="b">
        <v>1</v>
      </c>
      <c r="AR30" t="b">
        <v>0</v>
      </c>
      <c r="AS30" t="b">
        <v>0</v>
      </c>
      <c r="AU30">
        <v>12557</v>
      </c>
      <c r="AW30" t="b">
        <v>1</v>
      </c>
      <c r="AX30" t="s">
        <v>9303</v>
      </c>
      <c r="AY30" s="79" t="str">
        <f>HYPERLINK("https://twitter.com/whitehouse")</f>
        <v>https://twitter.com/whitehouse</v>
      </c>
      <c r="AZ30" t="s">
        <v>65</v>
      </c>
      <c r="BA30" s="2"/>
    </row>
    <row r="31" spans="1:53" x14ac:dyDescent="0.45">
      <c r="A31" s="62" t="s">
        <v>1365</v>
      </c>
      <c r="B31" s="63"/>
      <c r="C31" s="63"/>
      <c r="D31" s="64"/>
      <c r="E31" s="66"/>
      <c r="F31" s="98" t="str">
        <f>HYPERLINK("https://pbs.twimg.com/profile_images/1498813192163659776/5olP9GJC_normal.jpg")</f>
        <v>https://pbs.twimg.com/profile_images/1498813192163659776/5olP9GJC_normal.jpg</v>
      </c>
      <c r="G31" s="63"/>
      <c r="H31" s="67"/>
      <c r="I31" s="68"/>
      <c r="J31" s="68"/>
      <c r="K31" s="67" t="s">
        <v>10134</v>
      </c>
      <c r="L31" s="71"/>
      <c r="M31" s="72"/>
      <c r="N31" s="72"/>
      <c r="O31" s="73"/>
      <c r="P31" s="74"/>
      <c r="Q31" s="74"/>
      <c r="R31" s="81"/>
      <c r="S31" s="81"/>
      <c r="T31" s="81"/>
      <c r="U31" s="81"/>
      <c r="V31" s="48"/>
      <c r="W31" s="48"/>
      <c r="X31" s="48"/>
      <c r="Y31" s="48"/>
      <c r="Z31" s="47"/>
      <c r="AA31" s="69"/>
      <c r="AB31" s="69"/>
      <c r="AC31" s="70"/>
      <c r="AD31" t="s">
        <v>5822</v>
      </c>
      <c r="AE31" s="78" t="s">
        <v>7049</v>
      </c>
      <c r="AF31">
        <v>54</v>
      </c>
      <c r="AG31">
        <v>7701623</v>
      </c>
      <c r="AH31">
        <v>94969</v>
      </c>
      <c r="AI31">
        <v>823</v>
      </c>
      <c r="AK31" t="s">
        <v>8216</v>
      </c>
      <c r="AL31" t="s">
        <v>9095</v>
      </c>
      <c r="AM31" s="79" t="str">
        <f>HYPERLINK("https://t.co/BBgnL6paO2")</f>
        <v>https://t.co/BBgnL6paO2</v>
      </c>
      <c r="AO31" s="76">
        <v>40162.036840277775</v>
      </c>
      <c r="AP31" s="79" t="str">
        <f>HYPERLINK("https://pbs.twimg.com/profile_banners/96879107/1669915338")</f>
        <v>https://pbs.twimg.com/profile_banners/96879107/1669915338</v>
      </c>
      <c r="AQ31" t="b">
        <v>0</v>
      </c>
      <c r="AR31" t="b">
        <v>0</v>
      </c>
      <c r="AS31" t="b">
        <v>0</v>
      </c>
      <c r="AU31">
        <v>7432</v>
      </c>
      <c r="AV31" s="79" t="str">
        <f>HYPERLINK("https://abs.twimg.com/images/themes/theme1/bg.png")</f>
        <v>https://abs.twimg.com/images/themes/theme1/bg.png</v>
      </c>
      <c r="AW31" t="b">
        <v>1</v>
      </c>
      <c r="AX31" t="s">
        <v>9303</v>
      </c>
      <c r="AY31" s="79" t="str">
        <f>HYPERLINK("https://twitter.com/pokemon")</f>
        <v>https://twitter.com/pokemon</v>
      </c>
      <c r="AZ31" t="s">
        <v>65</v>
      </c>
      <c r="BA31" s="2"/>
    </row>
    <row r="32" spans="1:53" x14ac:dyDescent="0.45">
      <c r="A32" s="62" t="s">
        <v>1481</v>
      </c>
      <c r="B32" s="63"/>
      <c r="C32" s="63"/>
      <c r="D32" s="64"/>
      <c r="E32" s="66"/>
      <c r="F32" s="98" t="str">
        <f>HYPERLINK("https://pbs.twimg.com/profile_images/1354479896072884225/AaUbc7ao_normal.jpg")</f>
        <v>https://pbs.twimg.com/profile_images/1354479896072884225/AaUbc7ao_normal.jpg</v>
      </c>
      <c r="G32" s="63"/>
      <c r="H32" s="67"/>
      <c r="I32" s="68"/>
      <c r="J32" s="68"/>
      <c r="K32" s="67" t="s">
        <v>10467</v>
      </c>
      <c r="L32" s="71"/>
      <c r="M32" s="72"/>
      <c r="N32" s="72"/>
      <c r="O32" s="73"/>
      <c r="P32" s="74"/>
      <c r="Q32" s="74"/>
      <c r="R32" s="81"/>
      <c r="S32" s="81"/>
      <c r="T32" s="81"/>
      <c r="U32" s="81"/>
      <c r="V32" s="48"/>
      <c r="W32" s="48"/>
      <c r="X32" s="48"/>
      <c r="Y32" s="48"/>
      <c r="Z32" s="47"/>
      <c r="AA32" s="69"/>
      <c r="AB32" s="69"/>
      <c r="AC32" s="70"/>
      <c r="AD32" t="s">
        <v>6148</v>
      </c>
      <c r="AE32" s="78" t="s">
        <v>7335</v>
      </c>
      <c r="AF32">
        <v>23</v>
      </c>
      <c r="AG32">
        <v>7237406</v>
      </c>
      <c r="AH32">
        <v>84551</v>
      </c>
      <c r="AI32">
        <v>537</v>
      </c>
      <c r="AK32" t="s">
        <v>8506</v>
      </c>
      <c r="AL32" t="s">
        <v>9229</v>
      </c>
      <c r="AM32" s="79" t="str">
        <f>HYPERLINK("https://t.co/heEvRrl4yN")</f>
        <v>https://t.co/heEvRrl4yN</v>
      </c>
      <c r="AO32" s="76">
        <v>39786.786076388889</v>
      </c>
      <c r="AP32" s="79" t="str">
        <f>HYPERLINK("https://pbs.twimg.com/profile_banners/17874544/1620746252")</f>
        <v>https://pbs.twimg.com/profile_banners/17874544/1620746252</v>
      </c>
      <c r="AQ32" t="b">
        <v>0</v>
      </c>
      <c r="AR32" t="b">
        <v>0</v>
      </c>
      <c r="AS32" t="b">
        <v>1</v>
      </c>
      <c r="AU32">
        <v>15521</v>
      </c>
      <c r="AV32" s="79" t="str">
        <f>HYPERLINK("https://abs.twimg.com/images/themes/theme1/bg.png")</f>
        <v>https://abs.twimg.com/images/themes/theme1/bg.png</v>
      </c>
      <c r="AW32" t="b">
        <v>1</v>
      </c>
      <c r="AX32" t="s">
        <v>9303</v>
      </c>
      <c r="AY32" s="79" t="str">
        <f>HYPERLINK("https://twitter.com/twittersupport")</f>
        <v>https://twitter.com/twittersupport</v>
      </c>
      <c r="AZ32" t="s">
        <v>65</v>
      </c>
      <c r="BA32" s="2"/>
    </row>
    <row r="33" spans="1:53" x14ac:dyDescent="0.45">
      <c r="A33" s="62" t="s">
        <v>1215</v>
      </c>
      <c r="B33" s="63"/>
      <c r="C33" s="63"/>
      <c r="D33" s="64"/>
      <c r="E33" s="66"/>
      <c r="F33" s="98" t="str">
        <f>HYPERLINK("https://pbs.twimg.com/profile_images/1575795470248689671/yaUf2Ac0_normal.jpg")</f>
        <v>https://pbs.twimg.com/profile_images/1575795470248689671/yaUf2Ac0_normal.jpg</v>
      </c>
      <c r="G33" s="63"/>
      <c r="H33" s="67"/>
      <c r="I33" s="68"/>
      <c r="J33" s="68"/>
      <c r="K33" s="67" t="s">
        <v>9534</v>
      </c>
      <c r="L33" s="71"/>
      <c r="M33" s="72"/>
      <c r="N33" s="72"/>
      <c r="O33" s="73"/>
      <c r="P33" s="74"/>
      <c r="Q33" s="74"/>
      <c r="R33" s="81"/>
      <c r="S33" s="81"/>
      <c r="T33" s="81"/>
      <c r="U33" s="81"/>
      <c r="V33" s="48"/>
      <c r="W33" s="48"/>
      <c r="X33" s="48"/>
      <c r="Y33" s="48"/>
      <c r="Z33" s="47"/>
      <c r="AA33" s="69"/>
      <c r="AB33" s="69"/>
      <c r="AC33" s="70"/>
      <c r="AD33" t="s">
        <v>1215</v>
      </c>
      <c r="AE33" s="78" t="s">
        <v>6512</v>
      </c>
      <c r="AF33">
        <v>4</v>
      </c>
      <c r="AG33">
        <v>7056186</v>
      </c>
      <c r="AH33">
        <v>12431</v>
      </c>
      <c r="AI33">
        <v>749</v>
      </c>
      <c r="AK33" t="s">
        <v>7696</v>
      </c>
      <c r="AL33" t="s">
        <v>8801</v>
      </c>
      <c r="AM33" s="79" t="str">
        <f>HYPERLINK("https://t.co/GCgXz155kf")</f>
        <v>https://t.co/GCgXz155kf</v>
      </c>
      <c r="AO33" s="76">
        <v>39743.902418981481</v>
      </c>
      <c r="AP33" s="79" t="str">
        <f>HYPERLINK("https://pbs.twimg.com/profile_banners/16913418/1674120041")</f>
        <v>https://pbs.twimg.com/profile_banners/16913418/1674120041</v>
      </c>
      <c r="AQ33" t="b">
        <v>0</v>
      </c>
      <c r="AR33" t="b">
        <v>0</v>
      </c>
      <c r="AS33" t="b">
        <v>1</v>
      </c>
      <c r="AU33">
        <v>9264</v>
      </c>
      <c r="AV33" s="79" t="str">
        <f>HYPERLINK("https://abs.twimg.com/images/themes/theme9/bg.gif")</f>
        <v>https://abs.twimg.com/images/themes/theme9/bg.gif</v>
      </c>
      <c r="AW33" t="b">
        <v>1</v>
      </c>
      <c r="AX33" t="s">
        <v>9303</v>
      </c>
      <c r="AY33" s="79" t="str">
        <f>HYPERLINK("https://twitter.com/gucci")</f>
        <v>https://twitter.com/gucci</v>
      </c>
      <c r="AZ33" t="s">
        <v>65</v>
      </c>
      <c r="BA33" s="2"/>
    </row>
    <row r="34" spans="1:53" x14ac:dyDescent="0.45">
      <c r="A34" s="62" t="s">
        <v>1420</v>
      </c>
      <c r="B34" s="63"/>
      <c r="C34" s="63"/>
      <c r="D34" s="64"/>
      <c r="E34" s="66"/>
      <c r="F34" s="98" t="str">
        <f>HYPERLINK("https://pbs.twimg.com/profile_images/1564281873609633793/Np6AffzF_normal.jpg")</f>
        <v>https://pbs.twimg.com/profile_images/1564281873609633793/Np6AffzF_normal.jpg</v>
      </c>
      <c r="G34" s="63"/>
      <c r="H34" s="67"/>
      <c r="I34" s="68"/>
      <c r="J34" s="68"/>
      <c r="K34" s="67" t="s">
        <v>10301</v>
      </c>
      <c r="L34" s="71"/>
      <c r="M34" s="72"/>
      <c r="N34" s="72"/>
      <c r="O34" s="73"/>
      <c r="P34" s="74"/>
      <c r="Q34" s="74"/>
      <c r="R34" s="81"/>
      <c r="S34" s="81"/>
      <c r="T34" s="81"/>
      <c r="U34" s="81"/>
      <c r="V34" s="48"/>
      <c r="W34" s="48"/>
      <c r="X34" s="48"/>
      <c r="Y34" s="48"/>
      <c r="Z34" s="47"/>
      <c r="AA34" s="69"/>
      <c r="AB34" s="69"/>
      <c r="AC34" s="70"/>
      <c r="AD34" t="s">
        <v>5984</v>
      </c>
      <c r="AE34" s="78" t="s">
        <v>7194</v>
      </c>
      <c r="AF34">
        <v>1139</v>
      </c>
      <c r="AG34">
        <v>6322358</v>
      </c>
      <c r="AH34">
        <v>10599</v>
      </c>
      <c r="AI34">
        <v>10586</v>
      </c>
      <c r="AK34" t="s">
        <v>8360</v>
      </c>
      <c r="AL34" t="s">
        <v>8765</v>
      </c>
      <c r="AM34" s="79" t="str">
        <f>HYPERLINK("https://t.co/GPNJjmgtfx")</f>
        <v>https://t.co/GPNJjmgtfx</v>
      </c>
      <c r="AO34" s="76">
        <v>39735.847453703704</v>
      </c>
      <c r="AP34" s="79" t="str">
        <f>HYPERLINK("https://pbs.twimg.com/profile_banners/16745055/1661788837")</f>
        <v>https://pbs.twimg.com/profile_banners/16745055/1661788837</v>
      </c>
      <c r="AQ34" t="b">
        <v>0</v>
      </c>
      <c r="AR34" t="b">
        <v>0</v>
      </c>
      <c r="AS34" t="b">
        <v>1</v>
      </c>
      <c r="AU34">
        <v>3237</v>
      </c>
      <c r="AV34" s="79" t="str">
        <f>HYPERLINK("https://abs.twimg.com/images/themes/theme9/bg.gif")</f>
        <v>https://abs.twimg.com/images/themes/theme9/bg.gif</v>
      </c>
      <c r="AW34" t="b">
        <v>1</v>
      </c>
      <c r="AX34" t="s">
        <v>9303</v>
      </c>
      <c r="AY34" s="79" t="str">
        <f>HYPERLINK("https://twitter.com/roblox")</f>
        <v>https://twitter.com/roblox</v>
      </c>
      <c r="AZ34" t="s">
        <v>65</v>
      </c>
      <c r="BA34" s="2"/>
    </row>
    <row r="35" spans="1:53" x14ac:dyDescent="0.45">
      <c r="A35" s="62" t="s">
        <v>1176</v>
      </c>
      <c r="B35" s="63"/>
      <c r="C35" s="63"/>
      <c r="D35" s="64"/>
      <c r="E35" s="66"/>
      <c r="F35" s="98" t="str">
        <f>HYPERLINK("https://pbs.twimg.com/profile_images/1322868917350633473/XVo77UyL_normal.jpg")</f>
        <v>https://pbs.twimg.com/profile_images/1322868917350633473/XVo77UyL_normal.jpg</v>
      </c>
      <c r="G35" s="63"/>
      <c r="H35" s="67"/>
      <c r="I35" s="68"/>
      <c r="J35" s="68"/>
      <c r="K35" s="67" t="s">
        <v>9456</v>
      </c>
      <c r="L35" s="71"/>
      <c r="M35" s="72"/>
      <c r="N35" s="72"/>
      <c r="O35" s="73"/>
      <c r="P35" s="74"/>
      <c r="Q35" s="74"/>
      <c r="R35" s="81"/>
      <c r="S35" s="81"/>
      <c r="T35" s="81"/>
      <c r="U35" s="81"/>
      <c r="V35" s="48"/>
      <c r="W35" s="48"/>
      <c r="X35" s="48"/>
      <c r="Y35" s="48"/>
      <c r="Z35" s="47"/>
      <c r="AA35" s="69"/>
      <c r="AB35" s="69"/>
      <c r="AC35" s="70"/>
      <c r="AD35" t="s">
        <v>5150</v>
      </c>
      <c r="AE35" s="78" t="s">
        <v>4666</v>
      </c>
      <c r="AF35">
        <v>5391</v>
      </c>
      <c r="AG35">
        <v>5920724</v>
      </c>
      <c r="AH35">
        <v>40715</v>
      </c>
      <c r="AI35">
        <v>1297</v>
      </c>
      <c r="AK35" t="s">
        <v>7622</v>
      </c>
      <c r="AL35" t="s">
        <v>8762</v>
      </c>
      <c r="AM35" s="79" t="str">
        <f>HYPERLINK("https://t.co/lnlr5V66T7")</f>
        <v>https://t.co/lnlr5V66T7</v>
      </c>
      <c r="AO35" s="76">
        <v>39878.139120370368</v>
      </c>
      <c r="AP35" s="79" t="str">
        <f>HYPERLINK("https://pbs.twimg.com/profile_banners/23022687/1529028227")</f>
        <v>https://pbs.twimg.com/profile_banners/23022687/1529028227</v>
      </c>
      <c r="AQ35" t="b">
        <v>0</v>
      </c>
      <c r="AR35" t="b">
        <v>0</v>
      </c>
      <c r="AS35" t="b">
        <v>1</v>
      </c>
      <c r="AU35">
        <v>16314</v>
      </c>
      <c r="AV35" s="79" t="str">
        <f>HYPERLINK("https://abs.twimg.com/images/themes/theme14/bg.gif")</f>
        <v>https://abs.twimg.com/images/themes/theme14/bg.gif</v>
      </c>
      <c r="AW35" t="b">
        <v>1</v>
      </c>
      <c r="AX35" t="s">
        <v>9303</v>
      </c>
      <c r="AY35" s="79" t="str">
        <f>HYPERLINK("https://twitter.com/tedcruz")</f>
        <v>https://twitter.com/tedcruz</v>
      </c>
      <c r="AZ35" t="s">
        <v>65</v>
      </c>
      <c r="BA35" s="2"/>
    </row>
    <row r="36" spans="1:53" x14ac:dyDescent="0.45">
      <c r="A36" s="62" t="s">
        <v>1113</v>
      </c>
      <c r="B36" s="63"/>
      <c r="C36" s="63"/>
      <c r="D36" s="64"/>
      <c r="E36" s="66"/>
      <c r="F36" s="98" t="str">
        <f>HYPERLINK("https://pbs.twimg.com/profile_images/1587352380454338561/Uav_0HHn_normal.jpg")</f>
        <v>https://pbs.twimg.com/profile_images/1587352380454338561/Uav_0HHn_normal.jpg</v>
      </c>
      <c r="G36" s="63"/>
      <c r="H36" s="67"/>
      <c r="I36" s="68"/>
      <c r="J36" s="68"/>
      <c r="K36" s="67" t="s">
        <v>9320</v>
      </c>
      <c r="L36" s="71"/>
      <c r="M36" s="72"/>
      <c r="N36" s="72"/>
      <c r="O36" s="73"/>
      <c r="P36" s="74"/>
      <c r="Q36" s="74"/>
      <c r="R36" s="81"/>
      <c r="S36" s="81"/>
      <c r="T36" s="81"/>
      <c r="U36" s="81"/>
      <c r="V36" s="48"/>
      <c r="W36" s="48"/>
      <c r="X36" s="48"/>
      <c r="Y36" s="48"/>
      <c r="Z36" s="47"/>
      <c r="AA36" s="69"/>
      <c r="AB36" s="69"/>
      <c r="AC36" s="70"/>
      <c r="AD36" t="s">
        <v>5016</v>
      </c>
      <c r="AE36" s="78" t="s">
        <v>4808</v>
      </c>
      <c r="AF36">
        <v>51</v>
      </c>
      <c r="AG36">
        <v>5210592</v>
      </c>
      <c r="AH36">
        <v>47993</v>
      </c>
      <c r="AI36">
        <v>14743</v>
      </c>
      <c r="AK36" t="s">
        <v>7505</v>
      </c>
      <c r="AM36" s="79" t="str">
        <f>HYPERLINK("https://t.co/hTYFU5ZBpL")</f>
        <v>https://t.co/hTYFU5ZBpL</v>
      </c>
      <c r="AO36" s="76">
        <v>39857.777708333335</v>
      </c>
      <c r="AP36" s="79" t="str">
        <f>HYPERLINK("https://pbs.twimg.com/profile_banners/20793816/1581445732")</f>
        <v>https://pbs.twimg.com/profile_banners/20793816/1581445732</v>
      </c>
      <c r="AQ36" t="b">
        <v>0</v>
      </c>
      <c r="AR36" t="b">
        <v>0</v>
      </c>
      <c r="AS36" t="b">
        <v>1</v>
      </c>
      <c r="AU36">
        <v>16316</v>
      </c>
      <c r="AV36" s="79" t="str">
        <f>HYPERLINK("https://abs.twimg.com/images/themes/theme14/bg.gif")</f>
        <v>https://abs.twimg.com/images/themes/theme14/bg.gif</v>
      </c>
      <c r="AW36" t="b">
        <v>1</v>
      </c>
      <c r="AX36" t="s">
        <v>9303</v>
      </c>
      <c r="AY36" s="79" t="str">
        <f>HYPERLINK("https://twitter.com/amazon")</f>
        <v>https://twitter.com/amazon</v>
      </c>
      <c r="AZ36" t="s">
        <v>65</v>
      </c>
      <c r="BA36" s="2"/>
    </row>
    <row r="37" spans="1:53" x14ac:dyDescent="0.45">
      <c r="A37" s="62" t="s">
        <v>1293</v>
      </c>
      <c r="B37" s="63"/>
      <c r="C37" s="63"/>
      <c r="D37" s="64"/>
      <c r="E37" s="66"/>
      <c r="F37" s="98" t="str">
        <f>HYPERLINK("https://pbs.twimg.com/profile_images/1583214318719475713/rP1UOXbz_normal.jpg")</f>
        <v>https://pbs.twimg.com/profile_images/1583214318719475713/rP1UOXbz_normal.jpg</v>
      </c>
      <c r="G37" s="63"/>
      <c r="H37" s="67"/>
      <c r="I37" s="68"/>
      <c r="J37" s="68"/>
      <c r="K37" s="67" t="s">
        <v>9806</v>
      </c>
      <c r="L37" s="71"/>
      <c r="M37" s="72"/>
      <c r="N37" s="72"/>
      <c r="O37" s="73"/>
      <c r="P37" s="74"/>
      <c r="Q37" s="74"/>
      <c r="R37" s="81"/>
      <c r="S37" s="81"/>
      <c r="T37" s="81"/>
      <c r="U37" s="81"/>
      <c r="V37" s="48"/>
      <c r="W37" s="48"/>
      <c r="X37" s="48"/>
      <c r="Y37" s="48"/>
      <c r="Z37" s="47"/>
      <c r="AA37" s="69"/>
      <c r="AB37" s="69"/>
      <c r="AC37" s="70"/>
      <c r="AD37" t="s">
        <v>5497</v>
      </c>
      <c r="AE37" s="78" t="s">
        <v>6752</v>
      </c>
      <c r="AF37">
        <v>853</v>
      </c>
      <c r="AG37">
        <v>5061699</v>
      </c>
      <c r="AH37">
        <v>555492</v>
      </c>
      <c r="AI37">
        <v>792</v>
      </c>
      <c r="AK37" t="s">
        <v>7925</v>
      </c>
      <c r="AL37" t="s">
        <v>8927</v>
      </c>
      <c r="AM37" s="79" t="str">
        <f>HYPERLINK("https://t.co/OhV9V1FfZE")</f>
        <v>https://t.co/OhV9V1FfZE</v>
      </c>
      <c r="AO37" s="76">
        <v>39853.002557870372</v>
      </c>
      <c r="AP37" s="79" t="str">
        <f>HYPERLINK("https://pbs.twimg.com/profile_banners/20402945/1601925989")</f>
        <v>https://pbs.twimg.com/profile_banners/20402945/1601925989</v>
      </c>
      <c r="AQ37" t="b">
        <v>0</v>
      </c>
      <c r="AR37" t="b">
        <v>0</v>
      </c>
      <c r="AS37" t="b">
        <v>1</v>
      </c>
      <c r="AU37">
        <v>40193</v>
      </c>
      <c r="AV37" s="79" t="str">
        <f>HYPERLINK("https://abs.twimg.com/images/themes/theme1/bg.png")</f>
        <v>https://abs.twimg.com/images/themes/theme1/bg.png</v>
      </c>
      <c r="AW37" t="b">
        <v>1</v>
      </c>
      <c r="AX37" t="s">
        <v>9303</v>
      </c>
      <c r="AY37" s="79" t="str">
        <f>HYPERLINK("https://twitter.com/cnbc")</f>
        <v>https://twitter.com/cnbc</v>
      </c>
      <c r="AZ37" t="s">
        <v>65</v>
      </c>
      <c r="BA37" s="2"/>
    </row>
    <row r="38" spans="1:53" x14ac:dyDescent="0.45">
      <c r="A38" s="62" t="s">
        <v>1484</v>
      </c>
      <c r="B38" s="63"/>
      <c r="C38" s="63"/>
      <c r="D38" s="64"/>
      <c r="E38" s="66"/>
      <c r="F38" s="98" t="str">
        <f>HYPERLINK("https://pbs.twimg.com/profile_images/1579916871654117376/Dxd2l1sN_normal.png")</f>
        <v>https://pbs.twimg.com/profile_images/1579916871654117376/Dxd2l1sN_normal.png</v>
      </c>
      <c r="G38" s="63"/>
      <c r="H38" s="67"/>
      <c r="I38" s="68"/>
      <c r="J38" s="68"/>
      <c r="K38" s="67" t="s">
        <v>10470</v>
      </c>
      <c r="L38" s="71"/>
      <c r="M38" s="72"/>
      <c r="N38" s="72"/>
      <c r="O38" s="73"/>
      <c r="P38" s="74"/>
      <c r="Q38" s="74"/>
      <c r="R38" s="81"/>
      <c r="S38" s="81"/>
      <c r="T38" s="81"/>
      <c r="U38" s="81"/>
      <c r="V38" s="48"/>
      <c r="W38" s="48"/>
      <c r="X38" s="48"/>
      <c r="Y38" s="48"/>
      <c r="Z38" s="47"/>
      <c r="AA38" s="69"/>
      <c r="AB38" s="69"/>
      <c r="AC38" s="70"/>
      <c r="AD38" t="s">
        <v>6151</v>
      </c>
      <c r="AE38" s="78" t="s">
        <v>7338</v>
      </c>
      <c r="AF38">
        <v>13644</v>
      </c>
      <c r="AG38">
        <v>4779523</v>
      </c>
      <c r="AH38">
        <v>863516</v>
      </c>
      <c r="AI38">
        <v>22908</v>
      </c>
      <c r="AK38" t="s">
        <v>8509</v>
      </c>
      <c r="AO38" s="76">
        <v>40058.74077546296</v>
      </c>
      <c r="AP38" s="79" t="str">
        <f>HYPERLINK("https://pbs.twimg.com/profile_banners/71026122/1670957019")</f>
        <v>https://pbs.twimg.com/profile_banners/71026122/1670957019</v>
      </c>
      <c r="AQ38" t="b">
        <v>0</v>
      </c>
      <c r="AR38" t="b">
        <v>0</v>
      </c>
      <c r="AS38" t="b">
        <v>1</v>
      </c>
      <c r="AU38">
        <v>9393</v>
      </c>
      <c r="AV38" s="79" t="str">
        <f>HYPERLINK("https://abs.twimg.com/images/themes/theme14/bg.gif")</f>
        <v>https://abs.twimg.com/images/themes/theme14/bg.gif</v>
      </c>
      <c r="AW38" t="b">
        <v>1</v>
      </c>
      <c r="AX38" t="s">
        <v>9303</v>
      </c>
      <c r="AY38" s="79" t="str">
        <f>HYPERLINK("https://twitter.com/mcdonalds")</f>
        <v>https://twitter.com/mcdonalds</v>
      </c>
      <c r="AZ38" t="s">
        <v>65</v>
      </c>
      <c r="BA38" s="2"/>
    </row>
    <row r="39" spans="1:53" x14ac:dyDescent="0.45">
      <c r="A39" s="62" t="s">
        <v>1421</v>
      </c>
      <c r="B39" s="63"/>
      <c r="C39" s="63"/>
      <c r="D39" s="64"/>
      <c r="E39" s="66"/>
      <c r="F39" s="98" t="str">
        <f>HYPERLINK("https://pbs.twimg.com/profile_images/1255262019391021057/FgydK1dh_normal.jpg")</f>
        <v>https://pbs.twimg.com/profile_images/1255262019391021057/FgydK1dh_normal.jpg</v>
      </c>
      <c r="G39" s="63"/>
      <c r="H39" s="67"/>
      <c r="I39" s="68"/>
      <c r="J39" s="68"/>
      <c r="K39" s="67" t="s">
        <v>10310</v>
      </c>
      <c r="L39" s="71"/>
      <c r="M39" s="72"/>
      <c r="N39" s="72"/>
      <c r="O39" s="73"/>
      <c r="P39" s="74"/>
      <c r="Q39" s="74"/>
      <c r="R39" s="81"/>
      <c r="S39" s="81"/>
      <c r="T39" s="81"/>
      <c r="U39" s="81"/>
      <c r="V39" s="48"/>
      <c r="W39" s="48"/>
      <c r="X39" s="48"/>
      <c r="Y39" s="48"/>
      <c r="Z39" s="47"/>
      <c r="AA39" s="69"/>
      <c r="AB39" s="69"/>
      <c r="AC39" s="70"/>
      <c r="AD39" t="s">
        <v>5993</v>
      </c>
      <c r="AE39" s="78" t="s">
        <v>7203</v>
      </c>
      <c r="AF39">
        <v>180</v>
      </c>
      <c r="AG39">
        <v>4560508</v>
      </c>
      <c r="AH39">
        <v>3164</v>
      </c>
      <c r="AI39">
        <v>913</v>
      </c>
      <c r="AK39" t="s">
        <v>8367</v>
      </c>
      <c r="AL39" t="s">
        <v>4914</v>
      </c>
      <c r="AO39" s="76">
        <v>40228.621203703704</v>
      </c>
      <c r="AP39" s="79" t="str">
        <f>HYPERLINK("https://pbs.twimg.com/profile_banners/115682368/1655944970")</f>
        <v>https://pbs.twimg.com/profile_banners/115682368/1655944970</v>
      </c>
      <c r="AQ39" t="b">
        <v>0</v>
      </c>
      <c r="AR39" t="b">
        <v>0</v>
      </c>
      <c r="AS39" t="b">
        <v>1</v>
      </c>
      <c r="AU39">
        <v>7127</v>
      </c>
      <c r="AV39" s="79" t="str">
        <f>HYPERLINK("https://abs.twimg.com/images/themes/theme14/bg.gif")</f>
        <v>https://abs.twimg.com/images/themes/theme14/bg.gif</v>
      </c>
      <c r="AW39" t="b">
        <v>1</v>
      </c>
      <c r="AX39" t="s">
        <v>9303</v>
      </c>
      <c r="AY39" s="79" t="str">
        <f>HYPERLINK("https://twitter.com/bryandanielson")</f>
        <v>https://twitter.com/bryandanielson</v>
      </c>
      <c r="AZ39" t="s">
        <v>65</v>
      </c>
      <c r="BA39" s="2"/>
    </row>
    <row r="40" spans="1:53" x14ac:dyDescent="0.45">
      <c r="A40" s="62" t="s">
        <v>1259</v>
      </c>
      <c r="B40" s="63"/>
      <c r="C40" s="63"/>
      <c r="D40" s="64"/>
      <c r="E40" s="66"/>
      <c r="F40" s="98" t="str">
        <f>HYPERLINK("https://pbs.twimg.com/profile_images/1029703756206682112/nLq9XIww_normal.jpg")</f>
        <v>https://pbs.twimg.com/profile_images/1029703756206682112/nLq9XIww_normal.jpg</v>
      </c>
      <c r="G40" s="63"/>
      <c r="H40" s="67"/>
      <c r="I40" s="68"/>
      <c r="J40" s="68"/>
      <c r="K40" s="67" t="s">
        <v>9697</v>
      </c>
      <c r="L40" s="71"/>
      <c r="M40" s="72"/>
      <c r="N40" s="72"/>
      <c r="O40" s="73"/>
      <c r="P40" s="74"/>
      <c r="Q40" s="74"/>
      <c r="R40" s="81"/>
      <c r="S40" s="81"/>
      <c r="T40" s="81"/>
      <c r="U40" s="81"/>
      <c r="V40" s="48"/>
      <c r="W40" s="48"/>
      <c r="X40" s="48"/>
      <c r="Y40" s="48"/>
      <c r="Z40" s="47"/>
      <c r="AA40" s="69"/>
      <c r="AB40" s="69"/>
      <c r="AC40" s="70"/>
      <c r="AD40" t="s">
        <v>5389</v>
      </c>
      <c r="AE40" s="78" t="s">
        <v>6663</v>
      </c>
      <c r="AF40">
        <v>7704</v>
      </c>
      <c r="AG40">
        <v>4203042</v>
      </c>
      <c r="AH40">
        <v>221459</v>
      </c>
      <c r="AI40">
        <v>10545</v>
      </c>
      <c r="AK40" t="s">
        <v>7833</v>
      </c>
      <c r="AL40" t="s">
        <v>8876</v>
      </c>
      <c r="AM40" s="79" t="str">
        <f>HYPERLINK("https://t.co/Y5PrjaARLd")</f>
        <v>https://t.co/Y5PrjaARLd</v>
      </c>
      <c r="AO40" s="76">
        <v>39289.830810185187</v>
      </c>
      <c r="AP40" s="79" t="str">
        <f>HYPERLINK("https://pbs.twimg.com/profile_banners/7744592/1658937831")</f>
        <v>https://pbs.twimg.com/profile_banners/7744592/1658937831</v>
      </c>
      <c r="AQ40" t="b">
        <v>0</v>
      </c>
      <c r="AR40" t="b">
        <v>0</v>
      </c>
      <c r="AS40" t="b">
        <v>1</v>
      </c>
      <c r="AU40">
        <v>17920</v>
      </c>
      <c r="AV40" s="79" t="str">
        <f>HYPERLINK("https://abs.twimg.com/images/themes/theme1/bg.png")</f>
        <v>https://abs.twimg.com/images/themes/theme1/bg.png</v>
      </c>
      <c r="AW40" t="b">
        <v>1</v>
      </c>
      <c r="AX40" t="s">
        <v>9303</v>
      </c>
      <c r="AY40" s="79" t="str">
        <f>HYPERLINK("https://twitter.com/todayshow")</f>
        <v>https://twitter.com/todayshow</v>
      </c>
      <c r="AZ40" t="s">
        <v>65</v>
      </c>
      <c r="BA40" s="2"/>
    </row>
    <row r="41" spans="1:53" x14ac:dyDescent="0.45">
      <c r="A41" s="62" t="s">
        <v>247</v>
      </c>
      <c r="B41" s="63"/>
      <c r="C41" s="63"/>
      <c r="D41" s="64"/>
      <c r="E41" s="66"/>
      <c r="F41" s="98" t="str">
        <f>HYPERLINK("https://pbs.twimg.com/profile_images/1433866554647748616/0rk-vo3m_normal.jpg")</f>
        <v>https://pbs.twimg.com/profile_images/1433866554647748616/0rk-vo3m_normal.jpg</v>
      </c>
      <c r="G41" s="63"/>
      <c r="H41" s="67"/>
      <c r="I41" s="68"/>
      <c r="J41" s="68"/>
      <c r="K41" s="67" t="s">
        <v>9385</v>
      </c>
      <c r="L41" s="71"/>
      <c r="M41" s="72"/>
      <c r="N41" s="72"/>
      <c r="O41" s="73"/>
      <c r="P41" s="74"/>
      <c r="Q41" s="74"/>
      <c r="R41" s="81"/>
      <c r="S41" s="81"/>
      <c r="T41" s="81"/>
      <c r="U41" s="81"/>
      <c r="V41" s="48"/>
      <c r="W41" s="48"/>
      <c r="X41" s="48"/>
      <c r="Y41" s="48"/>
      <c r="Z41" s="47"/>
      <c r="AA41" s="69"/>
      <c r="AB41" s="69"/>
      <c r="AC41" s="70"/>
      <c r="AD41" t="s">
        <v>5081</v>
      </c>
      <c r="AE41" s="78" t="s">
        <v>6392</v>
      </c>
      <c r="AF41">
        <v>122</v>
      </c>
      <c r="AG41">
        <v>4185263</v>
      </c>
      <c r="AH41">
        <v>6709</v>
      </c>
      <c r="AI41">
        <v>904</v>
      </c>
      <c r="AK41" t="s">
        <v>7565</v>
      </c>
      <c r="AL41" t="s">
        <v>8727</v>
      </c>
      <c r="AM41" s="79" t="str">
        <f>HYPERLINK("https://t.co/La5ohS5XVv")</f>
        <v>https://t.co/La5ohS5XVv</v>
      </c>
      <c r="AO41" s="76">
        <v>39904.778055555558</v>
      </c>
      <c r="AP41" s="79" t="str">
        <f>HYPERLINK("https://pbs.twimg.com/profile_banners/28164096/1650377560")</f>
        <v>https://pbs.twimg.com/profile_banners/28164096/1650377560</v>
      </c>
      <c r="AQ41" t="b">
        <v>0</v>
      </c>
      <c r="AR41" t="b">
        <v>0</v>
      </c>
      <c r="AS41" t="b">
        <v>1</v>
      </c>
      <c r="AU41">
        <v>6484</v>
      </c>
      <c r="AV41" s="79" t="str">
        <f>HYPERLINK("https://abs.twimg.com/images/themes/theme1/bg.png")</f>
        <v>https://abs.twimg.com/images/themes/theme1/bg.png</v>
      </c>
      <c r="AW41" t="b">
        <v>1</v>
      </c>
      <c r="AX41" t="s">
        <v>9303</v>
      </c>
      <c r="AY41" s="79" t="str">
        <f>HYPERLINK("https://twitter.com/rachaelray")</f>
        <v>https://twitter.com/rachaelray</v>
      </c>
      <c r="AZ41" t="s">
        <v>66</v>
      </c>
      <c r="BA41" s="2"/>
    </row>
    <row r="42" spans="1:53" x14ac:dyDescent="0.45">
      <c r="A42" s="62" t="s">
        <v>1168</v>
      </c>
      <c r="B42" s="63"/>
      <c r="C42" s="63"/>
      <c r="D42" s="64"/>
      <c r="E42" s="66"/>
      <c r="F42" s="98" t="str">
        <f>HYPERLINK("https://pbs.twimg.com/profile_images/1037450039553978368/iuMg_L3Q_normal.jpg")</f>
        <v>https://pbs.twimg.com/profile_images/1037450039553978368/iuMg_L3Q_normal.jpg</v>
      </c>
      <c r="G42" s="63"/>
      <c r="H42" s="67"/>
      <c r="I42" s="68"/>
      <c r="J42" s="68"/>
      <c r="K42" s="67" t="s">
        <v>9444</v>
      </c>
      <c r="L42" s="71"/>
      <c r="M42" s="72"/>
      <c r="N42" s="72"/>
      <c r="O42" s="73"/>
      <c r="P42" s="74"/>
      <c r="Q42" s="74"/>
      <c r="R42" s="81"/>
      <c r="S42" s="81"/>
      <c r="T42" s="81"/>
      <c r="U42" s="81"/>
      <c r="V42" s="48"/>
      <c r="W42" s="48"/>
      <c r="X42" s="48"/>
      <c r="Y42" s="48"/>
      <c r="Z42" s="47"/>
      <c r="AA42" s="69"/>
      <c r="AB42" s="69"/>
      <c r="AC42" s="70"/>
      <c r="AD42" t="s">
        <v>5138</v>
      </c>
      <c r="AE42" s="78" t="s">
        <v>4664</v>
      </c>
      <c r="AF42">
        <v>473017</v>
      </c>
      <c r="AG42">
        <v>4168740</v>
      </c>
      <c r="AH42">
        <v>266099</v>
      </c>
      <c r="AI42">
        <v>35069</v>
      </c>
      <c r="AK42" t="s">
        <v>7612</v>
      </c>
      <c r="AL42" t="s">
        <v>8687</v>
      </c>
      <c r="AM42" s="79" t="str">
        <f>HYPERLINK("https://t.co/o2HmZ7K7o2")</f>
        <v>https://t.co/o2HmZ7K7o2</v>
      </c>
      <c r="AO42" s="76">
        <v>39615.234699074077</v>
      </c>
      <c r="AP42" s="79" t="str">
        <f>HYPERLINK("https://pbs.twimg.com/profile_banners/15131310/1620086922")</f>
        <v>https://pbs.twimg.com/profile_banners/15131310/1620086922</v>
      </c>
      <c r="AQ42" t="b">
        <v>0</v>
      </c>
      <c r="AR42" t="b">
        <v>0</v>
      </c>
      <c r="AS42" t="b">
        <v>1</v>
      </c>
      <c r="AU42">
        <v>20313</v>
      </c>
      <c r="AV42" s="79" t="str">
        <f>HYPERLINK("https://abs.twimg.com/images/themes/theme5/bg.gif")</f>
        <v>https://abs.twimg.com/images/themes/theme5/bg.gif</v>
      </c>
      <c r="AW42" t="b">
        <v>1</v>
      </c>
      <c r="AX42" t="s">
        <v>9303</v>
      </c>
      <c r="AY42" s="79" t="str">
        <f>HYPERLINK("https://twitter.com/wholefoods")</f>
        <v>https://twitter.com/wholefoods</v>
      </c>
      <c r="AZ42" t="s">
        <v>65</v>
      </c>
      <c r="BA42" s="2"/>
    </row>
    <row r="43" spans="1:53" x14ac:dyDescent="0.45">
      <c r="A43" s="62" t="s">
        <v>1339</v>
      </c>
      <c r="B43" s="63"/>
      <c r="C43" s="63"/>
      <c r="D43" s="64"/>
      <c r="E43" s="66"/>
      <c r="F43" s="98" t="str">
        <f>HYPERLINK("https://pbs.twimg.com/profile_images/1377043774044397569/JSi2OTgA_normal.jpg")</f>
        <v>https://pbs.twimg.com/profile_images/1377043774044397569/JSi2OTgA_normal.jpg</v>
      </c>
      <c r="G43" s="63"/>
      <c r="H43" s="67"/>
      <c r="I43" s="68"/>
      <c r="J43" s="68"/>
      <c r="K43" s="67" t="s">
        <v>10025</v>
      </c>
      <c r="L43" s="71"/>
      <c r="M43" s="72"/>
      <c r="N43" s="72"/>
      <c r="O43" s="73"/>
      <c r="P43" s="74"/>
      <c r="Q43" s="74"/>
      <c r="R43" s="81"/>
      <c r="S43" s="81"/>
      <c r="T43" s="81"/>
      <c r="U43" s="81"/>
      <c r="V43" s="48"/>
      <c r="W43" s="48"/>
      <c r="X43" s="48"/>
      <c r="Y43" s="48"/>
      <c r="Z43" s="47"/>
      <c r="AA43" s="69"/>
      <c r="AB43" s="69"/>
      <c r="AC43" s="70"/>
      <c r="AD43" t="s">
        <v>5715</v>
      </c>
      <c r="AE43" s="78" t="s">
        <v>6953</v>
      </c>
      <c r="AF43">
        <v>65</v>
      </c>
      <c r="AG43">
        <v>3985225</v>
      </c>
      <c r="AH43">
        <v>158</v>
      </c>
      <c r="AI43">
        <v>12</v>
      </c>
      <c r="AK43" t="s">
        <v>8118</v>
      </c>
      <c r="AM43" s="79" t="str">
        <f>HYPERLINK("https://t.co/RGjzLbcISh")</f>
        <v>https://t.co/RGjzLbcISh</v>
      </c>
      <c r="AO43" s="76">
        <v>44285.988136574073</v>
      </c>
      <c r="AP43" s="79" t="str">
        <f>HYPERLINK("https://pbs.twimg.com/profile_banners/1377043537452146688/1617148206")</f>
        <v>https://pbs.twimg.com/profile_banners/1377043537452146688/1617148206</v>
      </c>
      <c r="AQ43" t="b">
        <v>1</v>
      </c>
      <c r="AR43" t="b">
        <v>0</v>
      </c>
      <c r="AS43" t="b">
        <v>0</v>
      </c>
      <c r="AU43">
        <v>7754</v>
      </c>
      <c r="AW43" t="b">
        <v>1</v>
      </c>
      <c r="AX43" t="s">
        <v>9303</v>
      </c>
      <c r="AY43" s="79" t="str">
        <f>HYPERLINK("https://twitter.com/hybeofficialtwt")</f>
        <v>https://twitter.com/hybeofficialtwt</v>
      </c>
      <c r="AZ43" t="s">
        <v>65</v>
      </c>
      <c r="BA43" s="2"/>
    </row>
    <row r="44" spans="1:53" x14ac:dyDescent="0.45">
      <c r="A44" s="62" t="s">
        <v>1521</v>
      </c>
      <c r="B44" s="63"/>
      <c r="C44" s="63"/>
      <c r="D44" s="64"/>
      <c r="E44" s="66"/>
      <c r="F44" s="98" t="str">
        <f>HYPERLINK("https://pbs.twimg.com/profile_images/1605209361747525633/nwMbgFOq_normal.jpg")</f>
        <v>https://pbs.twimg.com/profile_images/1605209361747525633/nwMbgFOq_normal.jpg</v>
      </c>
      <c r="G44" s="63"/>
      <c r="H44" s="67"/>
      <c r="I44" s="68"/>
      <c r="J44" s="68"/>
      <c r="K44" s="67" t="s">
        <v>10552</v>
      </c>
      <c r="L44" s="71"/>
      <c r="M44" s="72"/>
      <c r="N44" s="72"/>
      <c r="O44" s="73"/>
      <c r="P44" s="74"/>
      <c r="Q44" s="74"/>
      <c r="R44" s="81"/>
      <c r="S44" s="81"/>
      <c r="T44" s="81"/>
      <c r="U44" s="81"/>
      <c r="V44" s="48"/>
      <c r="W44" s="48"/>
      <c r="X44" s="48"/>
      <c r="Y44" s="48"/>
      <c r="Z44" s="47"/>
      <c r="AA44" s="69"/>
      <c r="AB44" s="69"/>
      <c r="AC44" s="70"/>
      <c r="AD44" t="s">
        <v>6230</v>
      </c>
      <c r="AE44" s="78" t="s">
        <v>7406</v>
      </c>
      <c r="AF44">
        <v>415</v>
      </c>
      <c r="AG44">
        <v>3979980</v>
      </c>
      <c r="AH44">
        <v>724424</v>
      </c>
      <c r="AI44">
        <v>2191</v>
      </c>
      <c r="AK44" t="s">
        <v>8578</v>
      </c>
      <c r="AL44" t="s">
        <v>8719</v>
      </c>
      <c r="AM44" s="79" t="str">
        <f>HYPERLINK("https://t.co/lb5OEQiQbN")</f>
        <v>https://t.co/lb5OEQiQbN</v>
      </c>
      <c r="AO44" s="76">
        <v>39855.054375</v>
      </c>
      <c r="AP44" s="79" t="str">
        <f>HYPERLINK("https://pbs.twimg.com/profile_banners/20562637/1588193428")</f>
        <v>https://pbs.twimg.com/profile_banners/20562637/1588193428</v>
      </c>
      <c r="AQ44" t="b">
        <v>0</v>
      </c>
      <c r="AR44" t="b">
        <v>0</v>
      </c>
      <c r="AS44" t="b">
        <v>0</v>
      </c>
      <c r="AU44">
        <v>36211</v>
      </c>
      <c r="AV44" s="79" t="str">
        <f>HYPERLINK("https://abs.twimg.com/images/themes/theme14/bg.gif")</f>
        <v>https://abs.twimg.com/images/themes/theme14/bg.gif</v>
      </c>
      <c r="AW44" t="b">
        <v>1</v>
      </c>
      <c r="AX44" t="s">
        <v>9303</v>
      </c>
      <c r="AY44" s="79" t="str">
        <f>HYPERLINK("https://twitter.com/businessinsider")</f>
        <v>https://twitter.com/businessinsider</v>
      </c>
      <c r="AZ44" t="s">
        <v>65</v>
      </c>
      <c r="BA44" s="2"/>
    </row>
    <row r="45" spans="1:53" x14ac:dyDescent="0.45">
      <c r="A45" s="62" t="s">
        <v>1479</v>
      </c>
      <c r="B45" s="63"/>
      <c r="C45" s="63"/>
      <c r="D45" s="64"/>
      <c r="E45" s="66"/>
      <c r="F45" s="98" t="str">
        <f>HYPERLINK("https://pbs.twimg.com/profile_images/1606303233802211328/1SlnZF59_normal.jpg")</f>
        <v>https://pbs.twimg.com/profile_images/1606303233802211328/1SlnZF59_normal.jpg</v>
      </c>
      <c r="G45" s="63"/>
      <c r="H45" s="67"/>
      <c r="I45" s="68"/>
      <c r="J45" s="68"/>
      <c r="K45" s="67" t="s">
        <v>10465</v>
      </c>
      <c r="L45" s="71"/>
      <c r="M45" s="72"/>
      <c r="N45" s="72"/>
      <c r="O45" s="73"/>
      <c r="P45" s="74"/>
      <c r="Q45" s="74"/>
      <c r="R45" s="81"/>
      <c r="S45" s="81"/>
      <c r="T45" s="81"/>
      <c r="U45" s="81"/>
      <c r="V45" s="48"/>
      <c r="W45" s="48"/>
      <c r="X45" s="48"/>
      <c r="Y45" s="48"/>
      <c r="Z45" s="47"/>
      <c r="AA45" s="69"/>
      <c r="AB45" s="69"/>
      <c r="AC45" s="70"/>
      <c r="AD45" t="s">
        <v>6146</v>
      </c>
      <c r="AE45" s="78" t="s">
        <v>7333</v>
      </c>
      <c r="AF45">
        <v>443</v>
      </c>
      <c r="AG45">
        <v>3925578</v>
      </c>
      <c r="AH45">
        <v>222931</v>
      </c>
      <c r="AI45">
        <v>38803</v>
      </c>
      <c r="AK45" t="s">
        <v>8504</v>
      </c>
      <c r="AL45" t="s">
        <v>9228</v>
      </c>
      <c r="AM45" s="79" t="str">
        <f>HYPERLINK("https://t.co/uXCU6CHWmM")</f>
        <v>https://t.co/uXCU6CHWmM</v>
      </c>
      <c r="AO45" s="76">
        <v>40017.787511574075</v>
      </c>
      <c r="AP45" s="79" t="str">
        <f>HYPERLINK("https://pbs.twimg.com/profile_banners/59553554/1656604624")</f>
        <v>https://pbs.twimg.com/profile_banners/59553554/1656604624</v>
      </c>
      <c r="AQ45" t="b">
        <v>0</v>
      </c>
      <c r="AR45" t="b">
        <v>0</v>
      </c>
      <c r="AS45" t="b">
        <v>1</v>
      </c>
      <c r="AU45">
        <v>5197</v>
      </c>
      <c r="AV45" s="79" t="str">
        <f>HYPERLINK("https://abs.twimg.com/images/themes/theme1/bg.png")</f>
        <v>https://abs.twimg.com/images/themes/theme1/bg.png</v>
      </c>
      <c r="AW45" t="b">
        <v>1</v>
      </c>
      <c r="AX45" t="s">
        <v>9303</v>
      </c>
      <c r="AY45" s="79" t="str">
        <f>HYPERLINK("https://twitter.com/wendys")</f>
        <v>https://twitter.com/wendys</v>
      </c>
      <c r="AZ45" t="s">
        <v>65</v>
      </c>
      <c r="BA45" s="2"/>
    </row>
    <row r="46" spans="1:53" x14ac:dyDescent="0.45">
      <c r="A46" s="62" t="s">
        <v>1300</v>
      </c>
      <c r="B46" s="63"/>
      <c r="C46" s="63"/>
      <c r="D46" s="64"/>
      <c r="E46" s="66"/>
      <c r="F46" s="98" t="str">
        <f>HYPERLINK("https://pbs.twimg.com/profile_images/1587458549113794560/UY3LORDP_normal.jpg")</f>
        <v>https://pbs.twimg.com/profile_images/1587458549113794560/UY3LORDP_normal.jpg</v>
      </c>
      <c r="G46" s="63"/>
      <c r="H46" s="67"/>
      <c r="I46" s="68"/>
      <c r="J46" s="68"/>
      <c r="K46" s="67" t="s">
        <v>9842</v>
      </c>
      <c r="L46" s="71"/>
      <c r="M46" s="72"/>
      <c r="N46" s="72"/>
      <c r="O46" s="73"/>
      <c r="P46" s="74"/>
      <c r="Q46" s="74"/>
      <c r="R46" s="81"/>
      <c r="S46" s="81"/>
      <c r="T46" s="81"/>
      <c r="U46" s="81"/>
      <c r="V46" s="48"/>
      <c r="W46" s="48"/>
      <c r="X46" s="48"/>
      <c r="Y46" s="48"/>
      <c r="Z46" s="47"/>
      <c r="AA46" s="69"/>
      <c r="AB46" s="69"/>
      <c r="AC46" s="70"/>
      <c r="AD46" t="s">
        <v>5533</v>
      </c>
      <c r="AE46" s="78" t="s">
        <v>6782</v>
      </c>
      <c r="AF46">
        <v>2686</v>
      </c>
      <c r="AG46">
        <v>3914735</v>
      </c>
      <c r="AH46">
        <v>70937</v>
      </c>
      <c r="AI46">
        <v>24439</v>
      </c>
      <c r="AK46" t="s">
        <v>7956</v>
      </c>
      <c r="AL46" t="s">
        <v>8708</v>
      </c>
      <c r="AM46" s="79" t="str">
        <f>HYPERLINK("https://t.co/kFuCDkGJyZ")</f>
        <v>https://t.co/kFuCDkGJyZ</v>
      </c>
      <c r="AO46" s="76">
        <v>40013.929884259262</v>
      </c>
      <c r="AP46" s="79" t="str">
        <f>HYPERLINK("https://pbs.twimg.com/profile_banners/58309829/1667941298")</f>
        <v>https://pbs.twimg.com/profile_banners/58309829/1667941298</v>
      </c>
      <c r="AQ46" t="b">
        <v>0</v>
      </c>
      <c r="AR46" t="b">
        <v>0</v>
      </c>
      <c r="AS46" t="b">
        <v>1</v>
      </c>
      <c r="AU46">
        <v>3582</v>
      </c>
      <c r="AV46" s="79" t="str">
        <f>HYPERLINK("https://abs.twimg.com/images/themes/theme4/bg.gif")</f>
        <v>https://abs.twimg.com/images/themes/theme4/bg.gif</v>
      </c>
      <c r="AW46" t="b">
        <v>1</v>
      </c>
      <c r="AX46" t="s">
        <v>9303</v>
      </c>
      <c r="AY46" s="79" t="str">
        <f>HYPERLINK("https://twitter.com/nickelodeon")</f>
        <v>https://twitter.com/nickelodeon</v>
      </c>
      <c r="AZ46" t="s">
        <v>65</v>
      </c>
      <c r="BA46" s="2"/>
    </row>
    <row r="47" spans="1:53" x14ac:dyDescent="0.45">
      <c r="A47" s="62" t="s">
        <v>1523</v>
      </c>
      <c r="B47" s="63"/>
      <c r="C47" s="63"/>
      <c r="D47" s="64"/>
      <c r="E47" s="66"/>
      <c r="F47" s="98" t="str">
        <f>HYPERLINK("https://pbs.twimg.com/profile_images/474753665970868224/GcoCzmcI_normal.jpeg")</f>
        <v>https://pbs.twimg.com/profile_images/474753665970868224/GcoCzmcI_normal.jpeg</v>
      </c>
      <c r="G47" s="63"/>
      <c r="H47" s="67"/>
      <c r="I47" s="68"/>
      <c r="J47" s="68"/>
      <c r="K47" s="67" t="s">
        <v>10554</v>
      </c>
      <c r="L47" s="71"/>
      <c r="M47" s="72"/>
      <c r="N47" s="72"/>
      <c r="O47" s="73"/>
      <c r="P47" s="74"/>
      <c r="Q47" s="74"/>
      <c r="R47" s="81"/>
      <c r="S47" s="81"/>
      <c r="T47" s="81"/>
      <c r="U47" s="81"/>
      <c r="V47" s="48"/>
      <c r="W47" s="48"/>
      <c r="X47" s="48"/>
      <c r="Y47" s="48"/>
      <c r="Z47" s="47"/>
      <c r="AA47" s="69"/>
      <c r="AB47" s="69"/>
      <c r="AC47" s="70"/>
      <c r="AD47" t="s">
        <v>6232</v>
      </c>
      <c r="AE47" s="78" t="s">
        <v>7408</v>
      </c>
      <c r="AF47">
        <v>1452</v>
      </c>
      <c r="AG47">
        <v>3627264</v>
      </c>
      <c r="AH47">
        <v>193239</v>
      </c>
      <c r="AI47">
        <v>1431</v>
      </c>
      <c r="AK47" t="s">
        <v>8580</v>
      </c>
      <c r="AL47" t="s">
        <v>8675</v>
      </c>
      <c r="AM47" s="79" t="str">
        <f>HYPERLINK("https://t.co/Nbj0e68vyC")</f>
        <v>https://t.co/Nbj0e68vyC</v>
      </c>
      <c r="AO47" s="76">
        <v>39836.782060185185</v>
      </c>
      <c r="AP47" s="79" t="str">
        <f>HYPERLINK("https://pbs.twimg.com/profile_banners/19407053/1673974169")</f>
        <v>https://pbs.twimg.com/profile_banners/19407053/1673974169</v>
      </c>
      <c r="AQ47" t="b">
        <v>0</v>
      </c>
      <c r="AR47" t="b">
        <v>0</v>
      </c>
      <c r="AS47" t="b">
        <v>1</v>
      </c>
      <c r="AU47">
        <v>29224</v>
      </c>
      <c r="AV47" s="79" t="str">
        <f>HYPERLINK("https://abs.twimg.com/images/themes/theme8/bg.gif")</f>
        <v>https://abs.twimg.com/images/themes/theme8/bg.gif</v>
      </c>
      <c r="AW47" t="b">
        <v>1</v>
      </c>
      <c r="AX47" t="s">
        <v>9303</v>
      </c>
      <c r="AY47" s="79" t="str">
        <f>HYPERLINK("https://twitter.com/entrepreneur")</f>
        <v>https://twitter.com/entrepreneur</v>
      </c>
      <c r="AZ47" t="s">
        <v>65</v>
      </c>
      <c r="BA47" s="2"/>
    </row>
    <row r="48" spans="1:53" x14ac:dyDescent="0.45">
      <c r="A48" s="62" t="s">
        <v>1480</v>
      </c>
      <c r="B48" s="63"/>
      <c r="C48" s="63"/>
      <c r="D48" s="64"/>
      <c r="E48" s="66"/>
      <c r="F48" s="98" t="str">
        <f>HYPERLINK("https://pbs.twimg.com/profile_images/1079780911418408961/YXYAye0S_normal.jpg")</f>
        <v>https://pbs.twimg.com/profile_images/1079780911418408961/YXYAye0S_normal.jpg</v>
      </c>
      <c r="G48" s="63"/>
      <c r="H48" s="67"/>
      <c r="I48" s="68"/>
      <c r="J48" s="68"/>
      <c r="K48" s="67" t="s">
        <v>10466</v>
      </c>
      <c r="L48" s="71"/>
      <c r="M48" s="72"/>
      <c r="N48" s="72"/>
      <c r="O48" s="73"/>
      <c r="P48" s="74"/>
      <c r="Q48" s="74"/>
      <c r="R48" s="81"/>
      <c r="S48" s="81"/>
      <c r="T48" s="81"/>
      <c r="U48" s="81"/>
      <c r="V48" s="48"/>
      <c r="W48" s="48"/>
      <c r="X48" s="48"/>
      <c r="Y48" s="48"/>
      <c r="Z48" s="47"/>
      <c r="AA48" s="69"/>
      <c r="AB48" s="69"/>
      <c r="AC48" s="70"/>
      <c r="AD48" t="s">
        <v>6147</v>
      </c>
      <c r="AE48" s="78" t="s">
        <v>7334</v>
      </c>
      <c r="AF48">
        <v>2115</v>
      </c>
      <c r="AG48">
        <v>3560981</v>
      </c>
      <c r="AH48">
        <v>17927</v>
      </c>
      <c r="AI48">
        <v>180</v>
      </c>
      <c r="AK48" t="s">
        <v>8505</v>
      </c>
      <c r="AL48" t="s">
        <v>8703</v>
      </c>
      <c r="AM48" s="79" t="str">
        <f>HYPERLINK("https://t.co/bi2ezZJ5Rf")</f>
        <v>https://t.co/bi2ezZJ5Rf</v>
      </c>
      <c r="AO48" s="76">
        <v>39777.842974537038</v>
      </c>
      <c r="AP48" s="79" t="str">
        <f>HYPERLINK("https://pbs.twimg.com/profile_banners/17629860/1400528060")</f>
        <v>https://pbs.twimg.com/profile_banners/17629860/1400528060</v>
      </c>
      <c r="AQ48" t="b">
        <v>0</v>
      </c>
      <c r="AR48" t="b">
        <v>0</v>
      </c>
      <c r="AS48" t="b">
        <v>0</v>
      </c>
      <c r="AU48">
        <v>16929</v>
      </c>
      <c r="AV48" s="79" t="str">
        <f>HYPERLINK("https://abs.twimg.com/images/themes/theme1/bg.png")</f>
        <v>https://abs.twimg.com/images/themes/theme1/bg.png</v>
      </c>
      <c r="AW48" t="b">
        <v>1</v>
      </c>
      <c r="AX48" t="s">
        <v>9303</v>
      </c>
      <c r="AY48" s="79" t="str">
        <f>HYPERLINK("https://twitter.com/fbi")</f>
        <v>https://twitter.com/fbi</v>
      </c>
      <c r="AZ48" t="s">
        <v>65</v>
      </c>
      <c r="BA48" s="2"/>
    </row>
    <row r="49" spans="1:53" x14ac:dyDescent="0.45">
      <c r="A49" s="62" t="s">
        <v>1383</v>
      </c>
      <c r="B49" s="63"/>
      <c r="C49" s="63"/>
      <c r="D49" s="64"/>
      <c r="E49" s="66"/>
      <c r="F49" s="98" t="str">
        <f>HYPERLINK("https://pbs.twimg.com/profile_images/1344919364039045120/7gBb2rC6_normal.jpg")</f>
        <v>https://pbs.twimg.com/profile_images/1344919364039045120/7gBb2rC6_normal.jpg</v>
      </c>
      <c r="G49" s="63"/>
      <c r="H49" s="67"/>
      <c r="I49" s="68"/>
      <c r="J49" s="68"/>
      <c r="K49" s="67" t="s">
        <v>10176</v>
      </c>
      <c r="L49" s="71"/>
      <c r="M49" s="72"/>
      <c r="N49" s="72"/>
      <c r="O49" s="73"/>
      <c r="P49" s="74"/>
      <c r="Q49" s="74"/>
      <c r="R49" s="81"/>
      <c r="S49" s="81"/>
      <c r="T49" s="81"/>
      <c r="U49" s="81"/>
      <c r="V49" s="48"/>
      <c r="W49" s="48"/>
      <c r="X49" s="48"/>
      <c r="Y49" s="48"/>
      <c r="Z49" s="47"/>
      <c r="AA49" s="69"/>
      <c r="AB49" s="69"/>
      <c r="AC49" s="70"/>
      <c r="AD49" t="s">
        <v>5862</v>
      </c>
      <c r="AE49" s="78" t="s">
        <v>7085</v>
      </c>
      <c r="AF49">
        <v>56</v>
      </c>
      <c r="AG49">
        <v>3418435</v>
      </c>
      <c r="AH49">
        <v>5112</v>
      </c>
      <c r="AI49">
        <v>137</v>
      </c>
      <c r="AK49" t="s">
        <v>8249</v>
      </c>
      <c r="AL49" t="s">
        <v>9107</v>
      </c>
      <c r="AM49" s="79" t="str">
        <f>HYPERLINK("https://t.co/tKucZyJmxL")</f>
        <v>https://t.co/tKucZyJmxL</v>
      </c>
      <c r="AO49" s="76">
        <v>41694.797349537039</v>
      </c>
      <c r="AP49" s="79" t="str">
        <f>HYPERLINK("https://pbs.twimg.com/profile_banners/2359926157/1648146838")</f>
        <v>https://pbs.twimg.com/profile_banners/2359926157/1648146838</v>
      </c>
      <c r="AQ49" t="b">
        <v>0</v>
      </c>
      <c r="AR49" t="b">
        <v>0</v>
      </c>
      <c r="AS49" t="b">
        <v>0</v>
      </c>
      <c r="AU49">
        <v>11378</v>
      </c>
      <c r="AV49" s="79" t="str">
        <f>HYPERLINK("https://abs.twimg.com/images/themes/theme14/bg.gif")</f>
        <v>https://abs.twimg.com/images/themes/theme14/bg.gif</v>
      </c>
      <c r="AW49" t="b">
        <v>1</v>
      </c>
      <c r="AX49" t="s">
        <v>9303</v>
      </c>
      <c r="AY49" s="79" t="str">
        <f>HYPERLINK("https://twitter.com/cia")</f>
        <v>https://twitter.com/cia</v>
      </c>
      <c r="AZ49" t="s">
        <v>65</v>
      </c>
      <c r="BA49" s="2"/>
    </row>
    <row r="50" spans="1:53" x14ac:dyDescent="0.45">
      <c r="A50" s="62" t="s">
        <v>1456</v>
      </c>
      <c r="B50" s="63"/>
      <c r="C50" s="63"/>
      <c r="D50" s="64"/>
      <c r="E50" s="66"/>
      <c r="F50" s="98" t="str">
        <f>HYPERLINK("https://pbs.twimg.com/profile_images/1234873883850952704/JQhv0G7n_normal.jpg")</f>
        <v>https://pbs.twimg.com/profile_images/1234873883850952704/JQhv0G7n_normal.jpg</v>
      </c>
      <c r="G50" s="63"/>
      <c r="H50" s="67"/>
      <c r="I50" s="68"/>
      <c r="J50" s="68"/>
      <c r="K50" s="67" t="s">
        <v>10398</v>
      </c>
      <c r="L50" s="71"/>
      <c r="M50" s="72"/>
      <c r="N50" s="72"/>
      <c r="O50" s="73"/>
      <c r="P50" s="74"/>
      <c r="Q50" s="74"/>
      <c r="R50" s="81"/>
      <c r="S50" s="81"/>
      <c r="T50" s="81"/>
      <c r="U50" s="81"/>
      <c r="V50" s="48"/>
      <c r="W50" s="48"/>
      <c r="X50" s="48"/>
      <c r="Y50" s="48"/>
      <c r="Z50" s="47"/>
      <c r="AA50" s="69"/>
      <c r="AB50" s="69"/>
      <c r="AC50" s="70"/>
      <c r="AD50" t="s">
        <v>6080</v>
      </c>
      <c r="AE50" s="78" t="s">
        <v>7281</v>
      </c>
      <c r="AF50">
        <v>57219</v>
      </c>
      <c r="AG50">
        <v>3412002</v>
      </c>
      <c r="AH50">
        <v>289326</v>
      </c>
      <c r="AI50">
        <v>22556</v>
      </c>
      <c r="AK50" t="s">
        <v>8442</v>
      </c>
      <c r="AL50" t="s">
        <v>9005</v>
      </c>
      <c r="AM50" s="79" t="str">
        <f>HYPERLINK("https://t.co/x7mqySjnnm")</f>
        <v>https://t.co/x7mqySjnnm</v>
      </c>
      <c r="AO50" s="76">
        <v>39898.692152777781</v>
      </c>
      <c r="AP50" s="79" t="str">
        <f>HYPERLINK("https://pbs.twimg.com/profile_banners/26787673/1592943063")</f>
        <v>https://pbs.twimg.com/profile_banners/26787673/1592943063</v>
      </c>
      <c r="AQ50" t="b">
        <v>0</v>
      </c>
      <c r="AR50" t="b">
        <v>0</v>
      </c>
      <c r="AS50" t="b">
        <v>0</v>
      </c>
      <c r="AU50">
        <v>12304</v>
      </c>
      <c r="AV50" s="79" t="str">
        <f>HYPERLINK("https://abs.twimg.com/images/themes/theme1/bg.png")</f>
        <v>https://abs.twimg.com/images/themes/theme1/bg.png</v>
      </c>
      <c r="AW50" t="b">
        <v>1</v>
      </c>
      <c r="AX50" t="s">
        <v>9303</v>
      </c>
      <c r="AY50" s="79" t="str">
        <f>HYPERLINK("https://twitter.com/cocacola")</f>
        <v>https://twitter.com/cocacola</v>
      </c>
      <c r="AZ50" t="s">
        <v>65</v>
      </c>
      <c r="BA50" s="2"/>
    </row>
    <row r="51" spans="1:53" x14ac:dyDescent="0.45">
      <c r="A51" s="62" t="s">
        <v>1357</v>
      </c>
      <c r="B51" s="63"/>
      <c r="C51" s="63"/>
      <c r="D51" s="64"/>
      <c r="E51" s="66"/>
      <c r="F51" s="98" t="str">
        <f>HYPERLINK("https://pbs.twimg.com/profile_images/1609543648429109248/8tDsQIzC_normal.jpg")</f>
        <v>https://pbs.twimg.com/profile_images/1609543648429109248/8tDsQIzC_normal.jpg</v>
      </c>
      <c r="G51" s="63"/>
      <c r="H51" s="67"/>
      <c r="I51" s="68"/>
      <c r="J51" s="68"/>
      <c r="K51" s="67" t="s">
        <v>10112</v>
      </c>
      <c r="L51" s="71"/>
      <c r="M51" s="72"/>
      <c r="N51" s="72"/>
      <c r="O51" s="73"/>
      <c r="P51" s="74"/>
      <c r="Q51" s="74"/>
      <c r="R51" s="81"/>
      <c r="S51" s="81"/>
      <c r="T51" s="81"/>
      <c r="U51" s="81"/>
      <c r="V51" s="48"/>
      <c r="W51" s="48"/>
      <c r="X51" s="48"/>
      <c r="Y51" s="48"/>
      <c r="Z51" s="47"/>
      <c r="AA51" s="69"/>
      <c r="AB51" s="69"/>
      <c r="AC51" s="70"/>
      <c r="AD51" t="s">
        <v>5800</v>
      </c>
      <c r="AE51" s="78" t="s">
        <v>7031</v>
      </c>
      <c r="AF51">
        <v>9520</v>
      </c>
      <c r="AG51">
        <v>3350346</v>
      </c>
      <c r="AH51">
        <v>183852</v>
      </c>
      <c r="AI51">
        <v>25131</v>
      </c>
      <c r="AK51" t="s">
        <v>8195</v>
      </c>
      <c r="AL51" t="s">
        <v>9086</v>
      </c>
      <c r="AM51" s="79" t="str">
        <f>HYPERLINK("https://t.co/jYBOQBYCWR")</f>
        <v>https://t.co/jYBOQBYCWR</v>
      </c>
      <c r="AO51" s="76">
        <v>40199.73773148148</v>
      </c>
      <c r="AP51" s="79" t="str">
        <f>HYPERLINK("https://pbs.twimg.com/profile_banners/107146095/1672849709")</f>
        <v>https://pbs.twimg.com/profile_banners/107146095/1672849709</v>
      </c>
      <c r="AQ51" t="b">
        <v>0</v>
      </c>
      <c r="AR51" t="b">
        <v>0</v>
      </c>
      <c r="AS51" t="b">
        <v>1</v>
      </c>
      <c r="AU51">
        <v>8937</v>
      </c>
      <c r="AV51" s="79" t="str">
        <f>HYPERLINK("https://abs.twimg.com/images/themes/theme14/bg.gif")</f>
        <v>https://abs.twimg.com/images/themes/theme14/bg.gif</v>
      </c>
      <c r="AW51" t="b">
        <v>1</v>
      </c>
      <c r="AX51" t="s">
        <v>9303</v>
      </c>
      <c r="AY51" s="79" t="str">
        <f>HYPERLINK("https://twitter.com/mls")</f>
        <v>https://twitter.com/mls</v>
      </c>
      <c r="AZ51" t="s">
        <v>65</v>
      </c>
      <c r="BA51" s="2"/>
    </row>
    <row r="52" spans="1:53" x14ac:dyDescent="0.45">
      <c r="A52" s="62" t="s">
        <v>1433</v>
      </c>
      <c r="B52" s="63"/>
      <c r="C52" s="63"/>
      <c r="D52" s="64"/>
      <c r="E52" s="66"/>
      <c r="F52" s="98" t="str">
        <f>HYPERLINK("https://pbs.twimg.com/profile_images/1585899852738592768/7JH6XOYX_normal.jpg")</f>
        <v>https://pbs.twimg.com/profile_images/1585899852738592768/7JH6XOYX_normal.jpg</v>
      </c>
      <c r="G52" s="63"/>
      <c r="H52" s="67"/>
      <c r="I52" s="68"/>
      <c r="J52" s="68"/>
      <c r="K52" s="67" t="s">
        <v>10340</v>
      </c>
      <c r="L52" s="71"/>
      <c r="M52" s="72"/>
      <c r="N52" s="72"/>
      <c r="O52" s="73"/>
      <c r="P52" s="74"/>
      <c r="Q52" s="74"/>
      <c r="R52" s="81"/>
      <c r="S52" s="81"/>
      <c r="T52" s="81"/>
      <c r="U52" s="81"/>
      <c r="V52" s="48"/>
      <c r="W52" s="48"/>
      <c r="X52" s="48"/>
      <c r="Y52" s="48"/>
      <c r="Z52" s="47"/>
      <c r="AA52" s="69"/>
      <c r="AB52" s="69"/>
      <c r="AC52" s="70"/>
      <c r="AD52" t="s">
        <v>6023</v>
      </c>
      <c r="AE52" s="78" t="s">
        <v>7231</v>
      </c>
      <c r="AF52">
        <v>348</v>
      </c>
      <c r="AG52">
        <v>3190229</v>
      </c>
      <c r="AH52">
        <v>54351</v>
      </c>
      <c r="AI52">
        <v>1319</v>
      </c>
      <c r="AK52" t="s">
        <v>8393</v>
      </c>
      <c r="AL52" t="s">
        <v>9182</v>
      </c>
      <c r="AM52" s="79" t="str">
        <f>HYPERLINK("https://t.co/A5nm9KNPru")</f>
        <v>https://t.co/A5nm9KNPru</v>
      </c>
      <c r="AO52" s="76">
        <v>41848.28979166667</v>
      </c>
      <c r="AP52" s="79" t="str">
        <f>HYPERLINK("https://pbs.twimg.com/profile_banners/2686834802/1675317765")</f>
        <v>https://pbs.twimg.com/profile_banners/2686834802/1675317765</v>
      </c>
      <c r="AQ52" t="b">
        <v>0</v>
      </c>
      <c r="AR52" t="b">
        <v>0</v>
      </c>
      <c r="AS52" t="b">
        <v>1</v>
      </c>
      <c r="AU52">
        <v>2157</v>
      </c>
      <c r="AV52" s="79" t="str">
        <f>HYPERLINK("https://abs.twimg.com/images/themes/theme1/bg.png")</f>
        <v>https://abs.twimg.com/images/themes/theme1/bg.png</v>
      </c>
      <c r="AW52" t="b">
        <v>1</v>
      </c>
      <c r="AX52" t="s">
        <v>9303</v>
      </c>
      <c r="AY52" s="79" t="str">
        <f>HYPERLINK("https://twitter.com/mygovindia")</f>
        <v>https://twitter.com/mygovindia</v>
      </c>
      <c r="AZ52" t="s">
        <v>65</v>
      </c>
      <c r="BA52" s="2"/>
    </row>
    <row r="53" spans="1:53" x14ac:dyDescent="0.45">
      <c r="A53" s="62" t="s">
        <v>1109</v>
      </c>
      <c r="B53" s="63"/>
      <c r="C53" s="63"/>
      <c r="D53" s="64"/>
      <c r="E53" s="66"/>
      <c r="F53" s="98" t="str">
        <f>HYPERLINK("https://pbs.twimg.com/profile_images/1267713887165485061/WUR4QXtd_normal.jpg")</f>
        <v>https://pbs.twimg.com/profile_images/1267713887165485061/WUR4QXtd_normal.jpg</v>
      </c>
      <c r="G53" s="63"/>
      <c r="H53" s="67"/>
      <c r="I53" s="68"/>
      <c r="J53" s="68"/>
      <c r="K53" s="67" t="s">
        <v>9313</v>
      </c>
      <c r="L53" s="71"/>
      <c r="M53" s="72"/>
      <c r="N53" s="72"/>
      <c r="O53" s="73"/>
      <c r="P53" s="74"/>
      <c r="Q53" s="74"/>
      <c r="R53" s="81"/>
      <c r="S53" s="81"/>
      <c r="T53" s="81"/>
      <c r="U53" s="81"/>
      <c r="V53" s="48"/>
      <c r="W53" s="48"/>
      <c r="X53" s="48"/>
      <c r="Y53" s="48"/>
      <c r="Z53" s="47"/>
      <c r="AA53" s="69"/>
      <c r="AB53" s="69"/>
      <c r="AC53" s="70"/>
      <c r="AD53" t="s">
        <v>5009</v>
      </c>
      <c r="AE53" s="78" t="s">
        <v>4672</v>
      </c>
      <c r="AF53">
        <v>13</v>
      </c>
      <c r="AG53">
        <v>2894906</v>
      </c>
      <c r="AH53">
        <v>39229</v>
      </c>
      <c r="AI53">
        <v>2819</v>
      </c>
      <c r="AK53" t="s">
        <v>7499</v>
      </c>
      <c r="AL53" t="s">
        <v>4898</v>
      </c>
      <c r="AM53" s="79" t="str">
        <f>HYPERLINK("https://t.co/MVna4Wjgnk")</f>
        <v>https://t.co/MVna4Wjgnk</v>
      </c>
      <c r="AO53" s="76">
        <v>40012.614606481482</v>
      </c>
      <c r="AP53" s="79" t="str">
        <f>HYPERLINK("https://pbs.twimg.com/profile_banners/57947109/1675087135")</f>
        <v>https://pbs.twimg.com/profile_banners/57947109/1675087135</v>
      </c>
      <c r="AQ53" t="b">
        <v>0</v>
      </c>
      <c r="AR53" t="b">
        <v>0</v>
      </c>
      <c r="AS53" t="b">
        <v>0</v>
      </c>
      <c r="AU53">
        <v>1467</v>
      </c>
      <c r="AV53" s="79" t="str">
        <f>HYPERLINK("https://abs.twimg.com/images/themes/theme1/bg.png")</f>
        <v>https://abs.twimg.com/images/themes/theme1/bg.png</v>
      </c>
      <c r="AW53" t="b">
        <v>1</v>
      </c>
      <c r="AX53" t="s">
        <v>9303</v>
      </c>
      <c r="AY53" s="79" t="str">
        <f>HYPERLINK("https://twitter.com/flipkart")</f>
        <v>https://twitter.com/flipkart</v>
      </c>
      <c r="AZ53" t="s">
        <v>65</v>
      </c>
      <c r="BA53" s="2"/>
    </row>
    <row r="54" spans="1:53" x14ac:dyDescent="0.45">
      <c r="A54" s="62" t="s">
        <v>1307</v>
      </c>
      <c r="B54" s="63"/>
      <c r="C54" s="63"/>
      <c r="D54" s="64"/>
      <c r="E54" s="66"/>
      <c r="F54" s="98" t="str">
        <f>HYPERLINK("https://pbs.twimg.com/profile_images/1615369272561123331/LAUJAKs0_normal.jpg")</f>
        <v>https://pbs.twimg.com/profile_images/1615369272561123331/LAUJAKs0_normal.jpg</v>
      </c>
      <c r="G54" s="63"/>
      <c r="H54" s="67"/>
      <c r="I54" s="68"/>
      <c r="J54" s="68"/>
      <c r="K54" s="67" t="s">
        <v>9924</v>
      </c>
      <c r="L54" s="71"/>
      <c r="M54" s="72"/>
      <c r="N54" s="72"/>
      <c r="O54" s="73"/>
      <c r="P54" s="74"/>
      <c r="Q54" s="74"/>
      <c r="R54" s="81"/>
      <c r="S54" s="81"/>
      <c r="T54" s="81"/>
      <c r="U54" s="81"/>
      <c r="V54" s="48"/>
      <c r="W54" s="48"/>
      <c r="X54" s="48"/>
      <c r="Y54" s="48"/>
      <c r="Z54" s="47"/>
      <c r="AA54" s="69"/>
      <c r="AB54" s="69"/>
      <c r="AC54" s="70"/>
      <c r="AD54" t="s">
        <v>5615</v>
      </c>
      <c r="AE54" s="78" t="s">
        <v>6859</v>
      </c>
      <c r="AF54">
        <v>53</v>
      </c>
      <c r="AG54">
        <v>2820700</v>
      </c>
      <c r="AH54">
        <v>4562</v>
      </c>
      <c r="AI54">
        <v>59</v>
      </c>
      <c r="AK54" s="79" t="str">
        <f>HYPERLINK("https://t.co/WwM6FVkrQm")</f>
        <v>https://t.co/WwM6FVkrQm</v>
      </c>
      <c r="AO54" s="76">
        <v>40971.1096875</v>
      </c>
      <c r="AP54" s="79" t="str">
        <f>HYPERLINK("https://pbs.twimg.com/profile_banners/512700138/1673969173")</f>
        <v>https://pbs.twimg.com/profile_banners/512700138/1673969173</v>
      </c>
      <c r="AQ54" t="b">
        <v>0</v>
      </c>
      <c r="AR54" t="b">
        <v>0</v>
      </c>
      <c r="AS54" t="b">
        <v>0</v>
      </c>
      <c r="AU54">
        <v>5948</v>
      </c>
      <c r="AV54" s="79" t="str">
        <f>HYPERLINK("https://abs.twimg.com/images/themes/theme14/bg.gif")</f>
        <v>https://abs.twimg.com/images/themes/theme14/bg.gif</v>
      </c>
      <c r="AW54" t="b">
        <v>1</v>
      </c>
      <c r="AX54" t="s">
        <v>9303</v>
      </c>
      <c r="AY54" s="79" t="str">
        <f>HYPERLINK("https://twitter.com/madonna")</f>
        <v>https://twitter.com/madonna</v>
      </c>
      <c r="AZ54" t="s">
        <v>65</v>
      </c>
      <c r="BA54" s="2"/>
    </row>
    <row r="55" spans="1:53" x14ac:dyDescent="0.45">
      <c r="A55" s="62" t="s">
        <v>1524</v>
      </c>
      <c r="B55" s="63"/>
      <c r="C55" s="63"/>
      <c r="D55" s="64"/>
      <c r="E55" s="66"/>
      <c r="F55" s="98" t="str">
        <f>HYPERLINK("https://pbs.twimg.com/profile_images/1611131974160089099/y-e3qQ_Y_normal.jpg")</f>
        <v>https://pbs.twimg.com/profile_images/1611131974160089099/y-e3qQ_Y_normal.jpg</v>
      </c>
      <c r="G55" s="63"/>
      <c r="H55" s="67"/>
      <c r="I55" s="68"/>
      <c r="J55" s="68"/>
      <c r="K55" s="67" t="s">
        <v>10555</v>
      </c>
      <c r="L55" s="71"/>
      <c r="M55" s="72"/>
      <c r="N55" s="72"/>
      <c r="O55" s="73"/>
      <c r="P55" s="74"/>
      <c r="Q55" s="74"/>
      <c r="R55" s="81"/>
      <c r="S55" s="81"/>
      <c r="T55" s="81"/>
      <c r="U55" s="81"/>
      <c r="V55" s="48"/>
      <c r="W55" s="48"/>
      <c r="X55" s="48"/>
      <c r="Y55" s="48"/>
      <c r="Z55" s="47"/>
      <c r="AA55" s="69"/>
      <c r="AB55" s="69"/>
      <c r="AC55" s="70"/>
      <c r="AD55" t="s">
        <v>6233</v>
      </c>
      <c r="AE55" s="78" t="s">
        <v>7409</v>
      </c>
      <c r="AF55">
        <v>1696</v>
      </c>
      <c r="AG55">
        <v>2801876</v>
      </c>
      <c r="AH55">
        <v>349747</v>
      </c>
      <c r="AI55">
        <v>2375</v>
      </c>
      <c r="AK55" t="s">
        <v>8581</v>
      </c>
      <c r="AL55" t="s">
        <v>9256</v>
      </c>
      <c r="AM55" s="79" t="str">
        <f>HYPERLINK("https://t.co/fVl2O2GuO3")</f>
        <v>https://t.co/fVl2O2GuO3</v>
      </c>
      <c r="AO55" s="76">
        <v>39742.991319444445</v>
      </c>
      <c r="AP55" s="79" t="str">
        <f>HYPERLINK("https://pbs.twimg.com/profile_banners/16896485/1670519470")</f>
        <v>https://pbs.twimg.com/profile_banners/16896485/1670519470</v>
      </c>
      <c r="AQ55" t="b">
        <v>0</v>
      </c>
      <c r="AR55" t="b">
        <v>0</v>
      </c>
      <c r="AS55" t="b">
        <v>0</v>
      </c>
      <c r="AU55">
        <v>31175</v>
      </c>
      <c r="AV55" s="79" t="str">
        <f>HYPERLINK("https://abs.twimg.com/images/themes/theme17/bg.gif")</f>
        <v>https://abs.twimg.com/images/themes/theme17/bg.gif</v>
      </c>
      <c r="AW55" t="b">
        <v>1</v>
      </c>
      <c r="AX55" t="s">
        <v>9303</v>
      </c>
      <c r="AY55" s="79" t="str">
        <f>HYPERLINK("https://twitter.com/inc")</f>
        <v>https://twitter.com/inc</v>
      </c>
      <c r="AZ55" t="s">
        <v>65</v>
      </c>
      <c r="BA55" s="2"/>
    </row>
    <row r="56" spans="1:53" x14ac:dyDescent="0.45">
      <c r="A56" s="62" t="s">
        <v>1159</v>
      </c>
      <c r="B56" s="63"/>
      <c r="C56" s="63"/>
      <c r="D56" s="64"/>
      <c r="E56" s="66"/>
      <c r="F56" s="98" t="str">
        <f>HYPERLINK("https://pbs.twimg.com/profile_images/1611186868653264896/LbihNAxD_normal.jpg")</f>
        <v>https://pbs.twimg.com/profile_images/1611186868653264896/LbihNAxD_normal.jpg</v>
      </c>
      <c r="G56" s="63"/>
      <c r="H56" s="67"/>
      <c r="I56" s="68"/>
      <c r="J56" s="68"/>
      <c r="K56" s="67" t="s">
        <v>9420</v>
      </c>
      <c r="L56" s="71"/>
      <c r="M56" s="72"/>
      <c r="N56" s="72"/>
      <c r="O56" s="73"/>
      <c r="P56" s="74"/>
      <c r="Q56" s="74"/>
      <c r="R56" s="81"/>
      <c r="S56" s="81"/>
      <c r="T56" s="81"/>
      <c r="U56" s="81"/>
      <c r="V56" s="48"/>
      <c r="W56" s="48"/>
      <c r="X56" s="48"/>
      <c r="Y56" s="48"/>
      <c r="Z56" s="47"/>
      <c r="AA56" s="69"/>
      <c r="AB56" s="69"/>
      <c r="AC56" s="70"/>
      <c r="AD56" t="s">
        <v>5114</v>
      </c>
      <c r="AE56" s="78" t="s">
        <v>6422</v>
      </c>
      <c r="AF56">
        <v>4717</v>
      </c>
      <c r="AG56">
        <v>2779544</v>
      </c>
      <c r="AH56">
        <v>73988</v>
      </c>
      <c r="AI56">
        <v>15085</v>
      </c>
      <c r="AK56" t="s">
        <v>7594</v>
      </c>
      <c r="AL56" t="s">
        <v>8742</v>
      </c>
      <c r="AM56" s="79" t="str">
        <f>HYPERLINK("https://t.co/2oAttBPmrG")</f>
        <v>https://t.co/2oAttBPmrG</v>
      </c>
      <c r="AO56" s="76">
        <v>39820.814837962964</v>
      </c>
      <c r="AP56" s="79" t="str">
        <f>HYPERLINK("https://pbs.twimg.com/profile_banners/18734310/1674245040")</f>
        <v>https://pbs.twimg.com/profile_banners/18734310/1674245040</v>
      </c>
      <c r="AQ56" t="b">
        <v>0</v>
      </c>
      <c r="AR56" t="b">
        <v>0</v>
      </c>
      <c r="AS56" t="b">
        <v>1</v>
      </c>
      <c r="AU56">
        <v>9436</v>
      </c>
      <c r="AV56" s="79" t="str">
        <f>HYPERLINK("https://abs.twimg.com/images/themes/theme1/bg.png")</f>
        <v>https://abs.twimg.com/images/themes/theme1/bg.png</v>
      </c>
      <c r="AW56" t="b">
        <v>1</v>
      </c>
      <c r="AX56" t="s">
        <v>9303</v>
      </c>
      <c r="AY56" s="79" t="str">
        <f>HYPERLINK("https://twitter.com/broncos")</f>
        <v>https://twitter.com/broncos</v>
      </c>
      <c r="AZ56" t="s">
        <v>65</v>
      </c>
      <c r="BA56" s="2"/>
    </row>
    <row r="57" spans="1:53" x14ac:dyDescent="0.45">
      <c r="A57" s="62" t="s">
        <v>1434</v>
      </c>
      <c r="B57" s="63"/>
      <c r="C57" s="63"/>
      <c r="D57" s="64"/>
      <c r="E57" s="66"/>
      <c r="F57" s="98" t="str">
        <f>HYPERLINK("https://pbs.twimg.com/profile_images/1567083636842975232/Tir3k32B_normal.jpg")</f>
        <v>https://pbs.twimg.com/profile_images/1567083636842975232/Tir3k32B_normal.jpg</v>
      </c>
      <c r="G57" s="63"/>
      <c r="H57" s="67"/>
      <c r="I57" s="68"/>
      <c r="J57" s="68"/>
      <c r="K57" s="67" t="s">
        <v>10341</v>
      </c>
      <c r="L57" s="71"/>
      <c r="M57" s="72"/>
      <c r="N57" s="72"/>
      <c r="O57" s="73"/>
      <c r="P57" s="74"/>
      <c r="Q57" s="74"/>
      <c r="R57" s="81"/>
      <c r="S57" s="81"/>
      <c r="T57" s="81"/>
      <c r="U57" s="81"/>
      <c r="V57" s="48"/>
      <c r="W57" s="48"/>
      <c r="X57" s="48"/>
      <c r="Y57" s="48"/>
      <c r="Z57" s="47"/>
      <c r="AA57" s="69"/>
      <c r="AB57" s="69"/>
      <c r="AC57" s="70"/>
      <c r="AD57" t="s">
        <v>6024</v>
      </c>
      <c r="AE57" s="78" t="s">
        <v>7232</v>
      </c>
      <c r="AF57">
        <v>317</v>
      </c>
      <c r="AG57">
        <v>2778678</v>
      </c>
      <c r="AH57">
        <v>279796</v>
      </c>
      <c r="AI57">
        <v>2127</v>
      </c>
      <c r="AK57" t="s">
        <v>8394</v>
      </c>
      <c r="AL57" t="s">
        <v>9182</v>
      </c>
      <c r="AM57" s="79" t="str">
        <f>HYPERLINK("https://t.co/qD9b41TbwA")</f>
        <v>https://t.co/qD9b41TbwA</v>
      </c>
      <c r="AO57" s="76">
        <v>40539.496944444443</v>
      </c>
      <c r="AP57" s="79" t="str">
        <f>HYPERLINK("https://pbs.twimg.com/profile_banners/231033118/1669716097")</f>
        <v>https://pbs.twimg.com/profile_banners/231033118/1669716097</v>
      </c>
      <c r="AQ57" t="b">
        <v>0</v>
      </c>
      <c r="AR57" t="b">
        <v>0</v>
      </c>
      <c r="AS57" t="b">
        <v>1</v>
      </c>
      <c r="AU57">
        <v>4166</v>
      </c>
      <c r="AV57" s="79" t="str">
        <f>HYPERLINK("https://abs.twimg.com/images/themes/theme6/bg.gif")</f>
        <v>https://abs.twimg.com/images/themes/theme6/bg.gif</v>
      </c>
      <c r="AW57" t="b">
        <v>1</v>
      </c>
      <c r="AX57" t="s">
        <v>9303</v>
      </c>
      <c r="AY57" s="79" t="str">
        <f>HYPERLINK("https://twitter.com/pib_india")</f>
        <v>https://twitter.com/pib_india</v>
      </c>
      <c r="AZ57" t="s">
        <v>65</v>
      </c>
      <c r="BA57" s="2"/>
    </row>
    <row r="58" spans="1:53" x14ac:dyDescent="0.45">
      <c r="A58" s="62" t="s">
        <v>765</v>
      </c>
      <c r="B58" s="63"/>
      <c r="C58" s="63"/>
      <c r="D58" s="64"/>
      <c r="E58" s="66"/>
      <c r="F58" s="98" t="str">
        <f>HYPERLINK("https://pbs.twimg.com/profile_images/1603448806879772672/Pa4h6HHS_normal.jpg")</f>
        <v>https://pbs.twimg.com/profile_images/1603448806879772672/Pa4h6HHS_normal.jpg</v>
      </c>
      <c r="G58" s="63"/>
      <c r="H58" s="67"/>
      <c r="I58" s="68"/>
      <c r="J58" s="68"/>
      <c r="K58" s="67" t="s">
        <v>9373</v>
      </c>
      <c r="L58" s="71"/>
      <c r="M58" s="72"/>
      <c r="N58" s="72"/>
      <c r="O58" s="73"/>
      <c r="P58" s="74"/>
      <c r="Q58" s="74"/>
      <c r="R58" s="81"/>
      <c r="S58" s="81"/>
      <c r="T58" s="81"/>
      <c r="U58" s="81"/>
      <c r="V58" s="48"/>
      <c r="W58" s="48"/>
      <c r="X58" s="48"/>
      <c r="Y58" s="48"/>
      <c r="Z58" s="47"/>
      <c r="AA58" s="69"/>
      <c r="AB58" s="69"/>
      <c r="AC58" s="70"/>
      <c r="AD58" t="s">
        <v>5069</v>
      </c>
      <c r="AE58" s="78" t="s">
        <v>6383</v>
      </c>
      <c r="AF58">
        <v>278</v>
      </c>
      <c r="AG58">
        <v>2652829</v>
      </c>
      <c r="AH58">
        <v>15548</v>
      </c>
      <c r="AI58">
        <v>8494</v>
      </c>
      <c r="AK58" t="s">
        <v>7555</v>
      </c>
      <c r="AM58" s="79" t="str">
        <f>HYPERLINK("https://t.co/kZUjxxzoof")</f>
        <v>https://t.co/kZUjxxzoof</v>
      </c>
      <c r="AO58" s="76">
        <v>42880.240613425929</v>
      </c>
      <c r="AP58" s="79" t="str">
        <f>HYPERLINK("https://pbs.twimg.com/profile_banners/867617849208037377/1672416512")</f>
        <v>https://pbs.twimg.com/profile_banners/867617849208037377/1672416512</v>
      </c>
      <c r="AQ58" t="b">
        <v>0</v>
      </c>
      <c r="AR58" t="b">
        <v>0</v>
      </c>
      <c r="AS58" t="b">
        <v>1</v>
      </c>
      <c r="AU58">
        <v>5046</v>
      </c>
      <c r="AV58" s="79" t="str">
        <f>HYPERLINK("https://abs.twimg.com/images/themes/theme1/bg.png")</f>
        <v>https://abs.twimg.com/images/themes/theme1/bg.png</v>
      </c>
      <c r="AW58" t="b">
        <v>1</v>
      </c>
      <c r="AX58" t="s">
        <v>9303</v>
      </c>
      <c r="AY58" s="79" t="str">
        <f>HYPERLINK("https://twitter.com/okx")</f>
        <v>https://twitter.com/okx</v>
      </c>
      <c r="AZ58" t="s">
        <v>66</v>
      </c>
      <c r="BA58" s="2"/>
    </row>
    <row r="59" spans="1:53" x14ac:dyDescent="0.45">
      <c r="A59" s="62" t="s">
        <v>1548</v>
      </c>
      <c r="B59" s="63"/>
      <c r="C59" s="63"/>
      <c r="D59" s="64"/>
      <c r="E59" s="66"/>
      <c r="F59" s="98" t="str">
        <f>HYPERLINK("https://pbs.twimg.com/profile_images/433527646433996801/6uVeWNXV_normal.jpeg")</f>
        <v>https://pbs.twimg.com/profile_images/433527646433996801/6uVeWNXV_normal.jpeg</v>
      </c>
      <c r="G59" s="63"/>
      <c r="H59" s="67"/>
      <c r="I59" s="68"/>
      <c r="J59" s="68"/>
      <c r="K59" s="67" t="s">
        <v>10599</v>
      </c>
      <c r="L59" s="71"/>
      <c r="M59" s="72"/>
      <c r="N59" s="72"/>
      <c r="O59" s="73"/>
      <c r="P59" s="74"/>
      <c r="Q59" s="74"/>
      <c r="R59" s="81"/>
      <c r="S59" s="81"/>
      <c r="T59" s="81"/>
      <c r="U59" s="81"/>
      <c r="V59" s="48"/>
      <c r="W59" s="48"/>
      <c r="X59" s="48"/>
      <c r="Y59" s="48"/>
      <c r="Z59" s="47"/>
      <c r="AA59" s="69"/>
      <c r="AB59" s="69"/>
      <c r="AC59" s="70"/>
      <c r="AD59" t="s">
        <v>6276</v>
      </c>
      <c r="AE59" s="78" t="s">
        <v>7445</v>
      </c>
      <c r="AF59">
        <v>249</v>
      </c>
      <c r="AG59">
        <v>2515514</v>
      </c>
      <c r="AH59">
        <v>2933</v>
      </c>
      <c r="AI59">
        <v>145</v>
      </c>
      <c r="AK59" t="s">
        <v>8623</v>
      </c>
      <c r="AL59" t="s">
        <v>9282</v>
      </c>
      <c r="AM59" s="79" t="str">
        <f>HYPERLINK("https://t.co/yKyvCpS8mL")</f>
        <v>https://t.co/yKyvCpS8mL</v>
      </c>
      <c r="AO59" s="76">
        <v>41532.582002314812</v>
      </c>
      <c r="AP59" s="79" t="str">
        <f>HYPERLINK("https://pbs.twimg.com/profile_banners/1867843520/1645433338")</f>
        <v>https://pbs.twimg.com/profile_banners/1867843520/1645433338</v>
      </c>
      <c r="AQ59" t="b">
        <v>0</v>
      </c>
      <c r="AR59" t="b">
        <v>0</v>
      </c>
      <c r="AS59" t="b">
        <v>1</v>
      </c>
      <c r="AU59">
        <v>1168</v>
      </c>
      <c r="AV59" s="79" t="str">
        <f>HYPERLINK("https://abs.twimg.com/images/themes/theme1/bg.png")</f>
        <v>https://abs.twimg.com/images/themes/theme1/bg.png</v>
      </c>
      <c r="AW59" t="b">
        <v>1</v>
      </c>
      <c r="AX59" t="s">
        <v>9303</v>
      </c>
      <c r="AY59" s="79" t="str">
        <f>HYPERLINK("https://twitter.com/nandannilekani")</f>
        <v>https://twitter.com/nandannilekani</v>
      </c>
      <c r="AZ59" t="s">
        <v>65</v>
      </c>
      <c r="BA59" s="2"/>
    </row>
    <row r="60" spans="1:53" x14ac:dyDescent="0.45">
      <c r="A60" s="62" t="s">
        <v>1522</v>
      </c>
      <c r="B60" s="63"/>
      <c r="C60" s="63"/>
      <c r="D60" s="64"/>
      <c r="E60" s="66"/>
      <c r="F60" s="98" t="str">
        <f>HYPERLINK("https://pbs.twimg.com/profile_images/1051826427837014017/v2TLU4mf_normal.jpg")</f>
        <v>https://pbs.twimg.com/profile_images/1051826427837014017/v2TLU4mf_normal.jpg</v>
      </c>
      <c r="G60" s="63"/>
      <c r="H60" s="67"/>
      <c r="I60" s="68"/>
      <c r="J60" s="68"/>
      <c r="K60" s="67" t="s">
        <v>10553</v>
      </c>
      <c r="L60" s="71"/>
      <c r="M60" s="72"/>
      <c r="N60" s="72"/>
      <c r="O60" s="73"/>
      <c r="P60" s="74"/>
      <c r="Q60" s="74"/>
      <c r="R60" s="81"/>
      <c r="S60" s="81"/>
      <c r="T60" s="81"/>
      <c r="U60" s="81"/>
      <c r="V60" s="48"/>
      <c r="W60" s="48"/>
      <c r="X60" s="48"/>
      <c r="Y60" s="48"/>
      <c r="Z60" s="47"/>
      <c r="AA60" s="69"/>
      <c r="AB60" s="69"/>
      <c r="AC60" s="70"/>
      <c r="AD60" t="s">
        <v>6231</v>
      </c>
      <c r="AE60" s="78" t="s">
        <v>7407</v>
      </c>
      <c r="AF60">
        <v>4139</v>
      </c>
      <c r="AG60">
        <v>2325538</v>
      </c>
      <c r="AH60">
        <v>298618</v>
      </c>
      <c r="AI60">
        <v>11427</v>
      </c>
      <c r="AK60" t="s">
        <v>8579</v>
      </c>
      <c r="AL60" t="s">
        <v>8719</v>
      </c>
      <c r="AM60" s="79" t="str">
        <f>HYPERLINK("https://t.co/TnX79ODnqf")</f>
        <v>https://t.co/TnX79ODnqf</v>
      </c>
      <c r="AO60" s="76">
        <v>39169.943993055553</v>
      </c>
      <c r="AP60" s="79" t="str">
        <f>HYPERLINK("https://pbs.twimg.com/profile_banners/2735591/1672867495")</f>
        <v>https://pbs.twimg.com/profile_banners/2735591/1672867495</v>
      </c>
      <c r="AQ60" t="b">
        <v>0</v>
      </c>
      <c r="AR60" t="b">
        <v>0</v>
      </c>
      <c r="AS60" t="b">
        <v>1</v>
      </c>
      <c r="AU60">
        <v>41710</v>
      </c>
      <c r="AV60" s="79" t="str">
        <f>HYPERLINK("https://abs.twimg.com/images/themes/theme1/bg.png")</f>
        <v>https://abs.twimg.com/images/themes/theme1/bg.png</v>
      </c>
      <c r="AW60" t="b">
        <v>1</v>
      </c>
      <c r="AX60" t="s">
        <v>9303</v>
      </c>
      <c r="AY60" s="79" t="str">
        <f>HYPERLINK("https://twitter.com/fastcompany")</f>
        <v>https://twitter.com/fastcompany</v>
      </c>
      <c r="AZ60" t="s">
        <v>65</v>
      </c>
      <c r="BA60" s="2"/>
    </row>
    <row r="61" spans="1:53" x14ac:dyDescent="0.45">
      <c r="A61" s="62" t="s">
        <v>1213</v>
      </c>
      <c r="B61" s="63"/>
      <c r="C61" s="63"/>
      <c r="D61" s="64"/>
      <c r="E61" s="66"/>
      <c r="F61" s="98" t="str">
        <f>HYPERLINK("https://pbs.twimg.com/profile_images/888490452076437504/LjyWI52h_normal.jpg")</f>
        <v>https://pbs.twimg.com/profile_images/888490452076437504/LjyWI52h_normal.jpg</v>
      </c>
      <c r="G61" s="63"/>
      <c r="H61" s="67"/>
      <c r="I61" s="68"/>
      <c r="J61" s="68"/>
      <c r="K61" s="67" t="s">
        <v>9531</v>
      </c>
      <c r="L61" s="71"/>
      <c r="M61" s="72"/>
      <c r="N61" s="72"/>
      <c r="O61" s="73"/>
      <c r="P61" s="74"/>
      <c r="Q61" s="74"/>
      <c r="R61" s="81"/>
      <c r="S61" s="81"/>
      <c r="T61" s="81"/>
      <c r="U61" s="81"/>
      <c r="V61" s="48"/>
      <c r="W61" s="48"/>
      <c r="X61" s="48"/>
      <c r="Y61" s="48"/>
      <c r="Z61" s="47"/>
      <c r="AA61" s="69"/>
      <c r="AB61" s="69"/>
      <c r="AC61" s="70"/>
      <c r="AD61" t="s">
        <v>5225</v>
      </c>
      <c r="AE61" s="78" t="s">
        <v>6509</v>
      </c>
      <c r="AF61">
        <v>446</v>
      </c>
      <c r="AG61">
        <v>2310112</v>
      </c>
      <c r="AH61">
        <v>21172</v>
      </c>
      <c r="AI61">
        <v>1042</v>
      </c>
      <c r="AK61" t="s">
        <v>7693</v>
      </c>
      <c r="AL61" t="s">
        <v>8800</v>
      </c>
      <c r="AM61" s="79" t="str">
        <f>HYPERLINK("https://t.co/AwsNW68gRr")</f>
        <v>https://t.co/AwsNW68gRr</v>
      </c>
      <c r="AO61" s="76">
        <v>39658.689282407409</v>
      </c>
      <c r="AP61" s="79" t="str">
        <f>HYPERLINK("https://pbs.twimg.com/profile_banners/15647676/1628622104")</f>
        <v>https://pbs.twimg.com/profile_banners/15647676/1628622104</v>
      </c>
      <c r="AQ61" t="b">
        <v>0</v>
      </c>
      <c r="AR61" t="b">
        <v>0</v>
      </c>
      <c r="AS61" t="b">
        <v>1</v>
      </c>
      <c r="AU61">
        <v>12496</v>
      </c>
      <c r="AV61" s="79" t="str">
        <f>HYPERLINK("https://abs.twimg.com/images/themes/theme1/bg.png")</f>
        <v>https://abs.twimg.com/images/themes/theme1/bg.png</v>
      </c>
      <c r="AW61" t="b">
        <v>1</v>
      </c>
      <c r="AX61" t="s">
        <v>9303</v>
      </c>
      <c r="AY61" s="79" t="str">
        <f>HYPERLINK("https://twitter.com/dhsgov")</f>
        <v>https://twitter.com/dhsgov</v>
      </c>
      <c r="AZ61" t="s">
        <v>65</v>
      </c>
      <c r="BA61" s="2"/>
    </row>
    <row r="62" spans="1:53" x14ac:dyDescent="0.45">
      <c r="A62" s="62" t="s">
        <v>1483</v>
      </c>
      <c r="B62" s="63"/>
      <c r="C62" s="63"/>
      <c r="D62" s="64"/>
      <c r="E62" s="66"/>
      <c r="F62" s="98" t="str">
        <f>HYPERLINK("https://pbs.twimg.com/profile_images/1011852346232631296/gw8Yp3dG_normal.jpg")</f>
        <v>https://pbs.twimg.com/profile_images/1011852346232631296/gw8Yp3dG_normal.jpg</v>
      </c>
      <c r="G62" s="63"/>
      <c r="H62" s="67"/>
      <c r="I62" s="68"/>
      <c r="J62" s="68"/>
      <c r="K62" s="67" t="s">
        <v>10469</v>
      </c>
      <c r="L62" s="71"/>
      <c r="M62" s="72"/>
      <c r="N62" s="72"/>
      <c r="O62" s="73"/>
      <c r="P62" s="74"/>
      <c r="Q62" s="74"/>
      <c r="R62" s="81"/>
      <c r="S62" s="81"/>
      <c r="T62" s="81"/>
      <c r="U62" s="81"/>
      <c r="V62" s="48"/>
      <c r="W62" s="48"/>
      <c r="X62" s="48"/>
      <c r="Y62" s="48"/>
      <c r="Z62" s="47"/>
      <c r="AA62" s="69"/>
      <c r="AB62" s="69"/>
      <c r="AC62" s="70"/>
      <c r="AD62" t="s">
        <v>6150</v>
      </c>
      <c r="AE62" s="78" t="s">
        <v>7337</v>
      </c>
      <c r="AF62">
        <v>25</v>
      </c>
      <c r="AG62">
        <v>2299337</v>
      </c>
      <c r="AH62">
        <v>1926</v>
      </c>
      <c r="AI62">
        <v>754</v>
      </c>
      <c r="AK62" t="s">
        <v>8508</v>
      </c>
      <c r="AL62" t="s">
        <v>9230</v>
      </c>
      <c r="AO62" s="76">
        <v>42507.444490740738</v>
      </c>
      <c r="AP62" s="79" t="str">
        <f>HYPERLINK("https://pbs.twimg.com/profile_banners/732521058507620356/1625634206")</f>
        <v>https://pbs.twimg.com/profile_banners/732521058507620356/1625634206</v>
      </c>
      <c r="AQ62" t="b">
        <v>1</v>
      </c>
      <c r="AR62" t="b">
        <v>0</v>
      </c>
      <c r="AS62" t="b">
        <v>0</v>
      </c>
      <c r="AU62">
        <v>9942</v>
      </c>
      <c r="AW62" t="b">
        <v>1</v>
      </c>
      <c r="AX62" t="s">
        <v>9303</v>
      </c>
      <c r="AY62" s="79" t="str">
        <f>HYPERLINK("https://twitter.com/ukraine")</f>
        <v>https://twitter.com/ukraine</v>
      </c>
      <c r="AZ62" t="s">
        <v>65</v>
      </c>
      <c r="BA62" s="2"/>
    </row>
    <row r="63" spans="1:53" x14ac:dyDescent="0.45">
      <c r="A63" s="62" t="s">
        <v>1537</v>
      </c>
      <c r="B63" s="63"/>
      <c r="C63" s="63"/>
      <c r="D63" s="64"/>
      <c r="E63" s="66"/>
      <c r="F63" s="98" t="str">
        <f>HYPERLINK("https://pbs.twimg.com/profile_images/1613262093800677376/r3bwUusR_normal.jpg")</f>
        <v>https://pbs.twimg.com/profile_images/1613262093800677376/r3bwUusR_normal.jpg</v>
      </c>
      <c r="G63" s="63"/>
      <c r="H63" s="67"/>
      <c r="I63" s="68"/>
      <c r="J63" s="68"/>
      <c r="K63" s="67" t="s">
        <v>10581</v>
      </c>
      <c r="L63" s="71"/>
      <c r="M63" s="72"/>
      <c r="N63" s="72"/>
      <c r="O63" s="73"/>
      <c r="P63" s="74"/>
      <c r="Q63" s="74"/>
      <c r="R63" s="81"/>
      <c r="S63" s="81"/>
      <c r="T63" s="81"/>
      <c r="U63" s="81"/>
      <c r="V63" s="48"/>
      <c r="W63" s="48"/>
      <c r="X63" s="48"/>
      <c r="Y63" s="48"/>
      <c r="Z63" s="47"/>
      <c r="AA63" s="69"/>
      <c r="AB63" s="69"/>
      <c r="AC63" s="70"/>
      <c r="AD63" t="s">
        <v>6259</v>
      </c>
      <c r="AE63" s="78" t="s">
        <v>4812</v>
      </c>
      <c r="AF63">
        <v>1454</v>
      </c>
      <c r="AG63">
        <v>2240734</v>
      </c>
      <c r="AH63">
        <v>21495</v>
      </c>
      <c r="AI63">
        <v>2303</v>
      </c>
      <c r="AK63" t="s">
        <v>8605</v>
      </c>
      <c r="AL63" t="s">
        <v>9271</v>
      </c>
      <c r="AM63" s="79" t="str">
        <f>HYPERLINK("https://t.co/Br9wH595KH")</f>
        <v>https://t.co/Br9wH595KH</v>
      </c>
      <c r="AO63" s="76">
        <v>39842.936666666668</v>
      </c>
      <c r="AP63" s="79" t="str">
        <f>HYPERLINK("https://pbs.twimg.com/profile_banners/19739126/1673365847")</f>
        <v>https://pbs.twimg.com/profile_banners/19739126/1673365847</v>
      </c>
      <c r="AQ63" t="b">
        <v>0</v>
      </c>
      <c r="AR63" t="b">
        <v>0</v>
      </c>
      <c r="AS63" t="b">
        <v>1</v>
      </c>
      <c r="AU63">
        <v>8536</v>
      </c>
      <c r="AV63" s="79" t="str">
        <f>HYPERLINK("https://abs.twimg.com/images/themes/theme1/bg.png")</f>
        <v>https://abs.twimg.com/images/themes/theme1/bg.png</v>
      </c>
      <c r="AW63" t="b">
        <v>1</v>
      </c>
      <c r="AX63" t="s">
        <v>9303</v>
      </c>
      <c r="AY63" s="79" t="str">
        <f>HYPERLINK("https://twitter.com/speakermccarthy")</f>
        <v>https://twitter.com/speakermccarthy</v>
      </c>
      <c r="AZ63" t="s">
        <v>65</v>
      </c>
      <c r="BA63" s="2"/>
    </row>
    <row r="64" spans="1:53" x14ac:dyDescent="0.45">
      <c r="A64" s="62" t="s">
        <v>1395</v>
      </c>
      <c r="B64" s="63"/>
      <c r="C64" s="63"/>
      <c r="D64" s="64"/>
      <c r="E64" s="66"/>
      <c r="F64" s="98" t="str">
        <f>HYPERLINK("https://pbs.twimg.com/profile_images/1026585132331945984/WIYMtaNa_normal.jpg")</f>
        <v>https://pbs.twimg.com/profile_images/1026585132331945984/WIYMtaNa_normal.jpg</v>
      </c>
      <c r="G64" s="63"/>
      <c r="H64" s="67"/>
      <c r="I64" s="68"/>
      <c r="J64" s="68"/>
      <c r="K64" s="67" t="s">
        <v>10216</v>
      </c>
      <c r="L64" s="71"/>
      <c r="M64" s="72"/>
      <c r="N64" s="72"/>
      <c r="O64" s="73"/>
      <c r="P64" s="74"/>
      <c r="Q64" s="74"/>
      <c r="R64" s="81"/>
      <c r="S64" s="81"/>
      <c r="T64" s="81"/>
      <c r="U64" s="81"/>
      <c r="V64" s="48"/>
      <c r="W64" s="48"/>
      <c r="X64" s="48"/>
      <c r="Y64" s="48"/>
      <c r="Z64" s="47"/>
      <c r="AA64" s="69"/>
      <c r="AB64" s="69"/>
      <c r="AC64" s="70"/>
      <c r="AD64" t="s">
        <v>5900</v>
      </c>
      <c r="AE64" s="78" t="s">
        <v>7119</v>
      </c>
      <c r="AF64">
        <v>214</v>
      </c>
      <c r="AG64">
        <v>2224796</v>
      </c>
      <c r="AH64">
        <v>28985</v>
      </c>
      <c r="AI64">
        <v>4589</v>
      </c>
      <c r="AL64" t="s">
        <v>9127</v>
      </c>
      <c r="AM64" s="79" t="str">
        <f>HYPERLINK("https://t.co/ZpGRL9ZwLL")</f>
        <v>https://t.co/ZpGRL9ZwLL</v>
      </c>
      <c r="AO64" s="76">
        <v>40408.538495370369</v>
      </c>
      <c r="AP64" s="79" t="str">
        <f>HYPERLINK("https://pbs.twimg.com/profile_banners/179932936/1507587674")</f>
        <v>https://pbs.twimg.com/profile_banners/179932936/1507587674</v>
      </c>
      <c r="AQ64" t="b">
        <v>0</v>
      </c>
      <c r="AR64" t="b">
        <v>0</v>
      </c>
      <c r="AS64" t="b">
        <v>1</v>
      </c>
      <c r="AU64">
        <v>4939</v>
      </c>
      <c r="AV64" s="79" t="str">
        <f>HYPERLINK("https://abs.twimg.com/images/themes/theme1/bg.png")</f>
        <v>https://abs.twimg.com/images/themes/theme1/bg.png</v>
      </c>
      <c r="AW64" t="b">
        <v>1</v>
      </c>
      <c r="AX64" t="s">
        <v>9303</v>
      </c>
      <c r="AY64" s="79" t="str">
        <f>HYPERLINK("https://twitter.com/hulkhogan")</f>
        <v>https://twitter.com/hulkhogan</v>
      </c>
      <c r="AZ64" t="s">
        <v>65</v>
      </c>
      <c r="BA64" s="2"/>
    </row>
    <row r="65" spans="1:53" x14ac:dyDescent="0.45">
      <c r="A65" s="62" t="s">
        <v>1439</v>
      </c>
      <c r="B65" s="63"/>
      <c r="C65" s="63"/>
      <c r="D65" s="64"/>
      <c r="E65" s="66"/>
      <c r="F65" s="98" t="str">
        <f>HYPERLINK("https://pbs.twimg.com/profile_images/1316412044959252482/3EZR8AKp_normal.jpg")</f>
        <v>https://pbs.twimg.com/profile_images/1316412044959252482/3EZR8AKp_normal.jpg</v>
      </c>
      <c r="G65" s="63"/>
      <c r="H65" s="67"/>
      <c r="I65" s="68"/>
      <c r="J65" s="68"/>
      <c r="K65" s="67" t="s">
        <v>10348</v>
      </c>
      <c r="L65" s="71"/>
      <c r="M65" s="72"/>
      <c r="N65" s="72"/>
      <c r="O65" s="73"/>
      <c r="P65" s="74"/>
      <c r="Q65" s="74"/>
      <c r="R65" s="81"/>
      <c r="S65" s="81"/>
      <c r="T65" s="81"/>
      <c r="U65" s="81"/>
      <c r="V65" s="48"/>
      <c r="W65" s="48"/>
      <c r="X65" s="48"/>
      <c r="Y65" s="48"/>
      <c r="Z65" s="47"/>
      <c r="AA65" s="69"/>
      <c r="AB65" s="69"/>
      <c r="AC65" s="70"/>
      <c r="AD65" t="s">
        <v>6031</v>
      </c>
      <c r="AE65" s="78" t="s">
        <v>7238</v>
      </c>
      <c r="AF65">
        <v>420</v>
      </c>
      <c r="AG65">
        <v>2209060</v>
      </c>
      <c r="AH65">
        <v>48804</v>
      </c>
      <c r="AI65">
        <v>6345</v>
      </c>
      <c r="AK65" t="s">
        <v>8400</v>
      </c>
      <c r="AL65" t="s">
        <v>9184</v>
      </c>
      <c r="AM65" s="79" t="str">
        <f>HYPERLINK("https://t.co/SbA6IToKMV")</f>
        <v>https://t.co/SbA6IToKMV</v>
      </c>
      <c r="AO65" s="76">
        <v>41033.844895833332</v>
      </c>
      <c r="AP65" s="79" t="str">
        <f>HYPERLINK("https://pbs.twimg.com/profile_banners/571202103/1654805926")</f>
        <v>https://pbs.twimg.com/profile_banners/571202103/1654805926</v>
      </c>
      <c r="AQ65" t="b">
        <v>0</v>
      </c>
      <c r="AR65" t="b">
        <v>0</v>
      </c>
      <c r="AS65" t="b">
        <v>0</v>
      </c>
      <c r="AU65">
        <v>12514</v>
      </c>
      <c r="AV65" s="79" t="str">
        <f>HYPERLINK("https://abs.twimg.com/images/themes/theme14/bg.gif")</f>
        <v>https://abs.twimg.com/images/themes/theme14/bg.gif</v>
      </c>
      <c r="AW65" t="b">
        <v>1</v>
      </c>
      <c r="AX65" t="s">
        <v>9303</v>
      </c>
      <c r="AY65" s="79" t="str">
        <f>HYPERLINK("https://twitter.com/medium")</f>
        <v>https://twitter.com/medium</v>
      </c>
      <c r="AZ65" t="s">
        <v>65</v>
      </c>
      <c r="BA65" s="2"/>
    </row>
    <row r="66" spans="1:53" x14ac:dyDescent="0.45">
      <c r="A66" s="62" t="s">
        <v>1450</v>
      </c>
      <c r="B66" s="63"/>
      <c r="C66" s="63"/>
      <c r="D66" s="64"/>
      <c r="E66" s="66"/>
      <c r="F66" s="98" t="str">
        <f>HYPERLINK("https://pbs.twimg.com/profile_images/1419725933649465344/XFTBtqmk_normal.jpg")</f>
        <v>https://pbs.twimg.com/profile_images/1419725933649465344/XFTBtqmk_normal.jpg</v>
      </c>
      <c r="G66" s="63"/>
      <c r="H66" s="67"/>
      <c r="I66" s="68"/>
      <c r="J66" s="68"/>
      <c r="K66" s="67" t="s">
        <v>10387</v>
      </c>
      <c r="L66" s="71"/>
      <c r="M66" s="72"/>
      <c r="N66" s="72"/>
      <c r="O66" s="73"/>
      <c r="P66" s="74"/>
      <c r="Q66" s="74"/>
      <c r="R66" s="81"/>
      <c r="S66" s="81"/>
      <c r="T66" s="81"/>
      <c r="U66" s="81"/>
      <c r="V66" s="48"/>
      <c r="W66" s="48"/>
      <c r="X66" s="48"/>
      <c r="Y66" s="48"/>
      <c r="Z66" s="47"/>
      <c r="AA66" s="69"/>
      <c r="AB66" s="69"/>
      <c r="AC66" s="70"/>
      <c r="AD66" t="s">
        <v>6069</v>
      </c>
      <c r="AE66" s="78" t="s">
        <v>7271</v>
      </c>
      <c r="AF66">
        <v>0</v>
      </c>
      <c r="AG66">
        <v>2170317</v>
      </c>
      <c r="AH66">
        <v>1099232</v>
      </c>
      <c r="AI66">
        <v>8048</v>
      </c>
      <c r="AK66" t="s">
        <v>8433</v>
      </c>
      <c r="AL66" t="s">
        <v>9198</v>
      </c>
      <c r="AM66" s="79" t="str">
        <f>HYPERLINK("https://t.co/cjfqkDqrA8")</f>
        <v>https://t.co/cjfqkDqrA8</v>
      </c>
      <c r="AO66" s="76">
        <v>39265.831064814818</v>
      </c>
      <c r="AP66" s="79" t="str">
        <f>HYPERLINK("https://pbs.twimg.com/profile_banners/7212562/1672249047")</f>
        <v>https://pbs.twimg.com/profile_banners/7212562/1672249047</v>
      </c>
      <c r="AQ66" t="b">
        <v>0</v>
      </c>
      <c r="AR66" t="b">
        <v>0</v>
      </c>
      <c r="AS66" t="b">
        <v>1</v>
      </c>
      <c r="AU66">
        <v>13935</v>
      </c>
      <c r="AV66" s="79" t="str">
        <f t="shared" ref="AV66:AV73" si="0">HYPERLINK("https://abs.twimg.com/images/themes/theme1/bg.png")</f>
        <v>https://abs.twimg.com/images/themes/theme1/bg.png</v>
      </c>
      <c r="AW66" t="b">
        <v>1</v>
      </c>
      <c r="AX66" t="s">
        <v>9303</v>
      </c>
      <c r="AY66" s="79" t="str">
        <f>HYPERLINK("https://twitter.com/southwestair")</f>
        <v>https://twitter.com/southwestair</v>
      </c>
      <c r="AZ66" t="s">
        <v>65</v>
      </c>
      <c r="BA66" s="2"/>
    </row>
    <row r="67" spans="1:53" x14ac:dyDescent="0.45">
      <c r="A67" s="62" t="s">
        <v>1181</v>
      </c>
      <c r="B67" s="63"/>
      <c r="C67" s="63"/>
      <c r="D67" s="64"/>
      <c r="E67" s="66"/>
      <c r="F67" s="98" t="str">
        <f>HYPERLINK("https://pbs.twimg.com/profile_images/960896975737622528/-5k32D4t_normal.jpg")</f>
        <v>https://pbs.twimg.com/profile_images/960896975737622528/-5k32D4t_normal.jpg</v>
      </c>
      <c r="G67" s="63"/>
      <c r="H67" s="67"/>
      <c r="I67" s="68"/>
      <c r="J67" s="68"/>
      <c r="K67" s="67" t="s">
        <v>9464</v>
      </c>
      <c r="L67" s="71"/>
      <c r="M67" s="72"/>
      <c r="N67" s="72"/>
      <c r="O67" s="73"/>
      <c r="P67" s="74"/>
      <c r="Q67" s="74"/>
      <c r="R67" s="81"/>
      <c r="S67" s="81"/>
      <c r="T67" s="81"/>
      <c r="U67" s="81"/>
      <c r="V67" s="48"/>
      <c r="W67" s="48"/>
      <c r="X67" s="48"/>
      <c r="Y67" s="48"/>
      <c r="Z67" s="47"/>
      <c r="AA67" s="69"/>
      <c r="AB67" s="69"/>
      <c r="AC67" s="70"/>
      <c r="AD67" t="s">
        <v>5158</v>
      </c>
      <c r="AE67" s="78" t="s">
        <v>6459</v>
      </c>
      <c r="AF67">
        <v>2571</v>
      </c>
      <c r="AG67">
        <v>2154418</v>
      </c>
      <c r="AH67">
        <v>98989</v>
      </c>
      <c r="AI67">
        <v>17576</v>
      </c>
      <c r="AK67" t="s">
        <v>7630</v>
      </c>
      <c r="AM67" s="79" t="str">
        <f>HYPERLINK("https://t.co/cM7RbM7PAA")</f>
        <v>https://t.co/cM7RbM7PAA</v>
      </c>
      <c r="AO67" s="76">
        <v>40128.097638888888</v>
      </c>
      <c r="AP67" s="79" t="str">
        <f>HYPERLINK("https://pbs.twimg.com/profile_banners/89084561/1665446388")</f>
        <v>https://pbs.twimg.com/profile_banners/89084561/1665446388</v>
      </c>
      <c r="AQ67" t="b">
        <v>0</v>
      </c>
      <c r="AR67" t="b">
        <v>0</v>
      </c>
      <c r="AS67" t="b">
        <v>1</v>
      </c>
      <c r="AU67">
        <v>7632</v>
      </c>
      <c r="AV67" s="79" t="str">
        <f t="shared" si="0"/>
        <v>https://abs.twimg.com/images/themes/theme1/bg.png</v>
      </c>
      <c r="AW67" t="b">
        <v>1</v>
      </c>
      <c r="AX67" t="s">
        <v>9303</v>
      </c>
      <c r="AY67" s="79" t="str">
        <f>HYPERLINK("https://twitter.com/target")</f>
        <v>https://twitter.com/target</v>
      </c>
      <c r="AZ67" t="s">
        <v>65</v>
      </c>
      <c r="BA67" s="2"/>
    </row>
    <row r="68" spans="1:53" x14ac:dyDescent="0.45">
      <c r="A68" s="62" t="s">
        <v>1498</v>
      </c>
      <c r="B68" s="63"/>
      <c r="C68" s="63"/>
      <c r="D68" s="64"/>
      <c r="E68" s="66"/>
      <c r="F68" s="98" t="str">
        <f>HYPERLINK("https://pbs.twimg.com/profile_images/971494919901712384/xIU67qs9_normal.png")</f>
        <v>https://pbs.twimg.com/profile_images/971494919901712384/xIU67qs9_normal.png</v>
      </c>
      <c r="G68" s="63"/>
      <c r="H68" s="67"/>
      <c r="I68" s="68"/>
      <c r="J68" s="68"/>
      <c r="K68" s="67" t="s">
        <v>10505</v>
      </c>
      <c r="L68" s="71"/>
      <c r="M68" s="72"/>
      <c r="N68" s="72"/>
      <c r="O68" s="73"/>
      <c r="P68" s="74"/>
      <c r="Q68" s="74"/>
      <c r="R68" s="81"/>
      <c r="S68" s="81"/>
      <c r="T68" s="81"/>
      <c r="U68" s="81"/>
      <c r="V68" s="48"/>
      <c r="W68" s="48"/>
      <c r="X68" s="48"/>
      <c r="Y68" s="48"/>
      <c r="Z68" s="47"/>
      <c r="AA68" s="69"/>
      <c r="AB68" s="69"/>
      <c r="AC68" s="70"/>
      <c r="AD68" t="s">
        <v>6183</v>
      </c>
      <c r="AE68" s="78" t="s">
        <v>7367</v>
      </c>
      <c r="AF68">
        <v>0</v>
      </c>
      <c r="AG68">
        <v>2138519</v>
      </c>
      <c r="AH68">
        <v>3932</v>
      </c>
      <c r="AI68">
        <v>8089</v>
      </c>
      <c r="AK68" t="s">
        <v>8539</v>
      </c>
      <c r="AM68" s="79" t="str">
        <f>HYPERLINK("https://t.co/w9wXBbrmEW")</f>
        <v>https://t.co/w9wXBbrmEW</v>
      </c>
      <c r="AO68" s="76">
        <v>41415.285381944443</v>
      </c>
      <c r="AP68" s="79" t="str">
        <f>HYPERLINK("https://pbs.twimg.com/profile_banners/1445650784/1592246919")</f>
        <v>https://pbs.twimg.com/profile_banners/1445650784/1592246919</v>
      </c>
      <c r="AQ68" t="b">
        <v>0</v>
      </c>
      <c r="AR68" t="b">
        <v>0</v>
      </c>
      <c r="AS68" t="b">
        <v>1</v>
      </c>
      <c r="AU68">
        <v>1745</v>
      </c>
      <c r="AV68" s="79" t="str">
        <f t="shared" si="0"/>
        <v>https://abs.twimg.com/images/themes/theme1/bg.png</v>
      </c>
      <c r="AW68" t="b">
        <v>1</v>
      </c>
      <c r="AX68" t="s">
        <v>9303</v>
      </c>
      <c r="AY68" s="79" t="str">
        <f>HYPERLINK("https://twitter.com/cashapp")</f>
        <v>https://twitter.com/cashapp</v>
      </c>
      <c r="AZ68" t="s">
        <v>65</v>
      </c>
      <c r="BA68" s="2"/>
    </row>
    <row r="69" spans="1:53" x14ac:dyDescent="0.45">
      <c r="A69" s="62" t="s">
        <v>1299</v>
      </c>
      <c r="B69" s="63"/>
      <c r="C69" s="63"/>
      <c r="D69" s="64"/>
      <c r="E69" s="66"/>
      <c r="F69" s="98" t="str">
        <f>HYPERLINK("https://pbs.twimg.com/profile_images/1344027934399619081/S8DQ1DAz_normal.jpg")</f>
        <v>https://pbs.twimg.com/profile_images/1344027934399619081/S8DQ1DAz_normal.jpg</v>
      </c>
      <c r="G69" s="63"/>
      <c r="H69" s="67"/>
      <c r="I69" s="68"/>
      <c r="J69" s="68"/>
      <c r="K69" s="67" t="s">
        <v>9841</v>
      </c>
      <c r="L69" s="71"/>
      <c r="M69" s="72"/>
      <c r="N69" s="72"/>
      <c r="O69" s="73"/>
      <c r="P69" s="74"/>
      <c r="Q69" s="74"/>
      <c r="R69" s="81"/>
      <c r="S69" s="81"/>
      <c r="T69" s="81"/>
      <c r="U69" s="81"/>
      <c r="V69" s="48"/>
      <c r="W69" s="48"/>
      <c r="X69" s="48"/>
      <c r="Y69" s="48"/>
      <c r="Z69" s="47"/>
      <c r="AA69" s="69"/>
      <c r="AB69" s="69"/>
      <c r="AC69" s="70"/>
      <c r="AD69" t="s">
        <v>5532</v>
      </c>
      <c r="AE69" s="78" t="s">
        <v>6781</v>
      </c>
      <c r="AF69">
        <v>67799</v>
      </c>
      <c r="AG69">
        <v>2026810</v>
      </c>
      <c r="AH69">
        <v>164215</v>
      </c>
      <c r="AI69">
        <v>27756</v>
      </c>
      <c r="AK69" t="s">
        <v>7955</v>
      </c>
      <c r="AL69" t="s">
        <v>4899</v>
      </c>
      <c r="AM69" s="79" t="str">
        <f>HYPERLINK("https://t.co/w6l3BmIaXz")</f>
        <v>https://t.co/w6l3BmIaXz</v>
      </c>
      <c r="AO69" s="76">
        <v>39974.580717592595</v>
      </c>
      <c r="AP69" s="79" t="str">
        <f>HYPERLINK("https://pbs.twimg.com/profile_banners/46116615/1674842181")</f>
        <v>https://pbs.twimg.com/profile_banners/46116615/1674842181</v>
      </c>
      <c r="AQ69" t="b">
        <v>0</v>
      </c>
      <c r="AR69" t="b">
        <v>0</v>
      </c>
      <c r="AS69" t="b">
        <v>1</v>
      </c>
      <c r="AU69">
        <v>4957</v>
      </c>
      <c r="AV69" s="79" t="str">
        <f t="shared" si="0"/>
        <v>https://abs.twimg.com/images/themes/theme1/bg.png</v>
      </c>
      <c r="AW69" t="b">
        <v>1</v>
      </c>
      <c r="AX69" t="s">
        <v>9303</v>
      </c>
      <c r="AY69" s="79" t="str">
        <f>HYPERLINK("https://twitter.com/iheartradio")</f>
        <v>https://twitter.com/iheartradio</v>
      </c>
      <c r="AZ69" t="s">
        <v>65</v>
      </c>
      <c r="BA69" s="2"/>
    </row>
    <row r="70" spans="1:53" x14ac:dyDescent="0.45">
      <c r="A70" s="62" t="s">
        <v>967</v>
      </c>
      <c r="B70" s="63"/>
      <c r="C70" s="63"/>
      <c r="D70" s="64"/>
      <c r="E70" s="66"/>
      <c r="F70" s="98" t="str">
        <f>HYPERLINK("https://pbs.twimg.com/profile_images/1587436829053431808/FYWep7sW_normal.jpg")</f>
        <v>https://pbs.twimg.com/profile_images/1587436829053431808/FYWep7sW_normal.jpg</v>
      </c>
      <c r="G70" s="63"/>
      <c r="H70" s="67"/>
      <c r="I70" s="68"/>
      <c r="J70" s="68"/>
      <c r="K70" s="67" t="s">
        <v>10429</v>
      </c>
      <c r="L70" s="71"/>
      <c r="M70" s="72"/>
      <c r="N70" s="72"/>
      <c r="O70" s="73"/>
      <c r="P70" s="74"/>
      <c r="Q70" s="74"/>
      <c r="R70" s="81"/>
      <c r="S70" s="81"/>
      <c r="T70" s="81"/>
      <c r="U70" s="81"/>
      <c r="V70" s="48"/>
      <c r="W70" s="48"/>
      <c r="X70" s="48"/>
      <c r="Y70" s="48"/>
      <c r="Z70" s="47"/>
      <c r="AA70" s="69"/>
      <c r="AB70" s="69"/>
      <c r="AC70" s="70"/>
      <c r="AD70" t="s">
        <v>6111</v>
      </c>
      <c r="AE70" s="78" t="s">
        <v>7307</v>
      </c>
      <c r="AF70">
        <v>3660</v>
      </c>
      <c r="AG70">
        <v>1989404</v>
      </c>
      <c r="AH70">
        <v>40303</v>
      </c>
      <c r="AI70">
        <v>45492</v>
      </c>
      <c r="AK70" t="s">
        <v>8472</v>
      </c>
      <c r="AL70" t="s">
        <v>9210</v>
      </c>
      <c r="AO70" s="76">
        <v>39580.16814814815</v>
      </c>
      <c r="AP70" s="79" t="str">
        <f>HYPERLINK("https://pbs.twimg.com/profile_banners/14740219/1667324249")</f>
        <v>https://pbs.twimg.com/profile_banners/14740219/1667324249</v>
      </c>
      <c r="AQ70" t="b">
        <v>0</v>
      </c>
      <c r="AR70" t="b">
        <v>0</v>
      </c>
      <c r="AS70" t="b">
        <v>1</v>
      </c>
      <c r="AU70">
        <v>10422</v>
      </c>
      <c r="AV70" s="79" t="str">
        <f t="shared" si="0"/>
        <v>https://abs.twimg.com/images/themes/theme1/bg.png</v>
      </c>
      <c r="AW70" t="b">
        <v>1</v>
      </c>
      <c r="AX70" t="s">
        <v>9303</v>
      </c>
      <c r="AY70" s="79" t="str">
        <f>HYPERLINK("https://twitter.com/amazonmusic")</f>
        <v>https://twitter.com/amazonmusic</v>
      </c>
      <c r="AZ70" t="s">
        <v>66</v>
      </c>
      <c r="BA70" s="2"/>
    </row>
    <row r="71" spans="1:53" x14ac:dyDescent="0.45">
      <c r="A71" s="62" t="s">
        <v>1117</v>
      </c>
      <c r="B71" s="63"/>
      <c r="C71" s="63"/>
      <c r="D71" s="64"/>
      <c r="E71" s="66"/>
      <c r="F71" s="98" t="str">
        <f>HYPERLINK("https://pbs.twimg.com/profile_images/1410690607849291778/5faDpKts_normal.jpg")</f>
        <v>https://pbs.twimg.com/profile_images/1410690607849291778/5faDpKts_normal.jpg</v>
      </c>
      <c r="G71" s="63"/>
      <c r="H71" s="67"/>
      <c r="I71" s="68"/>
      <c r="J71" s="68"/>
      <c r="K71" s="67" t="s">
        <v>9326</v>
      </c>
      <c r="L71" s="71"/>
      <c r="M71" s="72"/>
      <c r="N71" s="72"/>
      <c r="O71" s="73"/>
      <c r="P71" s="74"/>
      <c r="Q71" s="74"/>
      <c r="R71" s="81"/>
      <c r="S71" s="81"/>
      <c r="T71" s="81"/>
      <c r="U71" s="81"/>
      <c r="V71" s="48"/>
      <c r="W71" s="48"/>
      <c r="X71" s="48"/>
      <c r="Y71" s="48"/>
      <c r="Z71" s="47"/>
      <c r="AA71" s="69"/>
      <c r="AB71" s="69"/>
      <c r="AC71" s="70"/>
      <c r="AD71" t="s">
        <v>5022</v>
      </c>
      <c r="AE71" s="78" t="s">
        <v>6342</v>
      </c>
      <c r="AF71">
        <v>607</v>
      </c>
      <c r="AG71">
        <v>1921187</v>
      </c>
      <c r="AH71">
        <v>62161</v>
      </c>
      <c r="AI71">
        <v>41577</v>
      </c>
      <c r="AK71" t="s">
        <v>7511</v>
      </c>
      <c r="AL71" t="s">
        <v>8686</v>
      </c>
      <c r="AM71" s="79" t="str">
        <f>HYPERLINK("https://t.co/lhjta8SnTi")</f>
        <v>https://t.co/lhjta8SnTi</v>
      </c>
      <c r="AO71" s="76">
        <v>39872.595011574071</v>
      </c>
      <c r="AP71" s="79" t="str">
        <f>HYPERLINK("https://pbs.twimg.com/profile_banners/22258315/1662578663")</f>
        <v>https://pbs.twimg.com/profile_banners/22258315/1662578663</v>
      </c>
      <c r="AQ71" t="b">
        <v>0</v>
      </c>
      <c r="AR71" t="b">
        <v>0</v>
      </c>
      <c r="AS71" t="b">
        <v>1</v>
      </c>
      <c r="AU71">
        <v>6849</v>
      </c>
      <c r="AV71" s="79" t="str">
        <f t="shared" si="0"/>
        <v>https://abs.twimg.com/images/themes/theme1/bg.png</v>
      </c>
      <c r="AW71" t="b">
        <v>1</v>
      </c>
      <c r="AX71" t="s">
        <v>9303</v>
      </c>
      <c r="AY71" s="79" t="str">
        <f>HYPERLINK("https://twitter.com/gamestop")</f>
        <v>https://twitter.com/gamestop</v>
      </c>
      <c r="AZ71" t="s">
        <v>65</v>
      </c>
      <c r="BA71" s="2"/>
    </row>
    <row r="72" spans="1:53" x14ac:dyDescent="0.45">
      <c r="A72" s="62" t="s">
        <v>1451</v>
      </c>
      <c r="B72" s="63"/>
      <c r="C72" s="63"/>
      <c r="D72" s="64"/>
      <c r="E72" s="66"/>
      <c r="F72" s="98" t="str">
        <f>HYPERLINK("https://pbs.twimg.com/profile_images/1606066471167315972/Bste7f7A_normal.png")</f>
        <v>https://pbs.twimg.com/profile_images/1606066471167315972/Bste7f7A_normal.png</v>
      </c>
      <c r="G72" s="63"/>
      <c r="H72" s="67"/>
      <c r="I72" s="68"/>
      <c r="J72" s="68"/>
      <c r="K72" s="67" t="s">
        <v>10388</v>
      </c>
      <c r="L72" s="71"/>
      <c r="M72" s="72"/>
      <c r="N72" s="72"/>
      <c r="O72" s="73"/>
      <c r="P72" s="74"/>
      <c r="Q72" s="74"/>
      <c r="R72" s="81"/>
      <c r="S72" s="81"/>
      <c r="T72" s="81"/>
      <c r="U72" s="81"/>
      <c r="V72" s="48"/>
      <c r="W72" s="48"/>
      <c r="X72" s="48"/>
      <c r="Y72" s="48"/>
      <c r="Z72" s="47"/>
      <c r="AA72" s="69"/>
      <c r="AB72" s="69"/>
      <c r="AC72" s="70"/>
      <c r="AD72" t="s">
        <v>6070</v>
      </c>
      <c r="AE72" s="78" t="s">
        <v>7272</v>
      </c>
      <c r="AF72">
        <v>100858</v>
      </c>
      <c r="AG72">
        <v>1900794</v>
      </c>
      <c r="AH72">
        <v>646250</v>
      </c>
      <c r="AI72">
        <v>64997</v>
      </c>
      <c r="AK72" t="s">
        <v>8434</v>
      </c>
      <c r="AM72" s="79" t="str">
        <f>HYPERLINK("https://t.co/QjMuI1rE3G")</f>
        <v>https://t.co/QjMuI1rE3G</v>
      </c>
      <c r="AO72" s="76">
        <v>39232.744375000002</v>
      </c>
      <c r="AP72" s="79" t="str">
        <f>HYPERLINK("https://pbs.twimg.com/profile_banners/6449282/1671751062")</f>
        <v>https://pbs.twimg.com/profile_banners/6449282/1671751062</v>
      </c>
      <c r="AQ72" t="b">
        <v>0</v>
      </c>
      <c r="AR72" t="b">
        <v>0</v>
      </c>
      <c r="AS72" t="b">
        <v>1</v>
      </c>
      <c r="AU72">
        <v>11560</v>
      </c>
      <c r="AV72" s="79" t="str">
        <f t="shared" si="0"/>
        <v>https://abs.twimg.com/images/themes/theme1/bg.png</v>
      </c>
      <c r="AW72" t="b">
        <v>1</v>
      </c>
      <c r="AX72" t="s">
        <v>9303</v>
      </c>
      <c r="AY72" s="79" t="str">
        <f>HYPERLINK("https://twitter.com/jetblue")</f>
        <v>https://twitter.com/jetblue</v>
      </c>
      <c r="AZ72" t="s">
        <v>65</v>
      </c>
      <c r="BA72" s="2"/>
    </row>
    <row r="73" spans="1:53" x14ac:dyDescent="0.45">
      <c r="A73" s="62" t="s">
        <v>1154</v>
      </c>
      <c r="B73" s="63"/>
      <c r="C73" s="63"/>
      <c r="D73" s="64"/>
      <c r="E73" s="66"/>
      <c r="F73" s="98" t="str">
        <f>HYPERLINK("https://pbs.twimg.com/profile_images/1190271806684446720/kxrzypB1_normal.jpg")</f>
        <v>https://pbs.twimg.com/profile_images/1190271806684446720/kxrzypB1_normal.jpg</v>
      </c>
      <c r="G73" s="63"/>
      <c r="H73" s="67"/>
      <c r="I73" s="68"/>
      <c r="J73" s="68"/>
      <c r="K73" s="67" t="s">
        <v>9406</v>
      </c>
      <c r="L73" s="71"/>
      <c r="M73" s="72"/>
      <c r="N73" s="72"/>
      <c r="O73" s="73"/>
      <c r="P73" s="74"/>
      <c r="Q73" s="74"/>
      <c r="R73" s="81"/>
      <c r="S73" s="81"/>
      <c r="T73" s="81"/>
      <c r="U73" s="81"/>
      <c r="V73" s="48"/>
      <c r="W73" s="48"/>
      <c r="X73" s="48"/>
      <c r="Y73" s="48"/>
      <c r="Z73" s="47"/>
      <c r="AA73" s="69"/>
      <c r="AB73" s="69"/>
      <c r="AC73" s="70"/>
      <c r="AD73" t="s">
        <v>5101</v>
      </c>
      <c r="AE73" s="78" t="s">
        <v>4657</v>
      </c>
      <c r="AF73">
        <v>303</v>
      </c>
      <c r="AG73">
        <v>1890321</v>
      </c>
      <c r="AH73">
        <v>288655</v>
      </c>
      <c r="AI73">
        <v>6923</v>
      </c>
      <c r="AK73" t="s">
        <v>7584</v>
      </c>
      <c r="AM73" s="79" t="str">
        <f>HYPERLINK("https://t.co/nN2iZoA2E4")</f>
        <v>https://t.co/nN2iZoA2E4</v>
      </c>
      <c r="AO73" s="76">
        <v>39730.817662037036</v>
      </c>
      <c r="AP73" s="79" t="str">
        <f>HYPERLINK("https://pbs.twimg.com/profile_banners/16672159/1646411642")</f>
        <v>https://pbs.twimg.com/profile_banners/16672159/1646411642</v>
      </c>
      <c r="AQ73" t="b">
        <v>0</v>
      </c>
      <c r="AR73" t="b">
        <v>0</v>
      </c>
      <c r="AS73" t="b">
        <v>1</v>
      </c>
      <c r="AU73">
        <v>20188</v>
      </c>
      <c r="AV73" s="79" t="str">
        <f t="shared" si="0"/>
        <v>https://abs.twimg.com/images/themes/theme1/bg.png</v>
      </c>
      <c r="AW73" t="b">
        <v>1</v>
      </c>
      <c r="AX73" t="s">
        <v>9303</v>
      </c>
      <c r="AY73" s="79" t="str">
        <f>HYPERLINK("https://twitter.com/profootballtalk")</f>
        <v>https://twitter.com/profootballtalk</v>
      </c>
      <c r="AZ73" t="s">
        <v>65</v>
      </c>
      <c r="BA73" s="2"/>
    </row>
    <row r="74" spans="1:53" x14ac:dyDescent="0.45">
      <c r="A74" s="62" t="s">
        <v>1361</v>
      </c>
      <c r="B74" s="63"/>
      <c r="C74" s="63"/>
      <c r="D74" s="64"/>
      <c r="E74" s="66"/>
      <c r="F74" s="98" t="str">
        <f>HYPERLINK("https://pbs.twimg.com/profile_images/1549758722989334529/v73AhyQ5_normal.jpg")</f>
        <v>https://pbs.twimg.com/profile_images/1549758722989334529/v73AhyQ5_normal.jpg</v>
      </c>
      <c r="G74" s="63"/>
      <c r="H74" s="67"/>
      <c r="I74" s="68"/>
      <c r="J74" s="68"/>
      <c r="K74" s="67" t="s">
        <v>10119</v>
      </c>
      <c r="L74" s="71"/>
      <c r="M74" s="72"/>
      <c r="N74" s="72"/>
      <c r="O74" s="73"/>
      <c r="P74" s="74"/>
      <c r="Q74" s="74"/>
      <c r="R74" s="81"/>
      <c r="S74" s="81"/>
      <c r="T74" s="81"/>
      <c r="U74" s="81"/>
      <c r="V74" s="48"/>
      <c r="W74" s="48"/>
      <c r="X74" s="48"/>
      <c r="Y74" s="48"/>
      <c r="Z74" s="47"/>
      <c r="AA74" s="69"/>
      <c r="AB74" s="69"/>
      <c r="AC74" s="70"/>
      <c r="AD74" t="s">
        <v>5807</v>
      </c>
      <c r="AE74" s="78" t="s">
        <v>7037</v>
      </c>
      <c r="AF74">
        <v>319</v>
      </c>
      <c r="AG74">
        <v>1888093</v>
      </c>
      <c r="AH74">
        <v>3392</v>
      </c>
      <c r="AI74">
        <v>1951</v>
      </c>
      <c r="AK74" t="s">
        <v>8202</v>
      </c>
      <c r="AL74" t="s">
        <v>9089</v>
      </c>
      <c r="AM74" s="79" t="str">
        <f>HYPERLINK("https://t.co/4mAJZCuK2R")</f>
        <v>https://t.co/4mAJZCuK2R</v>
      </c>
      <c r="AO74" s="76">
        <v>44195.789594907408</v>
      </c>
      <c r="AP74" s="79" t="str">
        <f>HYPERLINK("https://pbs.twimg.com/profile_banners/1344356576786866176/1661804538")</f>
        <v>https://pbs.twimg.com/profile_banners/1344356576786866176/1661804538</v>
      </c>
      <c r="AQ74" t="b">
        <v>1</v>
      </c>
      <c r="AR74" t="b">
        <v>0</v>
      </c>
      <c r="AS74" t="b">
        <v>1</v>
      </c>
      <c r="AU74">
        <v>4079</v>
      </c>
      <c r="AW74" t="b">
        <v>1</v>
      </c>
      <c r="AX74" t="s">
        <v>9303</v>
      </c>
      <c r="AY74" s="79" t="str">
        <f>HYPERLINK("https://twitter.com/repmtg")</f>
        <v>https://twitter.com/repmtg</v>
      </c>
      <c r="AZ74" t="s">
        <v>65</v>
      </c>
      <c r="BA74" s="2"/>
    </row>
    <row r="75" spans="1:53" x14ac:dyDescent="0.45">
      <c r="A75" s="62" t="s">
        <v>1169</v>
      </c>
      <c r="B75" s="63"/>
      <c r="C75" s="63"/>
      <c r="D75" s="64"/>
      <c r="E75" s="66"/>
      <c r="F75" s="98" t="str">
        <f>HYPERLINK("https://pbs.twimg.com/profile_images/1508518003184349187/1KQYoqPY_normal.png")</f>
        <v>https://pbs.twimg.com/profile_images/1508518003184349187/1KQYoqPY_normal.png</v>
      </c>
      <c r="G75" s="63"/>
      <c r="H75" s="67"/>
      <c r="I75" s="68"/>
      <c r="J75" s="68"/>
      <c r="K75" s="67" t="s">
        <v>9447</v>
      </c>
      <c r="L75" s="71"/>
      <c r="M75" s="72"/>
      <c r="N75" s="72"/>
      <c r="O75" s="73"/>
      <c r="P75" s="74"/>
      <c r="Q75" s="74"/>
      <c r="R75" s="81"/>
      <c r="S75" s="81"/>
      <c r="T75" s="81"/>
      <c r="U75" s="81"/>
      <c r="V75" s="48"/>
      <c r="W75" s="48"/>
      <c r="X75" s="48"/>
      <c r="Y75" s="48"/>
      <c r="Z75" s="47"/>
      <c r="AA75" s="69"/>
      <c r="AB75" s="69"/>
      <c r="AC75" s="70"/>
      <c r="AD75" t="s">
        <v>5141</v>
      </c>
      <c r="AE75" s="78" t="s">
        <v>6444</v>
      </c>
      <c r="AF75">
        <v>27</v>
      </c>
      <c r="AG75">
        <v>1779744</v>
      </c>
      <c r="AH75">
        <v>20159</v>
      </c>
      <c r="AI75">
        <v>7656</v>
      </c>
      <c r="AK75" t="s">
        <v>7615</v>
      </c>
      <c r="AL75" t="s">
        <v>8758</v>
      </c>
      <c r="AM75" s="79" t="str">
        <f>HYPERLINK("https://t.co/1CcsaimFSI")</f>
        <v>https://t.co/1CcsaimFSI</v>
      </c>
      <c r="AO75" s="76">
        <v>39482.765289351853</v>
      </c>
      <c r="AP75" s="79" t="str">
        <f>HYPERLINK("https://pbs.twimg.com/profile_banners/13058772/1659122240")</f>
        <v>https://pbs.twimg.com/profile_banners/13058772/1659122240</v>
      </c>
      <c r="AQ75" t="b">
        <v>0</v>
      </c>
      <c r="AR75" t="b">
        <v>0</v>
      </c>
      <c r="AS75" t="b">
        <v>1</v>
      </c>
      <c r="AU75">
        <v>17574</v>
      </c>
      <c r="AV75" s="79" t="str">
        <f>HYPERLINK("https://abs.twimg.com/images/themes/theme1/bg.png")</f>
        <v>https://abs.twimg.com/images/themes/theme1/bg.png</v>
      </c>
      <c r="AW75" t="b">
        <v>1</v>
      </c>
      <c r="AX75" t="s">
        <v>9303</v>
      </c>
      <c r="AY75" s="79" t="str">
        <f>HYPERLINK("https://twitter.com/linkedin")</f>
        <v>https://twitter.com/linkedin</v>
      </c>
      <c r="AZ75" t="s">
        <v>65</v>
      </c>
      <c r="BA75" s="2"/>
    </row>
    <row r="76" spans="1:53" x14ac:dyDescent="0.45">
      <c r="A76" s="62" t="s">
        <v>1302</v>
      </c>
      <c r="B76" s="63"/>
      <c r="C76" s="63"/>
      <c r="D76" s="64"/>
      <c r="E76" s="66"/>
      <c r="F76" s="98" t="str">
        <f>HYPERLINK("https://pbs.twimg.com/profile_images/1290071767331954688/NPt2HyLw_normal.jpg")</f>
        <v>https://pbs.twimg.com/profile_images/1290071767331954688/NPt2HyLw_normal.jpg</v>
      </c>
      <c r="G76" s="63"/>
      <c r="H76" s="67"/>
      <c r="I76" s="68"/>
      <c r="J76" s="68"/>
      <c r="K76" s="67" t="s">
        <v>9844</v>
      </c>
      <c r="L76" s="71"/>
      <c r="M76" s="72"/>
      <c r="N76" s="72"/>
      <c r="O76" s="73"/>
      <c r="P76" s="74"/>
      <c r="Q76" s="74"/>
      <c r="R76" s="81"/>
      <c r="S76" s="81"/>
      <c r="T76" s="81"/>
      <c r="U76" s="81"/>
      <c r="V76" s="48"/>
      <c r="W76" s="48"/>
      <c r="X76" s="48"/>
      <c r="Y76" s="48"/>
      <c r="Z76" s="47"/>
      <c r="AA76" s="69"/>
      <c r="AB76" s="69"/>
      <c r="AC76" s="70"/>
      <c r="AD76" t="s">
        <v>5535</v>
      </c>
      <c r="AE76" s="78" t="s">
        <v>6784</v>
      </c>
      <c r="AF76">
        <v>694</v>
      </c>
      <c r="AG76">
        <v>1752234</v>
      </c>
      <c r="AH76">
        <v>72195</v>
      </c>
      <c r="AI76">
        <v>22615</v>
      </c>
      <c r="AK76" t="s">
        <v>7958</v>
      </c>
      <c r="AL76" t="s">
        <v>8941</v>
      </c>
      <c r="AM76" s="79" t="str">
        <f>HYPERLINK("https://t.co/VCOPa0omBn")</f>
        <v>https://t.co/VCOPa0omBn</v>
      </c>
      <c r="AO76" s="76">
        <v>39764.121388888889</v>
      </c>
      <c r="AP76" s="79" t="str">
        <f>HYPERLINK("https://pbs.twimg.com/profile_banners/17329538/1674998912")</f>
        <v>https://pbs.twimg.com/profile_banners/17329538/1674998912</v>
      </c>
      <c r="AQ76" t="b">
        <v>0</v>
      </c>
      <c r="AR76" t="b">
        <v>0</v>
      </c>
      <c r="AS76" t="b">
        <v>1</v>
      </c>
      <c r="AU76">
        <v>8902</v>
      </c>
      <c r="AV76" s="79" t="str">
        <f>HYPERLINK("https://abs.twimg.com/images/themes/theme1/bg.png")</f>
        <v>https://abs.twimg.com/images/themes/theme1/bg.png</v>
      </c>
      <c r="AW76" t="b">
        <v>1</v>
      </c>
      <c r="AX76" t="s">
        <v>9303</v>
      </c>
      <c r="AY76" s="79" t="str">
        <f>HYPERLINK("https://twitter.com/australianopen")</f>
        <v>https://twitter.com/australianopen</v>
      </c>
      <c r="AZ76" t="s">
        <v>65</v>
      </c>
      <c r="BA76" s="2"/>
    </row>
    <row r="77" spans="1:53" x14ac:dyDescent="0.45">
      <c r="A77" s="62" t="s">
        <v>1144</v>
      </c>
      <c r="B77" s="63"/>
      <c r="C77" s="63"/>
      <c r="D77" s="64"/>
      <c r="E77" s="66"/>
      <c r="F77" s="98" t="str">
        <f>HYPERLINK("https://pbs.twimg.com/profile_images/1325974277657538562/0z5AsiQA_normal.jpg")</f>
        <v>https://pbs.twimg.com/profile_images/1325974277657538562/0z5AsiQA_normal.jpg</v>
      </c>
      <c r="G77" s="63"/>
      <c r="H77" s="67"/>
      <c r="I77" s="68"/>
      <c r="J77" s="68"/>
      <c r="K77" s="67" t="s">
        <v>9370</v>
      </c>
      <c r="L77" s="71"/>
      <c r="M77" s="72"/>
      <c r="N77" s="72"/>
      <c r="O77" s="73"/>
      <c r="P77" s="74"/>
      <c r="Q77" s="74"/>
      <c r="R77" s="81"/>
      <c r="S77" s="81"/>
      <c r="T77" s="81"/>
      <c r="U77" s="81"/>
      <c r="V77" s="48"/>
      <c r="W77" s="48"/>
      <c r="X77" s="48"/>
      <c r="Y77" s="48"/>
      <c r="Z77" s="47"/>
      <c r="AA77" s="69"/>
      <c r="AB77" s="69"/>
      <c r="AC77" s="70"/>
      <c r="AD77" t="s">
        <v>5066</v>
      </c>
      <c r="AE77" s="78" t="s">
        <v>6381</v>
      </c>
      <c r="AF77">
        <v>2716</v>
      </c>
      <c r="AG77">
        <v>1751095</v>
      </c>
      <c r="AH77">
        <v>1231854</v>
      </c>
      <c r="AI77">
        <v>1</v>
      </c>
      <c r="AK77" t="s">
        <v>7552</v>
      </c>
      <c r="AM77" s="79" t="str">
        <f>HYPERLINK("https://t.co/hF5AphAo4C")</f>
        <v>https://t.co/hF5AphAo4C</v>
      </c>
      <c r="AO77" s="76">
        <v>40319.750185185185</v>
      </c>
      <c r="AP77" s="79" t="str">
        <f>HYPERLINK("https://pbs.twimg.com/profile_banners/146540920/1604971878")</f>
        <v>https://pbs.twimg.com/profile_banners/146540920/1604971878</v>
      </c>
      <c r="AQ77" t="b">
        <v>0</v>
      </c>
      <c r="AR77" t="b">
        <v>0</v>
      </c>
      <c r="AS77" t="b">
        <v>0</v>
      </c>
      <c r="AU77">
        <v>3333</v>
      </c>
      <c r="AV77" s="79" t="str">
        <f>HYPERLINK("https://abs.twimg.com/images/themes/theme1/bg.png")</f>
        <v>https://abs.twimg.com/images/themes/theme1/bg.png</v>
      </c>
      <c r="AW77" t="b">
        <v>1</v>
      </c>
      <c r="AX77" t="s">
        <v>9303</v>
      </c>
      <c r="AY77" s="79" t="str">
        <f>HYPERLINK("https://twitter.com/askplaystation")</f>
        <v>https://twitter.com/askplaystation</v>
      </c>
      <c r="AZ77" t="s">
        <v>65</v>
      </c>
      <c r="BA77" s="2"/>
    </row>
    <row r="78" spans="1:53" x14ac:dyDescent="0.45">
      <c r="A78" s="62" t="s">
        <v>1046</v>
      </c>
      <c r="B78" s="63"/>
      <c r="C78" s="63"/>
      <c r="D78" s="64"/>
      <c r="E78" s="66"/>
      <c r="F78" s="98" t="str">
        <f>HYPERLINK("https://pbs.twimg.com/profile_images/1590720927087607811/V4k6xll__normal.jpg")</f>
        <v>https://pbs.twimg.com/profile_images/1590720927087607811/V4k6xll__normal.jpg</v>
      </c>
      <c r="G78" s="63"/>
      <c r="H78" s="67"/>
      <c r="I78" s="68"/>
      <c r="J78" s="68"/>
      <c r="K78" s="67" t="s">
        <v>10094</v>
      </c>
      <c r="L78" s="71"/>
      <c r="M78" s="72"/>
      <c r="N78" s="72"/>
      <c r="O78" s="73"/>
      <c r="P78" s="74"/>
      <c r="Q78" s="74"/>
      <c r="R78" s="81"/>
      <c r="S78" s="81"/>
      <c r="T78" s="81"/>
      <c r="U78" s="81"/>
      <c r="V78" s="48"/>
      <c r="W78" s="48"/>
      <c r="X78" s="48"/>
      <c r="Y78" s="48"/>
      <c r="Z78" s="47"/>
      <c r="AA78" s="69"/>
      <c r="AB78" s="69"/>
      <c r="AC78" s="70"/>
      <c r="AD78" t="s">
        <v>5782</v>
      </c>
      <c r="AE78" s="78" t="s">
        <v>4737</v>
      </c>
      <c r="AF78">
        <v>1430</v>
      </c>
      <c r="AG78">
        <v>1687652</v>
      </c>
      <c r="AH78">
        <v>126621</v>
      </c>
      <c r="AI78">
        <v>251684</v>
      </c>
      <c r="AK78" t="s">
        <v>8177</v>
      </c>
      <c r="AL78" t="s">
        <v>9077</v>
      </c>
      <c r="AM78" s="79" t="str">
        <f>HYPERLINK("https://t.co/7SQqHWF8nC")</f>
        <v>https://t.co/7SQqHWF8nC</v>
      </c>
      <c r="AO78" s="76">
        <v>41326.955694444441</v>
      </c>
      <c r="AP78" s="79" t="str">
        <f>HYPERLINK("https://pbs.twimg.com/profile_banners/1206216140/1668460265")</f>
        <v>https://pbs.twimg.com/profile_banners/1206216140/1668460265</v>
      </c>
      <c r="AQ78" t="b">
        <v>0</v>
      </c>
      <c r="AR78" t="b">
        <v>0</v>
      </c>
      <c r="AS78" t="b">
        <v>1</v>
      </c>
      <c r="AU78">
        <v>562</v>
      </c>
      <c r="AV78" s="79" t="str">
        <f>HYPERLINK("https://abs.twimg.com/images/themes/theme3/bg.gif")</f>
        <v>https://abs.twimg.com/images/themes/theme3/bg.gif</v>
      </c>
      <c r="AW78" t="b">
        <v>1</v>
      </c>
      <c r="AX78" t="s">
        <v>9303</v>
      </c>
      <c r="AY78" s="79" t="str">
        <f>HYPERLINK("https://twitter.com/gfuelenergy")</f>
        <v>https://twitter.com/gfuelenergy</v>
      </c>
      <c r="AZ78" t="s">
        <v>66</v>
      </c>
      <c r="BA78" s="2"/>
    </row>
    <row r="79" spans="1:53" x14ac:dyDescent="0.45">
      <c r="A79" s="62" t="s">
        <v>1378</v>
      </c>
      <c r="B79" s="63"/>
      <c r="C79" s="63"/>
      <c r="D79" s="64"/>
      <c r="E79" s="66"/>
      <c r="F79" s="98" t="str">
        <f>HYPERLINK("https://pbs.twimg.com/profile_images/1547982058160398338/kANSMgme_normal.jpg")</f>
        <v>https://pbs.twimg.com/profile_images/1547982058160398338/kANSMgme_normal.jpg</v>
      </c>
      <c r="G79" s="63"/>
      <c r="H79" s="67"/>
      <c r="I79" s="68"/>
      <c r="J79" s="68"/>
      <c r="K79" s="67" t="s">
        <v>10171</v>
      </c>
      <c r="L79" s="71"/>
      <c r="M79" s="72"/>
      <c r="N79" s="72"/>
      <c r="O79" s="73"/>
      <c r="P79" s="74"/>
      <c r="Q79" s="74"/>
      <c r="R79" s="81"/>
      <c r="S79" s="81"/>
      <c r="T79" s="81"/>
      <c r="U79" s="81"/>
      <c r="V79" s="48"/>
      <c r="W79" s="48"/>
      <c r="X79" s="48"/>
      <c r="Y79" s="48"/>
      <c r="Z79" s="47"/>
      <c r="AA79" s="69"/>
      <c r="AB79" s="69"/>
      <c r="AC79" s="70"/>
      <c r="AD79" t="s">
        <v>5857</v>
      </c>
      <c r="AE79" s="78" t="s">
        <v>7080</v>
      </c>
      <c r="AF79">
        <v>1194</v>
      </c>
      <c r="AG79">
        <v>1666336</v>
      </c>
      <c r="AH79">
        <v>35734</v>
      </c>
      <c r="AI79">
        <v>1032</v>
      </c>
      <c r="AK79" t="s">
        <v>8244</v>
      </c>
      <c r="AL79" t="s">
        <v>9105</v>
      </c>
      <c r="AM79" s="79" t="str">
        <f>HYPERLINK("https://t.co/VUxxtSTG5n")</f>
        <v>https://t.co/VUxxtSTG5n</v>
      </c>
      <c r="AO79" s="76">
        <v>40002.535543981481</v>
      </c>
      <c r="AP79" s="79" t="str">
        <f>HYPERLINK("https://pbs.twimg.com/profile_banners/54885400/1675264434")</f>
        <v>https://pbs.twimg.com/profile_banners/54885400/1675264434</v>
      </c>
      <c r="AQ79" t="b">
        <v>0</v>
      </c>
      <c r="AR79" t="b">
        <v>0</v>
      </c>
      <c r="AS79" t="b">
        <v>1</v>
      </c>
      <c r="AU79">
        <v>8292</v>
      </c>
      <c r="AV79" s="79" t="str">
        <f>HYPERLINK("https://abs.twimg.com/images/themes/theme1/bg.png")</f>
        <v>https://abs.twimg.com/images/themes/theme1/bg.png</v>
      </c>
      <c r="AW79" t="b">
        <v>1</v>
      </c>
      <c r="AX79" t="s">
        <v>9303</v>
      </c>
      <c r="AY79" s="79" t="str">
        <f>HYPERLINK("https://twitter.com/usnavy")</f>
        <v>https://twitter.com/usnavy</v>
      </c>
      <c r="AZ79" t="s">
        <v>65</v>
      </c>
      <c r="BA79" s="2"/>
    </row>
    <row r="80" spans="1:53" x14ac:dyDescent="0.45">
      <c r="A80" s="62" t="s">
        <v>1452</v>
      </c>
      <c r="B80" s="63"/>
      <c r="C80" s="63"/>
      <c r="D80" s="64"/>
      <c r="E80" s="66"/>
      <c r="F80" s="98" t="str">
        <f>HYPERLINK("https://pbs.twimg.com/profile_images/1275507788609880070/O1z2hVZv_normal.jpg")</f>
        <v>https://pbs.twimg.com/profile_images/1275507788609880070/O1z2hVZv_normal.jpg</v>
      </c>
      <c r="G80" s="63"/>
      <c r="H80" s="67"/>
      <c r="I80" s="68"/>
      <c r="J80" s="68"/>
      <c r="K80" s="67" t="s">
        <v>10389</v>
      </c>
      <c r="L80" s="71"/>
      <c r="M80" s="72"/>
      <c r="N80" s="72"/>
      <c r="O80" s="73"/>
      <c r="P80" s="74"/>
      <c r="Q80" s="74"/>
      <c r="R80" s="81"/>
      <c r="S80" s="81"/>
      <c r="T80" s="81"/>
      <c r="U80" s="81"/>
      <c r="V80" s="48"/>
      <c r="W80" s="48"/>
      <c r="X80" s="48"/>
      <c r="Y80" s="48"/>
      <c r="Z80" s="47"/>
      <c r="AA80" s="69"/>
      <c r="AB80" s="69"/>
      <c r="AC80" s="70"/>
      <c r="AD80" t="s">
        <v>6071</v>
      </c>
      <c r="AE80" s="78" t="s">
        <v>7273</v>
      </c>
      <c r="AF80">
        <v>36413</v>
      </c>
      <c r="AG80">
        <v>1663484</v>
      </c>
      <c r="AH80">
        <v>1264548</v>
      </c>
      <c r="AI80">
        <v>8127</v>
      </c>
      <c r="AK80" t="s">
        <v>8435</v>
      </c>
      <c r="AL80" t="s">
        <v>8705</v>
      </c>
      <c r="AM80" s="79" t="str">
        <f>HYPERLINK("https://t.co/SUpKuB9o8c")</f>
        <v>https://t.co/SUpKuB9o8c</v>
      </c>
      <c r="AO80" s="76">
        <v>39212.188356481478</v>
      </c>
      <c r="AP80" s="79" t="str">
        <f>HYPERLINK("https://pbs.twimg.com/profile_banners/5920532/1644440753")</f>
        <v>https://pbs.twimg.com/profile_banners/5920532/1644440753</v>
      </c>
      <c r="AQ80" t="b">
        <v>0</v>
      </c>
      <c r="AR80" t="b">
        <v>0</v>
      </c>
      <c r="AS80" t="b">
        <v>1</v>
      </c>
      <c r="AU80">
        <v>10122</v>
      </c>
      <c r="AV80" s="79" t="str">
        <f>HYPERLINK("https://abs.twimg.com/images/themes/theme1/bg.png")</f>
        <v>https://abs.twimg.com/images/themes/theme1/bg.png</v>
      </c>
      <c r="AW80" t="b">
        <v>1</v>
      </c>
      <c r="AX80" t="s">
        <v>9303</v>
      </c>
      <c r="AY80" s="79" t="str">
        <f>HYPERLINK("https://twitter.com/delta")</f>
        <v>https://twitter.com/delta</v>
      </c>
      <c r="AZ80" t="s">
        <v>65</v>
      </c>
      <c r="BA80" s="2"/>
    </row>
    <row r="81" spans="1:53" x14ac:dyDescent="0.45">
      <c r="A81" s="62" t="s">
        <v>1263</v>
      </c>
      <c r="B81" s="63"/>
      <c r="C81" s="63"/>
      <c r="D81" s="64"/>
      <c r="E81" s="66"/>
      <c r="F81" s="98" t="str">
        <f>HYPERLINK("https://pbs.twimg.com/profile_images/1613219683687096321/q3h1w6hQ_normal.jpg")</f>
        <v>https://pbs.twimg.com/profile_images/1613219683687096321/q3h1w6hQ_normal.jpg</v>
      </c>
      <c r="G81" s="63"/>
      <c r="H81" s="67"/>
      <c r="I81" s="68"/>
      <c r="J81" s="68"/>
      <c r="K81" s="67" t="s">
        <v>9707</v>
      </c>
      <c r="L81" s="71"/>
      <c r="M81" s="72"/>
      <c r="N81" s="72"/>
      <c r="O81" s="73"/>
      <c r="P81" s="74"/>
      <c r="Q81" s="74"/>
      <c r="R81" s="81"/>
      <c r="S81" s="81"/>
      <c r="T81" s="81"/>
      <c r="U81" s="81"/>
      <c r="V81" s="48"/>
      <c r="W81" s="48"/>
      <c r="X81" s="48"/>
      <c r="Y81" s="48"/>
      <c r="Z81" s="47"/>
      <c r="AA81" s="69"/>
      <c r="AB81" s="69"/>
      <c r="AC81" s="70"/>
      <c r="AD81" t="s">
        <v>5399</v>
      </c>
      <c r="AE81" s="78" t="s">
        <v>6672</v>
      </c>
      <c r="AF81">
        <v>39</v>
      </c>
      <c r="AG81">
        <v>1643433</v>
      </c>
      <c r="AH81">
        <v>3936</v>
      </c>
      <c r="AI81">
        <v>41</v>
      </c>
      <c r="AK81" t="s">
        <v>7841</v>
      </c>
      <c r="AL81" t="s">
        <v>8880</v>
      </c>
      <c r="AM81" s="79" t="str">
        <f>HYPERLINK("https://t.co/nBWPe4sGnp")</f>
        <v>https://t.co/nBWPe4sGnp</v>
      </c>
      <c r="AO81" s="76">
        <v>39823.907372685186</v>
      </c>
      <c r="AP81" s="79" t="str">
        <f>HYPERLINK("https://pbs.twimg.com/profile_banners/18847632/1674065012")</f>
        <v>https://pbs.twimg.com/profile_banners/18847632/1674065012</v>
      </c>
      <c r="AQ81" t="b">
        <v>0</v>
      </c>
      <c r="AR81" t="b">
        <v>0</v>
      </c>
      <c r="AS81" t="b">
        <v>1</v>
      </c>
      <c r="AU81">
        <v>4925</v>
      </c>
      <c r="AV81" s="79" t="str">
        <f>HYPERLINK("https://abs.twimg.com/images/themes/theme9/bg.gif")</f>
        <v>https://abs.twimg.com/images/themes/theme9/bg.gif</v>
      </c>
      <c r="AW81" t="b">
        <v>1</v>
      </c>
      <c r="AX81" t="s">
        <v>9303</v>
      </c>
      <c r="AY81" s="79" t="str">
        <f>HYPERLINK("https://twitter.com/u2")</f>
        <v>https://twitter.com/u2</v>
      </c>
      <c r="AZ81" t="s">
        <v>65</v>
      </c>
      <c r="BA81" s="2"/>
    </row>
    <row r="82" spans="1:53" x14ac:dyDescent="0.45">
      <c r="A82" s="62" t="s">
        <v>1283</v>
      </c>
      <c r="B82" s="63"/>
      <c r="C82" s="63"/>
      <c r="D82" s="64"/>
      <c r="E82" s="66"/>
      <c r="F82" s="98" t="str">
        <f>HYPERLINK("https://pbs.twimg.com/profile_images/1496892874276880389/ndAolYWm_normal.jpg")</f>
        <v>https://pbs.twimg.com/profile_images/1496892874276880389/ndAolYWm_normal.jpg</v>
      </c>
      <c r="G82" s="63"/>
      <c r="H82" s="67"/>
      <c r="I82" s="68"/>
      <c r="J82" s="68"/>
      <c r="K82" s="67" t="s">
        <v>9786</v>
      </c>
      <c r="L82" s="71"/>
      <c r="M82" s="72"/>
      <c r="N82" s="72"/>
      <c r="O82" s="73"/>
      <c r="P82" s="74"/>
      <c r="Q82" s="74"/>
      <c r="R82" s="81"/>
      <c r="S82" s="81"/>
      <c r="T82" s="81"/>
      <c r="U82" s="81"/>
      <c r="V82" s="48"/>
      <c r="W82" s="48"/>
      <c r="X82" s="48"/>
      <c r="Y82" s="48"/>
      <c r="Z82" s="47"/>
      <c r="AA82" s="69"/>
      <c r="AB82" s="69"/>
      <c r="AC82" s="70"/>
      <c r="AD82" t="s">
        <v>5478</v>
      </c>
      <c r="AE82" s="78" t="s">
        <v>6735</v>
      </c>
      <c r="AF82">
        <v>118</v>
      </c>
      <c r="AG82">
        <v>1634295</v>
      </c>
      <c r="AH82">
        <v>47867</v>
      </c>
      <c r="AI82">
        <v>26053</v>
      </c>
      <c r="AK82" t="s">
        <v>7907</v>
      </c>
      <c r="AL82" t="s">
        <v>8708</v>
      </c>
      <c r="AM82" s="79" t="str">
        <f>HYPERLINK("https://t.co/dnLqcRU5wb")</f>
        <v>https://t.co/dnLqcRU5wb</v>
      </c>
      <c r="AO82" s="76">
        <v>40018.884664351855</v>
      </c>
      <c r="AP82" s="79" t="str">
        <f>HYPERLINK("https://pbs.twimg.com/profile_banners/59889953/1672063231")</f>
        <v>https://pbs.twimg.com/profile_banners/59889953/1672063231</v>
      </c>
      <c r="AQ82" t="b">
        <v>0</v>
      </c>
      <c r="AR82" t="b">
        <v>0</v>
      </c>
      <c r="AS82" t="b">
        <v>1</v>
      </c>
      <c r="AU82">
        <v>5565</v>
      </c>
      <c r="AV82" s="79" t="str">
        <f>HYPERLINK("https://abs.twimg.com/images/themes/theme1/bg.png")</f>
        <v>https://abs.twimg.com/images/themes/theme1/bg.png</v>
      </c>
      <c r="AW82" t="b">
        <v>1</v>
      </c>
      <c r="AX82" t="s">
        <v>9303</v>
      </c>
      <c r="AY82" s="79" t="str">
        <f>HYPERLINK("https://twitter.com/verizon")</f>
        <v>https://twitter.com/verizon</v>
      </c>
      <c r="AZ82" t="s">
        <v>65</v>
      </c>
      <c r="BA82" s="2"/>
    </row>
    <row r="83" spans="1:53" x14ac:dyDescent="0.45">
      <c r="A83" s="62" t="s">
        <v>1310</v>
      </c>
      <c r="B83" s="63"/>
      <c r="C83" s="63"/>
      <c r="D83" s="64"/>
      <c r="E83" s="66"/>
      <c r="F83" s="98" t="str">
        <f>HYPERLINK("https://pbs.twimg.com/profile_images/2287841800/jh6ynplhzamh899jot8e_normal.jpeg")</f>
        <v>https://pbs.twimg.com/profile_images/2287841800/jh6ynplhzamh899jot8e_normal.jpeg</v>
      </c>
      <c r="G83" s="63"/>
      <c r="H83" s="67"/>
      <c r="I83" s="68"/>
      <c r="J83" s="68"/>
      <c r="K83" s="67" t="s">
        <v>9927</v>
      </c>
      <c r="L83" s="71"/>
      <c r="M83" s="72"/>
      <c r="N83" s="72"/>
      <c r="O83" s="73"/>
      <c r="P83" s="74"/>
      <c r="Q83" s="74"/>
      <c r="R83" s="81"/>
      <c r="S83" s="81"/>
      <c r="T83" s="81"/>
      <c r="U83" s="81"/>
      <c r="V83" s="48"/>
      <c r="W83" s="48"/>
      <c r="X83" s="48"/>
      <c r="Y83" s="48"/>
      <c r="Z83" s="47"/>
      <c r="AA83" s="69"/>
      <c r="AB83" s="69"/>
      <c r="AC83" s="70"/>
      <c r="AD83" t="s">
        <v>5618</v>
      </c>
      <c r="AE83" s="78" t="s">
        <v>6862</v>
      </c>
      <c r="AF83">
        <v>121</v>
      </c>
      <c r="AG83">
        <v>1559162</v>
      </c>
      <c r="AH83">
        <v>3361</v>
      </c>
      <c r="AI83">
        <v>5763</v>
      </c>
      <c r="AK83" t="s">
        <v>8036</v>
      </c>
      <c r="AM83" s="79" t="str">
        <f>HYPERLINK("http://t.co/6xraNrQCKx")</f>
        <v>http://t.co/6xraNrQCKx</v>
      </c>
      <c r="AO83" s="76">
        <v>40576.897858796299</v>
      </c>
      <c r="AP83" s="79" t="str">
        <f>HYPERLINK("https://pbs.twimg.com/profile_banners/246481013/1348087661")</f>
        <v>https://pbs.twimg.com/profile_banners/246481013/1348087661</v>
      </c>
      <c r="AQ83" t="b">
        <v>0</v>
      </c>
      <c r="AR83" t="b">
        <v>0</v>
      </c>
      <c r="AS83" t="b">
        <v>0</v>
      </c>
      <c r="AU83">
        <v>11865</v>
      </c>
      <c r="AV83" s="79" t="str">
        <f>HYPERLINK("https://abs.twimg.com/images/themes/theme1/bg.png")</f>
        <v>https://abs.twimg.com/images/themes/theme1/bg.png</v>
      </c>
      <c r="AW83" t="b">
        <v>1</v>
      </c>
      <c r="AX83" t="s">
        <v>9303</v>
      </c>
      <c r="AY83" s="79" t="str">
        <f>HYPERLINK("https://twitter.com/howardstern")</f>
        <v>https://twitter.com/howardstern</v>
      </c>
      <c r="AZ83" t="s">
        <v>65</v>
      </c>
      <c r="BA83" s="2"/>
    </row>
    <row r="84" spans="1:53" x14ac:dyDescent="0.45">
      <c r="A84" s="62" t="s">
        <v>1494</v>
      </c>
      <c r="B84" s="63"/>
      <c r="C84" s="63"/>
      <c r="D84" s="64"/>
      <c r="E84" s="66"/>
      <c r="F84" s="98" t="str">
        <f>HYPERLINK("https://pbs.twimg.com/profile_images/1551939753230073858/UWgyRU83_normal.jpg")</f>
        <v>https://pbs.twimg.com/profile_images/1551939753230073858/UWgyRU83_normal.jpg</v>
      </c>
      <c r="G84" s="63"/>
      <c r="H84" s="67"/>
      <c r="I84" s="68"/>
      <c r="J84" s="68"/>
      <c r="K84" s="67" t="s">
        <v>10495</v>
      </c>
      <c r="L84" s="71"/>
      <c r="M84" s="72"/>
      <c r="N84" s="72"/>
      <c r="O84" s="73"/>
      <c r="P84" s="74"/>
      <c r="Q84" s="74"/>
      <c r="R84" s="81"/>
      <c r="S84" s="81"/>
      <c r="T84" s="81"/>
      <c r="U84" s="81"/>
      <c r="V84" s="48"/>
      <c r="W84" s="48"/>
      <c r="X84" s="48"/>
      <c r="Y84" s="48"/>
      <c r="Z84" s="47"/>
      <c r="AA84" s="69"/>
      <c r="AB84" s="69"/>
      <c r="AC84" s="70"/>
      <c r="AD84" t="s">
        <v>6173</v>
      </c>
      <c r="AE84" s="78" t="s">
        <v>7359</v>
      </c>
      <c r="AF84">
        <v>12268</v>
      </c>
      <c r="AG84">
        <v>1472892</v>
      </c>
      <c r="AH84">
        <v>551122</v>
      </c>
      <c r="AI84">
        <v>108139</v>
      </c>
      <c r="AK84" t="s">
        <v>8531</v>
      </c>
      <c r="AM84" s="79" t="str">
        <f>HYPERLINK("https://t.co/P0r9IoEHS1")</f>
        <v>https://t.co/P0r9IoEHS1</v>
      </c>
      <c r="AO84" s="76">
        <v>39764.513356481482</v>
      </c>
      <c r="AP84" s="79" t="str">
        <f>HYPERLINK("https://pbs.twimg.com/profile_banners/17338082/1646155445")</f>
        <v>https://pbs.twimg.com/profile_banners/17338082/1646155445</v>
      </c>
      <c r="AQ84" t="b">
        <v>0</v>
      </c>
      <c r="AR84" t="b">
        <v>0</v>
      </c>
      <c r="AS84" t="b">
        <v>1</v>
      </c>
      <c r="AU84">
        <v>5277</v>
      </c>
      <c r="AV84" s="79" t="str">
        <f>HYPERLINK("https://abs.twimg.com/images/themes/theme12/bg.gif")</f>
        <v>https://abs.twimg.com/images/themes/theme12/bg.gif</v>
      </c>
      <c r="AW84" t="b">
        <v>1</v>
      </c>
      <c r="AX84" t="s">
        <v>9303</v>
      </c>
      <c r="AY84" s="79" t="str">
        <f>HYPERLINK("https://twitter.com/tmobile")</f>
        <v>https://twitter.com/tmobile</v>
      </c>
      <c r="AZ84" t="s">
        <v>65</v>
      </c>
      <c r="BA84" s="2"/>
    </row>
    <row r="85" spans="1:53" x14ac:dyDescent="0.45">
      <c r="A85" s="62" t="s">
        <v>1158</v>
      </c>
      <c r="B85" s="63"/>
      <c r="C85" s="63"/>
      <c r="D85" s="64"/>
      <c r="E85" s="66"/>
      <c r="F85" s="98" t="str">
        <f>HYPERLINK("https://pbs.twimg.com/profile_images/1435092227601088513/OesyL-Zp_normal.jpg")</f>
        <v>https://pbs.twimg.com/profile_images/1435092227601088513/OesyL-Zp_normal.jpg</v>
      </c>
      <c r="G85" s="63"/>
      <c r="H85" s="67"/>
      <c r="I85" s="68"/>
      <c r="J85" s="68"/>
      <c r="K85" s="67" t="s">
        <v>9419</v>
      </c>
      <c r="L85" s="71"/>
      <c r="M85" s="72"/>
      <c r="N85" s="72"/>
      <c r="O85" s="73"/>
      <c r="P85" s="74"/>
      <c r="Q85" s="74"/>
      <c r="R85" s="81"/>
      <c r="S85" s="81"/>
      <c r="T85" s="81"/>
      <c r="U85" s="81"/>
      <c r="V85" s="48"/>
      <c r="W85" s="48"/>
      <c r="X85" s="48"/>
      <c r="Y85" s="48"/>
      <c r="Z85" s="47"/>
      <c r="AA85" s="69"/>
      <c r="AB85" s="69"/>
      <c r="AC85" s="70"/>
      <c r="AD85" t="s">
        <v>5113</v>
      </c>
      <c r="AE85" s="78" t="s">
        <v>4659</v>
      </c>
      <c r="AF85">
        <v>1332</v>
      </c>
      <c r="AG85">
        <v>1422902</v>
      </c>
      <c r="AH85">
        <v>26070</v>
      </c>
      <c r="AI85">
        <v>6797</v>
      </c>
      <c r="AK85" t="s">
        <v>7593</v>
      </c>
      <c r="AL85" t="s">
        <v>8719</v>
      </c>
      <c r="AM85" s="79" t="str">
        <f>HYPERLINK("https://t.co/z0BBG2DmW4")</f>
        <v>https://t.co/z0BBG2DmW4</v>
      </c>
      <c r="AO85" s="76">
        <v>39891.769097222219</v>
      </c>
      <c r="AP85" s="79" t="str">
        <f>HYPERLINK("https://pbs.twimg.com/profile_banners/25355724/1630987625")</f>
        <v>https://pbs.twimg.com/profile_banners/25355724/1630987625</v>
      </c>
      <c r="AQ85" t="b">
        <v>0</v>
      </c>
      <c r="AR85" t="b">
        <v>0</v>
      </c>
      <c r="AS85" t="b">
        <v>1</v>
      </c>
      <c r="AU85">
        <v>9500</v>
      </c>
      <c r="AV85" s="79" t="str">
        <f>HYPERLINK("https://abs.twimg.com/images/themes/theme1/bg.png")</f>
        <v>https://abs.twimg.com/images/themes/theme1/bg.png</v>
      </c>
      <c r="AW85" t="b">
        <v>1</v>
      </c>
      <c r="AX85" t="s">
        <v>9303</v>
      </c>
      <c r="AY85" s="79" t="str">
        <f>HYPERLINK("https://twitter.com/keyjayandmax")</f>
        <v>https://twitter.com/keyjayandmax</v>
      </c>
      <c r="AZ85" t="s">
        <v>65</v>
      </c>
      <c r="BA85" s="2"/>
    </row>
    <row r="86" spans="1:53" x14ac:dyDescent="0.45">
      <c r="A86" s="62" t="s">
        <v>1438</v>
      </c>
      <c r="B86" s="63"/>
      <c r="C86" s="63"/>
      <c r="D86" s="64"/>
      <c r="E86" s="66"/>
      <c r="F86" s="98" t="str">
        <f>HYPERLINK("https://pbs.twimg.com/profile_images/1043769703607480320/GkHF57iM_normal.jpg")</f>
        <v>https://pbs.twimg.com/profile_images/1043769703607480320/GkHF57iM_normal.jpg</v>
      </c>
      <c r="G86" s="63"/>
      <c r="H86" s="67"/>
      <c r="I86" s="68"/>
      <c r="J86" s="68"/>
      <c r="K86" s="67" t="s">
        <v>10345</v>
      </c>
      <c r="L86" s="71"/>
      <c r="M86" s="72"/>
      <c r="N86" s="72"/>
      <c r="O86" s="73"/>
      <c r="P86" s="74"/>
      <c r="Q86" s="74"/>
      <c r="R86" s="81"/>
      <c r="S86" s="81"/>
      <c r="T86" s="81"/>
      <c r="U86" s="81"/>
      <c r="V86" s="48"/>
      <c r="W86" s="48"/>
      <c r="X86" s="48"/>
      <c r="Y86" s="48"/>
      <c r="Z86" s="47"/>
      <c r="AA86" s="69"/>
      <c r="AB86" s="69"/>
      <c r="AC86" s="70"/>
      <c r="AD86" t="s">
        <v>6028</v>
      </c>
      <c r="AE86" s="78" t="s">
        <v>4776</v>
      </c>
      <c r="AF86">
        <v>19722</v>
      </c>
      <c r="AG86">
        <v>1418801</v>
      </c>
      <c r="AH86">
        <v>26539</v>
      </c>
      <c r="AI86">
        <v>623</v>
      </c>
      <c r="AK86" t="s">
        <v>8398</v>
      </c>
      <c r="AL86" t="s">
        <v>8783</v>
      </c>
      <c r="AM86" s="79" t="str">
        <f>HYPERLINK("https://t.co/ldLwyxUktM")</f>
        <v>https://t.co/ldLwyxUktM</v>
      </c>
      <c r="AO86" s="76">
        <v>42466.50949074074</v>
      </c>
      <c r="AP86" s="79" t="str">
        <f>HYPERLINK("https://pbs.twimg.com/profile_banners/717686709983424513/1530688889")</f>
        <v>https://pbs.twimg.com/profile_banners/717686709983424513/1530688889</v>
      </c>
      <c r="AQ86" t="b">
        <v>1</v>
      </c>
      <c r="AR86" t="b">
        <v>0</v>
      </c>
      <c r="AS86" t="b">
        <v>1</v>
      </c>
      <c r="AU86">
        <v>706</v>
      </c>
      <c r="AW86" t="b">
        <v>1</v>
      </c>
      <c r="AX86" t="s">
        <v>9303</v>
      </c>
      <c r="AY86" s="79" t="str">
        <f>HYPERLINK("https://twitter.com/piyushgoyaloffc")</f>
        <v>https://twitter.com/piyushgoyaloffc</v>
      </c>
      <c r="AZ86" t="s">
        <v>65</v>
      </c>
      <c r="BA86" s="2"/>
    </row>
    <row r="87" spans="1:53" x14ac:dyDescent="0.45">
      <c r="A87" s="62" t="s">
        <v>242</v>
      </c>
      <c r="B87" s="63"/>
      <c r="C87" s="63"/>
      <c r="D87" s="64"/>
      <c r="E87" s="66"/>
      <c r="F87" s="98" t="str">
        <f>HYPERLINK("https://pbs.twimg.com/profile_images/1614031605676253184/n4E7yeWV_normal.jpg")</f>
        <v>https://pbs.twimg.com/profile_images/1614031605676253184/n4E7yeWV_normal.jpg</v>
      </c>
      <c r="G87" s="63"/>
      <c r="H87" s="67"/>
      <c r="I87" s="68"/>
      <c r="J87" s="68"/>
      <c r="K87" s="67" t="s">
        <v>9305</v>
      </c>
      <c r="L87" s="71"/>
      <c r="M87" s="72"/>
      <c r="N87" s="72"/>
      <c r="O87" s="73"/>
      <c r="P87" s="74"/>
      <c r="Q87" s="74"/>
      <c r="R87" s="81"/>
      <c r="S87" s="81"/>
      <c r="T87" s="81"/>
      <c r="U87" s="81"/>
      <c r="V87" s="48"/>
      <c r="W87" s="48"/>
      <c r="X87" s="48"/>
      <c r="Y87" s="48"/>
      <c r="Z87" s="47"/>
      <c r="AA87" s="69"/>
      <c r="AB87" s="69"/>
      <c r="AC87" s="70"/>
      <c r="AD87" t="s">
        <v>5001</v>
      </c>
      <c r="AE87" s="78" t="s">
        <v>4639</v>
      </c>
      <c r="AF87">
        <v>350</v>
      </c>
      <c r="AG87">
        <v>1360696</v>
      </c>
      <c r="AH87">
        <v>632412</v>
      </c>
      <c r="AI87">
        <v>13218</v>
      </c>
      <c r="AK87" t="s">
        <v>7491</v>
      </c>
      <c r="AL87" t="s">
        <v>8673</v>
      </c>
      <c r="AM87" s="79" t="str">
        <f>HYPERLINK("https://t.co/cU05NmJ5MA")</f>
        <v>https://t.co/cU05NmJ5MA</v>
      </c>
      <c r="AO87" s="76">
        <v>39755.818564814814</v>
      </c>
      <c r="AP87" s="79" t="str">
        <f>HYPERLINK("https://pbs.twimg.com/profile_banners/17137891/1675267035")</f>
        <v>https://pbs.twimg.com/profile_banners/17137891/1675267035</v>
      </c>
      <c r="AQ87" t="b">
        <v>0</v>
      </c>
      <c r="AR87" t="b">
        <v>0</v>
      </c>
      <c r="AS87" t="b">
        <v>1</v>
      </c>
      <c r="AU87">
        <v>6001</v>
      </c>
      <c r="AV87" s="79" t="str">
        <f t="shared" ref="AV87:AV95" si="1">HYPERLINK("https://abs.twimg.com/images/themes/theme1/bg.png")</f>
        <v>https://abs.twimg.com/images/themes/theme1/bg.png</v>
      </c>
      <c r="AW87" t="b">
        <v>1</v>
      </c>
      <c r="AX87" t="s">
        <v>9303</v>
      </c>
      <c r="AY87" s="79" t="str">
        <f>HYPERLINK("https://twitter.com/walmart")</f>
        <v>https://twitter.com/walmart</v>
      </c>
      <c r="AZ87" t="s">
        <v>66</v>
      </c>
      <c r="BA87" s="2"/>
    </row>
    <row r="88" spans="1:53" x14ac:dyDescent="0.45">
      <c r="A88" s="62" t="s">
        <v>1296</v>
      </c>
      <c r="B88" s="63"/>
      <c r="C88" s="63"/>
      <c r="D88" s="64"/>
      <c r="E88" s="66"/>
      <c r="F88" s="98" t="str">
        <f>HYPERLINK("https://pbs.twimg.com/profile_images/1086020588051857408/TyFdPl03_normal.jpg")</f>
        <v>https://pbs.twimg.com/profile_images/1086020588051857408/TyFdPl03_normal.jpg</v>
      </c>
      <c r="G88" s="63"/>
      <c r="H88" s="67"/>
      <c r="I88" s="68"/>
      <c r="J88" s="68"/>
      <c r="K88" s="67" t="s">
        <v>9820</v>
      </c>
      <c r="L88" s="71"/>
      <c r="M88" s="72"/>
      <c r="N88" s="72"/>
      <c r="O88" s="73"/>
      <c r="P88" s="74"/>
      <c r="Q88" s="74"/>
      <c r="R88" s="81"/>
      <c r="S88" s="81"/>
      <c r="T88" s="81"/>
      <c r="U88" s="81"/>
      <c r="V88" s="48"/>
      <c r="W88" s="48"/>
      <c r="X88" s="48"/>
      <c r="Y88" s="48"/>
      <c r="Z88" s="47"/>
      <c r="AA88" s="69"/>
      <c r="AB88" s="69"/>
      <c r="AC88" s="70"/>
      <c r="AD88" t="s">
        <v>5511</v>
      </c>
      <c r="AE88" s="78" t="s">
        <v>4713</v>
      </c>
      <c r="AF88">
        <v>188570</v>
      </c>
      <c r="AG88">
        <v>1337836</v>
      </c>
      <c r="AH88">
        <v>84421</v>
      </c>
      <c r="AI88">
        <v>32146</v>
      </c>
      <c r="AK88" t="s">
        <v>7938</v>
      </c>
      <c r="AL88" t="s">
        <v>8879</v>
      </c>
      <c r="AM88" s="79" t="str">
        <f>HYPERLINK("https://t.co/Yppy1rp5Z5")</f>
        <v>https://t.co/Yppy1rp5Z5</v>
      </c>
      <c r="AO88" s="76">
        <v>40909.999965277777</v>
      </c>
      <c r="AP88" s="79" t="str">
        <f>HYPERLINK("https://pbs.twimg.com/profile_banners/452540168/1547761818")</f>
        <v>https://pbs.twimg.com/profile_banners/452540168/1547761818</v>
      </c>
      <c r="AQ88" t="b">
        <v>0</v>
      </c>
      <c r="AR88" t="b">
        <v>0</v>
      </c>
      <c r="AS88" t="b">
        <v>1</v>
      </c>
      <c r="AU88">
        <v>3236</v>
      </c>
      <c r="AV88" s="79" t="str">
        <f t="shared" si="1"/>
        <v>https://abs.twimg.com/images/themes/theme1/bg.png</v>
      </c>
      <c r="AW88" t="b">
        <v>0</v>
      </c>
      <c r="AX88" t="s">
        <v>9303</v>
      </c>
      <c r="AY88" s="79" t="str">
        <f>HYPERLINK("https://twitter.com/dailyloud")</f>
        <v>https://twitter.com/dailyloud</v>
      </c>
      <c r="AZ88" t="s">
        <v>65</v>
      </c>
      <c r="BA88" s="2"/>
    </row>
    <row r="89" spans="1:53" x14ac:dyDescent="0.45">
      <c r="A89" s="62" t="s">
        <v>1476</v>
      </c>
      <c r="B89" s="63"/>
      <c r="C89" s="63"/>
      <c r="D89" s="64"/>
      <c r="E89" s="66"/>
      <c r="F89" s="98" t="str">
        <f>HYPERLINK("https://pbs.twimg.com/profile_images/1543898889975394306/qzuimk3Z_normal.jpg")</f>
        <v>https://pbs.twimg.com/profile_images/1543898889975394306/qzuimk3Z_normal.jpg</v>
      </c>
      <c r="G89" s="63"/>
      <c r="H89" s="67"/>
      <c r="I89" s="68"/>
      <c r="J89" s="68"/>
      <c r="K89" s="67" t="s">
        <v>10462</v>
      </c>
      <c r="L89" s="71"/>
      <c r="M89" s="72"/>
      <c r="N89" s="72"/>
      <c r="O89" s="73"/>
      <c r="P89" s="74"/>
      <c r="Q89" s="74"/>
      <c r="R89" s="81"/>
      <c r="S89" s="81"/>
      <c r="T89" s="81"/>
      <c r="U89" s="81"/>
      <c r="V89" s="48"/>
      <c r="W89" s="48"/>
      <c r="X89" s="48"/>
      <c r="Y89" s="48"/>
      <c r="Z89" s="47"/>
      <c r="AA89" s="69"/>
      <c r="AB89" s="69"/>
      <c r="AC89" s="70"/>
      <c r="AD89" t="s">
        <v>6143</v>
      </c>
      <c r="AE89" s="78" t="s">
        <v>7330</v>
      </c>
      <c r="AF89">
        <v>37</v>
      </c>
      <c r="AG89">
        <v>1308798</v>
      </c>
      <c r="AH89">
        <v>5938</v>
      </c>
      <c r="AI89">
        <v>1252</v>
      </c>
      <c r="AK89" t="s">
        <v>8501</v>
      </c>
      <c r="AL89" t="s">
        <v>9190</v>
      </c>
      <c r="AM89" s="79" t="str">
        <f>HYPERLINK("https://t.co/R1K0Qc6piT")</f>
        <v>https://t.co/R1K0Qc6piT</v>
      </c>
      <c r="AO89" s="76">
        <v>39948.366053240738</v>
      </c>
      <c r="AP89" s="79" t="str">
        <f>HYPERLINK("https://pbs.twimg.com/profile_banners/40204534/1657851125")</f>
        <v>https://pbs.twimg.com/profile_banners/40204534/1657851125</v>
      </c>
      <c r="AQ89" t="b">
        <v>0</v>
      </c>
      <c r="AR89" t="b">
        <v>0</v>
      </c>
      <c r="AS89" t="b">
        <v>0</v>
      </c>
      <c r="AU89">
        <v>609</v>
      </c>
      <c r="AV89" s="79" t="str">
        <f t="shared" si="1"/>
        <v>https://abs.twimg.com/images/themes/theme1/bg.png</v>
      </c>
      <c r="AW89" t="b">
        <v>1</v>
      </c>
      <c r="AX89" t="s">
        <v>9303</v>
      </c>
      <c r="AY89" s="79" t="str">
        <f>HYPERLINK("https://twitter.com/bongbongmarcos")</f>
        <v>https://twitter.com/bongbongmarcos</v>
      </c>
      <c r="AZ89" t="s">
        <v>65</v>
      </c>
      <c r="BA89" s="2"/>
    </row>
    <row r="90" spans="1:53" x14ac:dyDescent="0.45">
      <c r="A90" s="62" t="s">
        <v>1304</v>
      </c>
      <c r="B90" s="63"/>
      <c r="C90" s="63"/>
      <c r="D90" s="64"/>
      <c r="E90" s="66"/>
      <c r="F90" s="98" t="str">
        <f>HYPERLINK("https://pbs.twimg.com/profile_images/1613229607251243008/Z-eFpJ6-_normal.jpg")</f>
        <v>https://pbs.twimg.com/profile_images/1613229607251243008/Z-eFpJ6-_normal.jpg</v>
      </c>
      <c r="G90" s="63"/>
      <c r="H90" s="67"/>
      <c r="I90" s="68"/>
      <c r="J90" s="68"/>
      <c r="K90" s="67" t="s">
        <v>9908</v>
      </c>
      <c r="L90" s="71"/>
      <c r="M90" s="72"/>
      <c r="N90" s="72"/>
      <c r="O90" s="73"/>
      <c r="P90" s="74"/>
      <c r="Q90" s="74"/>
      <c r="R90" s="81"/>
      <c r="S90" s="81"/>
      <c r="T90" s="81"/>
      <c r="U90" s="81"/>
      <c r="V90" s="48"/>
      <c r="W90" s="48"/>
      <c r="X90" s="48"/>
      <c r="Y90" s="48"/>
      <c r="Z90" s="47"/>
      <c r="AA90" s="69"/>
      <c r="AB90" s="69"/>
      <c r="AC90" s="70"/>
      <c r="AD90" t="s">
        <v>5599</v>
      </c>
      <c r="AE90" s="78" t="s">
        <v>6844</v>
      </c>
      <c r="AF90">
        <v>800</v>
      </c>
      <c r="AG90">
        <v>1271047</v>
      </c>
      <c r="AH90">
        <v>74268</v>
      </c>
      <c r="AI90">
        <v>42703</v>
      </c>
      <c r="AK90" t="s">
        <v>8022</v>
      </c>
      <c r="AL90" t="s">
        <v>8991</v>
      </c>
      <c r="AM90" s="79" t="str">
        <f>HYPERLINK("https://t.co/vBCJ8PuAKO")</f>
        <v>https://t.co/vBCJ8PuAKO</v>
      </c>
      <c r="AO90" s="76">
        <v>41388.887708333335</v>
      </c>
      <c r="AP90" s="79" t="str">
        <f>HYPERLINK("https://pbs.twimg.com/profile_banners/1378000488/1673458906")</f>
        <v>https://pbs.twimg.com/profile_banners/1378000488/1673458906</v>
      </c>
      <c r="AQ90" t="b">
        <v>0</v>
      </c>
      <c r="AR90" t="b">
        <v>0</v>
      </c>
      <c r="AS90" t="b">
        <v>1</v>
      </c>
      <c r="AU90">
        <v>2466</v>
      </c>
      <c r="AV90" s="79" t="str">
        <f t="shared" si="1"/>
        <v>https://abs.twimg.com/images/themes/theme1/bg.png</v>
      </c>
      <c r="AW90" t="b">
        <v>1</v>
      </c>
      <c r="AX90" t="s">
        <v>9303</v>
      </c>
      <c r="AY90" s="79" t="str">
        <f>HYPERLINK("https://twitter.com/originalfunko")</f>
        <v>https://twitter.com/originalfunko</v>
      </c>
      <c r="AZ90" t="s">
        <v>65</v>
      </c>
      <c r="BA90" s="2"/>
    </row>
    <row r="91" spans="1:53" x14ac:dyDescent="0.45">
      <c r="A91" s="62" t="s">
        <v>1301</v>
      </c>
      <c r="B91" s="63"/>
      <c r="C91" s="63"/>
      <c r="D91" s="64"/>
      <c r="E91" s="66"/>
      <c r="F91" s="98" t="str">
        <f>HYPERLINK("https://pbs.twimg.com/profile_images/709974008276652032/DdO7jzyU_normal.jpg")</f>
        <v>https://pbs.twimg.com/profile_images/709974008276652032/DdO7jzyU_normal.jpg</v>
      </c>
      <c r="G91" s="63"/>
      <c r="H91" s="67"/>
      <c r="I91" s="68"/>
      <c r="J91" s="68"/>
      <c r="K91" s="67" t="s">
        <v>9843</v>
      </c>
      <c r="L91" s="71"/>
      <c r="M91" s="72"/>
      <c r="N91" s="72"/>
      <c r="O91" s="73"/>
      <c r="P91" s="74"/>
      <c r="Q91" s="74"/>
      <c r="R91" s="81"/>
      <c r="S91" s="81"/>
      <c r="T91" s="81"/>
      <c r="U91" s="81"/>
      <c r="V91" s="48"/>
      <c r="W91" s="48"/>
      <c r="X91" s="48"/>
      <c r="Y91" s="48"/>
      <c r="Z91" s="47"/>
      <c r="AA91" s="69"/>
      <c r="AB91" s="69"/>
      <c r="AC91" s="70"/>
      <c r="AD91" t="s">
        <v>5534</v>
      </c>
      <c r="AE91" s="78" t="s">
        <v>6783</v>
      </c>
      <c r="AF91">
        <v>344</v>
      </c>
      <c r="AG91">
        <v>1269670</v>
      </c>
      <c r="AH91">
        <v>59765</v>
      </c>
      <c r="AI91">
        <v>20877</v>
      </c>
      <c r="AK91" t="s">
        <v>7957</v>
      </c>
      <c r="AL91" t="s">
        <v>8830</v>
      </c>
      <c r="AM91" s="79" t="str">
        <f>HYPERLINK("https://t.co/hZbNWPLx05")</f>
        <v>https://t.co/hZbNWPLx05</v>
      </c>
      <c r="AO91" s="76">
        <v>39639.900347222225</v>
      </c>
      <c r="AP91" s="79" t="str">
        <f>HYPERLINK("https://pbs.twimg.com/profile_banners/15383636/1487838799")</f>
        <v>https://pbs.twimg.com/profile_banners/15383636/1487838799</v>
      </c>
      <c r="AQ91" t="b">
        <v>0</v>
      </c>
      <c r="AR91" t="b">
        <v>0</v>
      </c>
      <c r="AS91" t="b">
        <v>1</v>
      </c>
      <c r="AU91">
        <v>2783</v>
      </c>
      <c r="AV91" s="79" t="str">
        <f t="shared" si="1"/>
        <v>https://abs.twimg.com/images/themes/theme1/bg.png</v>
      </c>
      <c r="AW91" t="b">
        <v>1</v>
      </c>
      <c r="AX91" t="s">
        <v>9303</v>
      </c>
      <c r="AY91" s="79" t="str">
        <f>HYPERLINK("https://twitter.com/vans")</f>
        <v>https://twitter.com/vans</v>
      </c>
      <c r="AZ91" t="s">
        <v>65</v>
      </c>
      <c r="BA91" s="2"/>
    </row>
    <row r="92" spans="1:53" x14ac:dyDescent="0.45">
      <c r="A92" s="62" t="s">
        <v>1472</v>
      </c>
      <c r="B92" s="63"/>
      <c r="C92" s="63"/>
      <c r="D92" s="64"/>
      <c r="E92" s="66"/>
      <c r="F92" s="98" t="str">
        <f>HYPERLINK("https://pbs.twimg.com/profile_images/1026317637880635392/gp9EQA7c_normal.jpg")</f>
        <v>https://pbs.twimg.com/profile_images/1026317637880635392/gp9EQA7c_normal.jpg</v>
      </c>
      <c r="G92" s="63"/>
      <c r="H92" s="67"/>
      <c r="I92" s="68"/>
      <c r="J92" s="68"/>
      <c r="K92" s="67" t="s">
        <v>10423</v>
      </c>
      <c r="L92" s="71"/>
      <c r="M92" s="72"/>
      <c r="N92" s="72"/>
      <c r="O92" s="73"/>
      <c r="P92" s="74"/>
      <c r="Q92" s="74"/>
      <c r="R92" s="81"/>
      <c r="S92" s="81"/>
      <c r="T92" s="81"/>
      <c r="U92" s="81"/>
      <c r="V92" s="48"/>
      <c r="W92" s="48"/>
      <c r="X92" s="48"/>
      <c r="Y92" s="48"/>
      <c r="Z92" s="47"/>
      <c r="AA92" s="69"/>
      <c r="AB92" s="69"/>
      <c r="AC92" s="70"/>
      <c r="AD92" t="s">
        <v>6105</v>
      </c>
      <c r="AE92" s="78" t="s">
        <v>7303</v>
      </c>
      <c r="AF92">
        <v>379</v>
      </c>
      <c r="AG92">
        <v>1254564</v>
      </c>
      <c r="AH92">
        <v>39941</v>
      </c>
      <c r="AI92">
        <v>7426</v>
      </c>
      <c r="AK92" t="s">
        <v>8466</v>
      </c>
      <c r="AL92" t="s">
        <v>8771</v>
      </c>
      <c r="AM92" s="79" t="str">
        <f>HYPERLINK("https://t.co/uYGeJwQgn5")</f>
        <v>https://t.co/uYGeJwQgn5</v>
      </c>
      <c r="AO92" s="76">
        <v>39957.780914351853</v>
      </c>
      <c r="AP92" s="79" t="str">
        <f>HYPERLINK("https://pbs.twimg.com/profile_banners/42258864/1641921703")</f>
        <v>https://pbs.twimg.com/profile_banners/42258864/1641921703</v>
      </c>
      <c r="AQ92" t="b">
        <v>0</v>
      </c>
      <c r="AR92" t="b">
        <v>0</v>
      </c>
      <c r="AS92" t="b">
        <v>1</v>
      </c>
      <c r="AU92">
        <v>4392</v>
      </c>
      <c r="AV92" s="79" t="str">
        <f t="shared" si="1"/>
        <v>https://abs.twimg.com/images/themes/theme1/bg.png</v>
      </c>
      <c r="AW92" t="b">
        <v>1</v>
      </c>
      <c r="AX92" t="s">
        <v>9303</v>
      </c>
      <c r="AY92" s="79" t="str">
        <f>HYPERLINK("https://twitter.com/secnetwork")</f>
        <v>https://twitter.com/secnetwork</v>
      </c>
      <c r="AZ92" t="s">
        <v>65</v>
      </c>
      <c r="BA92" s="2"/>
    </row>
    <row r="93" spans="1:53" x14ac:dyDescent="0.45">
      <c r="A93" s="62" t="s">
        <v>1312</v>
      </c>
      <c r="B93" s="63"/>
      <c r="C93" s="63"/>
      <c r="D93" s="64"/>
      <c r="E93" s="66"/>
      <c r="F93" s="98" t="str">
        <f>HYPERLINK("https://pbs.twimg.com/profile_images/1565188375157493760/pzWyT_Xh_normal.jpg")</f>
        <v>https://pbs.twimg.com/profile_images/1565188375157493760/pzWyT_Xh_normal.jpg</v>
      </c>
      <c r="G93" s="63"/>
      <c r="H93" s="67"/>
      <c r="I93" s="68"/>
      <c r="J93" s="68"/>
      <c r="K93" s="67" t="s">
        <v>9935</v>
      </c>
      <c r="L93" s="71"/>
      <c r="M93" s="72"/>
      <c r="N93" s="72"/>
      <c r="O93" s="73"/>
      <c r="P93" s="74"/>
      <c r="Q93" s="74"/>
      <c r="R93" s="81"/>
      <c r="S93" s="81"/>
      <c r="T93" s="81"/>
      <c r="U93" s="81"/>
      <c r="V93" s="48"/>
      <c r="W93" s="48"/>
      <c r="X93" s="48"/>
      <c r="Y93" s="48"/>
      <c r="Z93" s="47"/>
      <c r="AA93" s="69"/>
      <c r="AB93" s="69"/>
      <c r="AC93" s="70"/>
      <c r="AD93" t="s">
        <v>5626</v>
      </c>
      <c r="AE93" s="78" t="s">
        <v>4723</v>
      </c>
      <c r="AF93">
        <v>127</v>
      </c>
      <c r="AG93">
        <v>1250933</v>
      </c>
      <c r="AH93">
        <v>3199</v>
      </c>
      <c r="AI93">
        <v>231</v>
      </c>
      <c r="AK93" t="s">
        <v>8042</v>
      </c>
      <c r="AL93" t="s">
        <v>8968</v>
      </c>
      <c r="AM93" s="79" t="str">
        <f>HYPERLINK("https://t.co/uaGT6zJHuj")</f>
        <v>https://t.co/uaGT6zJHuj</v>
      </c>
      <c r="AO93" s="76">
        <v>39749.897766203707</v>
      </c>
      <c r="AP93" s="79" t="str">
        <f>HYPERLINK("https://pbs.twimg.com/profile_banners/17029287/1675113249")</f>
        <v>https://pbs.twimg.com/profile_banners/17029287/1675113249</v>
      </c>
      <c r="AQ93" t="b">
        <v>0</v>
      </c>
      <c r="AR93" t="b">
        <v>0</v>
      </c>
      <c r="AS93" t="b">
        <v>1</v>
      </c>
      <c r="AU93">
        <v>1894</v>
      </c>
      <c r="AV93" s="79" t="str">
        <f t="shared" si="1"/>
        <v>https://abs.twimg.com/images/themes/theme1/bg.png</v>
      </c>
      <c r="AW93" t="b">
        <v>1</v>
      </c>
      <c r="AX93" t="s">
        <v>9303</v>
      </c>
      <c r="AY93" s="79" t="str">
        <f>HYPERLINK("https://twitter.com/piercetheveil")</f>
        <v>https://twitter.com/piercetheveil</v>
      </c>
      <c r="AZ93" t="s">
        <v>65</v>
      </c>
      <c r="BA93" s="2"/>
    </row>
    <row r="94" spans="1:53" x14ac:dyDescent="0.45">
      <c r="A94" s="62" t="s">
        <v>1217</v>
      </c>
      <c r="B94" s="63"/>
      <c r="C94" s="63"/>
      <c r="D94" s="64"/>
      <c r="E94" s="66"/>
      <c r="F94" s="98" t="str">
        <f>HYPERLINK("https://pbs.twimg.com/profile_images/1504459546844094470/piU-MLdr_normal.jpg")</f>
        <v>https://pbs.twimg.com/profile_images/1504459546844094470/piU-MLdr_normal.jpg</v>
      </c>
      <c r="G94" s="63"/>
      <c r="H94" s="67"/>
      <c r="I94" s="68"/>
      <c r="J94" s="68"/>
      <c r="K94" s="67" t="s">
        <v>9538</v>
      </c>
      <c r="L94" s="71"/>
      <c r="M94" s="72"/>
      <c r="N94" s="72"/>
      <c r="O94" s="73"/>
      <c r="P94" s="74"/>
      <c r="Q94" s="74"/>
      <c r="R94" s="81"/>
      <c r="S94" s="81"/>
      <c r="T94" s="81"/>
      <c r="U94" s="81"/>
      <c r="V94" s="48"/>
      <c r="W94" s="48"/>
      <c r="X94" s="48"/>
      <c r="Y94" s="48"/>
      <c r="Z94" s="47"/>
      <c r="AA94" s="69"/>
      <c r="AB94" s="69"/>
      <c r="AC94" s="70"/>
      <c r="AD94" t="s">
        <v>5231</v>
      </c>
      <c r="AE94" s="78" t="s">
        <v>6516</v>
      </c>
      <c r="AF94">
        <v>82</v>
      </c>
      <c r="AG94">
        <v>1216323</v>
      </c>
      <c r="AH94">
        <v>65200</v>
      </c>
      <c r="AI94">
        <v>27728</v>
      </c>
      <c r="AK94" t="s">
        <v>7699</v>
      </c>
      <c r="AL94" t="s">
        <v>8804</v>
      </c>
      <c r="AM94" s="79" t="str">
        <f>HYPERLINK("https://t.co/WhDKPBqoNq")</f>
        <v>https://t.co/WhDKPBqoNq</v>
      </c>
      <c r="AO94" s="76">
        <v>39771.016157407408</v>
      </c>
      <c r="AP94" s="79" t="str">
        <f>HYPERLINK("https://pbs.twimg.com/profile_banners/17475575/1673286255")</f>
        <v>https://pbs.twimg.com/profile_banners/17475575/1673286255</v>
      </c>
      <c r="AQ94" t="b">
        <v>0</v>
      </c>
      <c r="AR94" t="b">
        <v>0</v>
      </c>
      <c r="AS94" t="b">
        <v>1</v>
      </c>
      <c r="AU94">
        <v>6413</v>
      </c>
      <c r="AV94" s="79" t="str">
        <f t="shared" si="1"/>
        <v>https://abs.twimg.com/images/themes/theme1/bg.png</v>
      </c>
      <c r="AW94" t="b">
        <v>1</v>
      </c>
      <c r="AX94" t="s">
        <v>9303</v>
      </c>
      <c r="AY94" s="79" t="str">
        <f>HYPERLINK("https://twitter.com/bestbuy")</f>
        <v>https://twitter.com/bestbuy</v>
      </c>
      <c r="AZ94" t="s">
        <v>65</v>
      </c>
      <c r="BA94" s="2"/>
    </row>
    <row r="95" spans="1:53" x14ac:dyDescent="0.45">
      <c r="A95" s="62" t="s">
        <v>1405</v>
      </c>
      <c r="B95" s="63"/>
      <c r="C95" s="63"/>
      <c r="D95" s="64"/>
      <c r="E95" s="66"/>
      <c r="F95" s="98" t="str">
        <f>HYPERLINK("https://pbs.twimg.com/profile_images/1604136272196300800/_Pv8Fr3a_normal.jpg")</f>
        <v>https://pbs.twimg.com/profile_images/1604136272196300800/_Pv8Fr3a_normal.jpg</v>
      </c>
      <c r="G95" s="63"/>
      <c r="H95" s="67"/>
      <c r="I95" s="68"/>
      <c r="J95" s="68"/>
      <c r="K95" s="67" t="s">
        <v>10262</v>
      </c>
      <c r="L95" s="71"/>
      <c r="M95" s="72"/>
      <c r="N95" s="72"/>
      <c r="O95" s="73"/>
      <c r="P95" s="74"/>
      <c r="Q95" s="74"/>
      <c r="R95" s="81"/>
      <c r="S95" s="81"/>
      <c r="T95" s="81"/>
      <c r="U95" s="81"/>
      <c r="V95" s="48"/>
      <c r="W95" s="48"/>
      <c r="X95" s="48"/>
      <c r="Y95" s="48"/>
      <c r="Z95" s="47"/>
      <c r="AA95" s="69"/>
      <c r="AB95" s="69"/>
      <c r="AC95" s="70"/>
      <c r="AD95" t="s">
        <v>5945</v>
      </c>
      <c r="AE95" s="78" t="s">
        <v>4761</v>
      </c>
      <c r="AF95">
        <v>2597</v>
      </c>
      <c r="AG95">
        <v>1216231</v>
      </c>
      <c r="AH95">
        <v>29307</v>
      </c>
      <c r="AI95">
        <v>21349</v>
      </c>
      <c r="AK95" t="s">
        <v>8323</v>
      </c>
      <c r="AM95" s="79" t="str">
        <f>HYPERLINK("https://t.co/IRE83iZWuF")</f>
        <v>https://t.co/IRE83iZWuF</v>
      </c>
      <c r="AO95" s="76">
        <v>41545.783715277779</v>
      </c>
      <c r="AP95" s="79" t="str">
        <f>HYPERLINK("https://pbs.twimg.com/profile_banners/1915033663/1664131343")</f>
        <v>https://pbs.twimg.com/profile_banners/1915033663/1664131343</v>
      </c>
      <c r="AQ95" t="b">
        <v>0</v>
      </c>
      <c r="AR95" t="b">
        <v>0</v>
      </c>
      <c r="AS95" t="b">
        <v>1</v>
      </c>
      <c r="AU95">
        <v>4356</v>
      </c>
      <c r="AV95" s="79" t="str">
        <f t="shared" si="1"/>
        <v>https://abs.twimg.com/images/themes/theme1/bg.png</v>
      </c>
      <c r="AW95" t="b">
        <v>1</v>
      </c>
      <c r="AX95" t="s">
        <v>9303</v>
      </c>
      <c r="AY95" s="79" t="str">
        <f>HYPERLINK("https://twitter.com/davidhogg111")</f>
        <v>https://twitter.com/davidhogg111</v>
      </c>
      <c r="AZ95" t="s">
        <v>65</v>
      </c>
      <c r="BA95" s="2"/>
    </row>
    <row r="96" spans="1:53" x14ac:dyDescent="0.45">
      <c r="A96" s="62" t="s">
        <v>1380</v>
      </c>
      <c r="B96" s="63"/>
      <c r="C96" s="63"/>
      <c r="D96" s="64"/>
      <c r="E96" s="66"/>
      <c r="F96" s="98" t="str">
        <f>HYPERLINK("https://pbs.twimg.com/profile_images/1395420331922231301/lEFdJlvQ_normal.jpg")</f>
        <v>https://pbs.twimg.com/profile_images/1395420331922231301/lEFdJlvQ_normal.jpg</v>
      </c>
      <c r="G96" s="63"/>
      <c r="H96" s="67"/>
      <c r="I96" s="68"/>
      <c r="J96" s="68"/>
      <c r="K96" s="67" t="s">
        <v>10173</v>
      </c>
      <c r="L96" s="71"/>
      <c r="M96" s="72"/>
      <c r="N96" s="72"/>
      <c r="O96" s="73"/>
      <c r="P96" s="74"/>
      <c r="Q96" s="74"/>
      <c r="R96" s="81"/>
      <c r="S96" s="81"/>
      <c r="T96" s="81"/>
      <c r="U96" s="81"/>
      <c r="V96" s="48"/>
      <c r="W96" s="48"/>
      <c r="X96" s="48"/>
      <c r="Y96" s="48"/>
      <c r="Z96" s="47"/>
      <c r="AA96" s="69"/>
      <c r="AB96" s="69"/>
      <c r="AC96" s="70"/>
      <c r="AD96" t="s">
        <v>5859</v>
      </c>
      <c r="AE96" s="78" t="s">
        <v>7082</v>
      </c>
      <c r="AF96">
        <v>117</v>
      </c>
      <c r="AG96">
        <v>1207041</v>
      </c>
      <c r="AH96">
        <v>87065</v>
      </c>
      <c r="AI96">
        <v>4970</v>
      </c>
      <c r="AK96" t="s">
        <v>8246</v>
      </c>
      <c r="AM96" s="79" t="str">
        <f>HYPERLINK("https://t.co/FS61nMvLxV")</f>
        <v>https://t.co/FS61nMvLxV</v>
      </c>
      <c r="AO96" s="76">
        <v>40155.634421296294</v>
      </c>
      <c r="AP96" s="79" t="str">
        <f>HYPERLINK("https://pbs.twimg.com/profile_banners/95438524/1621529085")</f>
        <v>https://pbs.twimg.com/profile_banners/95438524/1621529085</v>
      </c>
      <c r="AQ96" t="b">
        <v>0</v>
      </c>
      <c r="AR96" t="b">
        <v>0</v>
      </c>
      <c r="AS96" t="b">
        <v>0</v>
      </c>
      <c r="AU96">
        <v>5920</v>
      </c>
      <c r="AV96" s="79" t="str">
        <f>HYPERLINK("https://abs.twimg.com/images/themes/theme15/bg.png")</f>
        <v>https://abs.twimg.com/images/themes/theme15/bg.png</v>
      </c>
      <c r="AW96" t="b">
        <v>1</v>
      </c>
      <c r="AX96" t="s">
        <v>9303</v>
      </c>
      <c r="AY96" s="79" t="str">
        <f>HYPERLINK("https://twitter.com/androidauth")</f>
        <v>https://twitter.com/androidauth</v>
      </c>
      <c r="AZ96" t="s">
        <v>65</v>
      </c>
      <c r="BA96" s="2"/>
    </row>
    <row r="97" spans="1:53" x14ac:dyDescent="0.45">
      <c r="A97" s="62" t="s">
        <v>1282</v>
      </c>
      <c r="B97" s="63"/>
      <c r="C97" s="63"/>
      <c r="D97" s="64"/>
      <c r="E97" s="66"/>
      <c r="F97" s="98" t="str">
        <f>HYPERLINK("https://pbs.twimg.com/profile_images/1597674596404174848/-BVfa3fz_normal.jpg")</f>
        <v>https://pbs.twimg.com/profile_images/1597674596404174848/-BVfa3fz_normal.jpg</v>
      </c>
      <c r="G97" s="63"/>
      <c r="H97" s="67"/>
      <c r="I97" s="68"/>
      <c r="J97" s="68"/>
      <c r="K97" s="67" t="s">
        <v>9782</v>
      </c>
      <c r="L97" s="71"/>
      <c r="M97" s="72"/>
      <c r="N97" s="72"/>
      <c r="O97" s="73"/>
      <c r="P97" s="74"/>
      <c r="Q97" s="74"/>
      <c r="R97" s="81"/>
      <c r="S97" s="81"/>
      <c r="T97" s="81"/>
      <c r="U97" s="81"/>
      <c r="V97" s="48"/>
      <c r="W97" s="48"/>
      <c r="X97" s="48"/>
      <c r="Y97" s="48"/>
      <c r="Z97" s="47"/>
      <c r="AA97" s="69"/>
      <c r="AB97" s="69"/>
      <c r="AC97" s="70"/>
      <c r="AD97" t="s">
        <v>5474</v>
      </c>
      <c r="AE97" s="78" t="s">
        <v>6731</v>
      </c>
      <c r="AF97">
        <v>577</v>
      </c>
      <c r="AG97">
        <v>1192820</v>
      </c>
      <c r="AH97">
        <v>24427</v>
      </c>
      <c r="AI97">
        <v>31679</v>
      </c>
      <c r="AO97" s="76">
        <v>40974.779479166667</v>
      </c>
      <c r="AP97" s="79" t="str">
        <f>HYPERLINK("https://pbs.twimg.com/profile_banners/516771605/1664035224")</f>
        <v>https://pbs.twimg.com/profile_banners/516771605/1664035224</v>
      </c>
      <c r="AQ97" t="b">
        <v>0</v>
      </c>
      <c r="AR97" t="b">
        <v>0</v>
      </c>
      <c r="AS97" t="b">
        <v>0</v>
      </c>
      <c r="AU97">
        <v>3088</v>
      </c>
      <c r="AV97" s="79" t="str">
        <f>HYPERLINK("https://abs.twimg.com/images/themes/theme1/bg.png")</f>
        <v>https://abs.twimg.com/images/themes/theme1/bg.png</v>
      </c>
      <c r="AW97" t="b">
        <v>1</v>
      </c>
      <c r="AX97" t="s">
        <v>9303</v>
      </c>
      <c r="AY97" s="79" t="str">
        <f>HYPERLINK("https://twitter.com/codyrhodes")</f>
        <v>https://twitter.com/codyrhodes</v>
      </c>
      <c r="AZ97" t="s">
        <v>65</v>
      </c>
      <c r="BA97" s="2"/>
    </row>
    <row r="98" spans="1:53" x14ac:dyDescent="0.45">
      <c r="A98" s="62" t="s">
        <v>1354</v>
      </c>
      <c r="B98" s="63"/>
      <c r="C98" s="63"/>
      <c r="D98" s="64"/>
      <c r="E98" s="66"/>
      <c r="F98" s="98" t="str">
        <f>HYPERLINK("https://pbs.twimg.com/profile_images/1148729107406041088/emlH0Rv4_normal.png")</f>
        <v>https://pbs.twimg.com/profile_images/1148729107406041088/emlH0Rv4_normal.png</v>
      </c>
      <c r="G98" s="63"/>
      <c r="H98" s="67"/>
      <c r="I98" s="68"/>
      <c r="J98" s="68"/>
      <c r="K98" s="67" t="s">
        <v>10081</v>
      </c>
      <c r="L98" s="71"/>
      <c r="M98" s="72"/>
      <c r="N98" s="72"/>
      <c r="O98" s="73"/>
      <c r="P98" s="74"/>
      <c r="Q98" s="74"/>
      <c r="R98" s="81"/>
      <c r="S98" s="81"/>
      <c r="T98" s="81"/>
      <c r="U98" s="81"/>
      <c r="V98" s="48"/>
      <c r="W98" s="48"/>
      <c r="X98" s="48"/>
      <c r="Y98" s="48"/>
      <c r="Z98" s="47"/>
      <c r="AA98" s="69"/>
      <c r="AB98" s="69"/>
      <c r="AC98" s="70"/>
      <c r="AD98" t="s">
        <v>5770</v>
      </c>
      <c r="AE98" s="78" t="s">
        <v>7003</v>
      </c>
      <c r="AF98">
        <v>7037</v>
      </c>
      <c r="AG98">
        <v>1172845</v>
      </c>
      <c r="AH98">
        <v>218450</v>
      </c>
      <c r="AI98">
        <v>8258</v>
      </c>
      <c r="AK98" t="s">
        <v>8164</v>
      </c>
      <c r="AM98" s="79" t="str">
        <f>HYPERLINK("https://t.co/eXdD6anyzZ")</f>
        <v>https://t.co/eXdD6anyzZ</v>
      </c>
      <c r="AO98" s="76">
        <v>39689.644826388889</v>
      </c>
      <c r="AP98" s="79" t="str">
        <f>HYPERLINK("https://pbs.twimg.com/profile_banners/16043308/1672765285")</f>
        <v>https://pbs.twimg.com/profile_banners/16043308/1672765285</v>
      </c>
      <c r="AQ98" t="b">
        <v>0</v>
      </c>
      <c r="AR98" t="b">
        <v>0</v>
      </c>
      <c r="AS98" t="b">
        <v>1</v>
      </c>
      <c r="AU98">
        <v>3937</v>
      </c>
      <c r="AV98" s="79" t="str">
        <f>HYPERLINK("https://abs.twimg.com/images/themes/theme1/bg.png")</f>
        <v>https://abs.twimg.com/images/themes/theme1/bg.png</v>
      </c>
      <c r="AW98" t="b">
        <v>1</v>
      </c>
      <c r="AX98" t="s">
        <v>9303</v>
      </c>
      <c r="AY98" s="79" t="str">
        <f>HYPERLINK("https://twitter.com/chickfila")</f>
        <v>https://twitter.com/chickfila</v>
      </c>
      <c r="AZ98" t="s">
        <v>65</v>
      </c>
      <c r="BA98" s="2"/>
    </row>
    <row r="99" spans="1:53" x14ac:dyDescent="0.45">
      <c r="A99" s="62" t="s">
        <v>1284</v>
      </c>
      <c r="B99" s="63"/>
      <c r="C99" s="63"/>
      <c r="D99" s="64"/>
      <c r="E99" s="66"/>
      <c r="F99" s="98" t="str">
        <f>HYPERLINK("https://pbs.twimg.com/profile_images/1587457843824922624/mD-MU3W1_normal.jpg")</f>
        <v>https://pbs.twimg.com/profile_images/1587457843824922624/mD-MU3W1_normal.jpg</v>
      </c>
      <c r="G99" s="63"/>
      <c r="H99" s="67"/>
      <c r="I99" s="68"/>
      <c r="J99" s="68"/>
      <c r="K99" s="67" t="s">
        <v>9788</v>
      </c>
      <c r="L99" s="71"/>
      <c r="M99" s="72"/>
      <c r="N99" s="72"/>
      <c r="O99" s="73"/>
      <c r="P99" s="74"/>
      <c r="Q99" s="74"/>
      <c r="R99" s="81"/>
      <c r="S99" s="81"/>
      <c r="T99" s="81"/>
      <c r="U99" s="81"/>
      <c r="V99" s="48"/>
      <c r="W99" s="48"/>
      <c r="X99" s="48"/>
      <c r="Y99" s="48"/>
      <c r="Z99" s="47"/>
      <c r="AA99" s="69"/>
      <c r="AB99" s="69"/>
      <c r="AC99" s="70"/>
      <c r="AD99" t="s">
        <v>5480</v>
      </c>
      <c r="AE99" s="78" t="s">
        <v>6737</v>
      </c>
      <c r="AF99">
        <v>18472</v>
      </c>
      <c r="AG99">
        <v>1157606</v>
      </c>
      <c r="AH99">
        <v>53483</v>
      </c>
      <c r="AI99">
        <v>3507</v>
      </c>
      <c r="AK99" t="s">
        <v>7909</v>
      </c>
      <c r="AL99" t="s">
        <v>8919</v>
      </c>
      <c r="AM99" s="79" t="str">
        <f>HYPERLINK("https://t.co/1vWTJMWhmj")</f>
        <v>https://t.co/1vWTJMWhmj</v>
      </c>
      <c r="AO99" s="76">
        <v>40042.691030092596</v>
      </c>
      <c r="AP99" s="79" t="str">
        <f>HYPERLINK("https://pbs.twimg.com/profile_banners/66395780/1667333027")</f>
        <v>https://pbs.twimg.com/profile_banners/66395780/1667333027</v>
      </c>
      <c r="AQ99" t="b">
        <v>0</v>
      </c>
      <c r="AR99" t="b">
        <v>0</v>
      </c>
      <c r="AS99" t="b">
        <v>1</v>
      </c>
      <c r="AU99">
        <v>4391</v>
      </c>
      <c r="AV99" s="79" t="str">
        <f>HYPERLINK("https://abs.twimg.com/images/themes/theme13/bg.gif")</f>
        <v>https://abs.twimg.com/images/themes/theme13/bg.gif</v>
      </c>
      <c r="AW99" t="b">
        <v>1</v>
      </c>
      <c r="AX99" t="s">
        <v>9303</v>
      </c>
      <c r="AY99" s="79" t="str">
        <f>HYPERLINK("https://twitter.com/chevrolet")</f>
        <v>https://twitter.com/chevrolet</v>
      </c>
      <c r="AZ99" t="s">
        <v>65</v>
      </c>
      <c r="BA99" s="2"/>
    </row>
    <row r="100" spans="1:53" x14ac:dyDescent="0.45">
      <c r="A100" s="62" t="s">
        <v>1316</v>
      </c>
      <c r="B100" s="63"/>
      <c r="C100" s="63"/>
      <c r="D100" s="64"/>
      <c r="E100" s="66"/>
      <c r="F100" s="98" t="str">
        <f>HYPERLINK("https://pbs.twimg.com/profile_images/1591075288850505728/9uBdvfZn_normal.jpg")</f>
        <v>https://pbs.twimg.com/profile_images/1591075288850505728/9uBdvfZn_normal.jpg</v>
      </c>
      <c r="G100" s="63"/>
      <c r="H100" s="67"/>
      <c r="I100" s="68"/>
      <c r="J100" s="68"/>
      <c r="K100" s="67" t="s">
        <v>9958</v>
      </c>
      <c r="L100" s="71"/>
      <c r="M100" s="72"/>
      <c r="N100" s="72"/>
      <c r="O100" s="73"/>
      <c r="P100" s="74"/>
      <c r="Q100" s="74"/>
      <c r="R100" s="81"/>
      <c r="S100" s="81"/>
      <c r="T100" s="81"/>
      <c r="U100" s="81"/>
      <c r="V100" s="48"/>
      <c r="W100" s="48"/>
      <c r="X100" s="48"/>
      <c r="Y100" s="48"/>
      <c r="Z100" s="47"/>
      <c r="AA100" s="69"/>
      <c r="AB100" s="69"/>
      <c r="AC100" s="70"/>
      <c r="AD100" t="s">
        <v>5649</v>
      </c>
      <c r="AE100" s="78" t="s">
        <v>6891</v>
      </c>
      <c r="AF100">
        <v>3043</v>
      </c>
      <c r="AG100">
        <v>1144528</v>
      </c>
      <c r="AH100">
        <v>5283</v>
      </c>
      <c r="AI100">
        <v>2232</v>
      </c>
      <c r="AK100" t="s">
        <v>8060</v>
      </c>
      <c r="AL100" t="s">
        <v>9016</v>
      </c>
      <c r="AM100" s="79" t="str">
        <f>HYPERLINK("https://t.co/V0KRGMryhO")</f>
        <v>https://t.co/V0KRGMryhO</v>
      </c>
      <c r="AO100" s="76">
        <v>39197.917002314818</v>
      </c>
      <c r="AP100" s="79" t="str">
        <f>HYPERLINK("https://pbs.twimg.com/profile_banners/5509762/1673386540")</f>
        <v>https://pbs.twimg.com/profile_banners/5509762/1673386540</v>
      </c>
      <c r="AQ100" t="b">
        <v>0</v>
      </c>
      <c r="AR100" t="b">
        <v>0</v>
      </c>
      <c r="AS100" t="b">
        <v>1</v>
      </c>
      <c r="AU100">
        <v>3095</v>
      </c>
      <c r="AV100" s="79" t="str">
        <f>HYPERLINK("https://abs.twimg.com/images/themes/theme1/bg.png")</f>
        <v>https://abs.twimg.com/images/themes/theme1/bg.png</v>
      </c>
      <c r="AW100" t="b">
        <v>1</v>
      </c>
      <c r="AX100" t="s">
        <v>9303</v>
      </c>
      <c r="AY100" s="79" t="str">
        <f>HYPERLINK("https://twitter.com/sarahhuckabee")</f>
        <v>https://twitter.com/sarahhuckabee</v>
      </c>
      <c r="AZ100" t="s">
        <v>65</v>
      </c>
      <c r="BA100" s="2"/>
    </row>
    <row r="101" spans="1:53" x14ac:dyDescent="0.45">
      <c r="A101" s="62" t="s">
        <v>1292</v>
      </c>
      <c r="B101" s="63"/>
      <c r="C101" s="63"/>
      <c r="D101" s="64"/>
      <c r="E101" s="66"/>
      <c r="F101" s="98" t="str">
        <f>HYPERLINK("https://pbs.twimg.com/profile_images/1543621188546711553/2B9m2Egl_normal.jpg")</f>
        <v>https://pbs.twimg.com/profile_images/1543621188546711553/2B9m2Egl_normal.jpg</v>
      </c>
      <c r="G101" s="63"/>
      <c r="H101" s="67"/>
      <c r="I101" s="68"/>
      <c r="J101" s="68"/>
      <c r="K101" s="67" t="s">
        <v>9803</v>
      </c>
      <c r="L101" s="71"/>
      <c r="M101" s="72"/>
      <c r="N101" s="72"/>
      <c r="O101" s="73"/>
      <c r="P101" s="74"/>
      <c r="Q101" s="74"/>
      <c r="R101" s="81"/>
      <c r="S101" s="81"/>
      <c r="T101" s="81"/>
      <c r="U101" s="81"/>
      <c r="V101" s="48"/>
      <c r="W101" s="48"/>
      <c r="X101" s="48"/>
      <c r="Y101" s="48"/>
      <c r="Z101" s="47"/>
      <c r="AA101" s="69"/>
      <c r="AB101" s="69"/>
      <c r="AC101" s="70"/>
      <c r="AD101" t="s">
        <v>5494</v>
      </c>
      <c r="AE101" s="78" t="s">
        <v>4710</v>
      </c>
      <c r="AF101">
        <v>417</v>
      </c>
      <c r="AG101">
        <v>1121799</v>
      </c>
      <c r="AH101">
        <v>7017</v>
      </c>
      <c r="AI101">
        <v>20641</v>
      </c>
      <c r="AK101" t="s">
        <v>7923</v>
      </c>
      <c r="AM101" s="79" t="str">
        <f>HYPERLINK("https://t.co/YNXJcSzkaf")</f>
        <v>https://t.co/YNXJcSzkaf</v>
      </c>
      <c r="AO101" s="76">
        <v>41575.743009259262</v>
      </c>
      <c r="AQ101" t="b">
        <v>1</v>
      </c>
      <c r="AR101" t="b">
        <v>0</v>
      </c>
      <c r="AS101" t="b">
        <v>1</v>
      </c>
      <c r="AU101">
        <v>1230</v>
      </c>
      <c r="AV101" s="79" t="str">
        <f>HYPERLINK("https://abs.twimg.com/images/themes/theme1/bg.png")</f>
        <v>https://abs.twimg.com/images/themes/theme1/bg.png</v>
      </c>
      <c r="AW101" t="b">
        <v>1</v>
      </c>
      <c r="AX101" t="s">
        <v>9303</v>
      </c>
      <c r="AY101" s="79" t="str">
        <f>HYPERLINK("https://twitter.com/lj_era8")</f>
        <v>https://twitter.com/lj_era8</v>
      </c>
      <c r="AZ101" t="s">
        <v>65</v>
      </c>
      <c r="BA101" s="2"/>
    </row>
    <row r="102" spans="1:53" x14ac:dyDescent="0.45">
      <c r="A102" s="62" t="s">
        <v>1151</v>
      </c>
      <c r="B102" s="63"/>
      <c r="C102" s="63"/>
      <c r="D102" s="64"/>
      <c r="E102" s="66"/>
      <c r="F102" s="98" t="str">
        <f>HYPERLINK("https://pbs.twimg.com/profile_images/1589731437959208960/iThAxQ4j_normal.jpg")</f>
        <v>https://pbs.twimg.com/profile_images/1589731437959208960/iThAxQ4j_normal.jpg</v>
      </c>
      <c r="G102" s="63"/>
      <c r="H102" s="67"/>
      <c r="I102" s="68"/>
      <c r="J102" s="68"/>
      <c r="K102" s="67" t="s">
        <v>9390</v>
      </c>
      <c r="L102" s="71"/>
      <c r="M102" s="72"/>
      <c r="N102" s="72"/>
      <c r="O102" s="73"/>
      <c r="P102" s="74"/>
      <c r="Q102" s="74"/>
      <c r="R102" s="81"/>
      <c r="S102" s="81"/>
      <c r="T102" s="81"/>
      <c r="U102" s="81"/>
      <c r="V102" s="48"/>
      <c r="W102" s="48"/>
      <c r="X102" s="48"/>
      <c r="Y102" s="48"/>
      <c r="Z102" s="47"/>
      <c r="AA102" s="69"/>
      <c r="AB102" s="69"/>
      <c r="AC102" s="70"/>
      <c r="AD102" t="s">
        <v>5085</v>
      </c>
      <c r="AE102" s="78" t="s">
        <v>4655</v>
      </c>
      <c r="AF102">
        <v>138</v>
      </c>
      <c r="AG102">
        <v>1114010</v>
      </c>
      <c r="AH102">
        <v>752</v>
      </c>
      <c r="AI102">
        <v>1146</v>
      </c>
      <c r="AK102" t="s">
        <v>7569</v>
      </c>
      <c r="AL102" t="s">
        <v>4899</v>
      </c>
      <c r="AM102" s="79" t="str">
        <f>HYPERLINK("https://t.co/VJQg8yXiqx")</f>
        <v>https://t.co/VJQg8yXiqx</v>
      </c>
      <c r="AO102" s="76">
        <v>44478.843657407408</v>
      </c>
      <c r="AP102" s="79" t="str">
        <f>HYPERLINK("https://pbs.twimg.com/profile_banners/1446932149148344320/1633824260")</f>
        <v>https://pbs.twimg.com/profile_banners/1446932149148344320/1633824260</v>
      </c>
      <c r="AQ102" t="b">
        <v>1</v>
      </c>
      <c r="AR102" t="b">
        <v>0</v>
      </c>
      <c r="AS102" t="b">
        <v>0</v>
      </c>
      <c r="AU102">
        <v>1798</v>
      </c>
      <c r="AW102" t="b">
        <v>0</v>
      </c>
      <c r="AX102" t="s">
        <v>9303</v>
      </c>
      <c r="AY102" s="79" t="str">
        <f>HYPERLINK("https://twitter.com/clownworld_")</f>
        <v>https://twitter.com/clownworld_</v>
      </c>
      <c r="AZ102" t="s">
        <v>65</v>
      </c>
      <c r="BA102" s="2"/>
    </row>
    <row r="103" spans="1:53" x14ac:dyDescent="0.45">
      <c r="A103" s="62" t="s">
        <v>1281</v>
      </c>
      <c r="B103" s="63"/>
      <c r="C103" s="63"/>
      <c r="D103" s="64"/>
      <c r="E103" s="66"/>
      <c r="F103" s="98" t="str">
        <f>HYPERLINK("https://pbs.twimg.com/profile_images/1356113805600669697/sXS9RmVq_normal.jpg")</f>
        <v>https://pbs.twimg.com/profile_images/1356113805600669697/sXS9RmVq_normal.jpg</v>
      </c>
      <c r="G103" s="63"/>
      <c r="H103" s="67"/>
      <c r="I103" s="68"/>
      <c r="J103" s="68"/>
      <c r="K103" s="67" t="s">
        <v>9779</v>
      </c>
      <c r="L103" s="71"/>
      <c r="M103" s="72"/>
      <c r="N103" s="72"/>
      <c r="O103" s="73"/>
      <c r="P103" s="74"/>
      <c r="Q103" s="74"/>
      <c r="R103" s="81"/>
      <c r="S103" s="81"/>
      <c r="T103" s="81"/>
      <c r="U103" s="81"/>
      <c r="V103" s="48"/>
      <c r="W103" s="48"/>
      <c r="X103" s="48"/>
      <c r="Y103" s="48"/>
      <c r="Z103" s="47"/>
      <c r="AA103" s="69"/>
      <c r="AB103" s="69"/>
      <c r="AC103" s="70"/>
      <c r="AD103" t="s">
        <v>5471</v>
      </c>
      <c r="AE103" s="78" t="s">
        <v>6728</v>
      </c>
      <c r="AF103">
        <v>51</v>
      </c>
      <c r="AG103">
        <v>950465</v>
      </c>
      <c r="AH103">
        <v>21920</v>
      </c>
      <c r="AI103">
        <v>803</v>
      </c>
      <c r="AK103" t="s">
        <v>7902</v>
      </c>
      <c r="AL103" t="s">
        <v>8914</v>
      </c>
      <c r="AM103" s="79" t="str">
        <f>HYPERLINK("https://t.co/6DDbWSoRk2")</f>
        <v>https://t.co/6DDbWSoRk2</v>
      </c>
      <c r="AO103" s="76">
        <v>41605.787314814814</v>
      </c>
      <c r="AP103" s="79" t="str">
        <f>HYPERLINK("https://pbs.twimg.com/profile_banners/2218274526/1658390985")</f>
        <v>https://pbs.twimg.com/profile_banners/2218274526/1658390985</v>
      </c>
      <c r="AQ103" t="b">
        <v>0</v>
      </c>
      <c r="AR103" t="b">
        <v>0</v>
      </c>
      <c r="AS103" t="b">
        <v>1</v>
      </c>
      <c r="AU103">
        <v>496</v>
      </c>
      <c r="AV103" s="79" t="str">
        <f>HYPERLINK("https://abs.twimg.com/images/themes/theme1/bg.png")</f>
        <v>https://abs.twimg.com/images/themes/theme1/bg.png</v>
      </c>
      <c r="AW103" t="b">
        <v>1</v>
      </c>
      <c r="AX103" t="s">
        <v>9303</v>
      </c>
      <c r="AY103" s="79" t="str">
        <f>HYPERLINK("https://twitter.com/buzzfeedindia")</f>
        <v>https://twitter.com/buzzfeedindia</v>
      </c>
      <c r="AZ103" t="s">
        <v>65</v>
      </c>
      <c r="BA103" s="2"/>
    </row>
    <row r="104" spans="1:53" x14ac:dyDescent="0.45">
      <c r="A104" s="62" t="s">
        <v>1349</v>
      </c>
      <c r="B104" s="63"/>
      <c r="C104" s="63"/>
      <c r="D104" s="64"/>
      <c r="E104" s="66"/>
      <c r="F104" s="98" t="str">
        <f>HYPERLINK("https://pbs.twimg.com/profile_images/1589693797830578177/E0WMftfx_normal.jpg")</f>
        <v>https://pbs.twimg.com/profile_images/1589693797830578177/E0WMftfx_normal.jpg</v>
      </c>
      <c r="G104" s="63"/>
      <c r="H104" s="67"/>
      <c r="I104" s="68"/>
      <c r="J104" s="68"/>
      <c r="K104" s="67" t="s">
        <v>10059</v>
      </c>
      <c r="L104" s="71"/>
      <c r="M104" s="72"/>
      <c r="N104" s="72"/>
      <c r="O104" s="73"/>
      <c r="P104" s="74"/>
      <c r="Q104" s="74"/>
      <c r="R104" s="81"/>
      <c r="S104" s="81"/>
      <c r="T104" s="81"/>
      <c r="U104" s="81"/>
      <c r="V104" s="48"/>
      <c r="W104" s="48"/>
      <c r="X104" s="48"/>
      <c r="Y104" s="48"/>
      <c r="Z104" s="47"/>
      <c r="AA104" s="69"/>
      <c r="AB104" s="69"/>
      <c r="AC104" s="70"/>
      <c r="AD104" t="s">
        <v>5748</v>
      </c>
      <c r="AE104" s="78" t="s">
        <v>6984</v>
      </c>
      <c r="AF104">
        <v>898</v>
      </c>
      <c r="AG104">
        <v>927128</v>
      </c>
      <c r="AH104">
        <v>20236</v>
      </c>
      <c r="AI104">
        <v>9954</v>
      </c>
      <c r="AK104" t="s">
        <v>8146</v>
      </c>
      <c r="AL104" t="s">
        <v>4973</v>
      </c>
      <c r="AM104" s="79" t="str">
        <f>HYPERLINK("https://t.co/lj4S6tUDoJ")</f>
        <v>https://t.co/lj4S6tUDoJ</v>
      </c>
      <c r="AO104" s="76">
        <v>39524.642395833333</v>
      </c>
      <c r="AP104" s="79" t="str">
        <f>HYPERLINK("https://pbs.twimg.com/profile_banners/14163722/1667847512")</f>
        <v>https://pbs.twimg.com/profile_banners/14163722/1667847512</v>
      </c>
      <c r="AQ104" t="b">
        <v>0</v>
      </c>
      <c r="AR104" t="b">
        <v>0</v>
      </c>
      <c r="AS104" t="b">
        <v>1</v>
      </c>
      <c r="AU104">
        <v>1478</v>
      </c>
      <c r="AV104" s="79" t="str">
        <f>HYPERLINK("https://abs.twimg.com/images/themes/theme1/bg.png")</f>
        <v>https://abs.twimg.com/images/themes/theme1/bg.png</v>
      </c>
      <c r="AW104" t="b">
        <v>1</v>
      </c>
      <c r="AX104" t="s">
        <v>9303</v>
      </c>
      <c r="AY104" s="79" t="str">
        <f>HYPERLINK("https://twitter.com/mythical")</f>
        <v>https://twitter.com/mythical</v>
      </c>
      <c r="AZ104" t="s">
        <v>65</v>
      </c>
      <c r="BA104" s="2"/>
    </row>
    <row r="105" spans="1:53" x14ac:dyDescent="0.45">
      <c r="A105" s="62" t="s">
        <v>1458</v>
      </c>
      <c r="B105" s="63"/>
      <c r="C105" s="63"/>
      <c r="D105" s="64"/>
      <c r="E105" s="66"/>
      <c r="F105" s="98" t="str">
        <f>HYPERLINK("https://pbs.twimg.com/profile_images/1416820139857567747/tPlI2eyP_normal.jpg")</f>
        <v>https://pbs.twimg.com/profile_images/1416820139857567747/tPlI2eyP_normal.jpg</v>
      </c>
      <c r="G105" s="63"/>
      <c r="H105" s="67"/>
      <c r="I105" s="68"/>
      <c r="J105" s="68"/>
      <c r="K105" s="67" t="s">
        <v>10400</v>
      </c>
      <c r="L105" s="71"/>
      <c r="M105" s="72"/>
      <c r="N105" s="72"/>
      <c r="O105" s="73"/>
      <c r="P105" s="74"/>
      <c r="Q105" s="74"/>
      <c r="R105" s="81"/>
      <c r="S105" s="81"/>
      <c r="T105" s="81"/>
      <c r="U105" s="81"/>
      <c r="V105" s="48"/>
      <c r="W105" s="48"/>
      <c r="X105" s="48"/>
      <c r="Y105" s="48"/>
      <c r="Z105" s="47"/>
      <c r="AA105" s="69"/>
      <c r="AB105" s="69"/>
      <c r="AC105" s="70"/>
      <c r="AD105" t="s">
        <v>6082</v>
      </c>
      <c r="AE105" s="78" t="s">
        <v>7283</v>
      </c>
      <c r="AF105">
        <v>243</v>
      </c>
      <c r="AG105">
        <v>909325</v>
      </c>
      <c r="AH105">
        <v>208644</v>
      </c>
      <c r="AI105">
        <v>65369</v>
      </c>
      <c r="AK105" t="s">
        <v>8444</v>
      </c>
      <c r="AL105" t="s">
        <v>8683</v>
      </c>
      <c r="AM105" s="79" t="str">
        <f>HYPERLINK("https://t.co/6NY350UGkb")</f>
        <v>https://t.co/6NY350UGkb</v>
      </c>
      <c r="AO105" s="76">
        <v>39569.911122685182</v>
      </c>
      <c r="AP105" s="79" t="str">
        <f>HYPERLINK("https://pbs.twimg.com/profile_banners/14620190/1656518870")</f>
        <v>https://pbs.twimg.com/profile_banners/14620190/1656518870</v>
      </c>
      <c r="AQ105" t="b">
        <v>0</v>
      </c>
      <c r="AR105" t="b">
        <v>0</v>
      </c>
      <c r="AS105" t="b">
        <v>1</v>
      </c>
      <c r="AU105">
        <v>5535</v>
      </c>
      <c r="AV105" s="79" t="str">
        <f>HYPERLINK("https://abs.twimg.com/images/themes/theme1/bg.png")</f>
        <v>https://abs.twimg.com/images/themes/theme1/bg.png</v>
      </c>
      <c r="AW105" t="b">
        <v>1</v>
      </c>
      <c r="AX105" t="s">
        <v>9303</v>
      </c>
      <c r="AY105" s="79" t="str">
        <f>HYPERLINK("https://twitter.com/att")</f>
        <v>https://twitter.com/att</v>
      </c>
      <c r="AZ105" t="s">
        <v>65</v>
      </c>
      <c r="BA105" s="2"/>
    </row>
    <row r="106" spans="1:53" x14ac:dyDescent="0.45">
      <c r="A106" s="62" t="s">
        <v>1356</v>
      </c>
      <c r="B106" s="63"/>
      <c r="C106" s="63"/>
      <c r="D106" s="64"/>
      <c r="E106" s="66"/>
      <c r="F106" s="98" t="str">
        <f>HYPERLINK("https://pbs.twimg.com/profile_images/1339290313240752129/ttN5OK9T_normal.jpg")</f>
        <v>https://pbs.twimg.com/profile_images/1339290313240752129/ttN5OK9T_normal.jpg</v>
      </c>
      <c r="G106" s="63"/>
      <c r="H106" s="67"/>
      <c r="I106" s="68"/>
      <c r="J106" s="68"/>
      <c r="K106" s="67" t="s">
        <v>10092</v>
      </c>
      <c r="L106" s="71"/>
      <c r="M106" s="72"/>
      <c r="N106" s="72"/>
      <c r="O106" s="73"/>
      <c r="P106" s="74"/>
      <c r="Q106" s="74"/>
      <c r="R106" s="81"/>
      <c r="S106" s="81"/>
      <c r="T106" s="81"/>
      <c r="U106" s="81"/>
      <c r="V106" s="48"/>
      <c r="W106" s="48"/>
      <c r="X106" s="48"/>
      <c r="Y106" s="48"/>
      <c r="Z106" s="47"/>
      <c r="AA106" s="69"/>
      <c r="AB106" s="69"/>
      <c r="AC106" s="70"/>
      <c r="AD106" t="s">
        <v>5780</v>
      </c>
      <c r="AE106" s="78" t="s">
        <v>7013</v>
      </c>
      <c r="AF106">
        <v>1201</v>
      </c>
      <c r="AG106">
        <v>908722</v>
      </c>
      <c r="AH106">
        <v>23403</v>
      </c>
      <c r="AI106">
        <v>6020</v>
      </c>
      <c r="AK106" t="s">
        <v>8175</v>
      </c>
      <c r="AL106" t="s">
        <v>9075</v>
      </c>
      <c r="AM106" s="79" t="str">
        <f>HYPERLINK("https://t.co/NFGCGjlbEW")</f>
        <v>https://t.co/NFGCGjlbEW</v>
      </c>
      <c r="AO106" s="76">
        <v>39869.130243055559</v>
      </c>
      <c r="AP106" s="79" t="str">
        <f>HYPERLINK("https://pbs.twimg.com/profile_banners/21829541/1655998830")</f>
        <v>https://pbs.twimg.com/profile_banners/21829541/1655998830</v>
      </c>
      <c r="AQ106" t="b">
        <v>0</v>
      </c>
      <c r="AR106" t="b">
        <v>0</v>
      </c>
      <c r="AS106" t="b">
        <v>1</v>
      </c>
      <c r="AU106">
        <v>3725</v>
      </c>
      <c r="AV106" s="79" t="str">
        <f>HYPERLINK("https://abs.twimg.com/images/themes/theme9/bg.gif")</f>
        <v>https://abs.twimg.com/images/themes/theme9/bg.gif</v>
      </c>
      <c r="AW106" t="b">
        <v>1</v>
      </c>
      <c r="AX106" t="s">
        <v>9303</v>
      </c>
      <c r="AY106" s="79" t="str">
        <f>HYPERLINK("https://twitter.com/nra")</f>
        <v>https://twitter.com/nra</v>
      </c>
      <c r="AZ106" t="s">
        <v>65</v>
      </c>
      <c r="BA106" s="2"/>
    </row>
    <row r="107" spans="1:53" x14ac:dyDescent="0.45">
      <c r="A107" s="62" t="s">
        <v>1448</v>
      </c>
      <c r="B107" s="63"/>
      <c r="C107" s="63"/>
      <c r="D107" s="64"/>
      <c r="E107" s="66"/>
      <c r="F107" s="98" t="str">
        <f>HYPERLINK("https://pbs.twimg.com/profile_images/770320292040376320/mMgRkcES_normal.jpg")</f>
        <v>https://pbs.twimg.com/profile_images/770320292040376320/mMgRkcES_normal.jpg</v>
      </c>
      <c r="G107" s="63"/>
      <c r="H107" s="67"/>
      <c r="I107" s="68"/>
      <c r="J107" s="68"/>
      <c r="K107" s="67" t="s">
        <v>10381</v>
      </c>
      <c r="L107" s="71"/>
      <c r="M107" s="72"/>
      <c r="N107" s="72"/>
      <c r="O107" s="73"/>
      <c r="P107" s="74"/>
      <c r="Q107" s="74"/>
      <c r="R107" s="81"/>
      <c r="S107" s="81"/>
      <c r="T107" s="81"/>
      <c r="U107" s="81"/>
      <c r="V107" s="48"/>
      <c r="W107" s="48"/>
      <c r="X107" s="48"/>
      <c r="Y107" s="48"/>
      <c r="Z107" s="47"/>
      <c r="AA107" s="69"/>
      <c r="AB107" s="69"/>
      <c r="AC107" s="70"/>
      <c r="AD107" t="s">
        <v>6064</v>
      </c>
      <c r="AE107" s="78" t="s">
        <v>7266</v>
      </c>
      <c r="AF107">
        <v>2943</v>
      </c>
      <c r="AG107">
        <v>907668</v>
      </c>
      <c r="AH107">
        <v>45534</v>
      </c>
      <c r="AI107">
        <v>8688</v>
      </c>
      <c r="AK107" t="s">
        <v>8429</v>
      </c>
      <c r="AL107" t="s">
        <v>8860</v>
      </c>
      <c r="AM107" s="79" t="str">
        <f>HYPERLINK("https://t.co/BCwYtJxjuZ")</f>
        <v>https://t.co/BCwYtJxjuZ</v>
      </c>
      <c r="AO107" s="76">
        <v>39650.630694444444</v>
      </c>
      <c r="AP107" s="79" t="str">
        <f>HYPERLINK("https://pbs.twimg.com/profile_banners/15515919/1620050602")</f>
        <v>https://pbs.twimg.com/profile_banners/15515919/1620050602</v>
      </c>
      <c r="AQ107" t="b">
        <v>0</v>
      </c>
      <c r="AR107" t="b">
        <v>0</v>
      </c>
      <c r="AS107" t="b">
        <v>1</v>
      </c>
      <c r="AU107">
        <v>6484</v>
      </c>
      <c r="AV107" s="79" t="str">
        <f>HYPERLINK("https://abs.twimg.com/images/themes/theme1/bg.png")</f>
        <v>https://abs.twimg.com/images/themes/theme1/bg.png</v>
      </c>
      <c r="AW107" t="b">
        <v>1</v>
      </c>
      <c r="AX107" t="s">
        <v>9303</v>
      </c>
      <c r="AY107" s="79" t="str">
        <f>HYPERLINK("https://twitter.com/urbanoutfitters")</f>
        <v>https://twitter.com/urbanoutfitters</v>
      </c>
      <c r="AZ107" t="s">
        <v>65</v>
      </c>
      <c r="BA107" s="2"/>
    </row>
    <row r="108" spans="1:53" x14ac:dyDescent="0.45">
      <c r="A108" s="62" t="s">
        <v>1422</v>
      </c>
      <c r="B108" s="63"/>
      <c r="C108" s="63"/>
      <c r="D108" s="64"/>
      <c r="E108" s="66"/>
      <c r="F108" s="98" t="str">
        <f>HYPERLINK("https://pbs.twimg.com/profile_images/1526286149043494912/c14um7HC_normal.jpg")</f>
        <v>https://pbs.twimg.com/profile_images/1526286149043494912/c14um7HC_normal.jpg</v>
      </c>
      <c r="G108" s="63"/>
      <c r="H108" s="67"/>
      <c r="I108" s="68"/>
      <c r="J108" s="68"/>
      <c r="K108" s="67" t="s">
        <v>10311</v>
      </c>
      <c r="L108" s="71"/>
      <c r="M108" s="72"/>
      <c r="N108" s="72"/>
      <c r="O108" s="73"/>
      <c r="P108" s="74"/>
      <c r="Q108" s="74"/>
      <c r="R108" s="81"/>
      <c r="S108" s="81"/>
      <c r="T108" s="81"/>
      <c r="U108" s="81"/>
      <c r="V108" s="48"/>
      <c r="W108" s="48"/>
      <c r="X108" s="48"/>
      <c r="Y108" s="48"/>
      <c r="Z108" s="47"/>
      <c r="AA108" s="69"/>
      <c r="AB108" s="69"/>
      <c r="AC108" s="70"/>
      <c r="AD108" t="s">
        <v>5994</v>
      </c>
      <c r="AE108" s="78" t="s">
        <v>7204</v>
      </c>
      <c r="AF108">
        <v>1284</v>
      </c>
      <c r="AG108">
        <v>900488</v>
      </c>
      <c r="AH108">
        <v>69415</v>
      </c>
      <c r="AI108">
        <v>14750</v>
      </c>
      <c r="AK108" t="s">
        <v>8368</v>
      </c>
      <c r="AL108" t="s">
        <v>9168</v>
      </c>
      <c r="AM108" s="79" t="str">
        <f>HYPERLINK("https://t.co/7U5hpM1RkI")</f>
        <v>https://t.co/7U5hpM1RkI</v>
      </c>
      <c r="AO108" s="76">
        <v>43396.940520833334</v>
      </c>
      <c r="AP108" s="79" t="str">
        <f>HYPERLINK("https://pbs.twimg.com/profile_banners/1054863627029598208/1673546524")</f>
        <v>https://pbs.twimg.com/profile_banners/1054863627029598208/1673546524</v>
      </c>
      <c r="AQ108" t="b">
        <v>1</v>
      </c>
      <c r="AR108" t="b">
        <v>0</v>
      </c>
      <c r="AS108" t="b">
        <v>1</v>
      </c>
      <c r="AU108">
        <v>2257</v>
      </c>
      <c r="AW108" t="b">
        <v>1</v>
      </c>
      <c r="AX108" t="s">
        <v>9303</v>
      </c>
      <c r="AY108" s="79" t="str">
        <f>HYPERLINK("https://twitter.com/aew")</f>
        <v>https://twitter.com/aew</v>
      </c>
      <c r="AZ108" t="s">
        <v>65</v>
      </c>
      <c r="BA108" s="2"/>
    </row>
    <row r="109" spans="1:53" x14ac:dyDescent="0.45">
      <c r="A109" s="62" t="s">
        <v>1260</v>
      </c>
      <c r="B109" s="63"/>
      <c r="C109" s="63"/>
      <c r="D109" s="64"/>
      <c r="E109" s="66"/>
      <c r="F109" s="98" t="str">
        <f>HYPERLINK("https://pbs.twimg.com/profile_images/1203089756910800896/me5MH3ve_normal.jpg")</f>
        <v>https://pbs.twimg.com/profile_images/1203089756910800896/me5MH3ve_normal.jpg</v>
      </c>
      <c r="G109" s="63"/>
      <c r="H109" s="67"/>
      <c r="I109" s="68"/>
      <c r="J109" s="68"/>
      <c r="K109" s="67" t="s">
        <v>9698</v>
      </c>
      <c r="L109" s="71"/>
      <c r="M109" s="72"/>
      <c r="N109" s="72"/>
      <c r="O109" s="73"/>
      <c r="P109" s="74"/>
      <c r="Q109" s="74"/>
      <c r="R109" s="81"/>
      <c r="S109" s="81"/>
      <c r="T109" s="81"/>
      <c r="U109" s="81"/>
      <c r="V109" s="48"/>
      <c r="W109" s="48"/>
      <c r="X109" s="48"/>
      <c r="Y109" s="48"/>
      <c r="Z109" s="47"/>
      <c r="AA109" s="69"/>
      <c r="AB109" s="69"/>
      <c r="AC109" s="70"/>
      <c r="AD109" t="s">
        <v>5390</v>
      </c>
      <c r="AE109" s="78" t="s">
        <v>6664</v>
      </c>
      <c r="AF109">
        <v>1111</v>
      </c>
      <c r="AG109">
        <v>891130</v>
      </c>
      <c r="AH109">
        <v>145565</v>
      </c>
      <c r="AI109">
        <v>11465</v>
      </c>
      <c r="AK109" t="s">
        <v>7834</v>
      </c>
      <c r="AM109" s="79" t="str">
        <f>HYPERLINK("https://t.co/rISP9etOWL")</f>
        <v>https://t.co/rISP9etOWL</v>
      </c>
      <c r="AO109" s="76">
        <v>39989.675833333335</v>
      </c>
      <c r="AP109" s="79" t="str">
        <f>HYPERLINK("https://pbs.twimg.com/profile_banners/50687788/1675175828")</f>
        <v>https://pbs.twimg.com/profile_banners/50687788/1675175828</v>
      </c>
      <c r="AQ109" t="b">
        <v>0</v>
      </c>
      <c r="AR109" t="b">
        <v>0</v>
      </c>
      <c r="AS109" t="b">
        <v>1</v>
      </c>
      <c r="AU109">
        <v>4149</v>
      </c>
      <c r="AV109" s="79" t="str">
        <f>HYPERLINK("https://abs.twimg.com/images/themes/theme1/bg.png")</f>
        <v>https://abs.twimg.com/images/themes/theme1/bg.png</v>
      </c>
      <c r="AW109" t="b">
        <v>1</v>
      </c>
      <c r="AX109" t="s">
        <v>9303</v>
      </c>
      <c r="AY109" s="79" t="str">
        <f>HYPERLINK("https://twitter.com/macys")</f>
        <v>https://twitter.com/macys</v>
      </c>
      <c r="AZ109" t="s">
        <v>65</v>
      </c>
      <c r="BA109" s="2"/>
    </row>
    <row r="110" spans="1:53" x14ac:dyDescent="0.45">
      <c r="A110" s="62" t="s">
        <v>1486</v>
      </c>
      <c r="B110" s="63"/>
      <c r="C110" s="63"/>
      <c r="D110" s="64"/>
      <c r="E110" s="66"/>
      <c r="F110" s="98" t="str">
        <f>HYPERLINK("https://pbs.twimg.com/profile_images/1150061065407029253/XIOeaH-7_normal.png")</f>
        <v>https://pbs.twimg.com/profile_images/1150061065407029253/XIOeaH-7_normal.png</v>
      </c>
      <c r="G110" s="63"/>
      <c r="H110" s="67"/>
      <c r="I110" s="68"/>
      <c r="J110" s="68"/>
      <c r="K110" s="67" t="s">
        <v>10478</v>
      </c>
      <c r="L110" s="71"/>
      <c r="M110" s="72"/>
      <c r="N110" s="72"/>
      <c r="O110" s="73"/>
      <c r="P110" s="74"/>
      <c r="Q110" s="74"/>
      <c r="R110" s="81"/>
      <c r="S110" s="81"/>
      <c r="T110" s="81"/>
      <c r="U110" s="81"/>
      <c r="V110" s="48"/>
      <c r="W110" s="48"/>
      <c r="X110" s="48"/>
      <c r="Y110" s="48"/>
      <c r="Z110" s="47"/>
      <c r="AA110" s="69"/>
      <c r="AB110" s="69"/>
      <c r="AC110" s="70"/>
      <c r="AD110" t="s">
        <v>6158</v>
      </c>
      <c r="AE110" s="78" t="s">
        <v>7344</v>
      </c>
      <c r="AF110">
        <v>29</v>
      </c>
      <c r="AG110">
        <v>848065</v>
      </c>
      <c r="AH110">
        <v>47745</v>
      </c>
      <c r="AI110">
        <v>93650</v>
      </c>
      <c r="AK110" t="s">
        <v>8516</v>
      </c>
      <c r="AL110" t="s">
        <v>9005</v>
      </c>
      <c r="AM110" s="79" t="str">
        <f>HYPERLINK("https://t.co/UgVyqtdFQ4")</f>
        <v>https://t.co/UgVyqtdFQ4</v>
      </c>
      <c r="AO110" s="76">
        <v>40343.525763888887</v>
      </c>
      <c r="AP110" s="79" t="str">
        <f>HYPERLINK("https://pbs.twimg.com/profile_banners/155544257/1629832773")</f>
        <v>https://pbs.twimg.com/profile_banners/155544257/1629832773</v>
      </c>
      <c r="AQ110" t="b">
        <v>0</v>
      </c>
      <c r="AR110" t="b">
        <v>0</v>
      </c>
      <c r="AS110" t="b">
        <v>1</v>
      </c>
      <c r="AU110">
        <v>2256</v>
      </c>
      <c r="AV110" s="79" t="str">
        <f>HYPERLINK("https://abs.twimg.com/images/themes/theme9/bg.gif")</f>
        <v>https://abs.twimg.com/images/themes/theme9/bg.gif</v>
      </c>
      <c r="AW110" t="b">
        <v>1</v>
      </c>
      <c r="AX110" t="s">
        <v>9303</v>
      </c>
      <c r="AY110" s="79" t="str">
        <f>HYPERLINK("https://twitter.com/arbys")</f>
        <v>https://twitter.com/arbys</v>
      </c>
      <c r="AZ110" t="s">
        <v>65</v>
      </c>
      <c r="BA110" s="2"/>
    </row>
    <row r="111" spans="1:53" x14ac:dyDescent="0.45">
      <c r="A111" s="62" t="s">
        <v>1267</v>
      </c>
      <c r="B111" s="63"/>
      <c r="C111" s="63"/>
      <c r="D111" s="64"/>
      <c r="E111" s="66"/>
      <c r="F111" s="98" t="str">
        <f>HYPERLINK("https://pbs.twimg.com/profile_images/1542909469952204800/AkYuemze_normal.jpg")</f>
        <v>https://pbs.twimg.com/profile_images/1542909469952204800/AkYuemze_normal.jpg</v>
      </c>
      <c r="G111" s="63"/>
      <c r="H111" s="67"/>
      <c r="I111" s="68"/>
      <c r="J111" s="68"/>
      <c r="K111" s="67" t="s">
        <v>9712</v>
      </c>
      <c r="L111" s="71"/>
      <c r="M111" s="72"/>
      <c r="N111" s="72"/>
      <c r="O111" s="73"/>
      <c r="P111" s="74"/>
      <c r="Q111" s="74"/>
      <c r="R111" s="81"/>
      <c r="S111" s="81"/>
      <c r="T111" s="81"/>
      <c r="U111" s="81"/>
      <c r="V111" s="48"/>
      <c r="W111" s="48"/>
      <c r="X111" s="48"/>
      <c r="Y111" s="48"/>
      <c r="Z111" s="47"/>
      <c r="AA111" s="69"/>
      <c r="AB111" s="69"/>
      <c r="AC111" s="70"/>
      <c r="AD111" t="s">
        <v>5404</v>
      </c>
      <c r="AE111" s="78" t="s">
        <v>6677</v>
      </c>
      <c r="AF111">
        <v>119</v>
      </c>
      <c r="AG111">
        <v>837239</v>
      </c>
      <c r="AH111">
        <v>97785</v>
      </c>
      <c r="AI111">
        <v>15475</v>
      </c>
      <c r="AK111" t="s">
        <v>7844</v>
      </c>
      <c r="AL111" t="s">
        <v>4920</v>
      </c>
      <c r="AM111" s="79" t="str">
        <f>HYPERLINK("https://t.co/5ljb04TZ5Z")</f>
        <v>https://t.co/5ljb04TZ5Z</v>
      </c>
      <c r="AO111" s="76">
        <v>39974.747557870367</v>
      </c>
      <c r="AP111" s="79" t="str">
        <f>HYPERLINK("https://pbs.twimg.com/profile_banners/46177695/1670010375")</f>
        <v>https://pbs.twimg.com/profile_banners/46177695/1670010375</v>
      </c>
      <c r="AQ111" t="b">
        <v>0</v>
      </c>
      <c r="AR111" t="b">
        <v>0</v>
      </c>
      <c r="AS111" t="b">
        <v>0</v>
      </c>
      <c r="AU111">
        <v>2636</v>
      </c>
      <c r="AV111" s="79" t="str">
        <f>HYPERLINK("https://abs.twimg.com/images/themes/theme5/bg.gif")</f>
        <v>https://abs.twimg.com/images/themes/theme5/bg.gif</v>
      </c>
      <c r="AW111" t="b">
        <v>1</v>
      </c>
      <c r="AX111" t="s">
        <v>9303</v>
      </c>
      <c r="AY111" s="79" t="str">
        <f>HYPERLINK("https://twitter.com/walgreens")</f>
        <v>https://twitter.com/walgreens</v>
      </c>
      <c r="AZ111" t="s">
        <v>65</v>
      </c>
      <c r="BA111" s="2"/>
    </row>
    <row r="112" spans="1:53" x14ac:dyDescent="0.45">
      <c r="A112" s="62" t="s">
        <v>579</v>
      </c>
      <c r="B112" s="63"/>
      <c r="C112" s="63"/>
      <c r="D112" s="64"/>
      <c r="E112" s="66"/>
      <c r="F112" s="98" t="str">
        <f>HYPERLINK("https://pbs.twimg.com/profile_images/1385690821589049347/FiQmiK_f_normal.jpg")</f>
        <v>https://pbs.twimg.com/profile_images/1385690821589049347/FiQmiK_f_normal.jpg</v>
      </c>
      <c r="G112" s="63"/>
      <c r="H112" s="67"/>
      <c r="I112" s="68"/>
      <c r="J112" s="68"/>
      <c r="K112" s="67" t="s">
        <v>9877</v>
      </c>
      <c r="L112" s="71"/>
      <c r="M112" s="72"/>
      <c r="N112" s="72"/>
      <c r="O112" s="73"/>
      <c r="P112" s="74"/>
      <c r="Q112" s="74"/>
      <c r="R112" s="81"/>
      <c r="S112" s="81"/>
      <c r="T112" s="81"/>
      <c r="U112" s="81"/>
      <c r="V112" s="48"/>
      <c r="W112" s="48"/>
      <c r="X112" s="48"/>
      <c r="Y112" s="48"/>
      <c r="Z112" s="47"/>
      <c r="AA112" s="69"/>
      <c r="AB112" s="69"/>
      <c r="AC112" s="70"/>
      <c r="AD112" t="s">
        <v>5568</v>
      </c>
      <c r="AE112" s="78" t="s">
        <v>6816</v>
      </c>
      <c r="AF112">
        <v>1456</v>
      </c>
      <c r="AG112">
        <v>809572</v>
      </c>
      <c r="AH112">
        <v>450734</v>
      </c>
      <c r="AI112">
        <v>8351</v>
      </c>
      <c r="AK112" t="s">
        <v>7991</v>
      </c>
      <c r="AL112" t="s">
        <v>8750</v>
      </c>
      <c r="AM112" s="79" t="str">
        <f>HYPERLINK("https://t.co/5LGC8d7mQG")</f>
        <v>https://t.co/5LGC8d7mQG</v>
      </c>
      <c r="AO112" s="76">
        <v>39669.7734837963</v>
      </c>
      <c r="AP112" s="79" t="str">
        <f>HYPERLINK("https://pbs.twimg.com/profile_banners/15791186/1647987751")</f>
        <v>https://pbs.twimg.com/profile_banners/15791186/1647987751</v>
      </c>
      <c r="AQ112" t="b">
        <v>0</v>
      </c>
      <c r="AR112" t="b">
        <v>0</v>
      </c>
      <c r="AS112" t="b">
        <v>1</v>
      </c>
      <c r="AU112">
        <v>3180</v>
      </c>
      <c r="AV112" s="79" t="str">
        <f>HYPERLINK("https://abs.twimg.com/images/themes/theme16/bg.gif")</f>
        <v>https://abs.twimg.com/images/themes/theme16/bg.gif</v>
      </c>
      <c r="AW112" t="b">
        <v>1</v>
      </c>
      <c r="AX112" t="s">
        <v>9303</v>
      </c>
      <c r="AY112" s="79" t="str">
        <f>HYPERLINK("https://twitter.com/khou")</f>
        <v>https://twitter.com/khou</v>
      </c>
      <c r="AZ112" t="s">
        <v>66</v>
      </c>
      <c r="BA112" s="2"/>
    </row>
    <row r="113" spans="1:53" x14ac:dyDescent="0.45">
      <c r="A113" s="62" t="s">
        <v>1471</v>
      </c>
      <c r="B113" s="63"/>
      <c r="C113" s="63"/>
      <c r="D113" s="64"/>
      <c r="E113" s="66"/>
      <c r="F113" s="98" t="str">
        <f>HYPERLINK("https://pbs.twimg.com/profile_images/1610318013865119744/3VmfrKFb_normal.jpg")</f>
        <v>https://pbs.twimg.com/profile_images/1610318013865119744/3VmfrKFb_normal.jpg</v>
      </c>
      <c r="G113" s="63"/>
      <c r="H113" s="67"/>
      <c r="I113" s="68"/>
      <c r="J113" s="68"/>
      <c r="K113" s="67" t="s">
        <v>10422</v>
      </c>
      <c r="L113" s="71"/>
      <c r="M113" s="72"/>
      <c r="N113" s="72"/>
      <c r="O113" s="73"/>
      <c r="P113" s="74"/>
      <c r="Q113" s="74"/>
      <c r="R113" s="81"/>
      <c r="S113" s="81"/>
      <c r="T113" s="81"/>
      <c r="U113" s="81"/>
      <c r="V113" s="48"/>
      <c r="W113" s="48"/>
      <c r="X113" s="48"/>
      <c r="Y113" s="48"/>
      <c r="Z113" s="47"/>
      <c r="AA113" s="69"/>
      <c r="AB113" s="69"/>
      <c r="AC113" s="70"/>
      <c r="AD113" t="s">
        <v>6104</v>
      </c>
      <c r="AE113" s="78" t="s">
        <v>7302</v>
      </c>
      <c r="AF113">
        <v>470</v>
      </c>
      <c r="AG113">
        <v>806617</v>
      </c>
      <c r="AH113">
        <v>9286</v>
      </c>
      <c r="AI113">
        <v>4744</v>
      </c>
      <c r="AK113" t="s">
        <v>8465</v>
      </c>
      <c r="AL113" t="s">
        <v>9208</v>
      </c>
      <c r="AM113" s="79" t="str">
        <f>HYPERLINK("https://t.co/nYDtK5kLjo")</f>
        <v>https://t.co/nYDtK5kLjo</v>
      </c>
      <c r="AO113" s="76">
        <v>40602.454444444447</v>
      </c>
      <c r="AP113" s="79" t="str">
        <f>HYPERLINK("https://pbs.twimg.com/profile_banners/258730549/1638306943")</f>
        <v>https://pbs.twimg.com/profile_banners/258730549/1638306943</v>
      </c>
      <c r="AQ113" t="b">
        <v>0</v>
      </c>
      <c r="AR113" t="b">
        <v>0</v>
      </c>
      <c r="AS113" t="b">
        <v>1</v>
      </c>
      <c r="AU113">
        <v>1960</v>
      </c>
      <c r="AV113" s="79" t="str">
        <f>HYPERLINK("https://abs.twimg.com/images/themes/theme14/bg.gif")</f>
        <v>https://abs.twimg.com/images/themes/theme14/bg.gif</v>
      </c>
      <c r="AW113" t="b">
        <v>1</v>
      </c>
      <c r="AX113" t="s">
        <v>9303</v>
      </c>
      <c r="AY113" s="79" t="str">
        <f>HYPERLINK("https://twitter.com/nissan")</f>
        <v>https://twitter.com/nissan</v>
      </c>
      <c r="AZ113" t="s">
        <v>65</v>
      </c>
      <c r="BA113" s="2"/>
    </row>
    <row r="114" spans="1:53" x14ac:dyDescent="0.45">
      <c r="A114" s="62" t="s">
        <v>1175</v>
      </c>
      <c r="B114" s="63"/>
      <c r="C114" s="63"/>
      <c r="D114" s="64"/>
      <c r="E114" s="66"/>
      <c r="F114" s="98" t="str">
        <f>HYPERLINK("https://pbs.twimg.com/profile_images/1298393185152929792/1-xnrZpc_normal.jpg")</f>
        <v>https://pbs.twimg.com/profile_images/1298393185152929792/1-xnrZpc_normal.jpg</v>
      </c>
      <c r="G114" s="63"/>
      <c r="H114" s="67"/>
      <c r="I114" s="68"/>
      <c r="J114" s="68"/>
      <c r="K114" s="67" t="s">
        <v>9454</v>
      </c>
      <c r="L114" s="71"/>
      <c r="M114" s="72"/>
      <c r="N114" s="72"/>
      <c r="O114" s="73"/>
      <c r="P114" s="74"/>
      <c r="Q114" s="74"/>
      <c r="R114" s="81"/>
      <c r="S114" s="81"/>
      <c r="T114" s="81"/>
      <c r="U114" s="81"/>
      <c r="V114" s="48"/>
      <c r="W114" s="48"/>
      <c r="X114" s="48"/>
      <c r="Y114" s="48"/>
      <c r="Z114" s="47"/>
      <c r="AA114" s="69"/>
      <c r="AB114" s="69"/>
      <c r="AC114" s="70"/>
      <c r="AD114" t="s">
        <v>5148</v>
      </c>
      <c r="AE114" s="78" t="s">
        <v>6450</v>
      </c>
      <c r="AF114">
        <v>1189</v>
      </c>
      <c r="AG114">
        <v>773245</v>
      </c>
      <c r="AH114">
        <v>37243</v>
      </c>
      <c r="AI114">
        <v>7286</v>
      </c>
      <c r="AK114" t="s">
        <v>7621</v>
      </c>
      <c r="AL114" t="s">
        <v>8761</v>
      </c>
      <c r="AM114" s="79" t="str">
        <f>HYPERLINK("https://t.co/k7Z7aNA4bb")</f>
        <v>https://t.co/k7Z7aNA4bb</v>
      </c>
      <c r="AO114" s="76">
        <v>39842.534479166665</v>
      </c>
      <c r="AP114" s="79" t="str">
        <f>HYPERLINK("https://pbs.twimg.com/profile_banners/19709040/1609357138")</f>
        <v>https://pbs.twimg.com/profile_banners/19709040/1609357138</v>
      </c>
      <c r="AQ114" t="b">
        <v>0</v>
      </c>
      <c r="AR114" t="b">
        <v>0</v>
      </c>
      <c r="AS114" t="b">
        <v>1</v>
      </c>
      <c r="AU114">
        <v>3912</v>
      </c>
      <c r="AV114" s="79" t="str">
        <f>HYPERLINK("https://abs.twimg.com/images/themes/theme1/bg.png")</f>
        <v>https://abs.twimg.com/images/themes/theme1/bg.png</v>
      </c>
      <c r="AW114" t="b">
        <v>1</v>
      </c>
      <c r="AX114" t="s">
        <v>9303</v>
      </c>
      <c r="AY114" s="79" t="str">
        <f>HYPERLINK("https://twitter.com/ebay")</f>
        <v>https://twitter.com/ebay</v>
      </c>
      <c r="AZ114" t="s">
        <v>65</v>
      </c>
      <c r="BA114" s="2"/>
    </row>
    <row r="115" spans="1:53" x14ac:dyDescent="0.45">
      <c r="A115" s="62" t="s">
        <v>1398</v>
      </c>
      <c r="B115" s="63"/>
      <c r="C115" s="63"/>
      <c r="D115" s="64"/>
      <c r="E115" s="66"/>
      <c r="F115" s="98" t="str">
        <f>HYPERLINK("https://pbs.twimg.com/profile_images/1619788473887506434/kvIeEvqM_normal.jpg")</f>
        <v>https://pbs.twimg.com/profile_images/1619788473887506434/kvIeEvqM_normal.jpg</v>
      </c>
      <c r="G115" s="63"/>
      <c r="H115" s="67"/>
      <c r="I115" s="68"/>
      <c r="J115" s="68"/>
      <c r="K115" s="67" t="s">
        <v>10219</v>
      </c>
      <c r="L115" s="71"/>
      <c r="M115" s="72"/>
      <c r="N115" s="72"/>
      <c r="O115" s="73"/>
      <c r="P115" s="74"/>
      <c r="Q115" s="74"/>
      <c r="R115" s="81"/>
      <c r="S115" s="81"/>
      <c r="T115" s="81"/>
      <c r="U115" s="81"/>
      <c r="V115" s="48"/>
      <c r="W115" s="48"/>
      <c r="X115" s="48"/>
      <c r="Y115" s="48"/>
      <c r="Z115" s="47"/>
      <c r="AA115" s="69"/>
      <c r="AB115" s="69"/>
      <c r="AC115" s="70"/>
      <c r="AD115" t="s">
        <v>5903</v>
      </c>
      <c r="AE115" s="78" t="s">
        <v>7122</v>
      </c>
      <c r="AF115">
        <v>429</v>
      </c>
      <c r="AG115">
        <v>769269</v>
      </c>
      <c r="AH115">
        <v>8682</v>
      </c>
      <c r="AI115">
        <v>32755</v>
      </c>
      <c r="AK115" t="s">
        <v>8286</v>
      </c>
      <c r="AO115" s="76">
        <v>41560.238564814812</v>
      </c>
      <c r="AP115" s="79" t="str">
        <f>HYPERLINK("https://pbs.twimg.com/profile_banners/1958028342/1675022654")</f>
        <v>https://pbs.twimg.com/profile_banners/1958028342/1675022654</v>
      </c>
      <c r="AQ115" t="b">
        <v>1</v>
      </c>
      <c r="AR115" t="b">
        <v>0</v>
      </c>
      <c r="AS115" t="b">
        <v>1</v>
      </c>
      <c r="AU115">
        <v>1046</v>
      </c>
      <c r="AV115" s="79" t="str">
        <f>HYPERLINK("https://abs.twimg.com/images/themes/theme1/bg.png")</f>
        <v>https://abs.twimg.com/images/themes/theme1/bg.png</v>
      </c>
      <c r="AW115" t="b">
        <v>1</v>
      </c>
      <c r="AX115" t="s">
        <v>9303</v>
      </c>
      <c r="AY115" s="79" t="str">
        <f>HYPERLINK("https://twitter.com/rhearipley_wwe")</f>
        <v>https://twitter.com/rhearipley_wwe</v>
      </c>
      <c r="AZ115" t="s">
        <v>65</v>
      </c>
      <c r="BA115" s="2"/>
    </row>
    <row r="116" spans="1:53" x14ac:dyDescent="0.45">
      <c r="A116" s="62" t="s">
        <v>1309</v>
      </c>
      <c r="B116" s="63"/>
      <c r="C116" s="63"/>
      <c r="D116" s="64"/>
      <c r="E116" s="66"/>
      <c r="F116" s="98" t="str">
        <f>HYPERLINK("https://pbs.twimg.com/profile_images/481417553193865219/fUx2iCVU_normal.jpeg")</f>
        <v>https://pbs.twimg.com/profile_images/481417553193865219/fUx2iCVU_normal.jpeg</v>
      </c>
      <c r="G116" s="63"/>
      <c r="H116" s="67"/>
      <c r="I116" s="68"/>
      <c r="J116" s="68"/>
      <c r="K116" s="67" t="s">
        <v>9926</v>
      </c>
      <c r="L116" s="71"/>
      <c r="M116" s="72"/>
      <c r="N116" s="72"/>
      <c r="O116" s="73"/>
      <c r="P116" s="74"/>
      <c r="Q116" s="74"/>
      <c r="R116" s="81"/>
      <c r="S116" s="81"/>
      <c r="T116" s="81"/>
      <c r="U116" s="81"/>
      <c r="V116" s="48"/>
      <c r="W116" s="48"/>
      <c r="X116" s="48"/>
      <c r="Y116" s="48"/>
      <c r="Z116" s="47"/>
      <c r="AA116" s="69"/>
      <c r="AB116" s="69"/>
      <c r="AC116" s="70"/>
      <c r="AD116" t="s">
        <v>5617</v>
      </c>
      <c r="AE116" s="78" t="s">
        <v>6861</v>
      </c>
      <c r="AF116">
        <v>660</v>
      </c>
      <c r="AG116">
        <v>768475</v>
      </c>
      <c r="AH116">
        <v>40948</v>
      </c>
      <c r="AI116">
        <v>10906</v>
      </c>
      <c r="AK116" t="s">
        <v>8035</v>
      </c>
      <c r="AL116" t="s">
        <v>8719</v>
      </c>
      <c r="AM116" s="79" t="str">
        <f>HYPERLINK("https://t.co/VK003bCS6V")</f>
        <v>https://t.co/VK003bCS6V</v>
      </c>
      <c r="AO116" s="76">
        <v>39906.563356481478</v>
      </c>
      <c r="AP116" s="79" t="str">
        <f>HYPERLINK("https://pbs.twimg.com/profile_banners/28562317/1661955791")</f>
        <v>https://pbs.twimg.com/profile_banners/28562317/1661955791</v>
      </c>
      <c r="AQ116" t="b">
        <v>0</v>
      </c>
      <c r="AR116" t="b">
        <v>0</v>
      </c>
      <c r="AS116" t="b">
        <v>0</v>
      </c>
      <c r="AU116">
        <v>4939</v>
      </c>
      <c r="AV116" s="79" t="str">
        <f>HYPERLINK("https://abs.twimg.com/images/themes/theme1/bg.png")</f>
        <v>https://abs.twimg.com/images/themes/theme1/bg.png</v>
      </c>
      <c r="AW116" t="b">
        <v>1</v>
      </c>
      <c r="AX116" t="s">
        <v>9303</v>
      </c>
      <c r="AY116" s="79" t="str">
        <f>HYPERLINK("https://twitter.com/sternshow")</f>
        <v>https://twitter.com/sternshow</v>
      </c>
      <c r="AZ116" t="s">
        <v>65</v>
      </c>
      <c r="BA116" s="2"/>
    </row>
    <row r="117" spans="1:53" x14ac:dyDescent="0.45">
      <c r="A117" s="62" t="s">
        <v>1348</v>
      </c>
      <c r="B117" s="63"/>
      <c r="C117" s="63"/>
      <c r="D117" s="64"/>
      <c r="E117" s="66"/>
      <c r="F117" s="98" t="str">
        <f>HYPERLINK("https://pbs.twimg.com/profile_images/1570623508962766848/rdFRb0Bk_normal.jpg")</f>
        <v>https://pbs.twimg.com/profile_images/1570623508962766848/rdFRb0Bk_normal.jpg</v>
      </c>
      <c r="G117" s="63"/>
      <c r="H117" s="67"/>
      <c r="I117" s="68"/>
      <c r="J117" s="68"/>
      <c r="K117" s="67" t="s">
        <v>10058</v>
      </c>
      <c r="L117" s="71"/>
      <c r="M117" s="72"/>
      <c r="N117" s="72"/>
      <c r="O117" s="73"/>
      <c r="P117" s="74"/>
      <c r="Q117" s="74"/>
      <c r="R117" s="81"/>
      <c r="S117" s="81"/>
      <c r="T117" s="81"/>
      <c r="U117" s="81"/>
      <c r="V117" s="48"/>
      <c r="W117" s="48"/>
      <c r="X117" s="48"/>
      <c r="Y117" s="48"/>
      <c r="Z117" s="47"/>
      <c r="AA117" s="69"/>
      <c r="AB117" s="69"/>
      <c r="AC117" s="70"/>
      <c r="AD117" t="s">
        <v>5747</v>
      </c>
      <c r="AE117" s="78" t="s">
        <v>6983</v>
      </c>
      <c r="AF117">
        <v>847</v>
      </c>
      <c r="AG117">
        <v>717596</v>
      </c>
      <c r="AH117">
        <v>5610</v>
      </c>
      <c r="AI117">
        <v>4107</v>
      </c>
      <c r="AK117" t="s">
        <v>8145</v>
      </c>
      <c r="AL117" t="s">
        <v>4973</v>
      </c>
      <c r="AM117" s="79" t="str">
        <f>HYPERLINK("https://t.co/NYL5lEJMo5")</f>
        <v>https://t.co/NYL5lEJMo5</v>
      </c>
      <c r="AO117" s="76">
        <v>39410.000706018516</v>
      </c>
      <c r="AP117" s="79" t="str">
        <f>HYPERLINK("https://pbs.twimg.com/profile_banners/10505322/1668374198")</f>
        <v>https://pbs.twimg.com/profile_banners/10505322/1668374198</v>
      </c>
      <c r="AQ117" t="b">
        <v>0</v>
      </c>
      <c r="AR117" t="b">
        <v>0</v>
      </c>
      <c r="AS117" t="b">
        <v>0</v>
      </c>
      <c r="AU117">
        <v>1555</v>
      </c>
      <c r="AV117" s="79" t="str">
        <f>HYPERLINK("https://abs.twimg.com/images/themes/theme14/bg.gif")</f>
        <v>https://abs.twimg.com/images/themes/theme14/bg.gif</v>
      </c>
      <c r="AW117" t="b">
        <v>1</v>
      </c>
      <c r="AX117" t="s">
        <v>9303</v>
      </c>
      <c r="AY117" s="79" t="str">
        <f>HYPERLINK("https://twitter.com/rhettmc")</f>
        <v>https://twitter.com/rhettmc</v>
      </c>
      <c r="AZ117" t="s">
        <v>65</v>
      </c>
      <c r="BA117" s="2"/>
    </row>
    <row r="118" spans="1:53" x14ac:dyDescent="0.45">
      <c r="A118" s="62" t="s">
        <v>595</v>
      </c>
      <c r="B118" s="63"/>
      <c r="C118" s="63"/>
      <c r="D118" s="64"/>
      <c r="E118" s="66"/>
      <c r="F118" s="98" t="str">
        <f>HYPERLINK("https://pbs.twimg.com/profile_images/786718413838127104/1-AHEPaH_normal.jpg")</f>
        <v>https://pbs.twimg.com/profile_images/786718413838127104/1-AHEPaH_normal.jpg</v>
      </c>
      <c r="G118" s="63"/>
      <c r="H118" s="67"/>
      <c r="I118" s="68"/>
      <c r="J118" s="68"/>
      <c r="K118" s="67" t="s">
        <v>9893</v>
      </c>
      <c r="L118" s="71"/>
      <c r="M118" s="72"/>
      <c r="N118" s="72"/>
      <c r="O118" s="73"/>
      <c r="P118" s="74"/>
      <c r="Q118" s="74"/>
      <c r="R118" s="81"/>
      <c r="S118" s="81"/>
      <c r="T118" s="81"/>
      <c r="U118" s="81"/>
      <c r="V118" s="48"/>
      <c r="W118" s="48"/>
      <c r="X118" s="48"/>
      <c r="Y118" s="48"/>
      <c r="Z118" s="47"/>
      <c r="AA118" s="69"/>
      <c r="AB118" s="69"/>
      <c r="AC118" s="70"/>
      <c r="AD118" t="s">
        <v>5584</v>
      </c>
      <c r="AE118" s="78" t="s">
        <v>6832</v>
      </c>
      <c r="AF118">
        <v>7790</v>
      </c>
      <c r="AG118">
        <v>713449</v>
      </c>
      <c r="AH118">
        <v>381141</v>
      </c>
      <c r="AI118">
        <v>29362</v>
      </c>
      <c r="AK118" t="s">
        <v>8007</v>
      </c>
      <c r="AL118" t="s">
        <v>8979</v>
      </c>
      <c r="AM118" s="79" t="str">
        <f>HYPERLINK("https://t.co/c8dk5ho6Tq")</f>
        <v>https://t.co/c8dk5ho6Tq</v>
      </c>
      <c r="AO118" s="76">
        <v>39837.169131944444</v>
      </c>
      <c r="AP118" s="79" t="str">
        <f>HYPERLINK("https://pbs.twimg.com/profile_banners/19430999/1661803077")</f>
        <v>https://pbs.twimg.com/profile_banners/19430999/1661803077</v>
      </c>
      <c r="AQ118" t="b">
        <v>0</v>
      </c>
      <c r="AR118" t="b">
        <v>0</v>
      </c>
      <c r="AS118" t="b">
        <v>1</v>
      </c>
      <c r="AU118">
        <v>4855</v>
      </c>
      <c r="AV118" s="79" t="str">
        <f>HYPERLINK("https://abs.twimg.com/images/themes/theme1/bg.png")</f>
        <v>https://abs.twimg.com/images/themes/theme1/bg.png</v>
      </c>
      <c r="AW118" t="b">
        <v>1</v>
      </c>
      <c r="AX118" t="s">
        <v>9303</v>
      </c>
      <c r="AY118" s="79" t="str">
        <f>HYPERLINK("https://twitter.com/king5seattle")</f>
        <v>https://twitter.com/king5seattle</v>
      </c>
      <c r="AZ118" t="s">
        <v>66</v>
      </c>
      <c r="BA118" s="2"/>
    </row>
    <row r="119" spans="1:53" x14ac:dyDescent="0.45">
      <c r="A119" s="62" t="s">
        <v>1187</v>
      </c>
      <c r="B119" s="63"/>
      <c r="C119" s="63"/>
      <c r="D119" s="64"/>
      <c r="E119" s="66"/>
      <c r="F119" s="98" t="str">
        <f>HYPERLINK("https://pbs.twimg.com/profile_images/1605200105799401474/9cb5qdVk_normal.png")</f>
        <v>https://pbs.twimg.com/profile_images/1605200105799401474/9cb5qdVk_normal.png</v>
      </c>
      <c r="G119" s="63"/>
      <c r="H119" s="67"/>
      <c r="I119" s="68"/>
      <c r="J119" s="68"/>
      <c r="K119" s="67" t="s">
        <v>9478</v>
      </c>
      <c r="L119" s="71"/>
      <c r="M119" s="72"/>
      <c r="N119" s="72"/>
      <c r="O119" s="73"/>
      <c r="P119" s="74"/>
      <c r="Q119" s="74"/>
      <c r="R119" s="81"/>
      <c r="S119" s="81"/>
      <c r="T119" s="81"/>
      <c r="U119" s="81"/>
      <c r="V119" s="48"/>
      <c r="W119" s="48"/>
      <c r="X119" s="48"/>
      <c r="Y119" s="48"/>
      <c r="Z119" s="47"/>
      <c r="AA119" s="69"/>
      <c r="AB119" s="69"/>
      <c r="AC119" s="70"/>
      <c r="AD119" t="s">
        <v>5172</v>
      </c>
      <c r="AE119" s="78" t="s">
        <v>6468</v>
      </c>
      <c r="AF119">
        <v>48</v>
      </c>
      <c r="AG119">
        <v>710080</v>
      </c>
      <c r="AH119">
        <v>8058</v>
      </c>
      <c r="AI119">
        <v>536</v>
      </c>
      <c r="AK119" t="s">
        <v>7643</v>
      </c>
      <c r="AM119" s="79" t="str">
        <f>HYPERLINK("https://t.co/3yvd60zrDS")</f>
        <v>https://t.co/3yvd60zrDS</v>
      </c>
      <c r="AO119" s="76">
        <v>41312.024305555555</v>
      </c>
      <c r="AP119" s="79" t="str">
        <f>HYPERLINK("https://pbs.twimg.com/profile_banners/1155522630/1537565360")</f>
        <v>https://pbs.twimg.com/profile_banners/1155522630/1537565360</v>
      </c>
      <c r="AQ119" t="b">
        <v>0</v>
      </c>
      <c r="AR119" t="b">
        <v>0</v>
      </c>
      <c r="AS119" t="b">
        <v>0</v>
      </c>
      <c r="AU119">
        <v>4386</v>
      </c>
      <c r="AV119" s="79" t="str">
        <f>HYPERLINK("https://abs.twimg.com/images/themes/theme1/bg.png")</f>
        <v>https://abs.twimg.com/images/themes/theme1/bg.png</v>
      </c>
      <c r="AW119" t="b">
        <v>1</v>
      </c>
      <c r="AX119" t="s">
        <v>9303</v>
      </c>
      <c r="AY119" s="79" t="str">
        <f>HYPERLINK("https://twitter.com/jpmorgan")</f>
        <v>https://twitter.com/jpmorgan</v>
      </c>
      <c r="AZ119" t="s">
        <v>65</v>
      </c>
      <c r="BA119" s="2"/>
    </row>
    <row r="120" spans="1:53" x14ac:dyDescent="0.45">
      <c r="A120" s="62" t="s">
        <v>1489</v>
      </c>
      <c r="B120" s="63"/>
      <c r="C120" s="63"/>
      <c r="D120" s="64"/>
      <c r="E120" s="66"/>
      <c r="F120" s="98" t="str">
        <f>HYPERLINK("https://pbs.twimg.com/profile_images/1553919482334064640/7H_h86P8_normal.png")</f>
        <v>https://pbs.twimg.com/profile_images/1553919482334064640/7H_h86P8_normal.png</v>
      </c>
      <c r="G120" s="63"/>
      <c r="H120" s="67"/>
      <c r="I120" s="68"/>
      <c r="J120" s="68"/>
      <c r="K120" s="67" t="s">
        <v>10488</v>
      </c>
      <c r="L120" s="71"/>
      <c r="M120" s="72"/>
      <c r="N120" s="72"/>
      <c r="O120" s="73"/>
      <c r="P120" s="74"/>
      <c r="Q120" s="74"/>
      <c r="R120" s="81"/>
      <c r="S120" s="81"/>
      <c r="T120" s="81"/>
      <c r="U120" s="81"/>
      <c r="V120" s="48"/>
      <c r="W120" s="48"/>
      <c r="X120" s="48"/>
      <c r="Y120" s="48"/>
      <c r="Z120" s="47"/>
      <c r="AA120" s="69"/>
      <c r="AB120" s="69"/>
      <c r="AC120" s="70"/>
      <c r="AD120" t="s">
        <v>6166</v>
      </c>
      <c r="AE120" s="78" t="s">
        <v>7353</v>
      </c>
      <c r="AF120">
        <v>50002</v>
      </c>
      <c r="AG120">
        <v>699935</v>
      </c>
      <c r="AH120">
        <v>293547</v>
      </c>
      <c r="AI120">
        <v>4330</v>
      </c>
      <c r="AK120" t="s">
        <v>8524</v>
      </c>
      <c r="AL120" t="s">
        <v>8995</v>
      </c>
      <c r="AM120" s="79" t="str">
        <f>HYPERLINK("https://t.co/p8ZHIUR5Nb")</f>
        <v>https://t.co/p8ZHIUR5Nb</v>
      </c>
      <c r="AO120" s="76">
        <v>39617.854120370372</v>
      </c>
      <c r="AP120" s="79" t="str">
        <f>HYPERLINK("https://pbs.twimg.com/profile_banners/15162193/1673624420")</f>
        <v>https://pbs.twimg.com/profile_banners/15162193/1673624420</v>
      </c>
      <c r="AQ120" t="b">
        <v>0</v>
      </c>
      <c r="AR120" t="b">
        <v>0</v>
      </c>
      <c r="AS120" t="b">
        <v>1</v>
      </c>
      <c r="AU120">
        <v>5365</v>
      </c>
      <c r="AV120" s="79" t="str">
        <f>HYPERLINK("https://abs.twimg.com/images/themes/theme7/bg.gif")</f>
        <v>https://abs.twimg.com/images/themes/theme7/bg.gif</v>
      </c>
      <c r="AW120" t="b">
        <v>1</v>
      </c>
      <c r="AX120" t="s">
        <v>9303</v>
      </c>
      <c r="AY120" s="79" t="str">
        <f>HYPERLINK("https://twitter.com/nordstrom")</f>
        <v>https://twitter.com/nordstrom</v>
      </c>
      <c r="AZ120" t="s">
        <v>65</v>
      </c>
      <c r="BA120" s="2"/>
    </row>
    <row r="121" spans="1:53" x14ac:dyDescent="0.45">
      <c r="A121" s="62" t="s">
        <v>1268</v>
      </c>
      <c r="B121" s="63"/>
      <c r="C121" s="63"/>
      <c r="D121" s="64"/>
      <c r="E121" s="66"/>
      <c r="F121" s="98" t="str">
        <f>HYPERLINK("https://pbs.twimg.com/profile_images/1510258699654291462/KPEr0Ylq_normal.jpg")</f>
        <v>https://pbs.twimg.com/profile_images/1510258699654291462/KPEr0Ylq_normal.jpg</v>
      </c>
      <c r="G121" s="63"/>
      <c r="H121" s="67"/>
      <c r="I121" s="68"/>
      <c r="J121" s="68"/>
      <c r="K121" s="67" t="s">
        <v>9713</v>
      </c>
      <c r="L121" s="71"/>
      <c r="M121" s="72"/>
      <c r="N121" s="72"/>
      <c r="O121" s="73"/>
      <c r="P121" s="74"/>
      <c r="Q121" s="74"/>
      <c r="R121" s="81"/>
      <c r="S121" s="81"/>
      <c r="T121" s="81"/>
      <c r="U121" s="81"/>
      <c r="V121" s="48"/>
      <c r="W121" s="48"/>
      <c r="X121" s="48"/>
      <c r="Y121" s="48"/>
      <c r="Z121" s="47"/>
      <c r="AA121" s="69"/>
      <c r="AB121" s="69"/>
      <c r="AC121" s="70"/>
      <c r="AD121" t="s">
        <v>5405</v>
      </c>
      <c r="AE121" s="78" t="s">
        <v>6678</v>
      </c>
      <c r="AF121">
        <v>546</v>
      </c>
      <c r="AG121">
        <v>683968</v>
      </c>
      <c r="AH121">
        <v>95956</v>
      </c>
      <c r="AI121">
        <v>13084</v>
      </c>
      <c r="AK121" t="s">
        <v>7845</v>
      </c>
      <c r="AL121" t="s">
        <v>8708</v>
      </c>
      <c r="AM121" s="79" t="str">
        <f>HYPERLINK("https://t.co/vyR5pPi9f9")</f>
        <v>https://t.co/vyR5pPi9f9</v>
      </c>
      <c r="AO121" s="76">
        <v>39904.677048611113</v>
      </c>
      <c r="AP121" s="79" t="str">
        <f>HYPERLINK("https://pbs.twimg.com/profile_banners/28134825/1673292774")</f>
        <v>https://pbs.twimg.com/profile_banners/28134825/1673292774</v>
      </c>
      <c r="AQ121" t="b">
        <v>0</v>
      </c>
      <c r="AR121" t="b">
        <v>0</v>
      </c>
      <c r="AS121" t="b">
        <v>1</v>
      </c>
      <c r="AU121">
        <v>2618</v>
      </c>
      <c r="AV121" s="79" t="str">
        <f>HYPERLINK("https://abs.twimg.com/images/themes/theme17/bg.gif")</f>
        <v>https://abs.twimg.com/images/themes/theme17/bg.gif</v>
      </c>
      <c r="AW121" t="b">
        <v>1</v>
      </c>
      <c r="AX121" t="s">
        <v>9303</v>
      </c>
      <c r="AY121" s="79" t="str">
        <f>HYPERLINK("https://twitter.com/ultabeauty")</f>
        <v>https://twitter.com/ultabeauty</v>
      </c>
      <c r="AZ121" t="s">
        <v>65</v>
      </c>
      <c r="BA121" s="2"/>
    </row>
    <row r="122" spans="1:53" x14ac:dyDescent="0.45">
      <c r="A122" s="62" t="s">
        <v>1320</v>
      </c>
      <c r="B122" s="63"/>
      <c r="C122" s="63"/>
      <c r="D122" s="64"/>
      <c r="E122" s="66"/>
      <c r="F122" s="98" t="str">
        <f>HYPERLINK("https://pbs.twimg.com/profile_images/1436461926842658819/moF6dOGX_normal.jpg")</f>
        <v>https://pbs.twimg.com/profile_images/1436461926842658819/moF6dOGX_normal.jpg</v>
      </c>
      <c r="G122" s="63"/>
      <c r="H122" s="67"/>
      <c r="I122" s="68"/>
      <c r="J122" s="68"/>
      <c r="K122" s="67" t="s">
        <v>9974</v>
      </c>
      <c r="L122" s="71"/>
      <c r="M122" s="72"/>
      <c r="N122" s="72"/>
      <c r="O122" s="73"/>
      <c r="P122" s="74"/>
      <c r="Q122" s="74"/>
      <c r="R122" s="81"/>
      <c r="S122" s="81"/>
      <c r="T122" s="81"/>
      <c r="U122" s="81"/>
      <c r="V122" s="48"/>
      <c r="W122" s="48"/>
      <c r="X122" s="48"/>
      <c r="Y122" s="48"/>
      <c r="Z122" s="47"/>
      <c r="AA122" s="69"/>
      <c r="AB122" s="69"/>
      <c r="AC122" s="70"/>
      <c r="AD122" t="s">
        <v>5665</v>
      </c>
      <c r="AE122" s="78" t="s">
        <v>6907</v>
      </c>
      <c r="AF122">
        <v>930</v>
      </c>
      <c r="AG122">
        <v>671217</v>
      </c>
      <c r="AH122">
        <v>11501</v>
      </c>
      <c r="AI122">
        <v>1585</v>
      </c>
      <c r="AK122" t="s">
        <v>8074</v>
      </c>
      <c r="AL122" t="s">
        <v>8802</v>
      </c>
      <c r="AO122" s="76">
        <v>40710.750902777778</v>
      </c>
      <c r="AP122" s="79" t="str">
        <f>HYPERLINK("https://pbs.twimg.com/profile_banners/318571154/1656355810")</f>
        <v>https://pbs.twimg.com/profile_banners/318571154/1656355810</v>
      </c>
      <c r="AQ122" t="b">
        <v>0</v>
      </c>
      <c r="AR122" t="b">
        <v>0</v>
      </c>
      <c r="AS122" t="b">
        <v>0</v>
      </c>
      <c r="AU122">
        <v>4158</v>
      </c>
      <c r="AV122" s="79" t="str">
        <f t="shared" ref="AV122:AV132" si="2">HYPERLINK("https://abs.twimg.com/images/themes/theme1/bg.png")</f>
        <v>https://abs.twimg.com/images/themes/theme1/bg.png</v>
      </c>
      <c r="AW122" t="b">
        <v>1</v>
      </c>
      <c r="AX122" t="s">
        <v>9303</v>
      </c>
      <c r="AY122" s="79" t="str">
        <f>HYPERLINK("https://twitter.com/applebooks")</f>
        <v>https://twitter.com/applebooks</v>
      </c>
      <c r="AZ122" t="s">
        <v>65</v>
      </c>
      <c r="BA122" s="2"/>
    </row>
    <row r="123" spans="1:53" x14ac:dyDescent="0.45">
      <c r="A123" s="62" t="s">
        <v>1112</v>
      </c>
      <c r="B123" s="63"/>
      <c r="C123" s="63"/>
      <c r="D123" s="64"/>
      <c r="E123" s="66"/>
      <c r="F123" s="98" t="str">
        <f>HYPERLINK("https://pbs.twimg.com/profile_images/1064567396772401152/ex2Q59H8_normal.jpg")</f>
        <v>https://pbs.twimg.com/profile_images/1064567396772401152/ex2Q59H8_normal.jpg</v>
      </c>
      <c r="G123" s="63"/>
      <c r="H123" s="67"/>
      <c r="I123" s="68"/>
      <c r="J123" s="68"/>
      <c r="K123" s="67" t="s">
        <v>9319</v>
      </c>
      <c r="L123" s="71"/>
      <c r="M123" s="72"/>
      <c r="N123" s="72"/>
      <c r="O123" s="73"/>
      <c r="P123" s="74"/>
      <c r="Q123" s="74"/>
      <c r="R123" s="81"/>
      <c r="S123" s="81"/>
      <c r="T123" s="81"/>
      <c r="U123" s="81"/>
      <c r="V123" s="48"/>
      <c r="W123" s="48"/>
      <c r="X123" s="48"/>
      <c r="Y123" s="48"/>
      <c r="Z123" s="47"/>
      <c r="AA123" s="69"/>
      <c r="AB123" s="69"/>
      <c r="AC123" s="70"/>
      <c r="AD123" t="s">
        <v>5015</v>
      </c>
      <c r="AE123" s="78" t="s">
        <v>6339</v>
      </c>
      <c r="AF123">
        <v>253</v>
      </c>
      <c r="AG123">
        <v>664362</v>
      </c>
      <c r="AH123">
        <v>5826</v>
      </c>
      <c r="AI123">
        <v>1015</v>
      </c>
      <c r="AK123" t="s">
        <v>7504</v>
      </c>
      <c r="AL123" t="s">
        <v>8680</v>
      </c>
      <c r="AM123" s="79" t="str">
        <f>HYPERLINK("https://t.co/mJ4W9fYVI2")</f>
        <v>https://t.co/mJ4W9fYVI2</v>
      </c>
      <c r="AO123" s="76">
        <v>39890.697534722225</v>
      </c>
      <c r="AP123" s="79" t="str">
        <f>HYPERLINK("https://pbs.twimg.com/profile_banners/25103967/1629733129")</f>
        <v>https://pbs.twimg.com/profile_banners/25103967/1629733129</v>
      </c>
      <c r="AQ123" t="b">
        <v>0</v>
      </c>
      <c r="AR123" t="b">
        <v>0</v>
      </c>
      <c r="AS123" t="b">
        <v>0</v>
      </c>
      <c r="AU123">
        <v>4738</v>
      </c>
      <c r="AV123" s="79" t="str">
        <f t="shared" si="2"/>
        <v>https://abs.twimg.com/images/themes/theme1/bg.png</v>
      </c>
      <c r="AW123" t="b">
        <v>1</v>
      </c>
      <c r="AX123" t="s">
        <v>9303</v>
      </c>
      <c r="AY123" s="79" t="str">
        <f>HYPERLINK("https://twitter.com/boeing")</f>
        <v>https://twitter.com/boeing</v>
      </c>
      <c r="AZ123" t="s">
        <v>65</v>
      </c>
      <c r="BA123" s="2"/>
    </row>
    <row r="124" spans="1:53" x14ac:dyDescent="0.45">
      <c r="A124" s="62" t="s">
        <v>1352</v>
      </c>
      <c r="B124" s="63"/>
      <c r="C124" s="63"/>
      <c r="D124" s="64"/>
      <c r="E124" s="66"/>
      <c r="F124" s="98" t="str">
        <f>HYPERLINK("https://pbs.twimg.com/profile_images/1438243552987860999/zqqGTpSu_normal.jpg")</f>
        <v>https://pbs.twimg.com/profile_images/1438243552987860999/zqqGTpSu_normal.jpg</v>
      </c>
      <c r="G124" s="63"/>
      <c r="H124" s="67"/>
      <c r="I124" s="68"/>
      <c r="J124" s="68"/>
      <c r="K124" s="67" t="s">
        <v>10068</v>
      </c>
      <c r="L124" s="71"/>
      <c r="M124" s="72"/>
      <c r="N124" s="72"/>
      <c r="O124" s="73"/>
      <c r="P124" s="74"/>
      <c r="Q124" s="74"/>
      <c r="R124" s="81"/>
      <c r="S124" s="81"/>
      <c r="T124" s="81"/>
      <c r="U124" s="81"/>
      <c r="V124" s="48"/>
      <c r="W124" s="48"/>
      <c r="X124" s="48"/>
      <c r="Y124" s="48"/>
      <c r="Z124" s="47"/>
      <c r="AA124" s="69"/>
      <c r="AB124" s="69"/>
      <c r="AC124" s="70"/>
      <c r="AD124" t="s">
        <v>5757</v>
      </c>
      <c r="AE124" s="78" t="s">
        <v>6992</v>
      </c>
      <c r="AF124">
        <v>33</v>
      </c>
      <c r="AG124">
        <v>662701</v>
      </c>
      <c r="AH124">
        <v>11840</v>
      </c>
      <c r="AI124">
        <v>8995</v>
      </c>
      <c r="AK124" t="s">
        <v>8154</v>
      </c>
      <c r="AL124" t="s">
        <v>9063</v>
      </c>
      <c r="AM124" s="79" t="str">
        <f>HYPERLINK("https://t.co/ZypjpmTpjl")</f>
        <v>https://t.co/ZypjpmTpjl</v>
      </c>
      <c r="AO124" s="76">
        <v>39655.778680555559</v>
      </c>
      <c r="AP124" s="79" t="str">
        <f>HYPERLINK("https://pbs.twimg.com/profile_banners/15613133/1641490958")</f>
        <v>https://pbs.twimg.com/profile_banners/15613133/1641490958</v>
      </c>
      <c r="AQ124" t="b">
        <v>0</v>
      </c>
      <c r="AR124" t="b">
        <v>0</v>
      </c>
      <c r="AS124" t="b">
        <v>1</v>
      </c>
      <c r="AU124">
        <v>1878</v>
      </c>
      <c r="AV124" s="79" t="str">
        <f t="shared" si="2"/>
        <v>https://abs.twimg.com/images/themes/theme1/bg.png</v>
      </c>
      <c r="AW124" t="b">
        <v>1</v>
      </c>
      <c r="AX124" t="s">
        <v>9303</v>
      </c>
      <c r="AY124" s="79" t="str">
        <f>HYPERLINK("https://twitter.com/smashbox")</f>
        <v>https://twitter.com/smashbox</v>
      </c>
      <c r="AZ124" t="s">
        <v>65</v>
      </c>
      <c r="BA124" s="2"/>
    </row>
    <row r="125" spans="1:53" x14ac:dyDescent="0.45">
      <c r="A125" s="62" t="s">
        <v>1368</v>
      </c>
      <c r="B125" s="63"/>
      <c r="C125" s="63"/>
      <c r="D125" s="64"/>
      <c r="E125" s="66"/>
      <c r="F125" s="98" t="str">
        <f>HYPERLINK("https://pbs.twimg.com/profile_images/1605189100037963777/Wdkzj5Ol_normal.jpg")</f>
        <v>https://pbs.twimg.com/profile_images/1605189100037963777/Wdkzj5Ol_normal.jpg</v>
      </c>
      <c r="G125" s="63"/>
      <c r="H125" s="67"/>
      <c r="I125" s="68"/>
      <c r="J125" s="68"/>
      <c r="K125" s="67" t="s">
        <v>10148</v>
      </c>
      <c r="L125" s="71"/>
      <c r="M125" s="72"/>
      <c r="N125" s="72"/>
      <c r="O125" s="73"/>
      <c r="P125" s="74"/>
      <c r="Q125" s="74"/>
      <c r="R125" s="81"/>
      <c r="S125" s="81"/>
      <c r="T125" s="81"/>
      <c r="U125" s="81"/>
      <c r="V125" s="48"/>
      <c r="W125" s="48"/>
      <c r="X125" s="48"/>
      <c r="Y125" s="48"/>
      <c r="Z125" s="47"/>
      <c r="AA125" s="69"/>
      <c r="AB125" s="69"/>
      <c r="AC125" s="70"/>
      <c r="AD125" t="s">
        <v>5834</v>
      </c>
      <c r="AE125" s="78" t="s">
        <v>7060</v>
      </c>
      <c r="AF125">
        <v>2994</v>
      </c>
      <c r="AG125">
        <v>661929</v>
      </c>
      <c r="AH125">
        <v>323649</v>
      </c>
      <c r="AI125">
        <v>85962</v>
      </c>
      <c r="AK125" t="s">
        <v>8226</v>
      </c>
      <c r="AM125" s="79" t="str">
        <f>HYPERLINK("https://t.co/3gvtTgV6c3")</f>
        <v>https://t.co/3gvtTgV6c3</v>
      </c>
      <c r="AO125" s="76">
        <v>39906.68478009259</v>
      </c>
      <c r="AP125" s="79" t="str">
        <f>HYPERLINK("https://pbs.twimg.com/profile_banners/28596803/1675332248")</f>
        <v>https://pbs.twimg.com/profile_banners/28596803/1675332248</v>
      </c>
      <c r="AQ125" t="b">
        <v>1</v>
      </c>
      <c r="AR125" t="b">
        <v>0</v>
      </c>
      <c r="AS125" t="b">
        <v>1</v>
      </c>
      <c r="AU125">
        <v>1022</v>
      </c>
      <c r="AV125" s="79" t="str">
        <f t="shared" si="2"/>
        <v>https://abs.twimg.com/images/themes/theme1/bg.png</v>
      </c>
      <c r="AW125" t="b">
        <v>1</v>
      </c>
      <c r="AX125" t="s">
        <v>9303</v>
      </c>
      <c r="AY125" s="79" t="str">
        <f>HYPERLINK("https://twitter.com/aldiuk")</f>
        <v>https://twitter.com/aldiuk</v>
      </c>
      <c r="AZ125" t="s">
        <v>65</v>
      </c>
      <c r="BA125" s="2"/>
    </row>
    <row r="126" spans="1:53" x14ac:dyDescent="0.45">
      <c r="A126" s="62" t="s">
        <v>1347</v>
      </c>
      <c r="B126" s="63"/>
      <c r="C126" s="63"/>
      <c r="D126" s="64"/>
      <c r="E126" s="66"/>
      <c r="F126" s="98" t="str">
        <f>HYPERLINK("https://pbs.twimg.com/profile_images/1613574734314377223/j3jVRIdb_normal.jpg")</f>
        <v>https://pbs.twimg.com/profile_images/1613574734314377223/j3jVRIdb_normal.jpg</v>
      </c>
      <c r="G126" s="63"/>
      <c r="H126" s="67"/>
      <c r="I126" s="68"/>
      <c r="J126" s="68"/>
      <c r="K126" s="67" t="s">
        <v>10057</v>
      </c>
      <c r="L126" s="71"/>
      <c r="M126" s="72"/>
      <c r="N126" s="72"/>
      <c r="O126" s="73"/>
      <c r="P126" s="74"/>
      <c r="Q126" s="74"/>
      <c r="R126" s="81"/>
      <c r="S126" s="81"/>
      <c r="T126" s="81"/>
      <c r="U126" s="81"/>
      <c r="V126" s="48"/>
      <c r="W126" s="48"/>
      <c r="X126" s="48"/>
      <c r="Y126" s="48"/>
      <c r="Z126" s="47"/>
      <c r="AA126" s="69"/>
      <c r="AB126" s="69"/>
      <c r="AC126" s="70"/>
      <c r="AD126" t="s">
        <v>5746</v>
      </c>
      <c r="AE126" s="78" t="s">
        <v>6982</v>
      </c>
      <c r="AF126">
        <v>2960</v>
      </c>
      <c r="AG126">
        <v>654462</v>
      </c>
      <c r="AH126">
        <v>3754</v>
      </c>
      <c r="AI126">
        <v>3470</v>
      </c>
      <c r="AK126" t="s">
        <v>8144</v>
      </c>
      <c r="AL126" t="s">
        <v>4924</v>
      </c>
      <c r="AM126" s="79" t="str">
        <f>HYPERLINK("https://t.co/lH7isQ60R9")</f>
        <v>https://t.co/lH7isQ60R9</v>
      </c>
      <c r="AO126" s="76">
        <v>39524.644884259258</v>
      </c>
      <c r="AP126" s="79" t="str">
        <f>HYPERLINK("https://pbs.twimg.com/profile_banners/14163748/1673541376")</f>
        <v>https://pbs.twimg.com/profile_banners/14163748/1673541376</v>
      </c>
      <c r="AQ126" t="b">
        <v>0</v>
      </c>
      <c r="AR126" t="b">
        <v>0</v>
      </c>
      <c r="AS126" t="b">
        <v>0</v>
      </c>
      <c r="AU126">
        <v>1457</v>
      </c>
      <c r="AV126" s="79" t="str">
        <f t="shared" si="2"/>
        <v>https://abs.twimg.com/images/themes/theme1/bg.png</v>
      </c>
      <c r="AW126" t="b">
        <v>1</v>
      </c>
      <c r="AX126" t="s">
        <v>9303</v>
      </c>
      <c r="AY126" s="79" t="str">
        <f>HYPERLINK("https://twitter.com/linkneal")</f>
        <v>https://twitter.com/linkneal</v>
      </c>
      <c r="AZ126" t="s">
        <v>65</v>
      </c>
      <c r="BA126" s="2"/>
    </row>
    <row r="127" spans="1:53" x14ac:dyDescent="0.45">
      <c r="A127" s="62" t="s">
        <v>571</v>
      </c>
      <c r="B127" s="63"/>
      <c r="C127" s="63"/>
      <c r="D127" s="64"/>
      <c r="E127" s="66"/>
      <c r="F127" s="98" t="str">
        <f>HYPERLINK("https://pbs.twimg.com/profile_images/993935476364054528/GRE81eo8_normal.jpg")</f>
        <v>https://pbs.twimg.com/profile_images/993935476364054528/GRE81eo8_normal.jpg</v>
      </c>
      <c r="G127" s="63"/>
      <c r="H127" s="67"/>
      <c r="I127" s="68"/>
      <c r="J127" s="68"/>
      <c r="K127" s="67" t="s">
        <v>9869</v>
      </c>
      <c r="L127" s="71"/>
      <c r="M127" s="72"/>
      <c r="N127" s="72"/>
      <c r="O127" s="73"/>
      <c r="P127" s="74"/>
      <c r="Q127" s="74"/>
      <c r="R127" s="81"/>
      <c r="S127" s="81"/>
      <c r="T127" s="81"/>
      <c r="U127" s="81"/>
      <c r="V127" s="48"/>
      <c r="W127" s="48"/>
      <c r="X127" s="48"/>
      <c r="Y127" s="48"/>
      <c r="Z127" s="47"/>
      <c r="AA127" s="69"/>
      <c r="AB127" s="69"/>
      <c r="AC127" s="70"/>
      <c r="AD127" t="s">
        <v>5560</v>
      </c>
      <c r="AE127" s="78" t="s">
        <v>6808</v>
      </c>
      <c r="AF127">
        <v>3937</v>
      </c>
      <c r="AG127">
        <v>632439</v>
      </c>
      <c r="AH127">
        <v>282104</v>
      </c>
      <c r="AI127">
        <v>12412</v>
      </c>
      <c r="AK127" t="s">
        <v>7983</v>
      </c>
      <c r="AL127" t="s">
        <v>8683</v>
      </c>
      <c r="AM127" s="79" t="str">
        <f>HYPERLINK("https://t.co/FFdFfYV9nV")</f>
        <v>https://t.co/FFdFfYV9nV</v>
      </c>
      <c r="AO127" s="76">
        <v>39661.865659722222</v>
      </c>
      <c r="AP127" s="79" t="str">
        <f>HYPERLINK("https://pbs.twimg.com/profile_banners/15694286/1656367285")</f>
        <v>https://pbs.twimg.com/profile_banners/15694286/1656367285</v>
      </c>
      <c r="AQ127" t="b">
        <v>0</v>
      </c>
      <c r="AR127" t="b">
        <v>0</v>
      </c>
      <c r="AS127" t="b">
        <v>1</v>
      </c>
      <c r="AU127">
        <v>3244</v>
      </c>
      <c r="AV127" s="79" t="str">
        <f t="shared" si="2"/>
        <v>https://abs.twimg.com/images/themes/theme1/bg.png</v>
      </c>
      <c r="AW127" t="b">
        <v>1</v>
      </c>
      <c r="AX127" t="s">
        <v>9303</v>
      </c>
      <c r="AY127" s="79" t="str">
        <f>HYPERLINK("https://twitter.com/wfaa")</f>
        <v>https://twitter.com/wfaa</v>
      </c>
      <c r="AZ127" t="s">
        <v>66</v>
      </c>
      <c r="BA127" s="2"/>
    </row>
    <row r="128" spans="1:53" x14ac:dyDescent="0.45">
      <c r="A128" s="62" t="s">
        <v>1397</v>
      </c>
      <c r="B128" s="63"/>
      <c r="C128" s="63"/>
      <c r="D128" s="64"/>
      <c r="E128" s="66"/>
      <c r="F128" s="98" t="str">
        <f>HYPERLINK("https://pbs.twimg.com/profile_images/1563903475624415233/Ms1ZS1Hp_normal.jpg")</f>
        <v>https://pbs.twimg.com/profile_images/1563903475624415233/Ms1ZS1Hp_normal.jpg</v>
      </c>
      <c r="G128" s="63"/>
      <c r="H128" s="67"/>
      <c r="I128" s="68"/>
      <c r="J128" s="68"/>
      <c r="K128" s="67" t="s">
        <v>10218</v>
      </c>
      <c r="L128" s="71"/>
      <c r="M128" s="72"/>
      <c r="N128" s="72"/>
      <c r="O128" s="73"/>
      <c r="P128" s="74"/>
      <c r="Q128" s="74"/>
      <c r="R128" s="81"/>
      <c r="S128" s="81"/>
      <c r="T128" s="81"/>
      <c r="U128" s="81"/>
      <c r="V128" s="48"/>
      <c r="W128" s="48"/>
      <c r="X128" s="48"/>
      <c r="Y128" s="48"/>
      <c r="Z128" s="47"/>
      <c r="AA128" s="69"/>
      <c r="AB128" s="69"/>
      <c r="AC128" s="70"/>
      <c r="AD128" t="s">
        <v>5902</v>
      </c>
      <c r="AE128" s="78" t="s">
        <v>7121</v>
      </c>
      <c r="AF128">
        <v>920</v>
      </c>
      <c r="AG128">
        <v>626181</v>
      </c>
      <c r="AH128">
        <v>3519</v>
      </c>
      <c r="AI128">
        <v>9360</v>
      </c>
      <c r="AK128" t="s">
        <v>8285</v>
      </c>
      <c r="AL128" t="s">
        <v>4967</v>
      </c>
      <c r="AM128" s="79" t="str">
        <f>HYPERLINK("https://t.co/Wu453oWoOL")</f>
        <v>https://t.co/Wu453oWoOL</v>
      </c>
      <c r="AO128" s="76">
        <v>40574.086145833331</v>
      </c>
      <c r="AP128" s="79" t="str">
        <f>HYPERLINK("https://pbs.twimg.com/profile_banners/245174002/1654551212")</f>
        <v>https://pbs.twimg.com/profile_banners/245174002/1654551212</v>
      </c>
      <c r="AQ128" t="b">
        <v>0</v>
      </c>
      <c r="AR128" t="b">
        <v>0</v>
      </c>
      <c r="AS128" t="b">
        <v>1</v>
      </c>
      <c r="AU128">
        <v>999</v>
      </c>
      <c r="AV128" s="79" t="str">
        <f t="shared" si="2"/>
        <v>https://abs.twimg.com/images/themes/theme1/bg.png</v>
      </c>
      <c r="AW128" t="b">
        <v>1</v>
      </c>
      <c r="AX128" t="s">
        <v>9303</v>
      </c>
      <c r="AY128" s="79" t="str">
        <f>HYPERLINK("https://twitter.com/biancabelairwwe")</f>
        <v>https://twitter.com/biancabelairwwe</v>
      </c>
      <c r="AZ128" t="s">
        <v>65</v>
      </c>
      <c r="BA128" s="2"/>
    </row>
    <row r="129" spans="1:53" x14ac:dyDescent="0.45">
      <c r="A129" s="62" t="s">
        <v>1190</v>
      </c>
      <c r="B129" s="63"/>
      <c r="C129" s="63"/>
      <c r="D129" s="64"/>
      <c r="E129" s="66"/>
      <c r="F129" s="98" t="str">
        <f>HYPERLINK("https://pbs.twimg.com/profile_images/1268205537637748736/jyoK_62Q_normal.jpg")</f>
        <v>https://pbs.twimg.com/profile_images/1268205537637748736/jyoK_62Q_normal.jpg</v>
      </c>
      <c r="G129" s="63"/>
      <c r="H129" s="67"/>
      <c r="I129" s="68"/>
      <c r="J129" s="68"/>
      <c r="K129" s="67" t="s">
        <v>9481</v>
      </c>
      <c r="L129" s="71"/>
      <c r="M129" s="72"/>
      <c r="N129" s="72"/>
      <c r="O129" s="73"/>
      <c r="P129" s="74"/>
      <c r="Q129" s="74"/>
      <c r="R129" s="81"/>
      <c r="S129" s="81"/>
      <c r="T129" s="81"/>
      <c r="U129" s="81"/>
      <c r="V129" s="48"/>
      <c r="W129" s="48"/>
      <c r="X129" s="48"/>
      <c r="Y129" s="48"/>
      <c r="Z129" s="47"/>
      <c r="AA129" s="69"/>
      <c r="AB129" s="69"/>
      <c r="AC129" s="70"/>
      <c r="AD129" t="s">
        <v>5175</v>
      </c>
      <c r="AE129" s="78" t="s">
        <v>6471</v>
      </c>
      <c r="AF129">
        <v>142562</v>
      </c>
      <c r="AG129">
        <v>589643</v>
      </c>
      <c r="AH129">
        <v>101797</v>
      </c>
      <c r="AI129">
        <v>32018</v>
      </c>
      <c r="AK129" t="s">
        <v>7646</v>
      </c>
      <c r="AL129" t="s">
        <v>8772</v>
      </c>
      <c r="AM129" s="79" t="str">
        <f>HYPERLINK("https://t.co/fQp40XmYPt")</f>
        <v>https://t.co/fQp40XmYPt</v>
      </c>
      <c r="AO129" s="76">
        <v>39923.773773148147</v>
      </c>
      <c r="AP129" s="79" t="str">
        <f>HYPERLINK("https://pbs.twimg.com/profile_banners/33612317/1668684270")</f>
        <v>https://pbs.twimg.com/profile_banners/33612317/1668684270</v>
      </c>
      <c r="AQ129" t="b">
        <v>0</v>
      </c>
      <c r="AR129" t="b">
        <v>0</v>
      </c>
      <c r="AS129" t="b">
        <v>1</v>
      </c>
      <c r="AU129">
        <v>7450</v>
      </c>
      <c r="AV129" s="79" t="str">
        <f t="shared" si="2"/>
        <v>https://abs.twimg.com/images/themes/theme1/bg.png</v>
      </c>
      <c r="AW129" t="b">
        <v>1</v>
      </c>
      <c r="AX129" t="s">
        <v>9303</v>
      </c>
      <c r="AY129" s="79" t="str">
        <f>HYPERLINK("https://twitter.com/salesforce")</f>
        <v>https://twitter.com/salesforce</v>
      </c>
      <c r="AZ129" t="s">
        <v>65</v>
      </c>
      <c r="BA129" s="2"/>
    </row>
    <row r="130" spans="1:53" x14ac:dyDescent="0.45">
      <c r="A130" s="62" t="s">
        <v>1485</v>
      </c>
      <c r="B130" s="63"/>
      <c r="C130" s="63"/>
      <c r="D130" s="64"/>
      <c r="E130" s="66"/>
      <c r="F130" s="98" t="str">
        <f>HYPERLINK("https://pbs.twimg.com/profile_images/1586376822677176320/pYeKA0BV_normal.jpg")</f>
        <v>https://pbs.twimg.com/profile_images/1586376822677176320/pYeKA0BV_normal.jpg</v>
      </c>
      <c r="G130" s="63"/>
      <c r="H130" s="67"/>
      <c r="I130" s="68"/>
      <c r="J130" s="68"/>
      <c r="K130" s="67" t="s">
        <v>10472</v>
      </c>
      <c r="L130" s="71"/>
      <c r="M130" s="72"/>
      <c r="N130" s="72"/>
      <c r="O130" s="73"/>
      <c r="P130" s="74"/>
      <c r="Q130" s="74"/>
      <c r="R130" s="81"/>
      <c r="S130" s="81"/>
      <c r="T130" s="81"/>
      <c r="U130" s="81"/>
      <c r="V130" s="48"/>
      <c r="W130" s="48"/>
      <c r="X130" s="48"/>
      <c r="Y130" s="48"/>
      <c r="Z130" s="47"/>
      <c r="AA130" s="69"/>
      <c r="AB130" s="69"/>
      <c r="AC130" s="70"/>
      <c r="AD130" t="s">
        <v>6152</v>
      </c>
      <c r="AE130" s="78" t="s">
        <v>4793</v>
      </c>
      <c r="AF130">
        <v>7231</v>
      </c>
      <c r="AG130">
        <v>583045</v>
      </c>
      <c r="AH130">
        <v>78884</v>
      </c>
      <c r="AI130">
        <v>130904</v>
      </c>
      <c r="AK130" t="s">
        <v>8511</v>
      </c>
      <c r="AL130" t="s">
        <v>8955</v>
      </c>
      <c r="AM130" s="79" t="str">
        <f>HYPERLINK("https://t.co/FvfKeAXUbB")</f>
        <v>https://t.co/FvfKeAXUbB</v>
      </c>
      <c r="AO130" s="76">
        <v>40430.677187499998</v>
      </c>
      <c r="AP130" s="79" t="str">
        <f>HYPERLINK("https://pbs.twimg.com/profile_banners/188793260/1660754648")</f>
        <v>https://pbs.twimg.com/profile_banners/188793260/1660754648</v>
      </c>
      <c r="AQ130" t="b">
        <v>0</v>
      </c>
      <c r="AR130" t="b">
        <v>0</v>
      </c>
      <c r="AS130" t="b">
        <v>1</v>
      </c>
      <c r="AU130">
        <v>3526</v>
      </c>
      <c r="AV130" s="79" t="str">
        <f t="shared" si="2"/>
        <v>https://abs.twimg.com/images/themes/theme1/bg.png</v>
      </c>
      <c r="AW130" t="b">
        <v>1</v>
      </c>
      <c r="AX130" t="s">
        <v>9303</v>
      </c>
      <c r="AY130" s="79" t="str">
        <f>HYPERLINK("https://twitter.com/ninaturner")</f>
        <v>https://twitter.com/ninaturner</v>
      </c>
      <c r="AZ130" t="s">
        <v>65</v>
      </c>
      <c r="BA130" s="2"/>
    </row>
    <row r="131" spans="1:53" x14ac:dyDescent="0.45">
      <c r="A131" s="62" t="s">
        <v>1461</v>
      </c>
      <c r="B131" s="63"/>
      <c r="C131" s="63"/>
      <c r="D131" s="64"/>
      <c r="E131" s="66"/>
      <c r="F131" s="98" t="str">
        <f>HYPERLINK("https://pbs.twimg.com/profile_images/1539799565016379392/2h4jury3_normal.png")</f>
        <v>https://pbs.twimg.com/profile_images/1539799565016379392/2h4jury3_normal.png</v>
      </c>
      <c r="G131" s="63"/>
      <c r="H131" s="67"/>
      <c r="I131" s="68"/>
      <c r="J131" s="68"/>
      <c r="K131" s="67" t="s">
        <v>10403</v>
      </c>
      <c r="L131" s="71"/>
      <c r="M131" s="72"/>
      <c r="N131" s="72"/>
      <c r="O131" s="73"/>
      <c r="P131" s="74"/>
      <c r="Q131" s="74"/>
      <c r="R131" s="81"/>
      <c r="S131" s="81"/>
      <c r="T131" s="81"/>
      <c r="U131" s="81"/>
      <c r="V131" s="48"/>
      <c r="W131" s="48"/>
      <c r="X131" s="48"/>
      <c r="Y131" s="48"/>
      <c r="Z131" s="47"/>
      <c r="AA131" s="69"/>
      <c r="AB131" s="69"/>
      <c r="AC131" s="70"/>
      <c r="AD131" t="s">
        <v>6085</v>
      </c>
      <c r="AE131" s="78" t="s">
        <v>7286</v>
      </c>
      <c r="AF131">
        <v>1402</v>
      </c>
      <c r="AG131">
        <v>569641</v>
      </c>
      <c r="AH131">
        <v>28015</v>
      </c>
      <c r="AI131">
        <v>5446</v>
      </c>
      <c r="AK131" t="s">
        <v>8447</v>
      </c>
      <c r="AL131" t="s">
        <v>8705</v>
      </c>
      <c r="AM131" s="79" t="str">
        <f>HYPERLINK("https://t.co/xSCVjkqNCd")</f>
        <v>https://t.co/xSCVjkqNCd</v>
      </c>
      <c r="AO131" s="76">
        <v>39321.362905092596</v>
      </c>
      <c r="AP131" s="79" t="str">
        <f>HYPERLINK("https://pbs.twimg.com/profile_banners/8457092/1656038161")</f>
        <v>https://pbs.twimg.com/profile_banners/8457092/1656038161</v>
      </c>
      <c r="AQ131" t="b">
        <v>0</v>
      </c>
      <c r="AR131" t="b">
        <v>0</v>
      </c>
      <c r="AS131" t="b">
        <v>1</v>
      </c>
      <c r="AU131">
        <v>5473</v>
      </c>
      <c r="AV131" s="79" t="str">
        <f t="shared" si="2"/>
        <v>https://abs.twimg.com/images/themes/theme1/bg.png</v>
      </c>
      <c r="AW131" t="b">
        <v>1</v>
      </c>
      <c r="AX131" t="s">
        <v>9303</v>
      </c>
      <c r="AY131" s="79" t="str">
        <f>HYPERLINK("https://twitter.com/deloitte")</f>
        <v>https://twitter.com/deloitte</v>
      </c>
      <c r="AZ131" t="s">
        <v>65</v>
      </c>
      <c r="BA131" s="2"/>
    </row>
    <row r="132" spans="1:53" x14ac:dyDescent="0.45">
      <c r="A132" s="62" t="s">
        <v>1341</v>
      </c>
      <c r="B132" s="63"/>
      <c r="C132" s="63"/>
      <c r="D132" s="64"/>
      <c r="E132" s="66"/>
      <c r="F132" s="98" t="str">
        <f>HYPERLINK("https://pbs.twimg.com/profile_images/1559968910916538368/Ybljcs7x_normal.jpg")</f>
        <v>https://pbs.twimg.com/profile_images/1559968910916538368/Ybljcs7x_normal.jpg</v>
      </c>
      <c r="G132" s="63"/>
      <c r="H132" s="67"/>
      <c r="I132" s="68"/>
      <c r="J132" s="68"/>
      <c r="K132" s="67" t="s">
        <v>10036</v>
      </c>
      <c r="L132" s="71"/>
      <c r="M132" s="72"/>
      <c r="N132" s="72"/>
      <c r="O132" s="73"/>
      <c r="P132" s="74"/>
      <c r="Q132" s="74"/>
      <c r="R132" s="81"/>
      <c r="S132" s="81"/>
      <c r="T132" s="81"/>
      <c r="U132" s="81"/>
      <c r="V132" s="48"/>
      <c r="W132" s="48"/>
      <c r="X132" s="48"/>
      <c r="Y132" s="48"/>
      <c r="Z132" s="47"/>
      <c r="AA132" s="69"/>
      <c r="AB132" s="69"/>
      <c r="AC132" s="70"/>
      <c r="AD132" t="s">
        <v>5726</v>
      </c>
      <c r="AE132" s="78" t="s">
        <v>6963</v>
      </c>
      <c r="AF132">
        <v>308</v>
      </c>
      <c r="AG132">
        <v>553126</v>
      </c>
      <c r="AH132">
        <v>17921</v>
      </c>
      <c r="AI132">
        <v>2201</v>
      </c>
      <c r="AK132" t="s">
        <v>8125</v>
      </c>
      <c r="AL132" t="s">
        <v>9050</v>
      </c>
      <c r="AM132" s="79" t="str">
        <f>HYPERLINK("https://t.co/7YTUqyIdnP")</f>
        <v>https://t.co/7YTUqyIdnP</v>
      </c>
      <c r="AO132" s="76">
        <v>40927.749050925922</v>
      </c>
      <c r="AP132" s="79" t="str">
        <f>HYPERLINK("https://pbs.twimg.com/profile_banners/468583731/1673030275")</f>
        <v>https://pbs.twimg.com/profile_banners/468583731/1673030275</v>
      </c>
      <c r="AQ132" t="b">
        <v>0</v>
      </c>
      <c r="AR132" t="b">
        <v>0</v>
      </c>
      <c r="AS132" t="b">
        <v>1</v>
      </c>
      <c r="AU132">
        <v>1975</v>
      </c>
      <c r="AV132" s="79" t="str">
        <f t="shared" si="2"/>
        <v>https://abs.twimg.com/images/themes/theme1/bg.png</v>
      </c>
      <c r="AW132" t="b">
        <v>1</v>
      </c>
      <c r="AX132" t="s">
        <v>9303</v>
      </c>
      <c r="AY132" s="79" t="str">
        <f>HYPERLINK("https://twitter.com/abcsharktank")</f>
        <v>https://twitter.com/abcsharktank</v>
      </c>
      <c r="AZ132" t="s">
        <v>65</v>
      </c>
      <c r="BA132" s="2"/>
    </row>
    <row r="133" spans="1:53" x14ac:dyDescent="0.45">
      <c r="A133" s="62" t="s">
        <v>1561</v>
      </c>
      <c r="B133" s="63"/>
      <c r="C133" s="63"/>
      <c r="D133" s="64"/>
      <c r="E133" s="66"/>
      <c r="F133" s="98" t="str">
        <f>HYPERLINK("https://pbs.twimg.com/profile_images/636336373453053952/yv-YqI5w_normal.jpg")</f>
        <v>https://pbs.twimg.com/profile_images/636336373453053952/yv-YqI5w_normal.jpg</v>
      </c>
      <c r="G133" s="63"/>
      <c r="H133" s="67"/>
      <c r="I133" s="68"/>
      <c r="J133" s="68"/>
      <c r="K133" s="67" t="s">
        <v>10631</v>
      </c>
      <c r="L133" s="71"/>
      <c r="M133" s="72"/>
      <c r="N133" s="72"/>
      <c r="O133" s="73"/>
      <c r="P133" s="74"/>
      <c r="Q133" s="74"/>
      <c r="R133" s="81"/>
      <c r="S133" s="81"/>
      <c r="T133" s="81"/>
      <c r="U133" s="81"/>
      <c r="V133" s="48"/>
      <c r="W133" s="48"/>
      <c r="X133" s="48"/>
      <c r="Y133" s="48"/>
      <c r="Z133" s="47"/>
      <c r="AA133" s="69"/>
      <c r="AB133" s="69"/>
      <c r="AC133" s="70"/>
      <c r="AD133" t="s">
        <v>6307</v>
      </c>
      <c r="AE133" s="78" t="s">
        <v>7471</v>
      </c>
      <c r="AF133">
        <v>1338</v>
      </c>
      <c r="AG133">
        <v>552620</v>
      </c>
      <c r="AH133">
        <v>71562</v>
      </c>
      <c r="AI133">
        <v>4861</v>
      </c>
      <c r="AK133" t="s">
        <v>8652</v>
      </c>
      <c r="AL133" t="s">
        <v>8703</v>
      </c>
      <c r="AM133" s="79" t="str">
        <f>HYPERLINK("https://t.co/SBNSrP7oow")</f>
        <v>https://t.co/SBNSrP7oow</v>
      </c>
      <c r="AO133" s="76">
        <v>39646.2343287037</v>
      </c>
      <c r="AP133" s="79" t="str">
        <f>HYPERLINK("https://pbs.twimg.com/profile_banners/15464697/1631034503")</f>
        <v>https://pbs.twimg.com/profile_banners/15464697/1631034503</v>
      </c>
      <c r="AQ133" t="b">
        <v>0</v>
      </c>
      <c r="AR133" t="b">
        <v>0</v>
      </c>
      <c r="AS133" t="b">
        <v>0</v>
      </c>
      <c r="AU133">
        <v>6770</v>
      </c>
      <c r="AV133" s="79" t="str">
        <f>HYPERLINK("https://abs.twimg.com/images/themes/theme7/bg.gif")</f>
        <v>https://abs.twimg.com/images/themes/theme7/bg.gif</v>
      </c>
      <c r="AW133" t="b">
        <v>1</v>
      </c>
      <c r="AX133" t="s">
        <v>9303</v>
      </c>
      <c r="AY133" s="79" t="str">
        <f>HYPERLINK("https://twitter.com/juddlegum")</f>
        <v>https://twitter.com/juddlegum</v>
      </c>
      <c r="AZ133" t="s">
        <v>65</v>
      </c>
      <c r="BA133" s="2"/>
    </row>
    <row r="134" spans="1:53" x14ac:dyDescent="0.45">
      <c r="A134" s="62" t="s">
        <v>1463</v>
      </c>
      <c r="B134" s="63"/>
      <c r="C134" s="63"/>
      <c r="D134" s="64"/>
      <c r="E134" s="66"/>
      <c r="F134" s="98" t="str">
        <f>HYPERLINK("https://pbs.twimg.com/profile_images/1496173596716281865/jvdZTuVF_normal.jpg")</f>
        <v>https://pbs.twimg.com/profile_images/1496173596716281865/jvdZTuVF_normal.jpg</v>
      </c>
      <c r="G134" s="63"/>
      <c r="H134" s="67"/>
      <c r="I134" s="68"/>
      <c r="J134" s="68"/>
      <c r="K134" s="67" t="s">
        <v>10407</v>
      </c>
      <c r="L134" s="71"/>
      <c r="M134" s="72"/>
      <c r="N134" s="72"/>
      <c r="O134" s="73"/>
      <c r="P134" s="74"/>
      <c r="Q134" s="74"/>
      <c r="R134" s="81"/>
      <c r="S134" s="81"/>
      <c r="T134" s="81"/>
      <c r="U134" s="81"/>
      <c r="V134" s="48"/>
      <c r="W134" s="48"/>
      <c r="X134" s="48"/>
      <c r="Y134" s="48"/>
      <c r="Z134" s="47"/>
      <c r="AA134" s="69"/>
      <c r="AB134" s="69"/>
      <c r="AC134" s="70"/>
      <c r="AD134" t="s">
        <v>6089</v>
      </c>
      <c r="AE134" s="78" t="s">
        <v>7288</v>
      </c>
      <c r="AF134">
        <v>2172</v>
      </c>
      <c r="AG134">
        <v>527900</v>
      </c>
      <c r="AH134">
        <v>296213</v>
      </c>
      <c r="AI134">
        <v>7595</v>
      </c>
      <c r="AK134" t="s">
        <v>8451</v>
      </c>
      <c r="AM134" s="79" t="str">
        <f>HYPERLINK("https://t.co/Hxl3MOMqDZ")</f>
        <v>https://t.co/Hxl3MOMqDZ</v>
      </c>
      <c r="AO134" s="76">
        <v>39681.711053240739</v>
      </c>
      <c r="AP134" s="79" t="str">
        <f>HYPERLINK("https://pbs.twimg.com/profile_banners/15933690/1672792572")</f>
        <v>https://pbs.twimg.com/profile_banners/15933690/1672792572</v>
      </c>
      <c r="AQ134" t="b">
        <v>0</v>
      </c>
      <c r="AR134" t="b">
        <v>0</v>
      </c>
      <c r="AS134" t="b">
        <v>1</v>
      </c>
      <c r="AU134">
        <v>2950</v>
      </c>
      <c r="AV134" s="79" t="str">
        <f>HYPERLINK("https://abs.twimg.com/images/themes/theme9/bg.gif")</f>
        <v>https://abs.twimg.com/images/themes/theme9/bg.gif</v>
      </c>
      <c r="AW134" t="b">
        <v>1</v>
      </c>
      <c r="AX134" t="s">
        <v>9303</v>
      </c>
      <c r="AY134" s="79" t="str">
        <f>HYPERLINK("https://twitter.com/nbcdfw")</f>
        <v>https://twitter.com/nbcdfw</v>
      </c>
      <c r="AZ134" t="s">
        <v>65</v>
      </c>
      <c r="BA134" s="2"/>
    </row>
    <row r="135" spans="1:53" x14ac:dyDescent="0.45">
      <c r="A135" s="62" t="s">
        <v>1557</v>
      </c>
      <c r="B135" s="63"/>
      <c r="C135" s="63"/>
      <c r="D135" s="64"/>
      <c r="E135" s="66"/>
      <c r="F135" s="98" t="str">
        <f>HYPERLINK("https://pbs.twimg.com/profile_images/1605279870803648513/iYbk6ThS_normal.jpg")</f>
        <v>https://pbs.twimg.com/profile_images/1605279870803648513/iYbk6ThS_normal.jpg</v>
      </c>
      <c r="G135" s="63"/>
      <c r="H135" s="67"/>
      <c r="I135" s="68"/>
      <c r="J135" s="68"/>
      <c r="K135" s="67" t="s">
        <v>10622</v>
      </c>
      <c r="L135" s="71"/>
      <c r="M135" s="72"/>
      <c r="N135" s="72"/>
      <c r="O135" s="73"/>
      <c r="P135" s="74"/>
      <c r="Q135" s="74"/>
      <c r="R135" s="81"/>
      <c r="S135" s="81"/>
      <c r="T135" s="81"/>
      <c r="U135" s="81"/>
      <c r="V135" s="48"/>
      <c r="W135" s="48"/>
      <c r="X135" s="48"/>
      <c r="Y135" s="48"/>
      <c r="Z135" s="47"/>
      <c r="AA135" s="69"/>
      <c r="AB135" s="69"/>
      <c r="AC135" s="70"/>
      <c r="AD135" t="s">
        <v>6298</v>
      </c>
      <c r="AE135" s="78" t="s">
        <v>7463</v>
      </c>
      <c r="AF135">
        <v>268</v>
      </c>
      <c r="AG135">
        <v>519125</v>
      </c>
      <c r="AH135">
        <v>182902</v>
      </c>
      <c r="AI135">
        <v>76755</v>
      </c>
      <c r="AK135" t="s">
        <v>8643</v>
      </c>
      <c r="AL135" t="s">
        <v>9293</v>
      </c>
      <c r="AO135" s="76">
        <v>39585.788842592592</v>
      </c>
      <c r="AP135" s="79" t="str">
        <f>HYPERLINK("https://pbs.twimg.com/profile_banners/14813584/1675256152")</f>
        <v>https://pbs.twimg.com/profile_banners/14813584/1675256152</v>
      </c>
      <c r="AQ135" t="b">
        <v>0</v>
      </c>
      <c r="AR135" t="b">
        <v>0</v>
      </c>
      <c r="AS135" t="b">
        <v>0</v>
      </c>
      <c r="AU135">
        <v>377</v>
      </c>
      <c r="AV135" s="79" t="str">
        <f>HYPERLINK("https://abs.twimg.com/images/themes/theme1/bg.png")</f>
        <v>https://abs.twimg.com/images/themes/theme1/bg.png</v>
      </c>
      <c r="AW135" t="b">
        <v>1</v>
      </c>
      <c r="AX135" t="s">
        <v>9303</v>
      </c>
      <c r="AY135" s="79" t="str">
        <f>HYPERLINK("https://twitter.com/sheetz")</f>
        <v>https://twitter.com/sheetz</v>
      </c>
      <c r="AZ135" t="s">
        <v>65</v>
      </c>
      <c r="BA135" s="2"/>
    </row>
    <row r="136" spans="1:53" x14ac:dyDescent="0.45">
      <c r="A136" s="62" t="s">
        <v>1547</v>
      </c>
      <c r="B136" s="63"/>
      <c r="C136" s="63"/>
      <c r="D136" s="64"/>
      <c r="E136" s="66"/>
      <c r="F136" s="98" t="str">
        <f>HYPERLINK("https://pbs.twimg.com/profile_images/1542769795153776640/ZLNjLLsC_normal.jpg")</f>
        <v>https://pbs.twimg.com/profile_images/1542769795153776640/ZLNjLLsC_normal.jpg</v>
      </c>
      <c r="G136" s="63"/>
      <c r="H136" s="67"/>
      <c r="I136" s="68"/>
      <c r="J136" s="68"/>
      <c r="K136" s="67" t="s">
        <v>10598</v>
      </c>
      <c r="L136" s="71"/>
      <c r="M136" s="72"/>
      <c r="N136" s="72"/>
      <c r="O136" s="73"/>
      <c r="P136" s="74"/>
      <c r="Q136" s="74"/>
      <c r="R136" s="81"/>
      <c r="S136" s="81"/>
      <c r="T136" s="81"/>
      <c r="U136" s="81"/>
      <c r="V136" s="48"/>
      <c r="W136" s="48"/>
      <c r="X136" s="48"/>
      <c r="Y136" s="48"/>
      <c r="Z136" s="47"/>
      <c r="AA136" s="69"/>
      <c r="AB136" s="69"/>
      <c r="AC136" s="70"/>
      <c r="AD136" t="s">
        <v>6275</v>
      </c>
      <c r="AE136" s="78" t="s">
        <v>7444</v>
      </c>
      <c r="AF136">
        <v>17</v>
      </c>
      <c r="AG136">
        <v>507732</v>
      </c>
      <c r="AH136">
        <v>29451</v>
      </c>
      <c r="AI136">
        <v>1532</v>
      </c>
      <c r="AK136" t="s">
        <v>8622</v>
      </c>
      <c r="AL136" t="s">
        <v>9281</v>
      </c>
      <c r="AM136" s="79" t="str">
        <f>HYPERLINK("https://t.co/dJVnxBCFqf")</f>
        <v>https://t.co/dJVnxBCFqf</v>
      </c>
      <c r="AO136" s="76">
        <v>39559.639490740738</v>
      </c>
      <c r="AP136" s="79" t="str">
        <f>HYPERLINK("https://pbs.twimg.com/profile_banners/14462907/1675073682")</f>
        <v>https://pbs.twimg.com/profile_banners/14462907/1675073682</v>
      </c>
      <c r="AQ136" t="b">
        <v>0</v>
      </c>
      <c r="AR136" t="b">
        <v>0</v>
      </c>
      <c r="AS136" t="b">
        <v>1</v>
      </c>
      <c r="AU136">
        <v>2075</v>
      </c>
      <c r="AV136" s="79" t="str">
        <f>HYPERLINK("https://abs.twimg.com/images/themes/theme1/bg.png")</f>
        <v>https://abs.twimg.com/images/themes/theme1/bg.png</v>
      </c>
      <c r="AW136" t="b">
        <v>1</v>
      </c>
      <c r="AX136" t="s">
        <v>9303</v>
      </c>
      <c r="AY136" s="79" t="str">
        <f>HYPERLINK("https://twitter.com/infosys")</f>
        <v>https://twitter.com/infosys</v>
      </c>
      <c r="AZ136" t="s">
        <v>65</v>
      </c>
      <c r="BA136" s="2"/>
    </row>
    <row r="137" spans="1:53" x14ac:dyDescent="0.45">
      <c r="A137" s="62" t="s">
        <v>1152</v>
      </c>
      <c r="B137" s="63"/>
      <c r="C137" s="63"/>
      <c r="D137" s="64"/>
      <c r="E137" s="66"/>
      <c r="F137" s="98" t="str">
        <f>HYPERLINK("https://pbs.twimg.com/profile_images/1535178899528753153/ZEdxP9Yf_normal.jpg")</f>
        <v>https://pbs.twimg.com/profile_images/1535178899528753153/ZEdxP9Yf_normal.jpg</v>
      </c>
      <c r="G137" s="63"/>
      <c r="H137" s="67"/>
      <c r="I137" s="68"/>
      <c r="J137" s="68"/>
      <c r="K137" s="67" t="s">
        <v>9393</v>
      </c>
      <c r="L137" s="71"/>
      <c r="M137" s="72"/>
      <c r="N137" s="72"/>
      <c r="O137" s="73"/>
      <c r="P137" s="74"/>
      <c r="Q137" s="74"/>
      <c r="R137" s="81"/>
      <c r="S137" s="81"/>
      <c r="T137" s="81"/>
      <c r="U137" s="81"/>
      <c r="V137" s="48"/>
      <c r="W137" s="48"/>
      <c r="X137" s="48"/>
      <c r="Y137" s="48"/>
      <c r="Z137" s="47"/>
      <c r="AA137" s="69"/>
      <c r="AB137" s="69"/>
      <c r="AC137" s="70"/>
      <c r="AD137" t="s">
        <v>5088</v>
      </c>
      <c r="AE137" s="78" t="s">
        <v>6399</v>
      </c>
      <c r="AF137">
        <v>446</v>
      </c>
      <c r="AG137">
        <v>505512</v>
      </c>
      <c r="AH137">
        <v>2079</v>
      </c>
      <c r="AI137">
        <v>1262</v>
      </c>
      <c r="AK137" t="s">
        <v>7572</v>
      </c>
      <c r="AL137" t="s">
        <v>8692</v>
      </c>
      <c r="AM137" s="79" t="str">
        <f>HYPERLINK("https://t.co/wbqmHNIvMQ")</f>
        <v>https://t.co/wbqmHNIvMQ</v>
      </c>
      <c r="AO137" s="76">
        <v>44507.849953703706</v>
      </c>
      <c r="AP137" s="79" t="str">
        <f>HYPERLINK("https://pbs.twimg.com/profile_banners/1457443615542636545/1646482990")</f>
        <v>https://pbs.twimg.com/profile_banners/1457443615542636545/1646482990</v>
      </c>
      <c r="AQ137" t="b">
        <v>1</v>
      </c>
      <c r="AR137" t="b">
        <v>0</v>
      </c>
      <c r="AS137" t="b">
        <v>0</v>
      </c>
      <c r="AU137">
        <v>1636</v>
      </c>
      <c r="AW137" t="b">
        <v>1</v>
      </c>
      <c r="AX137" t="s">
        <v>9303</v>
      </c>
      <c r="AY137" s="79" t="str">
        <f>HYPERLINK("https://twitter.com/invsblefriends")</f>
        <v>https://twitter.com/invsblefriends</v>
      </c>
      <c r="AZ137" t="s">
        <v>65</v>
      </c>
      <c r="BA137" s="2"/>
    </row>
    <row r="138" spans="1:53" x14ac:dyDescent="0.45">
      <c r="A138" s="62" t="s">
        <v>588</v>
      </c>
      <c r="B138" s="63"/>
      <c r="C138" s="63"/>
      <c r="D138" s="64"/>
      <c r="E138" s="66"/>
      <c r="F138" s="98" t="str">
        <f>HYPERLINK("https://pbs.twimg.com/profile_images/943583595482046464/h5ePo5gp_normal.jpg")</f>
        <v>https://pbs.twimg.com/profile_images/943583595482046464/h5ePo5gp_normal.jpg</v>
      </c>
      <c r="G138" s="63"/>
      <c r="H138" s="67"/>
      <c r="I138" s="68"/>
      <c r="J138" s="68"/>
      <c r="K138" s="67" t="s">
        <v>9886</v>
      </c>
      <c r="L138" s="71"/>
      <c r="M138" s="72"/>
      <c r="N138" s="72"/>
      <c r="O138" s="73"/>
      <c r="P138" s="74"/>
      <c r="Q138" s="74"/>
      <c r="R138" s="81"/>
      <c r="S138" s="81"/>
      <c r="T138" s="81"/>
      <c r="U138" s="81"/>
      <c r="V138" s="48"/>
      <c r="W138" s="48"/>
      <c r="X138" s="48"/>
      <c r="Y138" s="48"/>
      <c r="Z138" s="47"/>
      <c r="AA138" s="69"/>
      <c r="AB138" s="69"/>
      <c r="AC138" s="70"/>
      <c r="AD138" t="s">
        <v>5577</v>
      </c>
      <c r="AE138" s="78" t="s">
        <v>6825</v>
      </c>
      <c r="AF138">
        <v>960</v>
      </c>
      <c r="AG138">
        <v>494769</v>
      </c>
      <c r="AH138">
        <v>529040</v>
      </c>
      <c r="AI138">
        <v>11618</v>
      </c>
      <c r="AK138" t="s">
        <v>8000</v>
      </c>
      <c r="AL138" t="s">
        <v>8972</v>
      </c>
      <c r="AM138" s="79" t="str">
        <f>HYPERLINK("https://t.co/M6g5y0dtC7")</f>
        <v>https://t.co/M6g5y0dtC7</v>
      </c>
      <c r="AO138" s="76">
        <v>39828.77275462963</v>
      </c>
      <c r="AP138" s="79" t="str">
        <f>HYPERLINK("https://pbs.twimg.com/profile_banners/19032473/1596108343")</f>
        <v>https://pbs.twimg.com/profile_banners/19032473/1596108343</v>
      </c>
      <c r="AQ138" t="b">
        <v>0</v>
      </c>
      <c r="AR138" t="b">
        <v>0</v>
      </c>
      <c r="AS138" t="b">
        <v>1</v>
      </c>
      <c r="AU138">
        <v>3577</v>
      </c>
      <c r="AV138" s="79" t="str">
        <f>HYPERLINK("https://abs.twimg.com/images/themes/theme1/bg.png")</f>
        <v>https://abs.twimg.com/images/themes/theme1/bg.png</v>
      </c>
      <c r="AW138" t="b">
        <v>1</v>
      </c>
      <c r="AX138" t="s">
        <v>9303</v>
      </c>
      <c r="AY138" s="79" t="str">
        <f>HYPERLINK("https://twitter.com/9news")</f>
        <v>https://twitter.com/9news</v>
      </c>
      <c r="AZ138" t="s">
        <v>66</v>
      </c>
      <c r="BA138" s="2"/>
    </row>
    <row r="139" spans="1:53" x14ac:dyDescent="0.45">
      <c r="A139" s="62" t="s">
        <v>1322</v>
      </c>
      <c r="B139" s="63"/>
      <c r="C139" s="63"/>
      <c r="D139" s="64"/>
      <c r="E139" s="66"/>
      <c r="F139" s="98" t="str">
        <f>HYPERLINK("https://pbs.twimg.com/profile_images/922870890701905921/T4hOEwSe_normal.jpg")</f>
        <v>https://pbs.twimg.com/profile_images/922870890701905921/T4hOEwSe_normal.jpg</v>
      </c>
      <c r="G139" s="63"/>
      <c r="H139" s="67"/>
      <c r="I139" s="68"/>
      <c r="J139" s="68"/>
      <c r="K139" s="67" t="s">
        <v>9976</v>
      </c>
      <c r="L139" s="71"/>
      <c r="M139" s="72"/>
      <c r="N139" s="72"/>
      <c r="O139" s="73"/>
      <c r="P139" s="74"/>
      <c r="Q139" s="74"/>
      <c r="R139" s="81"/>
      <c r="S139" s="81"/>
      <c r="T139" s="81"/>
      <c r="U139" s="81"/>
      <c r="V139" s="48"/>
      <c r="W139" s="48"/>
      <c r="X139" s="48"/>
      <c r="Y139" s="48"/>
      <c r="Z139" s="47"/>
      <c r="AA139" s="69"/>
      <c r="AB139" s="69"/>
      <c r="AC139" s="70"/>
      <c r="AD139" t="s">
        <v>5667</v>
      </c>
      <c r="AE139" s="78" t="s">
        <v>6909</v>
      </c>
      <c r="AF139">
        <v>199</v>
      </c>
      <c r="AG139">
        <v>471386</v>
      </c>
      <c r="AH139">
        <v>9466</v>
      </c>
      <c r="AI139">
        <v>617</v>
      </c>
      <c r="AK139" t="s">
        <v>8076</v>
      </c>
      <c r="AM139" s="79" t="str">
        <f>HYPERLINK("https://t.co/MsliXKUzWd")</f>
        <v>https://t.co/MsliXKUzWd</v>
      </c>
      <c r="AO139" s="76">
        <v>40108.230763888889</v>
      </c>
      <c r="AP139" s="79" t="str">
        <f>HYPERLINK("https://pbs.twimg.com/profile_banners/84249568/1673545116")</f>
        <v>https://pbs.twimg.com/profile_banners/84249568/1673545116</v>
      </c>
      <c r="AQ139" t="b">
        <v>0</v>
      </c>
      <c r="AR139" t="b">
        <v>0</v>
      </c>
      <c r="AS139" t="b">
        <v>0</v>
      </c>
      <c r="AU139">
        <v>5695</v>
      </c>
      <c r="AV139" s="79" t="str">
        <f>HYPERLINK("https://abs.twimg.com/images/themes/theme1/bg.png")</f>
        <v>https://abs.twimg.com/images/themes/theme1/bg.png</v>
      </c>
      <c r="AW139" t="b">
        <v>1</v>
      </c>
      <c r="AX139" t="s">
        <v>9303</v>
      </c>
      <c r="AY139" s="79" t="str">
        <f>HYPERLINK("https://twitter.com/amazonkindle")</f>
        <v>https://twitter.com/amazonkindle</v>
      </c>
      <c r="AZ139" t="s">
        <v>65</v>
      </c>
      <c r="BA139" s="2"/>
    </row>
    <row r="140" spans="1:53" x14ac:dyDescent="0.45">
      <c r="A140" s="62" t="s">
        <v>1424</v>
      </c>
      <c r="B140" s="63"/>
      <c r="C140" s="63"/>
      <c r="D140" s="64"/>
      <c r="E140" s="66"/>
      <c r="F140" s="98" t="str">
        <f>HYPERLINK("https://pbs.twimg.com/profile_images/1620830811846230019/QtBDyjT3_normal.jpg")</f>
        <v>https://pbs.twimg.com/profile_images/1620830811846230019/QtBDyjT3_normal.jpg</v>
      </c>
      <c r="G140" s="63"/>
      <c r="H140" s="67"/>
      <c r="I140" s="68"/>
      <c r="J140" s="68"/>
      <c r="K140" s="67" t="s">
        <v>10314</v>
      </c>
      <c r="L140" s="71"/>
      <c r="M140" s="72"/>
      <c r="N140" s="72"/>
      <c r="O140" s="73"/>
      <c r="P140" s="74"/>
      <c r="Q140" s="74"/>
      <c r="R140" s="81"/>
      <c r="S140" s="81"/>
      <c r="T140" s="81"/>
      <c r="U140" s="81"/>
      <c r="V140" s="48"/>
      <c r="W140" s="48"/>
      <c r="X140" s="48"/>
      <c r="Y140" s="48"/>
      <c r="Z140" s="47"/>
      <c r="AA140" s="69"/>
      <c r="AB140" s="69"/>
      <c r="AC140" s="70"/>
      <c r="AD140" t="s">
        <v>5997</v>
      </c>
      <c r="AE140" s="78" t="s">
        <v>4827</v>
      </c>
      <c r="AF140">
        <v>69</v>
      </c>
      <c r="AG140">
        <v>461952</v>
      </c>
      <c r="AH140">
        <v>69437</v>
      </c>
      <c r="AI140">
        <v>17863</v>
      </c>
      <c r="AK140" t="s">
        <v>8371</v>
      </c>
      <c r="AL140" t="s">
        <v>9170</v>
      </c>
      <c r="AM140" s="79" t="str">
        <f>HYPERLINK("https://t.co/TSk9XVk8sg")</f>
        <v>https://t.co/TSk9XVk8sg</v>
      </c>
      <c r="AO140" s="76">
        <v>39842.70590277778</v>
      </c>
      <c r="AP140" s="79" t="str">
        <f>HYPERLINK("https://pbs.twimg.com/profile_banners/19720019/1675271154")</f>
        <v>https://pbs.twimg.com/profile_banners/19720019/1675271154</v>
      </c>
      <c r="AQ140" t="b">
        <v>0</v>
      </c>
      <c r="AR140" t="b">
        <v>0</v>
      </c>
      <c r="AS140" t="b">
        <v>1</v>
      </c>
      <c r="AU140">
        <v>2038</v>
      </c>
      <c r="AV140" s="79" t="str">
        <f>HYPERLINK("https://abs.twimg.com/images/themes/theme1/bg.png")</f>
        <v>https://abs.twimg.com/images/themes/theme1/bg.png</v>
      </c>
      <c r="AW140" t="b">
        <v>1</v>
      </c>
      <c r="AX140" t="s">
        <v>9303</v>
      </c>
      <c r="AY140" s="79" t="str">
        <f>HYPERLINK("https://twitter.com/drpepper")</f>
        <v>https://twitter.com/drpepper</v>
      </c>
      <c r="AZ140" t="s">
        <v>65</v>
      </c>
      <c r="BA140" s="2"/>
    </row>
    <row r="141" spans="1:53" x14ac:dyDescent="0.45">
      <c r="A141" s="62" t="s">
        <v>1418</v>
      </c>
      <c r="B141" s="63"/>
      <c r="C141" s="63"/>
      <c r="D141" s="64"/>
      <c r="E141" s="66"/>
      <c r="F141" s="98" t="str">
        <f>HYPERLINK("https://pbs.twimg.com/profile_images/1501954642376372225/8FLsvQo3_normal.jpg")</f>
        <v>https://pbs.twimg.com/profile_images/1501954642376372225/8FLsvQo3_normal.jpg</v>
      </c>
      <c r="G141" s="63"/>
      <c r="H141" s="67"/>
      <c r="I141" s="68"/>
      <c r="J141" s="68"/>
      <c r="K141" s="67" t="s">
        <v>10295</v>
      </c>
      <c r="L141" s="71"/>
      <c r="M141" s="72"/>
      <c r="N141" s="72"/>
      <c r="O141" s="73"/>
      <c r="P141" s="74"/>
      <c r="Q141" s="74"/>
      <c r="R141" s="81"/>
      <c r="S141" s="81"/>
      <c r="T141" s="81"/>
      <c r="U141" s="81"/>
      <c r="V141" s="48"/>
      <c r="W141" s="48"/>
      <c r="X141" s="48"/>
      <c r="Y141" s="48"/>
      <c r="Z141" s="47"/>
      <c r="AA141" s="69"/>
      <c r="AB141" s="69"/>
      <c r="AC141" s="70"/>
      <c r="AD141" t="s">
        <v>5978</v>
      </c>
      <c r="AE141" s="78" t="s">
        <v>7189</v>
      </c>
      <c r="AF141">
        <v>27741</v>
      </c>
      <c r="AG141">
        <v>441677</v>
      </c>
      <c r="AH141">
        <v>24690</v>
      </c>
      <c r="AI141">
        <v>3223</v>
      </c>
      <c r="AK141" t="s">
        <v>8355</v>
      </c>
      <c r="AL141" t="s">
        <v>9158</v>
      </c>
      <c r="AM141" s="79" t="str">
        <f>HYPERLINK("https://t.co/22pznKNtCB")</f>
        <v>https://t.co/22pznKNtCB</v>
      </c>
      <c r="AO141" s="76">
        <v>39583.970648148148</v>
      </c>
      <c r="AP141" s="79" t="str">
        <f>HYPERLINK("https://pbs.twimg.com/profile_banners/14791918/1649875303")</f>
        <v>https://pbs.twimg.com/profile_banners/14791918/1649875303</v>
      </c>
      <c r="AQ141" t="b">
        <v>0</v>
      </c>
      <c r="AR141" t="b">
        <v>0</v>
      </c>
      <c r="AS141" t="b">
        <v>1</v>
      </c>
      <c r="AU141">
        <v>3983</v>
      </c>
      <c r="AV141" s="79" t="str">
        <f>HYPERLINK("https://abs.twimg.com/images/themes/theme1/bg.png")</f>
        <v>https://abs.twimg.com/images/themes/theme1/bg.png</v>
      </c>
      <c r="AW141" t="b">
        <v>1</v>
      </c>
      <c r="AX141" t="s">
        <v>9303</v>
      </c>
      <c r="AY141" s="79" t="str">
        <f>HYPERLINK("https://twitter.com/homedepot")</f>
        <v>https://twitter.com/homedepot</v>
      </c>
      <c r="AZ141" t="s">
        <v>65</v>
      </c>
      <c r="BA141" s="2"/>
    </row>
    <row r="142" spans="1:53" x14ac:dyDescent="0.45">
      <c r="A142" s="62" t="s">
        <v>1351</v>
      </c>
      <c r="B142" s="63"/>
      <c r="C142" s="63"/>
      <c r="D142" s="64"/>
      <c r="E142" s="66"/>
      <c r="F142" s="98" t="str">
        <f>HYPERLINK("https://pbs.twimg.com/profile_images/1578086590924062729/uckgV6oI_normal.jpg")</f>
        <v>https://pbs.twimg.com/profile_images/1578086590924062729/uckgV6oI_normal.jpg</v>
      </c>
      <c r="G142" s="63"/>
      <c r="H142" s="67"/>
      <c r="I142" s="68"/>
      <c r="J142" s="68"/>
      <c r="K142" s="67" t="s">
        <v>10065</v>
      </c>
      <c r="L142" s="71"/>
      <c r="M142" s="72"/>
      <c r="N142" s="72"/>
      <c r="O142" s="73"/>
      <c r="P142" s="74"/>
      <c r="Q142" s="74"/>
      <c r="R142" s="81"/>
      <c r="S142" s="81"/>
      <c r="T142" s="81"/>
      <c r="U142" s="81"/>
      <c r="V142" s="48"/>
      <c r="W142" s="48"/>
      <c r="X142" s="48"/>
      <c r="Y142" s="48"/>
      <c r="Z142" s="47"/>
      <c r="AA142" s="69"/>
      <c r="AB142" s="69"/>
      <c r="AC142" s="70"/>
      <c r="AD142" t="s">
        <v>5754</v>
      </c>
      <c r="AE142" s="78" t="s">
        <v>6989</v>
      </c>
      <c r="AF142">
        <v>452</v>
      </c>
      <c r="AG142">
        <v>431938</v>
      </c>
      <c r="AH142">
        <v>1863</v>
      </c>
      <c r="AI142">
        <v>4756</v>
      </c>
      <c r="AK142" t="s">
        <v>8151</v>
      </c>
      <c r="AM142" s="79" t="str">
        <f>HYPERLINK("https://t.co/SAg0bLeI8j")</f>
        <v>https://t.co/SAg0bLeI8j</v>
      </c>
      <c r="AO142" s="76">
        <v>40273.645439814813</v>
      </c>
      <c r="AP142" s="79" t="str">
        <f>HYPERLINK("https://pbs.twimg.com/profile_banners/129838205/1665080112")</f>
        <v>https://pbs.twimg.com/profile_banners/129838205/1665080112</v>
      </c>
      <c r="AQ142" t="b">
        <v>0</v>
      </c>
      <c r="AR142" t="b">
        <v>0</v>
      </c>
      <c r="AS142" t="b">
        <v>0</v>
      </c>
      <c r="AU142">
        <v>1335</v>
      </c>
      <c r="AV142" s="79" t="str">
        <f>HYPERLINK("https://abs.twimg.com/images/themes/theme17/bg.gif")</f>
        <v>https://abs.twimg.com/images/themes/theme17/bg.gif</v>
      </c>
      <c r="AW142" t="b">
        <v>1</v>
      </c>
      <c r="AX142" t="s">
        <v>9303</v>
      </c>
      <c r="AY142" s="79" t="str">
        <f>HYPERLINK("https://twitter.com/mspattipatti")</f>
        <v>https://twitter.com/mspattipatti</v>
      </c>
      <c r="AZ142" t="s">
        <v>65</v>
      </c>
      <c r="BA142" s="2"/>
    </row>
    <row r="143" spans="1:53" x14ac:dyDescent="0.45">
      <c r="A143" s="62" t="s">
        <v>557</v>
      </c>
      <c r="B143" s="63"/>
      <c r="C143" s="63"/>
      <c r="D143" s="64"/>
      <c r="E143" s="66"/>
      <c r="F143" s="98" t="str">
        <f>HYPERLINK("https://pbs.twimg.com/profile_images/1441038756597878785/o7Qq-t_-_normal.jpg")</f>
        <v>https://pbs.twimg.com/profile_images/1441038756597878785/o7Qq-t_-_normal.jpg</v>
      </c>
      <c r="G143" s="63"/>
      <c r="H143" s="67"/>
      <c r="I143" s="68"/>
      <c r="J143" s="68"/>
      <c r="K143" s="67" t="s">
        <v>9855</v>
      </c>
      <c r="L143" s="71"/>
      <c r="M143" s="72"/>
      <c r="N143" s="72"/>
      <c r="O143" s="73"/>
      <c r="P143" s="74"/>
      <c r="Q143" s="74"/>
      <c r="R143" s="81"/>
      <c r="S143" s="81"/>
      <c r="T143" s="81"/>
      <c r="U143" s="81"/>
      <c r="V143" s="48"/>
      <c r="W143" s="48"/>
      <c r="X143" s="48"/>
      <c r="Y143" s="48"/>
      <c r="Z143" s="47"/>
      <c r="AA143" s="69"/>
      <c r="AB143" s="69"/>
      <c r="AC143" s="70"/>
      <c r="AD143" t="s">
        <v>5546</v>
      </c>
      <c r="AE143" s="78" t="s">
        <v>6794</v>
      </c>
      <c r="AF143">
        <v>2709</v>
      </c>
      <c r="AG143">
        <v>427902</v>
      </c>
      <c r="AH143">
        <v>477480</v>
      </c>
      <c r="AI143">
        <v>5555</v>
      </c>
      <c r="AK143" t="s">
        <v>7969</v>
      </c>
      <c r="AL143" t="s">
        <v>8948</v>
      </c>
      <c r="AM143" s="79" t="str">
        <f>HYPERLINK("https://t.co/7dHdCaeArh")</f>
        <v>https://t.co/7dHdCaeArh</v>
      </c>
      <c r="AO143" s="76">
        <v>39538.795138888891</v>
      </c>
      <c r="AP143" s="79" t="str">
        <f>HYPERLINK("https://pbs.twimg.com/profile_banners/14268564/1651171551")</f>
        <v>https://pbs.twimg.com/profile_banners/14268564/1651171551</v>
      </c>
      <c r="AQ143" t="b">
        <v>0</v>
      </c>
      <c r="AR143" t="b">
        <v>0</v>
      </c>
      <c r="AS143" t="b">
        <v>1</v>
      </c>
      <c r="AU143">
        <v>2328</v>
      </c>
      <c r="AV143" s="79" t="str">
        <f>HYPERLINK("https://abs.twimg.com/images/themes/theme14/bg.gif")</f>
        <v>https://abs.twimg.com/images/themes/theme14/bg.gif</v>
      </c>
      <c r="AW143" t="b">
        <v>1</v>
      </c>
      <c r="AX143" t="s">
        <v>9303</v>
      </c>
      <c r="AY143" s="79" t="str">
        <f>HYPERLINK("https://twitter.com/11alivenews")</f>
        <v>https://twitter.com/11alivenews</v>
      </c>
      <c r="AZ143" t="s">
        <v>66</v>
      </c>
      <c r="BA143" s="2"/>
    </row>
    <row r="144" spans="1:53" x14ac:dyDescent="0.45">
      <c r="A144" s="62" t="s">
        <v>1160</v>
      </c>
      <c r="B144" s="63"/>
      <c r="C144" s="63"/>
      <c r="D144" s="64"/>
      <c r="E144" s="66"/>
      <c r="F144" s="98" t="str">
        <f>HYPERLINK("https://pbs.twimg.com/profile_images/1620536831384354816/fNf9_59B_normal.jpg")</f>
        <v>https://pbs.twimg.com/profile_images/1620536831384354816/fNf9_59B_normal.jpg</v>
      </c>
      <c r="G144" s="63"/>
      <c r="H144" s="67"/>
      <c r="I144" s="68"/>
      <c r="J144" s="68"/>
      <c r="K144" s="67" t="s">
        <v>9421</v>
      </c>
      <c r="L144" s="71"/>
      <c r="M144" s="72"/>
      <c r="N144" s="72"/>
      <c r="O144" s="73"/>
      <c r="P144" s="74"/>
      <c r="Q144" s="74"/>
      <c r="R144" s="81"/>
      <c r="S144" s="81"/>
      <c r="T144" s="81"/>
      <c r="U144" s="81"/>
      <c r="V144" s="48"/>
      <c r="W144" s="48"/>
      <c r="X144" s="48"/>
      <c r="Y144" s="48"/>
      <c r="Z144" s="47"/>
      <c r="AA144" s="69"/>
      <c r="AB144" s="69"/>
      <c r="AC144" s="70"/>
      <c r="AD144" t="s">
        <v>5115</v>
      </c>
      <c r="AE144" s="78" t="s">
        <v>6423</v>
      </c>
      <c r="AF144">
        <v>1004</v>
      </c>
      <c r="AG144">
        <v>425551</v>
      </c>
      <c r="AH144">
        <v>1240</v>
      </c>
      <c r="AI144">
        <v>408</v>
      </c>
      <c r="AM144" s="79" t="str">
        <f>HYPERLINK("https://t.co/0RkFBtMCSJ")</f>
        <v>https://t.co/0RkFBtMCSJ</v>
      </c>
      <c r="AO144" s="76">
        <v>41420.601446759261</v>
      </c>
      <c r="AP144" s="79" t="str">
        <f>HYPERLINK("https://pbs.twimg.com/profile_banners/1459758564/1675221782")</f>
        <v>https://pbs.twimg.com/profile_banners/1459758564/1675221782</v>
      </c>
      <c r="AQ144" t="b">
        <v>0</v>
      </c>
      <c r="AR144" t="b">
        <v>0</v>
      </c>
      <c r="AS144" t="b">
        <v>1</v>
      </c>
      <c r="AU144">
        <v>1063</v>
      </c>
      <c r="AV144" s="79" t="str">
        <f t="shared" ref="AV144:AV159" si="3">HYPERLINK("https://abs.twimg.com/images/themes/theme1/bg.png")</f>
        <v>https://abs.twimg.com/images/themes/theme1/bg.png</v>
      </c>
      <c r="AW144" t="b">
        <v>1</v>
      </c>
      <c r="AX144" t="s">
        <v>9303</v>
      </c>
      <c r="AY144" s="79" t="str">
        <f>HYPERLINK("https://twitter.com/seanpayton")</f>
        <v>https://twitter.com/seanpayton</v>
      </c>
      <c r="AZ144" t="s">
        <v>65</v>
      </c>
      <c r="BA144" s="2"/>
    </row>
    <row r="145" spans="1:53" x14ac:dyDescent="0.45">
      <c r="A145" s="62" t="s">
        <v>1328</v>
      </c>
      <c r="B145" s="63"/>
      <c r="C145" s="63"/>
      <c r="D145" s="64"/>
      <c r="E145" s="66"/>
      <c r="F145" s="98" t="str">
        <f>HYPERLINK("https://pbs.twimg.com/profile_images/728441758984507392/9jJT7xJG_normal.jpg")</f>
        <v>https://pbs.twimg.com/profile_images/728441758984507392/9jJT7xJG_normal.jpg</v>
      </c>
      <c r="G145" s="63"/>
      <c r="H145" s="67"/>
      <c r="I145" s="68"/>
      <c r="J145" s="68"/>
      <c r="K145" s="67" t="s">
        <v>10005</v>
      </c>
      <c r="L145" s="71"/>
      <c r="M145" s="72"/>
      <c r="N145" s="72"/>
      <c r="O145" s="73"/>
      <c r="P145" s="74"/>
      <c r="Q145" s="74"/>
      <c r="R145" s="81"/>
      <c r="S145" s="81"/>
      <c r="T145" s="81"/>
      <c r="U145" s="81"/>
      <c r="V145" s="48"/>
      <c r="W145" s="48"/>
      <c r="X145" s="48"/>
      <c r="Y145" s="48"/>
      <c r="Z145" s="47"/>
      <c r="AA145" s="69"/>
      <c r="AB145" s="69"/>
      <c r="AC145" s="70"/>
      <c r="AD145" t="s">
        <v>5695</v>
      </c>
      <c r="AE145" s="78" t="s">
        <v>6936</v>
      </c>
      <c r="AF145">
        <v>1841</v>
      </c>
      <c r="AG145">
        <v>421915</v>
      </c>
      <c r="AH145">
        <v>11711</v>
      </c>
      <c r="AI145">
        <v>3845</v>
      </c>
      <c r="AK145" t="s">
        <v>8101</v>
      </c>
      <c r="AL145" t="s">
        <v>8740</v>
      </c>
      <c r="AM145" s="79" t="str">
        <f>HYPERLINK("https://t.co/nInjy6TCKV")</f>
        <v>https://t.co/nInjy6TCKV</v>
      </c>
      <c r="AO145" s="76">
        <v>39914.177106481482</v>
      </c>
      <c r="AP145" s="79" t="str">
        <f>HYPERLINK("https://pbs.twimg.com/profile_banners/30395398/1462509024")</f>
        <v>https://pbs.twimg.com/profile_banners/30395398/1462509024</v>
      </c>
      <c r="AQ145" t="b">
        <v>0</v>
      </c>
      <c r="AR145" t="b">
        <v>0</v>
      </c>
      <c r="AS145" t="b">
        <v>1</v>
      </c>
      <c r="AU145">
        <v>2944</v>
      </c>
      <c r="AV145" s="79" t="str">
        <f t="shared" si="3"/>
        <v>https://abs.twimg.com/images/themes/theme1/bg.png</v>
      </c>
      <c r="AW145" t="b">
        <v>1</v>
      </c>
      <c r="AX145" t="s">
        <v>9303</v>
      </c>
      <c r="AY145" s="79" t="str">
        <f>HYPERLINK("https://twitter.com/shawnjohnson")</f>
        <v>https://twitter.com/shawnjohnson</v>
      </c>
      <c r="AZ145" t="s">
        <v>65</v>
      </c>
      <c r="BA145" s="2"/>
    </row>
    <row r="146" spans="1:53" x14ac:dyDescent="0.45">
      <c r="A146" s="62" t="s">
        <v>1460</v>
      </c>
      <c r="B146" s="63"/>
      <c r="C146" s="63"/>
      <c r="D146" s="64"/>
      <c r="E146" s="66"/>
      <c r="F146" s="98" t="str">
        <f>HYPERLINK("https://pbs.twimg.com/profile_images/1176133820350959617/BtXHsXum_normal.jpg")</f>
        <v>https://pbs.twimg.com/profile_images/1176133820350959617/BtXHsXum_normal.jpg</v>
      </c>
      <c r="G146" s="63"/>
      <c r="H146" s="67"/>
      <c r="I146" s="68"/>
      <c r="J146" s="68"/>
      <c r="K146" s="67" t="s">
        <v>10402</v>
      </c>
      <c r="L146" s="71"/>
      <c r="M146" s="72"/>
      <c r="N146" s="72"/>
      <c r="O146" s="73"/>
      <c r="P146" s="74"/>
      <c r="Q146" s="74"/>
      <c r="R146" s="81"/>
      <c r="S146" s="81"/>
      <c r="T146" s="81"/>
      <c r="U146" s="81"/>
      <c r="V146" s="48"/>
      <c r="W146" s="48"/>
      <c r="X146" s="48"/>
      <c r="Y146" s="48"/>
      <c r="Z146" s="47"/>
      <c r="AA146" s="69"/>
      <c r="AB146" s="69"/>
      <c r="AC146" s="70"/>
      <c r="AD146" t="s">
        <v>6084</v>
      </c>
      <c r="AE146" s="78" t="s">
        <v>7285</v>
      </c>
      <c r="AF146">
        <v>439</v>
      </c>
      <c r="AG146">
        <v>411440</v>
      </c>
      <c r="AH146">
        <v>15758</v>
      </c>
      <c r="AI146">
        <v>7151</v>
      </c>
      <c r="AK146" t="s">
        <v>8446</v>
      </c>
      <c r="AL146" t="s">
        <v>8719</v>
      </c>
      <c r="AM146" s="79" t="str">
        <f>HYPERLINK("https://t.co/t5sIYJxkIk")</f>
        <v>https://t.co/t5sIYJxkIk</v>
      </c>
      <c r="AO146" s="76">
        <v>40662.758784722224</v>
      </c>
      <c r="AP146" s="79" t="str">
        <f>HYPERLINK("https://pbs.twimg.com/profile_banners/290081566/1673034159")</f>
        <v>https://pbs.twimg.com/profile_banners/290081566/1673034159</v>
      </c>
      <c r="AQ146" t="b">
        <v>0</v>
      </c>
      <c r="AR146" t="b">
        <v>0</v>
      </c>
      <c r="AS146" t="b">
        <v>1</v>
      </c>
      <c r="AU146">
        <v>1664</v>
      </c>
      <c r="AV146" s="79" t="str">
        <f t="shared" si="3"/>
        <v>https://abs.twimg.com/images/themes/theme1/bg.png</v>
      </c>
      <c r="AW146" t="b">
        <v>1</v>
      </c>
      <c r="AX146" t="s">
        <v>9303</v>
      </c>
      <c r="AY146" s="79" t="str">
        <f>HYPERLINK("https://twitter.com/esteelauder")</f>
        <v>https://twitter.com/esteelauder</v>
      </c>
      <c r="AZ146" t="s">
        <v>65</v>
      </c>
      <c r="BA146" s="2"/>
    </row>
    <row r="147" spans="1:53" x14ac:dyDescent="0.45">
      <c r="A147" s="62" t="s">
        <v>1336</v>
      </c>
      <c r="B147" s="63"/>
      <c r="C147" s="63"/>
      <c r="D147" s="64"/>
      <c r="E147" s="66"/>
      <c r="F147" s="98" t="str">
        <f>HYPERLINK("https://pbs.twimg.com/profile_images/1268034580969394176/JSk_58u9_normal.jpg")</f>
        <v>https://pbs.twimg.com/profile_images/1268034580969394176/JSk_58u9_normal.jpg</v>
      </c>
      <c r="G147" s="63"/>
      <c r="H147" s="67"/>
      <c r="I147" s="68"/>
      <c r="J147" s="68"/>
      <c r="K147" s="67" t="s">
        <v>10019</v>
      </c>
      <c r="L147" s="71"/>
      <c r="M147" s="72"/>
      <c r="N147" s="72"/>
      <c r="O147" s="73"/>
      <c r="P147" s="74"/>
      <c r="Q147" s="74"/>
      <c r="R147" s="81"/>
      <c r="S147" s="81"/>
      <c r="T147" s="81"/>
      <c r="U147" s="81"/>
      <c r="V147" s="48"/>
      <c r="W147" s="48"/>
      <c r="X147" s="48"/>
      <c r="Y147" s="48"/>
      <c r="Z147" s="47"/>
      <c r="AA147" s="69"/>
      <c r="AB147" s="69"/>
      <c r="AC147" s="70"/>
      <c r="AD147" t="s">
        <v>5709</v>
      </c>
      <c r="AE147" s="78" t="s">
        <v>4728</v>
      </c>
      <c r="AF147">
        <v>3268</v>
      </c>
      <c r="AG147">
        <v>409180</v>
      </c>
      <c r="AH147">
        <v>105390</v>
      </c>
      <c r="AI147">
        <v>34248</v>
      </c>
      <c r="AK147" t="s">
        <v>8112</v>
      </c>
      <c r="AL147" t="s">
        <v>4899</v>
      </c>
      <c r="AM147" s="79" t="str">
        <f>HYPERLINK("https://t.co/1qxBOXNRUa")</f>
        <v>https://t.co/1qxBOXNRUa</v>
      </c>
      <c r="AO147" s="76">
        <v>39925.875983796293</v>
      </c>
      <c r="AP147" s="79" t="str">
        <f>HYPERLINK("https://pbs.twimg.com/profile_banners/34396691/1665496884")</f>
        <v>https://pbs.twimg.com/profile_banners/34396691/1665496884</v>
      </c>
      <c r="AQ147" t="b">
        <v>0</v>
      </c>
      <c r="AR147" t="b">
        <v>0</v>
      </c>
      <c r="AS147" t="b">
        <v>0</v>
      </c>
      <c r="AU147">
        <v>2137</v>
      </c>
      <c r="AV147" s="79" t="str">
        <f t="shared" si="3"/>
        <v>https://abs.twimg.com/images/themes/theme1/bg.png</v>
      </c>
      <c r="AW147" t="b">
        <v>1</v>
      </c>
      <c r="AX147" t="s">
        <v>9303</v>
      </c>
      <c r="AY147" s="79" t="str">
        <f>HYPERLINK("https://twitter.com/robertirvine")</f>
        <v>https://twitter.com/robertirvine</v>
      </c>
      <c r="AZ147" t="s">
        <v>65</v>
      </c>
      <c r="BA147" s="2"/>
    </row>
    <row r="148" spans="1:53" x14ac:dyDescent="0.45">
      <c r="A148" s="62" t="s">
        <v>1241</v>
      </c>
      <c r="B148" s="63"/>
      <c r="C148" s="63"/>
      <c r="D148" s="64"/>
      <c r="E148" s="66"/>
      <c r="F148" s="98" t="str">
        <f>HYPERLINK("https://pbs.twimg.com/profile_images/1620890660067745792/vn6EdhRg_normal.jpg")</f>
        <v>https://pbs.twimg.com/profile_images/1620890660067745792/vn6EdhRg_normal.jpg</v>
      </c>
      <c r="G148" s="63"/>
      <c r="H148" s="67"/>
      <c r="I148" s="68"/>
      <c r="J148" s="68"/>
      <c r="K148" s="67" t="s">
        <v>9594</v>
      </c>
      <c r="L148" s="71"/>
      <c r="M148" s="72"/>
      <c r="N148" s="72"/>
      <c r="O148" s="73"/>
      <c r="P148" s="74"/>
      <c r="Q148" s="74"/>
      <c r="R148" s="81"/>
      <c r="S148" s="81"/>
      <c r="T148" s="81"/>
      <c r="U148" s="81"/>
      <c r="V148" s="48"/>
      <c r="W148" s="48"/>
      <c r="X148" s="48"/>
      <c r="Y148" s="48"/>
      <c r="Z148" s="47"/>
      <c r="AA148" s="69"/>
      <c r="AB148" s="69"/>
      <c r="AC148" s="70"/>
      <c r="AD148" t="s">
        <v>5287</v>
      </c>
      <c r="AE148" s="78" t="s">
        <v>6565</v>
      </c>
      <c r="AF148">
        <v>3654</v>
      </c>
      <c r="AG148">
        <v>402929</v>
      </c>
      <c r="AH148">
        <v>35432</v>
      </c>
      <c r="AI148">
        <v>47560</v>
      </c>
      <c r="AK148" t="s">
        <v>7745</v>
      </c>
      <c r="AL148" t="s">
        <v>8759</v>
      </c>
      <c r="AM148" s="79" t="str">
        <f>HYPERLINK("https://t.co/F9ndmibQ5Y")</f>
        <v>https://t.co/F9ndmibQ5Y</v>
      </c>
      <c r="AO148" s="76">
        <v>39755.773078703707</v>
      </c>
      <c r="AP148" s="79" t="str">
        <f>HYPERLINK("https://pbs.twimg.com/profile_banners/17136315/1675288448")</f>
        <v>https://pbs.twimg.com/profile_banners/17136315/1675288448</v>
      </c>
      <c r="AQ148" t="b">
        <v>0</v>
      </c>
      <c r="AR148" t="b">
        <v>0</v>
      </c>
      <c r="AS148" t="b">
        <v>1</v>
      </c>
      <c r="AU148">
        <v>3813</v>
      </c>
      <c r="AV148" s="79" t="str">
        <f t="shared" si="3"/>
        <v>https://abs.twimg.com/images/themes/theme1/bg.png</v>
      </c>
      <c r="AW148" t="b">
        <v>1</v>
      </c>
      <c r="AX148" t="s">
        <v>9303</v>
      </c>
      <c r="AY148" s="79" t="str">
        <f>HYPERLINK("https://twitter.com/shopify")</f>
        <v>https://twitter.com/shopify</v>
      </c>
      <c r="AZ148" t="s">
        <v>65</v>
      </c>
      <c r="BA148" s="2"/>
    </row>
    <row r="149" spans="1:53" x14ac:dyDescent="0.45">
      <c r="A149" s="62" t="s">
        <v>1393</v>
      </c>
      <c r="B149" s="63"/>
      <c r="C149" s="63"/>
      <c r="D149" s="64"/>
      <c r="E149" s="66"/>
      <c r="F149" s="98" t="str">
        <f>HYPERLINK("https://pbs.twimg.com/profile_images/748885874516094980/ywt_aKRx_normal.jpg")</f>
        <v>https://pbs.twimg.com/profile_images/748885874516094980/ywt_aKRx_normal.jpg</v>
      </c>
      <c r="G149" s="63"/>
      <c r="H149" s="67"/>
      <c r="I149" s="68"/>
      <c r="J149" s="68"/>
      <c r="K149" s="67" t="s">
        <v>10212</v>
      </c>
      <c r="L149" s="71"/>
      <c r="M149" s="72"/>
      <c r="N149" s="72"/>
      <c r="O149" s="73"/>
      <c r="P149" s="74"/>
      <c r="Q149" s="74"/>
      <c r="R149" s="81"/>
      <c r="S149" s="81"/>
      <c r="T149" s="81"/>
      <c r="U149" s="81"/>
      <c r="V149" s="48"/>
      <c r="W149" s="48"/>
      <c r="X149" s="48"/>
      <c r="Y149" s="48"/>
      <c r="Z149" s="47"/>
      <c r="AA149" s="69"/>
      <c r="AB149" s="69"/>
      <c r="AC149" s="70"/>
      <c r="AD149" t="s">
        <v>5896</v>
      </c>
      <c r="AE149" s="78" t="s">
        <v>7115</v>
      </c>
      <c r="AF149">
        <v>1536</v>
      </c>
      <c r="AG149">
        <v>398772</v>
      </c>
      <c r="AH149">
        <v>23367</v>
      </c>
      <c r="AI149">
        <v>26905</v>
      </c>
      <c r="AK149" t="s">
        <v>8280</v>
      </c>
      <c r="AL149" t="s">
        <v>8719</v>
      </c>
      <c r="AM149" s="79" t="str">
        <f>HYPERLINK("https://t.co/AwhMjOqkSI")</f>
        <v>https://t.co/AwhMjOqkSI</v>
      </c>
      <c r="AO149" s="76">
        <v>40632.861307870371</v>
      </c>
      <c r="AP149" s="79" t="str">
        <f>HYPERLINK("https://pbs.twimg.com/profile_banners/274673392/1565377125")</f>
        <v>https://pbs.twimg.com/profile_banners/274673392/1565377125</v>
      </c>
      <c r="AQ149" t="b">
        <v>0</v>
      </c>
      <c r="AR149" t="b">
        <v>0</v>
      </c>
      <c r="AS149" t="b">
        <v>1</v>
      </c>
      <c r="AU149">
        <v>1782</v>
      </c>
      <c r="AV149" s="79" t="str">
        <f t="shared" si="3"/>
        <v>https://abs.twimg.com/images/themes/theme1/bg.png</v>
      </c>
      <c r="AW149" t="b">
        <v>1</v>
      </c>
      <c r="AX149" t="s">
        <v>9303</v>
      </c>
      <c r="AY149" s="79" t="str">
        <f>HYPERLINK("https://twitter.com/chase")</f>
        <v>https://twitter.com/chase</v>
      </c>
      <c r="AZ149" t="s">
        <v>65</v>
      </c>
      <c r="BA149" s="2"/>
    </row>
    <row r="150" spans="1:53" x14ac:dyDescent="0.45">
      <c r="A150" s="62" t="s">
        <v>1114</v>
      </c>
      <c r="B150" s="63"/>
      <c r="C150" s="63"/>
      <c r="D150" s="64"/>
      <c r="E150" s="66"/>
      <c r="F150" s="98" t="str">
        <f>HYPERLINK("https://pbs.twimg.com/profile_images/1104185604655513600/i4OaGpuc_normal.png")</f>
        <v>https://pbs.twimg.com/profile_images/1104185604655513600/i4OaGpuc_normal.png</v>
      </c>
      <c r="G150" s="63"/>
      <c r="H150" s="67"/>
      <c r="I150" s="68"/>
      <c r="J150" s="68"/>
      <c r="K150" s="67" t="s">
        <v>9321</v>
      </c>
      <c r="L150" s="71"/>
      <c r="M150" s="72"/>
      <c r="N150" s="72"/>
      <c r="O150" s="73"/>
      <c r="P150" s="74"/>
      <c r="Q150" s="74"/>
      <c r="R150" s="81"/>
      <c r="S150" s="81"/>
      <c r="T150" s="81"/>
      <c r="U150" s="81"/>
      <c r="V150" s="48"/>
      <c r="W150" s="48"/>
      <c r="X150" s="48"/>
      <c r="Y150" s="48"/>
      <c r="Z150" s="47"/>
      <c r="AA150" s="69"/>
      <c r="AB150" s="69"/>
      <c r="AC150" s="70"/>
      <c r="AD150" t="s">
        <v>5017</v>
      </c>
      <c r="AE150" s="78" t="s">
        <v>4643</v>
      </c>
      <c r="AF150">
        <v>265</v>
      </c>
      <c r="AG150">
        <v>385835</v>
      </c>
      <c r="AH150">
        <v>16783</v>
      </c>
      <c r="AI150">
        <v>640</v>
      </c>
      <c r="AK150" t="s">
        <v>7506</v>
      </c>
      <c r="AL150" t="s">
        <v>8681</v>
      </c>
      <c r="AM150" s="79" t="str">
        <f>HYPERLINK("https://t.co/00ro9DnAs5")</f>
        <v>https://t.co/00ro9DnAs5</v>
      </c>
      <c r="AO150" s="76">
        <v>39860.844537037039</v>
      </c>
      <c r="AP150" s="79" t="str">
        <f>HYPERLINK("https://pbs.twimg.com/profile_banners/21021891/1583856815")</f>
        <v>https://pbs.twimg.com/profile_banners/21021891/1583856815</v>
      </c>
      <c r="AQ150" t="b">
        <v>0</v>
      </c>
      <c r="AR150" t="b">
        <v>0</v>
      </c>
      <c r="AS150" t="b">
        <v>0</v>
      </c>
      <c r="AU150">
        <v>2767</v>
      </c>
      <c r="AV150" s="79" t="str">
        <f t="shared" si="3"/>
        <v>https://abs.twimg.com/images/themes/theme1/bg.png</v>
      </c>
      <c r="AW150" t="b">
        <v>1</v>
      </c>
      <c r="AX150" t="s">
        <v>9303</v>
      </c>
      <c r="AY150" s="79" t="str">
        <f>HYPERLINK("https://twitter.com/chevron")</f>
        <v>https://twitter.com/chevron</v>
      </c>
      <c r="AZ150" t="s">
        <v>65</v>
      </c>
      <c r="BA150" s="2"/>
    </row>
    <row r="151" spans="1:53" x14ac:dyDescent="0.45">
      <c r="A151" s="62" t="s">
        <v>1155</v>
      </c>
      <c r="B151" s="63"/>
      <c r="C151" s="63"/>
      <c r="D151" s="64"/>
      <c r="E151" s="66"/>
      <c r="F151" s="98" t="str">
        <f>HYPERLINK("https://pbs.twimg.com/profile_images/1616184597934391322/jDtYca_N_normal.jpg")</f>
        <v>https://pbs.twimg.com/profile_images/1616184597934391322/jDtYca_N_normal.jpg</v>
      </c>
      <c r="G151" s="63"/>
      <c r="H151" s="67"/>
      <c r="I151" s="68"/>
      <c r="J151" s="68"/>
      <c r="K151" s="67" t="s">
        <v>9410</v>
      </c>
      <c r="L151" s="71"/>
      <c r="M151" s="72"/>
      <c r="N151" s="72"/>
      <c r="O151" s="73"/>
      <c r="P151" s="74"/>
      <c r="Q151" s="74"/>
      <c r="R151" s="81"/>
      <c r="S151" s="81"/>
      <c r="T151" s="81"/>
      <c r="U151" s="81"/>
      <c r="V151" s="48"/>
      <c r="W151" s="48"/>
      <c r="X151" s="48"/>
      <c r="Y151" s="48"/>
      <c r="Z151" s="47"/>
      <c r="AA151" s="69"/>
      <c r="AB151" s="69"/>
      <c r="AC151" s="70"/>
      <c r="AD151" t="s">
        <v>5105</v>
      </c>
      <c r="AE151" s="78" t="s">
        <v>6413</v>
      </c>
      <c r="AF151">
        <v>4101</v>
      </c>
      <c r="AG151">
        <v>383573</v>
      </c>
      <c r="AH151">
        <v>75933</v>
      </c>
      <c r="AI151">
        <v>64819</v>
      </c>
      <c r="AK151" t="s">
        <v>7588</v>
      </c>
      <c r="AM151" s="79" t="str">
        <f>HYPERLINK("https://t.co/jDd4iJfvbZ")</f>
        <v>https://t.co/jDd4iJfvbZ</v>
      </c>
      <c r="AO151" s="76">
        <v>40772.584004629629</v>
      </c>
      <c r="AP151" s="79" t="str">
        <f>HYPERLINK("https://pbs.twimg.com/profile_banners/356866129/1674163410")</f>
        <v>https://pbs.twimg.com/profile_banners/356866129/1674163410</v>
      </c>
      <c r="AQ151" t="b">
        <v>0</v>
      </c>
      <c r="AR151" t="b">
        <v>0</v>
      </c>
      <c r="AS151" t="b">
        <v>0</v>
      </c>
      <c r="AU151">
        <v>562</v>
      </c>
      <c r="AV151" s="79" t="str">
        <f t="shared" si="3"/>
        <v>https://abs.twimg.com/images/themes/theme1/bg.png</v>
      </c>
      <c r="AW151" t="b">
        <v>1</v>
      </c>
      <c r="AX151" t="s">
        <v>9303</v>
      </c>
      <c r="AY151" s="79" t="str">
        <f>HYPERLINK("https://twitter.com/wawa")</f>
        <v>https://twitter.com/wawa</v>
      </c>
      <c r="AZ151" t="s">
        <v>65</v>
      </c>
      <c r="BA151" s="2"/>
    </row>
    <row r="152" spans="1:53" x14ac:dyDescent="0.45">
      <c r="A152" s="62" t="s">
        <v>568</v>
      </c>
      <c r="B152" s="63"/>
      <c r="C152" s="63"/>
      <c r="D152" s="64"/>
      <c r="E152" s="66"/>
      <c r="F152" s="98" t="str">
        <f>HYPERLINK("https://pbs.twimg.com/profile_images/1542876439556624384/z89tjVdQ_normal.jpg")</f>
        <v>https://pbs.twimg.com/profile_images/1542876439556624384/z89tjVdQ_normal.jpg</v>
      </c>
      <c r="G152" s="63"/>
      <c r="H152" s="67"/>
      <c r="I152" s="68"/>
      <c r="J152" s="68"/>
      <c r="K152" s="67" t="s">
        <v>9866</v>
      </c>
      <c r="L152" s="71"/>
      <c r="M152" s="72"/>
      <c r="N152" s="72"/>
      <c r="O152" s="73"/>
      <c r="P152" s="74"/>
      <c r="Q152" s="74"/>
      <c r="R152" s="81"/>
      <c r="S152" s="81"/>
      <c r="T152" s="81"/>
      <c r="U152" s="81"/>
      <c r="V152" s="48"/>
      <c r="W152" s="48"/>
      <c r="X152" s="48"/>
      <c r="Y152" s="48"/>
      <c r="Z152" s="47"/>
      <c r="AA152" s="69"/>
      <c r="AB152" s="69"/>
      <c r="AC152" s="70"/>
      <c r="AD152" t="s">
        <v>5557</v>
      </c>
      <c r="AE152" s="78" t="s">
        <v>6805</v>
      </c>
      <c r="AF152">
        <v>721</v>
      </c>
      <c r="AG152">
        <v>379342</v>
      </c>
      <c r="AH152">
        <v>232311</v>
      </c>
      <c r="AI152">
        <v>6398</v>
      </c>
      <c r="AK152" t="s">
        <v>7980</v>
      </c>
      <c r="AL152" t="s">
        <v>8959</v>
      </c>
      <c r="AM152" s="79" t="str">
        <f>HYPERLINK("https://t.co/tQhRsHZkxt")</f>
        <v>https://t.co/tQhRsHZkxt</v>
      </c>
      <c r="AO152" s="76">
        <v>39481.235266203701</v>
      </c>
      <c r="AP152" s="79" t="str">
        <f>HYPERLINK("https://pbs.twimg.com/profile_banners/13001192/1645557390")</f>
        <v>https://pbs.twimg.com/profile_banners/13001192/1645557390</v>
      </c>
      <c r="AQ152" t="b">
        <v>0</v>
      </c>
      <c r="AR152" t="b">
        <v>0</v>
      </c>
      <c r="AS152" t="b">
        <v>1</v>
      </c>
      <c r="AU152">
        <v>2458</v>
      </c>
      <c r="AV152" s="79" t="str">
        <f t="shared" si="3"/>
        <v>https://abs.twimg.com/images/themes/theme1/bg.png</v>
      </c>
      <c r="AW152" t="b">
        <v>1</v>
      </c>
      <c r="AX152" t="s">
        <v>9303</v>
      </c>
      <c r="AY152" s="79" t="str">
        <f>HYPERLINK("https://twitter.com/kare11")</f>
        <v>https://twitter.com/kare11</v>
      </c>
      <c r="AZ152" t="s">
        <v>66</v>
      </c>
      <c r="BA152" s="2"/>
    </row>
    <row r="153" spans="1:53" x14ac:dyDescent="0.45">
      <c r="A153" s="62" t="s">
        <v>1218</v>
      </c>
      <c r="B153" s="63"/>
      <c r="C153" s="63"/>
      <c r="D153" s="64"/>
      <c r="E153" s="66"/>
      <c r="F153" s="98" t="str">
        <f>HYPERLINK("https://pbs.twimg.com/profile_images/994258896721084416/NtdYx76B_normal.jpg")</f>
        <v>https://pbs.twimg.com/profile_images/994258896721084416/NtdYx76B_normal.jpg</v>
      </c>
      <c r="G153" s="63"/>
      <c r="H153" s="67"/>
      <c r="I153" s="68"/>
      <c r="J153" s="68"/>
      <c r="K153" s="67" t="s">
        <v>9539</v>
      </c>
      <c r="L153" s="71"/>
      <c r="M153" s="72"/>
      <c r="N153" s="72"/>
      <c r="O153" s="73"/>
      <c r="P153" s="74"/>
      <c r="Q153" s="74"/>
      <c r="R153" s="81"/>
      <c r="S153" s="81"/>
      <c r="T153" s="81"/>
      <c r="U153" s="81"/>
      <c r="V153" s="48"/>
      <c r="W153" s="48"/>
      <c r="X153" s="48"/>
      <c r="Y153" s="48"/>
      <c r="Z153" s="47"/>
      <c r="AA153" s="69"/>
      <c r="AB153" s="69"/>
      <c r="AC153" s="70"/>
      <c r="AD153" t="s">
        <v>5232</v>
      </c>
      <c r="AE153" s="78" t="s">
        <v>6517</v>
      </c>
      <c r="AF153">
        <v>4</v>
      </c>
      <c r="AG153">
        <v>379022</v>
      </c>
      <c r="AH153">
        <v>10270</v>
      </c>
      <c r="AI153">
        <v>63</v>
      </c>
      <c r="AK153" t="s">
        <v>7700</v>
      </c>
      <c r="AL153" t="s">
        <v>8804</v>
      </c>
      <c r="AM153" s="79" t="str">
        <f>HYPERLINK("http://t.co/FeLShcs9NF")</f>
        <v>http://t.co/FeLShcs9NF</v>
      </c>
      <c r="AO153" s="76">
        <v>39851.143171296295</v>
      </c>
      <c r="AP153" s="79" t="str">
        <f>HYPERLINK("https://pbs.twimg.com/profile_banners/20291907/1525884659")</f>
        <v>https://pbs.twimg.com/profile_banners/20291907/1525884659</v>
      </c>
      <c r="AQ153" t="b">
        <v>0</v>
      </c>
      <c r="AR153" t="b">
        <v>0</v>
      </c>
      <c r="AS153" t="b">
        <v>0</v>
      </c>
      <c r="AU153">
        <v>3273</v>
      </c>
      <c r="AV153" s="79" t="str">
        <f t="shared" si="3"/>
        <v>https://abs.twimg.com/images/themes/theme1/bg.png</v>
      </c>
      <c r="AW153" t="b">
        <v>1</v>
      </c>
      <c r="AX153" t="s">
        <v>9303</v>
      </c>
      <c r="AY153" s="79" t="str">
        <f>HYPERLINK("https://twitter.com/bestbuy_deals")</f>
        <v>https://twitter.com/bestbuy_deals</v>
      </c>
      <c r="AZ153" t="s">
        <v>65</v>
      </c>
      <c r="BA153" s="2"/>
    </row>
    <row r="154" spans="1:53" x14ac:dyDescent="0.45">
      <c r="A154" s="62" t="s">
        <v>1534</v>
      </c>
      <c r="B154" s="63"/>
      <c r="C154" s="63"/>
      <c r="D154" s="64"/>
      <c r="E154" s="66"/>
      <c r="F154" s="98" t="str">
        <f>HYPERLINK("https://pbs.twimg.com/profile_images/1433549243688574979/H5vcThef_normal.jpg")</f>
        <v>https://pbs.twimg.com/profile_images/1433549243688574979/H5vcThef_normal.jpg</v>
      </c>
      <c r="G154" s="63"/>
      <c r="H154" s="67"/>
      <c r="I154" s="68"/>
      <c r="J154" s="68"/>
      <c r="K154" s="67" t="s">
        <v>10577</v>
      </c>
      <c r="L154" s="71"/>
      <c r="M154" s="72"/>
      <c r="N154" s="72"/>
      <c r="O154" s="73"/>
      <c r="P154" s="74"/>
      <c r="Q154" s="74"/>
      <c r="R154" s="81"/>
      <c r="S154" s="81"/>
      <c r="T154" s="81"/>
      <c r="U154" s="81"/>
      <c r="V154" s="48"/>
      <c r="W154" s="48"/>
      <c r="X154" s="48"/>
      <c r="Y154" s="48"/>
      <c r="Z154" s="47"/>
      <c r="AA154" s="69"/>
      <c r="AB154" s="69"/>
      <c r="AC154" s="70"/>
      <c r="AD154" t="s">
        <v>6255</v>
      </c>
      <c r="AE154" s="78" t="s">
        <v>7428</v>
      </c>
      <c r="AF154">
        <v>240</v>
      </c>
      <c r="AG154">
        <v>375731</v>
      </c>
      <c r="AH154">
        <v>28418</v>
      </c>
      <c r="AI154">
        <v>3151</v>
      </c>
      <c r="AK154" t="s">
        <v>8602</v>
      </c>
      <c r="AL154" t="s">
        <v>9268</v>
      </c>
      <c r="AM154" s="79" t="str">
        <f>HYPERLINK("https://t.co/TgqQci3mGG")</f>
        <v>https://t.co/TgqQci3mGG</v>
      </c>
      <c r="AO154" s="76">
        <v>39874.982569444444</v>
      </c>
      <c r="AP154" s="79" t="str">
        <f>HYPERLINK("https://pbs.twimg.com/profile_banners/22553169/1557848539")</f>
        <v>https://pbs.twimg.com/profile_banners/22553169/1557848539</v>
      </c>
      <c r="AQ154" t="b">
        <v>0</v>
      </c>
      <c r="AR154" t="b">
        <v>0</v>
      </c>
      <c r="AS154" t="b">
        <v>1</v>
      </c>
      <c r="AU154">
        <v>1483</v>
      </c>
      <c r="AV154" s="79" t="str">
        <f t="shared" si="3"/>
        <v>https://abs.twimg.com/images/themes/theme1/bg.png</v>
      </c>
      <c r="AW154" t="b">
        <v>1</v>
      </c>
      <c r="AX154" t="s">
        <v>9303</v>
      </c>
      <c r="AY154" s="79" t="str">
        <f>HYPERLINK("https://twitter.com/cabelas")</f>
        <v>https://twitter.com/cabelas</v>
      </c>
      <c r="AZ154" t="s">
        <v>65</v>
      </c>
      <c r="BA154" s="2"/>
    </row>
    <row r="155" spans="1:53" x14ac:dyDescent="0.45">
      <c r="A155" s="62" t="s">
        <v>1392</v>
      </c>
      <c r="B155" s="63"/>
      <c r="C155" s="63"/>
      <c r="D155" s="64"/>
      <c r="E155" s="66"/>
      <c r="F155" s="98" t="str">
        <f>HYPERLINK("https://pbs.twimg.com/profile_images/1585265449830387712/rnCNu9d0_normal.jpg")</f>
        <v>https://pbs.twimg.com/profile_images/1585265449830387712/rnCNu9d0_normal.jpg</v>
      </c>
      <c r="G155" s="63"/>
      <c r="H155" s="67"/>
      <c r="I155" s="68"/>
      <c r="J155" s="68"/>
      <c r="K155" s="67" t="s">
        <v>10211</v>
      </c>
      <c r="L155" s="71"/>
      <c r="M155" s="72"/>
      <c r="N155" s="72"/>
      <c r="O155" s="73"/>
      <c r="P155" s="74"/>
      <c r="Q155" s="74"/>
      <c r="R155" s="81"/>
      <c r="S155" s="81"/>
      <c r="T155" s="81"/>
      <c r="U155" s="81"/>
      <c r="V155" s="48"/>
      <c r="W155" s="48"/>
      <c r="X155" s="48"/>
      <c r="Y155" s="48"/>
      <c r="Z155" s="47"/>
      <c r="AA155" s="69"/>
      <c r="AB155" s="69"/>
      <c r="AC155" s="70"/>
      <c r="AD155" t="s">
        <v>5895</v>
      </c>
      <c r="AE155" s="78" t="s">
        <v>7114</v>
      </c>
      <c r="AF155">
        <v>449</v>
      </c>
      <c r="AG155">
        <v>371511</v>
      </c>
      <c r="AH155">
        <v>14101</v>
      </c>
      <c r="AI155">
        <v>1676</v>
      </c>
      <c r="AK155" t="s">
        <v>8279</v>
      </c>
      <c r="AL155" t="s">
        <v>9125</v>
      </c>
      <c r="AM155" s="79" t="str">
        <f>HYPERLINK("https://t.co/7v5ZEhBs6d")</f>
        <v>https://t.co/7v5ZEhBs6d</v>
      </c>
      <c r="AO155" s="76">
        <v>39679.629201388889</v>
      </c>
      <c r="AP155" s="79" t="str">
        <f>HYPERLINK("https://pbs.twimg.com/profile_banners/15905103/1666791711")</f>
        <v>https://pbs.twimg.com/profile_banners/15905103/1666791711</v>
      </c>
      <c r="AQ155" t="b">
        <v>1</v>
      </c>
      <c r="AR155" t="b">
        <v>0</v>
      </c>
      <c r="AS155" t="b">
        <v>0</v>
      </c>
      <c r="AU155">
        <v>8415</v>
      </c>
      <c r="AV155" s="79" t="str">
        <f t="shared" si="3"/>
        <v>https://abs.twimg.com/images/themes/theme1/bg.png</v>
      </c>
      <c r="AW155" t="b">
        <v>1</v>
      </c>
      <c r="AX155" t="s">
        <v>9303</v>
      </c>
      <c r="AY155" s="79" t="str">
        <f>HYPERLINK("https://twitter.com/planetmoney")</f>
        <v>https://twitter.com/planetmoney</v>
      </c>
      <c r="AZ155" t="s">
        <v>65</v>
      </c>
      <c r="BA155" s="2"/>
    </row>
    <row r="156" spans="1:53" x14ac:dyDescent="0.45">
      <c r="A156" s="62" t="s">
        <v>1535</v>
      </c>
      <c r="B156" s="63"/>
      <c r="C156" s="63"/>
      <c r="D156" s="64"/>
      <c r="E156" s="66"/>
      <c r="F156" s="98" t="str">
        <f>HYPERLINK("https://pbs.twimg.com/profile_images/1433461943399063552/TW1oNYW8_normal.jpg")</f>
        <v>https://pbs.twimg.com/profile_images/1433461943399063552/TW1oNYW8_normal.jpg</v>
      </c>
      <c r="G156" s="63"/>
      <c r="H156" s="67"/>
      <c r="I156" s="68"/>
      <c r="J156" s="68"/>
      <c r="K156" s="67" t="s">
        <v>10578</v>
      </c>
      <c r="L156" s="71"/>
      <c r="M156" s="72"/>
      <c r="N156" s="72"/>
      <c r="O156" s="73"/>
      <c r="P156" s="74"/>
      <c r="Q156" s="74"/>
      <c r="R156" s="81"/>
      <c r="S156" s="81"/>
      <c r="T156" s="81"/>
      <c r="U156" s="81"/>
      <c r="V156" s="48"/>
      <c r="W156" s="48"/>
      <c r="X156" s="48"/>
      <c r="Y156" s="48"/>
      <c r="Z156" s="47"/>
      <c r="AA156" s="69"/>
      <c r="AB156" s="69"/>
      <c r="AC156" s="70"/>
      <c r="AD156" t="s">
        <v>6256</v>
      </c>
      <c r="AE156" s="78" t="s">
        <v>7429</v>
      </c>
      <c r="AF156">
        <v>1116</v>
      </c>
      <c r="AG156">
        <v>362881</v>
      </c>
      <c r="AH156">
        <v>16222</v>
      </c>
      <c r="AI156">
        <v>23748</v>
      </c>
      <c r="AK156" t="s">
        <v>8603</v>
      </c>
      <c r="AL156" t="s">
        <v>9269</v>
      </c>
      <c r="AM156" s="79" t="str">
        <f>HYPERLINK("https://t.co/NmXzAsINXI")</f>
        <v>https://t.co/NmXzAsINXI</v>
      </c>
      <c r="AO156" s="76">
        <v>39875.953043981484</v>
      </c>
      <c r="AP156" s="79" t="str">
        <f>HYPERLINK("https://pbs.twimg.com/profile_banners/22695018/1557848473")</f>
        <v>https://pbs.twimg.com/profile_banners/22695018/1557848473</v>
      </c>
      <c r="AQ156" t="b">
        <v>0</v>
      </c>
      <c r="AR156" t="b">
        <v>0</v>
      </c>
      <c r="AS156" t="b">
        <v>1</v>
      </c>
      <c r="AU156">
        <v>1479</v>
      </c>
      <c r="AV156" s="79" t="str">
        <f t="shared" si="3"/>
        <v>https://abs.twimg.com/images/themes/theme1/bg.png</v>
      </c>
      <c r="AW156" t="b">
        <v>1</v>
      </c>
      <c r="AX156" t="s">
        <v>9303</v>
      </c>
      <c r="AY156" s="79" t="str">
        <f>HYPERLINK("https://twitter.com/bassproshops")</f>
        <v>https://twitter.com/bassproshops</v>
      </c>
      <c r="AZ156" t="s">
        <v>65</v>
      </c>
      <c r="BA156" s="2"/>
    </row>
    <row r="157" spans="1:53" x14ac:dyDescent="0.45">
      <c r="A157" s="62" t="s">
        <v>1376</v>
      </c>
      <c r="B157" s="63"/>
      <c r="C157" s="63"/>
      <c r="D157" s="64"/>
      <c r="E157" s="66"/>
      <c r="F157" s="98" t="str">
        <f>HYPERLINK("https://pbs.twimg.com/profile_images/767715187491217408/rEi3ozQZ_normal.jpg")</f>
        <v>https://pbs.twimg.com/profile_images/767715187491217408/rEi3ozQZ_normal.jpg</v>
      </c>
      <c r="G157" s="63"/>
      <c r="H157" s="67"/>
      <c r="I157" s="68"/>
      <c r="J157" s="68"/>
      <c r="K157" s="67" t="s">
        <v>10167</v>
      </c>
      <c r="L157" s="71"/>
      <c r="M157" s="72"/>
      <c r="N157" s="72"/>
      <c r="O157" s="73"/>
      <c r="P157" s="74"/>
      <c r="Q157" s="74"/>
      <c r="R157" s="81"/>
      <c r="S157" s="81"/>
      <c r="T157" s="81"/>
      <c r="U157" s="81"/>
      <c r="V157" s="48"/>
      <c r="W157" s="48"/>
      <c r="X157" s="48"/>
      <c r="Y157" s="48"/>
      <c r="Z157" s="47"/>
      <c r="AA157" s="69"/>
      <c r="AB157" s="69"/>
      <c r="AC157" s="70"/>
      <c r="AD157" t="s">
        <v>5853</v>
      </c>
      <c r="AE157" s="78" t="s">
        <v>7077</v>
      </c>
      <c r="AF157">
        <v>1930</v>
      </c>
      <c r="AG157">
        <v>361659</v>
      </c>
      <c r="AH157">
        <v>274766</v>
      </c>
      <c r="AI157">
        <v>2641</v>
      </c>
      <c r="AK157" t="s">
        <v>8242</v>
      </c>
      <c r="AL157" t="s">
        <v>8719</v>
      </c>
      <c r="AM157" s="79" t="str">
        <f>HYPERLINK("http://t.co/01OZ72p8XV")</f>
        <v>http://t.co/01OZ72p8XV</v>
      </c>
      <c r="AO157" s="76">
        <v>39675.678391203706</v>
      </c>
      <c r="AP157" s="79" t="str">
        <f>HYPERLINK("https://pbs.twimg.com/profile_banners/15864446/1399313588")</f>
        <v>https://pbs.twimg.com/profile_banners/15864446/1399313588</v>
      </c>
      <c r="AQ157" t="b">
        <v>0</v>
      </c>
      <c r="AR157" t="b">
        <v>0</v>
      </c>
      <c r="AS157" t="b">
        <v>1</v>
      </c>
      <c r="AU157">
        <v>4493</v>
      </c>
      <c r="AV157" s="79" t="str">
        <f t="shared" si="3"/>
        <v>https://abs.twimg.com/images/themes/theme1/bg.png</v>
      </c>
      <c r="AW157" t="b">
        <v>1</v>
      </c>
      <c r="AX157" t="s">
        <v>9303</v>
      </c>
      <c r="AY157" s="79" t="str">
        <f>HYPERLINK("https://twitter.com/nbcnewyork")</f>
        <v>https://twitter.com/nbcnewyork</v>
      </c>
      <c r="AZ157" t="s">
        <v>65</v>
      </c>
      <c r="BA157" s="2"/>
    </row>
    <row r="158" spans="1:53" x14ac:dyDescent="0.45">
      <c r="A158" s="62" t="s">
        <v>1394</v>
      </c>
      <c r="B158" s="63"/>
      <c r="C158" s="63"/>
      <c r="D158" s="64"/>
      <c r="E158" s="66"/>
      <c r="F158" s="98" t="str">
        <f>HYPERLINK("https://pbs.twimg.com/profile_images/3160816489/a0bbfcd09d9b7dbc56b76a07130972cf_normal.png")</f>
        <v>https://pbs.twimg.com/profile_images/3160816489/a0bbfcd09d9b7dbc56b76a07130972cf_normal.png</v>
      </c>
      <c r="G158" s="63"/>
      <c r="H158" s="67"/>
      <c r="I158" s="68"/>
      <c r="J158" s="68"/>
      <c r="K158" s="67" t="s">
        <v>10215</v>
      </c>
      <c r="L158" s="71"/>
      <c r="M158" s="72"/>
      <c r="N158" s="72"/>
      <c r="O158" s="73"/>
      <c r="P158" s="74"/>
      <c r="Q158" s="74"/>
      <c r="R158" s="81"/>
      <c r="S158" s="81"/>
      <c r="T158" s="81"/>
      <c r="U158" s="81"/>
      <c r="V158" s="48"/>
      <c r="W158" s="48"/>
      <c r="X158" s="48"/>
      <c r="Y158" s="48"/>
      <c r="Z158" s="47"/>
      <c r="AA158" s="69"/>
      <c r="AB158" s="69"/>
      <c r="AC158" s="70"/>
      <c r="AD158" t="s">
        <v>5899</v>
      </c>
      <c r="AE158" s="78" t="s">
        <v>7118</v>
      </c>
      <c r="AF158">
        <v>19</v>
      </c>
      <c r="AG158">
        <v>360713</v>
      </c>
      <c r="AH158">
        <v>2544</v>
      </c>
      <c r="AI158">
        <v>8013</v>
      </c>
      <c r="AK158" t="s">
        <v>8283</v>
      </c>
      <c r="AM158" s="79" t="str">
        <f>HYPERLINK("https://t.co/AlNX2AJjCm")</f>
        <v>https://t.co/AlNX2AJjCm</v>
      </c>
      <c r="AO158" s="76">
        <v>40932.49119212963</v>
      </c>
      <c r="AP158" s="79" t="str">
        <f>HYPERLINK("https://pbs.twimg.com/profile_banners/472872558/1360171470")</f>
        <v>https://pbs.twimg.com/profile_banners/472872558/1360171470</v>
      </c>
      <c r="AQ158" t="b">
        <v>0</v>
      </c>
      <c r="AR158" t="b">
        <v>0</v>
      </c>
      <c r="AS158" t="b">
        <v>0</v>
      </c>
      <c r="AU158">
        <v>1351</v>
      </c>
      <c r="AV158" s="79" t="str">
        <f t="shared" si="3"/>
        <v>https://abs.twimg.com/images/themes/theme1/bg.png</v>
      </c>
      <c r="AW158" t="b">
        <v>1</v>
      </c>
      <c r="AX158" t="s">
        <v>9303</v>
      </c>
      <c r="AY158" s="79" t="str">
        <f>HYPERLINK("https://twitter.com/mrt")</f>
        <v>https://twitter.com/mrt</v>
      </c>
      <c r="AZ158" t="s">
        <v>65</v>
      </c>
      <c r="BA158" s="2"/>
    </row>
    <row r="159" spans="1:53" x14ac:dyDescent="0.45">
      <c r="A159" s="62" t="s">
        <v>598</v>
      </c>
      <c r="B159" s="63"/>
      <c r="C159" s="63"/>
      <c r="D159" s="64"/>
      <c r="E159" s="66"/>
      <c r="F159" s="98" t="str">
        <f>HYPERLINK("https://pbs.twimg.com/profile_images/1245814234782588928/c_5V2Ljf_normal.jpg")</f>
        <v>https://pbs.twimg.com/profile_images/1245814234782588928/c_5V2Ljf_normal.jpg</v>
      </c>
      <c r="G159" s="63"/>
      <c r="H159" s="67"/>
      <c r="I159" s="68"/>
      <c r="J159" s="68"/>
      <c r="K159" s="67" t="s">
        <v>9896</v>
      </c>
      <c r="L159" s="71"/>
      <c r="M159" s="72"/>
      <c r="N159" s="72"/>
      <c r="O159" s="73"/>
      <c r="P159" s="74"/>
      <c r="Q159" s="74"/>
      <c r="R159" s="81"/>
      <c r="S159" s="81"/>
      <c r="T159" s="81"/>
      <c r="U159" s="81"/>
      <c r="V159" s="48"/>
      <c r="W159" s="48"/>
      <c r="X159" s="48"/>
      <c r="Y159" s="48"/>
      <c r="Z159" s="47"/>
      <c r="AA159" s="69"/>
      <c r="AB159" s="69"/>
      <c r="AC159" s="70"/>
      <c r="AD159" t="s">
        <v>5587</v>
      </c>
      <c r="AE159" s="78" t="s">
        <v>6835</v>
      </c>
      <c r="AF159">
        <v>21181</v>
      </c>
      <c r="AG159">
        <v>360600</v>
      </c>
      <c r="AH159">
        <v>214486</v>
      </c>
      <c r="AI159">
        <v>759</v>
      </c>
      <c r="AK159" t="s">
        <v>8010</v>
      </c>
      <c r="AL159" t="s">
        <v>8980</v>
      </c>
      <c r="AM159" s="79" t="str">
        <f>HYPERLINK("https://t.co/44g2KZIV1Q")</f>
        <v>https://t.co/44g2KZIV1Q</v>
      </c>
      <c r="AO159" s="76">
        <v>39632.08871527778</v>
      </c>
      <c r="AP159" s="79" t="str">
        <f>HYPERLINK("https://pbs.twimg.com/profile_banners/15304100/1673382494")</f>
        <v>https://pbs.twimg.com/profile_banners/15304100/1673382494</v>
      </c>
      <c r="AQ159" t="b">
        <v>0</v>
      </c>
      <c r="AR159" t="b">
        <v>0</v>
      </c>
      <c r="AS159" t="b">
        <v>0</v>
      </c>
      <c r="AU159">
        <v>1750</v>
      </c>
      <c r="AV159" s="79" t="str">
        <f t="shared" si="3"/>
        <v>https://abs.twimg.com/images/themes/theme1/bg.png</v>
      </c>
      <c r="AW159" t="b">
        <v>1</v>
      </c>
      <c r="AX159" t="s">
        <v>9303</v>
      </c>
      <c r="AY159" s="79" t="str">
        <f>HYPERLINK("https://twitter.com/10tv")</f>
        <v>https://twitter.com/10tv</v>
      </c>
      <c r="AZ159" t="s">
        <v>66</v>
      </c>
      <c r="BA159" s="2"/>
    </row>
    <row r="160" spans="1:53" x14ac:dyDescent="0.45">
      <c r="A160" s="62" t="s">
        <v>899</v>
      </c>
      <c r="B160" s="63"/>
      <c r="C160" s="63"/>
      <c r="D160" s="64"/>
      <c r="E160" s="66"/>
      <c r="F160" s="98" t="str">
        <f>HYPERLINK("https://pbs.twimg.com/profile_images/1252725517666537472/G112D16p_normal.jpg")</f>
        <v>https://pbs.twimg.com/profile_images/1252725517666537472/G112D16p_normal.jpg</v>
      </c>
      <c r="G160" s="63"/>
      <c r="H160" s="67"/>
      <c r="I160" s="68"/>
      <c r="J160" s="68"/>
      <c r="K160" s="67" t="s">
        <v>9714</v>
      </c>
      <c r="L160" s="71"/>
      <c r="M160" s="72"/>
      <c r="N160" s="72"/>
      <c r="O160" s="73"/>
      <c r="P160" s="74"/>
      <c r="Q160" s="74"/>
      <c r="R160" s="81"/>
      <c r="S160" s="81"/>
      <c r="T160" s="81"/>
      <c r="U160" s="81"/>
      <c r="V160" s="48"/>
      <c r="W160" s="48"/>
      <c r="X160" s="48"/>
      <c r="Y160" s="48"/>
      <c r="Z160" s="47"/>
      <c r="AA160" s="69"/>
      <c r="AB160" s="69"/>
      <c r="AC160" s="70"/>
      <c r="AD160" t="s">
        <v>5406</v>
      </c>
      <c r="AE160" s="78" t="s">
        <v>4693</v>
      </c>
      <c r="AF160">
        <v>0</v>
      </c>
      <c r="AG160">
        <v>349231</v>
      </c>
      <c r="AH160">
        <v>14332</v>
      </c>
      <c r="AI160">
        <v>11907</v>
      </c>
      <c r="AK160" t="s">
        <v>7846</v>
      </c>
      <c r="AL160" t="s">
        <v>4924</v>
      </c>
      <c r="AM160" s="79" t="str">
        <f>HYPERLINK("https://t.co/TVzJ0FjdKK")</f>
        <v>https://t.co/TVzJ0FjdKK</v>
      </c>
      <c r="AO160" s="76">
        <v>39906.731747685182</v>
      </c>
      <c r="AP160" s="79" t="str">
        <f>HYPERLINK("https://pbs.twimg.com/profile_banners/28611240/1667412332")</f>
        <v>https://pbs.twimg.com/profile_banners/28611240/1667412332</v>
      </c>
      <c r="AQ160" t="b">
        <v>0</v>
      </c>
      <c r="AR160" t="b">
        <v>0</v>
      </c>
      <c r="AS160" t="b">
        <v>1</v>
      </c>
      <c r="AU160">
        <v>818</v>
      </c>
      <c r="AV160" s="79" t="str">
        <f>HYPERLINK("https://abs.twimg.com/images/themes/theme7/bg.gif")</f>
        <v>https://abs.twimg.com/images/themes/theme7/bg.gif</v>
      </c>
      <c r="AW160" t="b">
        <v>1</v>
      </c>
      <c r="AX160" t="s">
        <v>9303</v>
      </c>
      <c r="AY160" s="79" t="str">
        <f>HYPERLINK("https://twitter.com/wetnwildbeauty")</f>
        <v>https://twitter.com/wetnwildbeauty</v>
      </c>
      <c r="AZ160" t="s">
        <v>66</v>
      </c>
      <c r="BA160" s="2"/>
    </row>
    <row r="161" spans="1:53" x14ac:dyDescent="0.45">
      <c r="A161" s="62" t="s">
        <v>1343</v>
      </c>
      <c r="B161" s="63"/>
      <c r="C161" s="63"/>
      <c r="D161" s="64"/>
      <c r="E161" s="66"/>
      <c r="F161" s="98" t="str">
        <f>HYPERLINK("https://pbs.twimg.com/profile_images/1336717992831430657/HdqvXIvG_normal.png")</f>
        <v>https://pbs.twimg.com/profile_images/1336717992831430657/HdqvXIvG_normal.png</v>
      </c>
      <c r="G161" s="63"/>
      <c r="H161" s="67"/>
      <c r="I161" s="68"/>
      <c r="J161" s="68"/>
      <c r="K161" s="67" t="s">
        <v>10043</v>
      </c>
      <c r="L161" s="71"/>
      <c r="M161" s="72"/>
      <c r="N161" s="72"/>
      <c r="O161" s="73"/>
      <c r="P161" s="74"/>
      <c r="Q161" s="74"/>
      <c r="R161" s="81"/>
      <c r="S161" s="81"/>
      <c r="T161" s="81"/>
      <c r="U161" s="81"/>
      <c r="V161" s="48"/>
      <c r="W161" s="48"/>
      <c r="X161" s="48"/>
      <c r="Y161" s="48"/>
      <c r="Z161" s="47"/>
      <c r="AA161" s="69"/>
      <c r="AB161" s="69"/>
      <c r="AC161" s="70"/>
      <c r="AD161" t="s">
        <v>5733</v>
      </c>
      <c r="AE161" s="78" t="s">
        <v>6970</v>
      </c>
      <c r="AF161">
        <v>144</v>
      </c>
      <c r="AG161">
        <v>346760</v>
      </c>
      <c r="AH161">
        <v>55025</v>
      </c>
      <c r="AI161">
        <v>91812</v>
      </c>
      <c r="AK161" t="s">
        <v>8131</v>
      </c>
      <c r="AL161" t="s">
        <v>8772</v>
      </c>
      <c r="AM161" s="79" t="str">
        <f>HYPERLINK("https://t.co/NvVkbO3baS")</f>
        <v>https://t.co/NvVkbO3baS</v>
      </c>
      <c r="AO161" s="76">
        <v>39155.832824074074</v>
      </c>
      <c r="AP161" s="79" t="str">
        <f>HYPERLINK("https://pbs.twimg.com/profile_banners/1178011/1665690664")</f>
        <v>https://pbs.twimg.com/profile_banners/1178011/1665690664</v>
      </c>
      <c r="AQ161" t="b">
        <v>0</v>
      </c>
      <c r="AR161" t="b">
        <v>0</v>
      </c>
      <c r="AS161" t="b">
        <v>1</v>
      </c>
      <c r="AU161">
        <v>2797</v>
      </c>
      <c r="AV161" s="79" t="str">
        <f>HYPERLINK("https://abs.twimg.com/images/themes/theme1/bg.png")</f>
        <v>https://abs.twimg.com/images/themes/theme1/bg.png</v>
      </c>
      <c r="AW161" t="b">
        <v>1</v>
      </c>
      <c r="AX161" t="s">
        <v>9303</v>
      </c>
      <c r="AY161" s="79" t="str">
        <f>HYPERLINK("https://twitter.com/wellsfargo")</f>
        <v>https://twitter.com/wellsfargo</v>
      </c>
      <c r="AZ161" t="s">
        <v>65</v>
      </c>
      <c r="BA161" s="2"/>
    </row>
    <row r="162" spans="1:53" x14ac:dyDescent="0.45">
      <c r="A162" s="62" t="s">
        <v>1406</v>
      </c>
      <c r="B162" s="63"/>
      <c r="C162" s="63"/>
      <c r="D162" s="64"/>
      <c r="E162" s="66"/>
      <c r="F162" s="98" t="str">
        <f>HYPERLINK("https://pbs.twimg.com/profile_images/1587453604646031360/uzw5D7N4_normal.jpg")</f>
        <v>https://pbs.twimg.com/profile_images/1587453604646031360/uzw5D7N4_normal.jpg</v>
      </c>
      <c r="G162" s="63"/>
      <c r="H162" s="67"/>
      <c r="I162" s="68"/>
      <c r="J162" s="68"/>
      <c r="K162" s="67" t="s">
        <v>10264</v>
      </c>
      <c r="L162" s="71"/>
      <c r="M162" s="72"/>
      <c r="N162" s="72"/>
      <c r="O162" s="73"/>
      <c r="P162" s="74"/>
      <c r="Q162" s="74"/>
      <c r="R162" s="81"/>
      <c r="S162" s="81"/>
      <c r="T162" s="81"/>
      <c r="U162" s="81"/>
      <c r="V162" s="48"/>
      <c r="W162" s="48"/>
      <c r="X162" s="48"/>
      <c r="Y162" s="48"/>
      <c r="Z162" s="47"/>
      <c r="AA162" s="69"/>
      <c r="AB162" s="69"/>
      <c r="AC162" s="70"/>
      <c r="AD162" t="s">
        <v>5947</v>
      </c>
      <c r="AE162" s="78" t="s">
        <v>7160</v>
      </c>
      <c r="AF162">
        <v>583</v>
      </c>
      <c r="AG162">
        <v>341792</v>
      </c>
      <c r="AH162">
        <v>78254</v>
      </c>
      <c r="AI162">
        <v>13995</v>
      </c>
      <c r="AK162" t="s">
        <v>8325</v>
      </c>
      <c r="AM162" s="79" t="str">
        <f>HYPERLINK("https://t.co/LhvISULhDE")</f>
        <v>https://t.co/LhvISULhDE</v>
      </c>
      <c r="AO162" s="76">
        <v>43032.86986111111</v>
      </c>
      <c r="AP162" s="79" t="str">
        <f>HYPERLINK("https://pbs.twimg.com/profile_banners/922928836836130816/1675261401")</f>
        <v>https://pbs.twimg.com/profile_banners/922928836836130816/1675261401</v>
      </c>
      <c r="AQ162" t="b">
        <v>1</v>
      </c>
      <c r="AR162" t="b">
        <v>0</v>
      </c>
      <c r="AS162" t="b">
        <v>1</v>
      </c>
      <c r="AU162">
        <v>1373</v>
      </c>
      <c r="AW162" t="b">
        <v>1</v>
      </c>
      <c r="AX162" t="s">
        <v>9303</v>
      </c>
      <c r="AY162" s="79" t="str">
        <f>HYPERLINK("https://twitter.com/paramountplus")</f>
        <v>https://twitter.com/paramountplus</v>
      </c>
      <c r="AZ162" t="s">
        <v>65</v>
      </c>
      <c r="BA162" s="2"/>
    </row>
    <row r="163" spans="1:53" x14ac:dyDescent="0.45">
      <c r="A163" s="62" t="s">
        <v>1265</v>
      </c>
      <c r="B163" s="63"/>
      <c r="C163" s="63"/>
      <c r="D163" s="64"/>
      <c r="E163" s="66"/>
      <c r="F163" s="98" t="str">
        <f>HYPERLINK("https://pbs.twimg.com/profile_images/1088838575884550146/ApAxqFLl_normal.jpg")</f>
        <v>https://pbs.twimg.com/profile_images/1088838575884550146/ApAxqFLl_normal.jpg</v>
      </c>
      <c r="G163" s="63"/>
      <c r="H163" s="67"/>
      <c r="I163" s="68"/>
      <c r="J163" s="68"/>
      <c r="K163" s="67" t="s">
        <v>9710</v>
      </c>
      <c r="L163" s="71"/>
      <c r="M163" s="72"/>
      <c r="N163" s="72"/>
      <c r="O163" s="73"/>
      <c r="P163" s="74"/>
      <c r="Q163" s="74"/>
      <c r="R163" s="81"/>
      <c r="S163" s="81"/>
      <c r="T163" s="81"/>
      <c r="U163" s="81"/>
      <c r="V163" s="48"/>
      <c r="W163" s="48"/>
      <c r="X163" s="48"/>
      <c r="Y163" s="48"/>
      <c r="Z163" s="47"/>
      <c r="AA163" s="69"/>
      <c r="AB163" s="69"/>
      <c r="AC163" s="70"/>
      <c r="AD163" t="s">
        <v>5402</v>
      </c>
      <c r="AE163" s="78" t="s">
        <v>6675</v>
      </c>
      <c r="AF163">
        <v>18018</v>
      </c>
      <c r="AG163">
        <v>341667</v>
      </c>
      <c r="AH163">
        <v>128252</v>
      </c>
      <c r="AI163">
        <v>13877</v>
      </c>
      <c r="AK163" t="s">
        <v>7842</v>
      </c>
      <c r="AL163" t="s">
        <v>8881</v>
      </c>
      <c r="AM163" s="79" t="str">
        <f>HYPERLINK("https://t.co/MaVRHcDQHH")</f>
        <v>https://t.co/MaVRHcDQHH</v>
      </c>
      <c r="AO163" s="76">
        <v>40211.784930555557</v>
      </c>
      <c r="AP163" s="79" t="str">
        <f>HYPERLINK("https://pbs.twimg.com/profile_banners/110775353/1670881601")</f>
        <v>https://pbs.twimg.com/profile_banners/110775353/1670881601</v>
      </c>
      <c r="AQ163" t="b">
        <v>0</v>
      </c>
      <c r="AR163" t="b">
        <v>0</v>
      </c>
      <c r="AS163" t="b">
        <v>0</v>
      </c>
      <c r="AU163">
        <v>2059</v>
      </c>
      <c r="AV163" s="79" t="str">
        <f t="shared" ref="AV163:AV168" si="4">HYPERLINK("https://abs.twimg.com/images/themes/theme1/bg.png")</f>
        <v>https://abs.twimg.com/images/themes/theme1/bg.png</v>
      </c>
      <c r="AW163" t="b">
        <v>1</v>
      </c>
      <c r="AX163" t="s">
        <v>9303</v>
      </c>
      <c r="AY163" s="79" t="str">
        <f>HYPERLINK("https://twitter.com/cvspharmacy")</f>
        <v>https://twitter.com/cvspharmacy</v>
      </c>
      <c r="AZ163" t="s">
        <v>65</v>
      </c>
      <c r="BA163" s="2"/>
    </row>
    <row r="164" spans="1:53" x14ac:dyDescent="0.45">
      <c r="A164" s="62" t="s">
        <v>1223</v>
      </c>
      <c r="B164" s="63"/>
      <c r="C164" s="63"/>
      <c r="D164" s="64"/>
      <c r="E164" s="66"/>
      <c r="F164" s="98" t="str">
        <f>HYPERLINK("https://pbs.twimg.com/profile_images/902558084064616448/YTOCYYnn_normal.jpg")</f>
        <v>https://pbs.twimg.com/profile_images/902558084064616448/YTOCYYnn_normal.jpg</v>
      </c>
      <c r="G164" s="63"/>
      <c r="H164" s="67"/>
      <c r="I164" s="68"/>
      <c r="J164" s="68"/>
      <c r="K164" s="67" t="s">
        <v>9548</v>
      </c>
      <c r="L164" s="71"/>
      <c r="M164" s="72"/>
      <c r="N164" s="72"/>
      <c r="O164" s="73"/>
      <c r="P164" s="74"/>
      <c r="Q164" s="74"/>
      <c r="R164" s="81"/>
      <c r="S164" s="81"/>
      <c r="T164" s="81"/>
      <c r="U164" s="81"/>
      <c r="V164" s="48"/>
      <c r="W164" s="48"/>
      <c r="X164" s="48"/>
      <c r="Y164" s="48"/>
      <c r="Z164" s="47"/>
      <c r="AA164" s="69"/>
      <c r="AB164" s="69"/>
      <c r="AC164" s="70"/>
      <c r="AD164" t="s">
        <v>5241</v>
      </c>
      <c r="AE164" s="78" t="s">
        <v>6524</v>
      </c>
      <c r="AF164">
        <v>276</v>
      </c>
      <c r="AG164">
        <v>337201</v>
      </c>
      <c r="AH164">
        <v>7302</v>
      </c>
      <c r="AI164">
        <v>608</v>
      </c>
      <c r="AK164" t="s">
        <v>7709</v>
      </c>
      <c r="AM164" s="79" t="str">
        <f>HYPERLINK("https://t.co/4zuwrHTd1I")</f>
        <v>https://t.co/4zuwrHTd1I</v>
      </c>
      <c r="AO164" s="76">
        <v>39933.575972222221</v>
      </c>
      <c r="AP164" s="79" t="str">
        <f>HYPERLINK("https://pbs.twimg.com/profile_banners/36665547/1673034843")</f>
        <v>https://pbs.twimg.com/profile_banners/36665547/1673034843</v>
      </c>
      <c r="AQ164" t="b">
        <v>0</v>
      </c>
      <c r="AR164" t="b">
        <v>0</v>
      </c>
      <c r="AS164" t="b">
        <v>1</v>
      </c>
      <c r="AU164">
        <v>2733</v>
      </c>
      <c r="AV164" s="79" t="str">
        <f t="shared" si="4"/>
        <v>https://abs.twimg.com/images/themes/theme1/bg.png</v>
      </c>
      <c r="AW164" t="b">
        <v>1</v>
      </c>
      <c r="AX164" t="s">
        <v>9303</v>
      </c>
      <c r="AY164" s="79" t="str">
        <f>HYPERLINK("https://twitter.com/exxonmobil")</f>
        <v>https://twitter.com/exxonmobil</v>
      </c>
      <c r="AZ164" t="s">
        <v>65</v>
      </c>
      <c r="BA164" s="2"/>
    </row>
    <row r="165" spans="1:53" x14ac:dyDescent="0.45">
      <c r="A165" s="62" t="s">
        <v>1288</v>
      </c>
      <c r="B165" s="63"/>
      <c r="C165" s="63"/>
      <c r="D165" s="64"/>
      <c r="E165" s="66"/>
      <c r="F165" s="98" t="str">
        <f>HYPERLINK("https://pbs.twimg.com/profile_images/1610327040606994432/d5NfjRzZ_normal.png")</f>
        <v>https://pbs.twimg.com/profile_images/1610327040606994432/d5NfjRzZ_normal.png</v>
      </c>
      <c r="G165" s="63"/>
      <c r="H165" s="67"/>
      <c r="I165" s="68"/>
      <c r="J165" s="68"/>
      <c r="K165" s="67" t="s">
        <v>9797</v>
      </c>
      <c r="L165" s="71"/>
      <c r="M165" s="72"/>
      <c r="N165" s="72"/>
      <c r="O165" s="73"/>
      <c r="P165" s="74"/>
      <c r="Q165" s="74"/>
      <c r="R165" s="81"/>
      <c r="S165" s="81"/>
      <c r="T165" s="81"/>
      <c r="U165" s="81"/>
      <c r="V165" s="48"/>
      <c r="W165" s="48"/>
      <c r="X165" s="48"/>
      <c r="Y165" s="48"/>
      <c r="Z165" s="47"/>
      <c r="AA165" s="69"/>
      <c r="AB165" s="69"/>
      <c r="AC165" s="70"/>
      <c r="AD165" t="s">
        <v>5488</v>
      </c>
      <c r="AE165" s="78" t="s">
        <v>6746</v>
      </c>
      <c r="AF165">
        <v>16647</v>
      </c>
      <c r="AG165">
        <v>325644</v>
      </c>
      <c r="AH165">
        <v>22866</v>
      </c>
      <c r="AI165">
        <v>16561</v>
      </c>
      <c r="AK165" t="s">
        <v>7918</v>
      </c>
      <c r="AL165" t="s">
        <v>8924</v>
      </c>
      <c r="AM165" s="79" t="str">
        <f>HYPERLINK("https://t.co/f7LJgXrG3X")</f>
        <v>https://t.co/f7LJgXrG3X</v>
      </c>
      <c r="AO165" s="76">
        <v>40287.785000000003</v>
      </c>
      <c r="AP165" s="79" t="str">
        <f>HYPERLINK("https://pbs.twimg.com/profile_banners/134887156/1672766998")</f>
        <v>https://pbs.twimg.com/profile_banners/134887156/1672766998</v>
      </c>
      <c r="AQ165" t="b">
        <v>0</v>
      </c>
      <c r="AR165" t="b">
        <v>0</v>
      </c>
      <c r="AS165" t="b">
        <v>1</v>
      </c>
      <c r="AU165">
        <v>1571</v>
      </c>
      <c r="AV165" s="79" t="str">
        <f t="shared" si="4"/>
        <v>https://abs.twimg.com/images/themes/theme1/bg.png</v>
      </c>
      <c r="AW165" t="b">
        <v>1</v>
      </c>
      <c r="AX165" t="s">
        <v>9303</v>
      </c>
      <c r="AY165" s="79" t="str">
        <f>HYPERLINK("https://twitter.com/fedex")</f>
        <v>https://twitter.com/fedex</v>
      </c>
      <c r="AZ165" t="s">
        <v>65</v>
      </c>
      <c r="BA165" s="2"/>
    </row>
    <row r="166" spans="1:53" x14ac:dyDescent="0.45">
      <c r="A166" s="62" t="s">
        <v>1219</v>
      </c>
      <c r="B166" s="63"/>
      <c r="C166" s="63"/>
      <c r="D166" s="64"/>
      <c r="E166" s="66"/>
      <c r="F166" s="98" t="str">
        <f>HYPERLINK("https://pbs.twimg.com/profile_images/1341116963871977477/oQ2Qv_Mn_normal.jpg")</f>
        <v>https://pbs.twimg.com/profile_images/1341116963871977477/oQ2Qv_Mn_normal.jpg</v>
      </c>
      <c r="G166" s="63"/>
      <c r="H166" s="67"/>
      <c r="I166" s="68"/>
      <c r="J166" s="68"/>
      <c r="K166" s="67" t="s">
        <v>9540</v>
      </c>
      <c r="L166" s="71"/>
      <c r="M166" s="72"/>
      <c r="N166" s="72"/>
      <c r="O166" s="73"/>
      <c r="P166" s="74"/>
      <c r="Q166" s="74"/>
      <c r="R166" s="81"/>
      <c r="S166" s="81"/>
      <c r="T166" s="81"/>
      <c r="U166" s="81"/>
      <c r="V166" s="48"/>
      <c r="W166" s="48"/>
      <c r="X166" s="48"/>
      <c r="Y166" s="48"/>
      <c r="Z166" s="47"/>
      <c r="AA166" s="69"/>
      <c r="AB166" s="69"/>
      <c r="AC166" s="70"/>
      <c r="AD166" t="s">
        <v>5233</v>
      </c>
      <c r="AE166" s="78" t="s">
        <v>6518</v>
      </c>
      <c r="AF166">
        <v>0</v>
      </c>
      <c r="AG166">
        <v>324366</v>
      </c>
      <c r="AH166">
        <v>4757</v>
      </c>
      <c r="AI166">
        <v>0</v>
      </c>
      <c r="AK166" t="s">
        <v>7701</v>
      </c>
      <c r="AM166" s="79" t="str">
        <f>HYPERLINK("http://t.co/jryePa0UNf")</f>
        <v>http://t.co/jryePa0UNf</v>
      </c>
      <c r="AO166" s="76">
        <v>40032.610138888886</v>
      </c>
      <c r="AP166" s="79" t="str">
        <f>HYPERLINK("https://pbs.twimg.com/profile_banners/63737212/1526304441")</f>
        <v>https://pbs.twimg.com/profile_banners/63737212/1526304441</v>
      </c>
      <c r="AQ166" t="b">
        <v>0</v>
      </c>
      <c r="AR166" t="b">
        <v>0</v>
      </c>
      <c r="AS166" t="b">
        <v>0</v>
      </c>
      <c r="AU166">
        <v>2953</v>
      </c>
      <c r="AV166" s="79" t="str">
        <f t="shared" si="4"/>
        <v>https://abs.twimg.com/images/themes/theme1/bg.png</v>
      </c>
      <c r="AW166" t="b">
        <v>0</v>
      </c>
      <c r="AX166" t="s">
        <v>9303</v>
      </c>
      <c r="AY166" s="79" t="str">
        <f>HYPERLINK("https://twitter.com/targetdeals")</f>
        <v>https://twitter.com/targetdeals</v>
      </c>
      <c r="AZ166" t="s">
        <v>65</v>
      </c>
      <c r="BA166" s="2"/>
    </row>
    <row r="167" spans="1:53" x14ac:dyDescent="0.45">
      <c r="A167" s="62" t="s">
        <v>1530</v>
      </c>
      <c r="B167" s="63"/>
      <c r="C167" s="63"/>
      <c r="D167" s="64"/>
      <c r="E167" s="66"/>
      <c r="F167" s="98" t="str">
        <f>HYPERLINK("https://pbs.twimg.com/profile_images/1610278124968615936/KcZX_Frc_normal.jpg")</f>
        <v>https://pbs.twimg.com/profile_images/1610278124968615936/KcZX_Frc_normal.jpg</v>
      </c>
      <c r="G167" s="63"/>
      <c r="H167" s="67"/>
      <c r="I167" s="68"/>
      <c r="J167" s="68"/>
      <c r="K167" s="67" t="s">
        <v>10567</v>
      </c>
      <c r="L167" s="71"/>
      <c r="M167" s="72"/>
      <c r="N167" s="72"/>
      <c r="O167" s="73"/>
      <c r="P167" s="74"/>
      <c r="Q167" s="74"/>
      <c r="R167" s="81"/>
      <c r="S167" s="81"/>
      <c r="T167" s="81"/>
      <c r="U167" s="81"/>
      <c r="V167" s="48"/>
      <c r="W167" s="48"/>
      <c r="X167" s="48"/>
      <c r="Y167" s="48"/>
      <c r="Z167" s="47"/>
      <c r="AA167" s="69"/>
      <c r="AB167" s="69"/>
      <c r="AC167" s="70"/>
      <c r="AD167" t="s">
        <v>6245</v>
      </c>
      <c r="AE167" s="78" t="s">
        <v>7418</v>
      </c>
      <c r="AF167">
        <v>393</v>
      </c>
      <c r="AG167">
        <v>306151</v>
      </c>
      <c r="AH167">
        <v>33870</v>
      </c>
      <c r="AI167">
        <v>14556</v>
      </c>
      <c r="AK167" t="s">
        <v>8592</v>
      </c>
      <c r="AL167" t="s">
        <v>9263</v>
      </c>
      <c r="AM167" s="79" t="str">
        <f>HYPERLINK("https://t.co/koKcYZehZh")</f>
        <v>https://t.co/koKcYZehZh</v>
      </c>
      <c r="AO167" s="76">
        <v>39566.746666666666</v>
      </c>
      <c r="AP167" s="79" t="str">
        <f>HYPERLINK("https://pbs.twimg.com/profile_banners/14572574/1672755198")</f>
        <v>https://pbs.twimg.com/profile_banners/14572574/1672755198</v>
      </c>
      <c r="AQ167" t="b">
        <v>0</v>
      </c>
      <c r="AR167" t="b">
        <v>0</v>
      </c>
      <c r="AS167" t="b">
        <v>0</v>
      </c>
      <c r="AU167">
        <v>1303</v>
      </c>
      <c r="AV167" s="79" t="str">
        <f t="shared" si="4"/>
        <v>https://abs.twimg.com/images/themes/theme1/bg.png</v>
      </c>
      <c r="AW167" t="b">
        <v>1</v>
      </c>
      <c r="AX167" t="s">
        <v>9303</v>
      </c>
      <c r="AY167" s="79" t="str">
        <f>HYPERLINK("https://twitter.com/rightstufanime")</f>
        <v>https://twitter.com/rightstufanime</v>
      </c>
      <c r="AZ167" t="s">
        <v>65</v>
      </c>
      <c r="BA167" s="2"/>
    </row>
    <row r="168" spans="1:53" x14ac:dyDescent="0.45">
      <c r="A168" s="62" t="s">
        <v>565</v>
      </c>
      <c r="B168" s="63"/>
      <c r="C168" s="63"/>
      <c r="D168" s="64"/>
      <c r="E168" s="66"/>
      <c r="F168" s="98" t="str">
        <f>HYPERLINK("https://pbs.twimg.com/profile_images/1531472754486259721/cfl6HUyC_normal.jpg")</f>
        <v>https://pbs.twimg.com/profile_images/1531472754486259721/cfl6HUyC_normal.jpg</v>
      </c>
      <c r="G168" s="63"/>
      <c r="H168" s="67"/>
      <c r="I168" s="68"/>
      <c r="J168" s="68"/>
      <c r="K168" s="67" t="s">
        <v>9863</v>
      </c>
      <c r="L168" s="71"/>
      <c r="M168" s="72"/>
      <c r="N168" s="72"/>
      <c r="O168" s="73"/>
      <c r="P168" s="74"/>
      <c r="Q168" s="74"/>
      <c r="R168" s="81"/>
      <c r="S168" s="81"/>
      <c r="T168" s="81"/>
      <c r="U168" s="81"/>
      <c r="V168" s="48"/>
      <c r="W168" s="48"/>
      <c r="X168" s="48"/>
      <c r="Y168" s="48"/>
      <c r="Z168" s="47"/>
      <c r="AA168" s="69"/>
      <c r="AB168" s="69"/>
      <c r="AC168" s="70"/>
      <c r="AD168" t="s">
        <v>5554</v>
      </c>
      <c r="AE168" s="78" t="s">
        <v>6802</v>
      </c>
      <c r="AF168">
        <v>7293</v>
      </c>
      <c r="AG168">
        <v>301343</v>
      </c>
      <c r="AH168">
        <v>357008</v>
      </c>
      <c r="AI168">
        <v>3142</v>
      </c>
      <c r="AK168" t="s">
        <v>7977</v>
      </c>
      <c r="AL168" t="s">
        <v>8956</v>
      </c>
      <c r="AM168" s="79" t="str">
        <f>HYPERLINK("https://t.co/VKainUO9L2")</f>
        <v>https://t.co/VKainUO9L2</v>
      </c>
      <c r="AO168" s="76">
        <v>39729.038622685184</v>
      </c>
      <c r="AP168" s="79" t="str">
        <f>HYPERLINK("https://pbs.twimg.com/profile_banners/16640775/1668089381")</f>
        <v>https://pbs.twimg.com/profile_banners/16640775/1668089381</v>
      </c>
      <c r="AQ168" t="b">
        <v>0</v>
      </c>
      <c r="AR168" t="b">
        <v>0</v>
      </c>
      <c r="AS168" t="b">
        <v>0</v>
      </c>
      <c r="AU168">
        <v>1952</v>
      </c>
      <c r="AV168" s="79" t="str">
        <f t="shared" si="4"/>
        <v>https://abs.twimg.com/images/themes/theme1/bg.png</v>
      </c>
      <c r="AW168" t="b">
        <v>1</v>
      </c>
      <c r="AX168" t="s">
        <v>9303</v>
      </c>
      <c r="AY168" s="79" t="str">
        <f>HYPERLINK("https://twitter.com/wthrcom")</f>
        <v>https://twitter.com/wthrcom</v>
      </c>
      <c r="AZ168" t="s">
        <v>66</v>
      </c>
      <c r="BA168" s="2"/>
    </row>
    <row r="169" spans="1:53" x14ac:dyDescent="0.45">
      <c r="A169" s="62" t="s">
        <v>1194</v>
      </c>
      <c r="B169" s="63"/>
      <c r="C169" s="63"/>
      <c r="D169" s="64"/>
      <c r="E169" s="66"/>
      <c r="F169" s="98" t="str">
        <f>HYPERLINK("https://pbs.twimg.com/profile_images/1427348517165703170/jCmq6N7r_normal.jpg")</f>
        <v>https://pbs.twimg.com/profile_images/1427348517165703170/jCmq6N7r_normal.jpg</v>
      </c>
      <c r="G169" s="63"/>
      <c r="H169" s="67"/>
      <c r="I169" s="68"/>
      <c r="J169" s="68"/>
      <c r="K169" s="67" t="s">
        <v>9485</v>
      </c>
      <c r="L169" s="71"/>
      <c r="M169" s="72"/>
      <c r="N169" s="72"/>
      <c r="O169" s="73"/>
      <c r="P169" s="74"/>
      <c r="Q169" s="74"/>
      <c r="R169" s="81"/>
      <c r="S169" s="81"/>
      <c r="T169" s="81"/>
      <c r="U169" s="81"/>
      <c r="V169" s="48"/>
      <c r="W169" s="48"/>
      <c r="X169" s="48"/>
      <c r="Y169" s="48"/>
      <c r="Z169" s="47"/>
      <c r="AA169" s="69"/>
      <c r="AB169" s="69"/>
      <c r="AC169" s="70"/>
      <c r="AD169" t="s">
        <v>5179</v>
      </c>
      <c r="AE169" s="78" t="s">
        <v>6475</v>
      </c>
      <c r="AF169">
        <v>11695</v>
      </c>
      <c r="AG169">
        <v>300181</v>
      </c>
      <c r="AH169">
        <v>195732</v>
      </c>
      <c r="AI169">
        <v>13699</v>
      </c>
      <c r="AK169" t="s">
        <v>7650</v>
      </c>
      <c r="AL169" t="s">
        <v>8775</v>
      </c>
      <c r="AM169" s="79" t="str">
        <f>HYPERLINK("https://t.co/jxCzAAU7xo")</f>
        <v>https://t.co/jxCzAAU7xo</v>
      </c>
      <c r="AO169" s="76">
        <v>39835.527083333334</v>
      </c>
      <c r="AP169" s="79" t="str">
        <f>HYPERLINK("https://pbs.twimg.com/profile_banners/19336500/1647867014")</f>
        <v>https://pbs.twimg.com/profile_banners/19336500/1647867014</v>
      </c>
      <c r="AQ169" t="b">
        <v>0</v>
      </c>
      <c r="AR169" t="b">
        <v>0</v>
      </c>
      <c r="AS169" t="b">
        <v>0</v>
      </c>
      <c r="AU169">
        <v>2496</v>
      </c>
      <c r="AV169" s="79" t="str">
        <f>HYPERLINK("https://abs.twimg.com/images/themes/theme7/bg.gif")</f>
        <v>https://abs.twimg.com/images/themes/theme7/bg.gif</v>
      </c>
      <c r="AW169" t="b">
        <v>1</v>
      </c>
      <c r="AX169" t="s">
        <v>9303</v>
      </c>
      <c r="AY169" s="79" t="str">
        <f>HYPERLINK("https://twitter.com/lowes")</f>
        <v>https://twitter.com/lowes</v>
      </c>
      <c r="AZ169" t="s">
        <v>65</v>
      </c>
      <c r="BA169" s="2"/>
    </row>
    <row r="170" spans="1:53" x14ac:dyDescent="0.45">
      <c r="A170" s="62" t="s">
        <v>1396</v>
      </c>
      <c r="B170" s="63"/>
      <c r="C170" s="63"/>
      <c r="D170" s="64"/>
      <c r="E170" s="66"/>
      <c r="F170" s="98" t="str">
        <f>HYPERLINK("https://pbs.twimg.com/profile_images/1408270176756318208/ugP4HWTE_normal.jpg")</f>
        <v>https://pbs.twimg.com/profile_images/1408270176756318208/ugP4HWTE_normal.jpg</v>
      </c>
      <c r="G170" s="63"/>
      <c r="H170" s="67"/>
      <c r="I170" s="68"/>
      <c r="J170" s="68"/>
      <c r="K170" s="67" t="s">
        <v>10217</v>
      </c>
      <c r="L170" s="71"/>
      <c r="M170" s="72"/>
      <c r="N170" s="72"/>
      <c r="O170" s="73"/>
      <c r="P170" s="74"/>
      <c r="Q170" s="74"/>
      <c r="R170" s="81"/>
      <c r="S170" s="81"/>
      <c r="T170" s="81"/>
      <c r="U170" s="81"/>
      <c r="V170" s="48"/>
      <c r="W170" s="48"/>
      <c r="X170" s="48"/>
      <c r="Y170" s="48"/>
      <c r="Z170" s="47"/>
      <c r="AA170" s="69"/>
      <c r="AB170" s="69"/>
      <c r="AC170" s="70"/>
      <c r="AD170" t="s">
        <v>5901</v>
      </c>
      <c r="AE170" s="78" t="s">
        <v>7120</v>
      </c>
      <c r="AF170">
        <v>177</v>
      </c>
      <c r="AG170">
        <v>300115</v>
      </c>
      <c r="AH170">
        <v>7765</v>
      </c>
      <c r="AI170">
        <v>661</v>
      </c>
      <c r="AK170" t="s">
        <v>8284</v>
      </c>
      <c r="AL170" t="s">
        <v>9128</v>
      </c>
      <c r="AM170" s="79" t="str">
        <f>HYPERLINK("https://t.co/xNttQ0mOMq")</f>
        <v>https://t.co/xNttQ0mOMq</v>
      </c>
      <c r="AO170" s="76">
        <v>39945.725474537037</v>
      </c>
      <c r="AP170" s="79" t="str">
        <f>HYPERLINK("https://pbs.twimg.com/profile_banners/39547342/1668959696")</f>
        <v>https://pbs.twimg.com/profile_banners/39547342/1668959696</v>
      </c>
      <c r="AQ170" t="b">
        <v>1</v>
      </c>
      <c r="AR170" t="b">
        <v>0</v>
      </c>
      <c r="AS170" t="b">
        <v>0</v>
      </c>
      <c r="AU170">
        <v>1420</v>
      </c>
      <c r="AV170" s="79" t="str">
        <f>HYPERLINK("https://abs.twimg.com/images/themes/theme1/bg.png")</f>
        <v>https://abs.twimg.com/images/themes/theme1/bg.png</v>
      </c>
      <c r="AW170" t="b">
        <v>1</v>
      </c>
      <c r="AX170" t="s">
        <v>9303</v>
      </c>
      <c r="AY170" s="79" t="str">
        <f>HYPERLINK("https://twitter.com/mdmteddibiase")</f>
        <v>https://twitter.com/mdmteddibiase</v>
      </c>
      <c r="AZ170" t="s">
        <v>65</v>
      </c>
      <c r="BA170" s="2"/>
    </row>
    <row r="171" spans="1:53" x14ac:dyDescent="0.45">
      <c r="A171" s="62" t="s">
        <v>1182</v>
      </c>
      <c r="B171" s="63"/>
      <c r="C171" s="63"/>
      <c r="D171" s="64"/>
      <c r="E171" s="66"/>
      <c r="F171" s="98" t="str">
        <f>HYPERLINK("https://pbs.twimg.com/profile_images/1597362395789377537/n7b_RXaS_normal.png")</f>
        <v>https://pbs.twimg.com/profile_images/1597362395789377537/n7b_RXaS_normal.png</v>
      </c>
      <c r="G171" s="63"/>
      <c r="H171" s="67"/>
      <c r="I171" s="68"/>
      <c r="J171" s="68"/>
      <c r="K171" s="67" t="s">
        <v>9465</v>
      </c>
      <c r="L171" s="71"/>
      <c r="M171" s="72"/>
      <c r="N171" s="72"/>
      <c r="O171" s="73"/>
      <c r="P171" s="74"/>
      <c r="Q171" s="74"/>
      <c r="R171" s="81"/>
      <c r="S171" s="81"/>
      <c r="T171" s="81"/>
      <c r="U171" s="81"/>
      <c r="V171" s="48"/>
      <c r="W171" s="48"/>
      <c r="X171" s="48"/>
      <c r="Y171" s="48"/>
      <c r="Z171" s="47"/>
      <c r="AA171" s="69"/>
      <c r="AB171" s="69"/>
      <c r="AC171" s="70"/>
      <c r="AD171" t="s">
        <v>5159</v>
      </c>
      <c r="AE171" s="78" t="s">
        <v>6460</v>
      </c>
      <c r="AF171">
        <v>2376</v>
      </c>
      <c r="AG171">
        <v>299861</v>
      </c>
      <c r="AH171">
        <v>43791</v>
      </c>
      <c r="AI171">
        <v>53839</v>
      </c>
      <c r="AK171" t="s">
        <v>7631</v>
      </c>
      <c r="AL171" t="s">
        <v>8719</v>
      </c>
      <c r="AM171" s="79" t="str">
        <f>HYPERLINK("https://t.co/0CmkUdiSlS")</f>
        <v>https://t.co/0CmkUdiSlS</v>
      </c>
      <c r="AO171" s="76">
        <v>39919.907083333332</v>
      </c>
      <c r="AP171" s="79" t="str">
        <f>HYPERLINK("https://pbs.twimg.com/profile_banners/32166535/1669917966")</f>
        <v>https://pbs.twimg.com/profile_banners/32166535/1669917966</v>
      </c>
      <c r="AQ171" t="b">
        <v>0</v>
      </c>
      <c r="AR171" t="b">
        <v>0</v>
      </c>
      <c r="AS171" t="b">
        <v>1</v>
      </c>
      <c r="AU171">
        <v>3751</v>
      </c>
      <c r="AV171" s="79" t="str">
        <f>HYPERLINK("https://abs.twimg.com/images/themes/theme1/bg.png")</f>
        <v>https://abs.twimg.com/images/themes/theme1/bg.png</v>
      </c>
      <c r="AW171" t="b">
        <v>1</v>
      </c>
      <c r="AX171" t="s">
        <v>9303</v>
      </c>
      <c r="AY171" s="79" t="str">
        <f>HYPERLINK("https://twitter.com/bnbuzz")</f>
        <v>https://twitter.com/bnbuzz</v>
      </c>
      <c r="AZ171" t="s">
        <v>65</v>
      </c>
      <c r="BA171" s="2"/>
    </row>
    <row r="172" spans="1:53" x14ac:dyDescent="0.45">
      <c r="A172" s="62" t="s">
        <v>1325</v>
      </c>
      <c r="B172" s="63"/>
      <c r="C172" s="63"/>
      <c r="D172" s="64"/>
      <c r="E172" s="66"/>
      <c r="F172" s="98" t="str">
        <f>HYPERLINK("https://pbs.twimg.com/profile_images/1614979834798608384/BHxd231y_normal.jpg")</f>
        <v>https://pbs.twimg.com/profile_images/1614979834798608384/BHxd231y_normal.jpg</v>
      </c>
      <c r="G172" s="63"/>
      <c r="H172" s="67"/>
      <c r="I172" s="68"/>
      <c r="J172" s="68"/>
      <c r="K172" s="67" t="s">
        <v>9979</v>
      </c>
      <c r="L172" s="71"/>
      <c r="M172" s="72"/>
      <c r="N172" s="72"/>
      <c r="O172" s="73"/>
      <c r="P172" s="74"/>
      <c r="Q172" s="74"/>
      <c r="R172" s="81"/>
      <c r="S172" s="81"/>
      <c r="T172" s="81"/>
      <c r="U172" s="81"/>
      <c r="V172" s="48"/>
      <c r="W172" s="48"/>
      <c r="X172" s="48"/>
      <c r="Y172" s="48"/>
      <c r="Z172" s="47"/>
      <c r="AA172" s="69"/>
      <c r="AB172" s="69"/>
      <c r="AC172" s="70"/>
      <c r="AD172" t="s">
        <v>5670</v>
      </c>
      <c r="AE172" s="78" t="s">
        <v>6912</v>
      </c>
      <c r="AF172">
        <v>1545</v>
      </c>
      <c r="AG172">
        <v>299403</v>
      </c>
      <c r="AH172">
        <v>59919</v>
      </c>
      <c r="AI172">
        <v>5055</v>
      </c>
      <c r="AK172" t="s">
        <v>8079</v>
      </c>
      <c r="AL172" t="s">
        <v>9023</v>
      </c>
      <c r="AM172" s="79" t="str">
        <f>HYPERLINK("https://t.co/IxDuhuHPpj")</f>
        <v>https://t.co/IxDuhuHPpj</v>
      </c>
      <c r="AO172" s="76">
        <v>39763.61922453704</v>
      </c>
      <c r="AP172" s="79" t="str">
        <f>HYPERLINK("https://pbs.twimg.com/profile_banners/17310934/1675243192")</f>
        <v>https://pbs.twimg.com/profile_banners/17310934/1675243192</v>
      </c>
      <c r="AQ172" t="b">
        <v>0</v>
      </c>
      <c r="AR172" t="b">
        <v>0</v>
      </c>
      <c r="AS172" t="b">
        <v>1</v>
      </c>
      <c r="AU172">
        <v>2612</v>
      </c>
      <c r="AV172" s="79" t="str">
        <f>HYPERLINK("https://abs.twimg.com/images/themes/theme13/bg.gif")</f>
        <v>https://abs.twimg.com/images/themes/theme13/bg.gif</v>
      </c>
      <c r="AW172" t="b">
        <v>1</v>
      </c>
      <c r="AX172" t="s">
        <v>9303</v>
      </c>
      <c r="AY172" s="79" t="str">
        <f>HYPERLINK("https://twitter.com/waterstones")</f>
        <v>https://twitter.com/waterstones</v>
      </c>
      <c r="AZ172" t="s">
        <v>65</v>
      </c>
      <c r="BA172" s="2"/>
    </row>
    <row r="173" spans="1:53" x14ac:dyDescent="0.45">
      <c r="A173" s="62" t="s">
        <v>1242</v>
      </c>
      <c r="B173" s="63"/>
      <c r="C173" s="63"/>
      <c r="D173" s="64"/>
      <c r="E173" s="66"/>
      <c r="F173" s="98" t="str">
        <f>HYPERLINK("https://pbs.twimg.com/profile_images/1131606709313712129/H5XKewbN_normal.png")</f>
        <v>https://pbs.twimg.com/profile_images/1131606709313712129/H5XKewbN_normal.png</v>
      </c>
      <c r="G173" s="63"/>
      <c r="H173" s="67"/>
      <c r="I173" s="68"/>
      <c r="J173" s="68"/>
      <c r="K173" s="67" t="s">
        <v>9595</v>
      </c>
      <c r="L173" s="71"/>
      <c r="M173" s="72"/>
      <c r="N173" s="72"/>
      <c r="O173" s="73"/>
      <c r="P173" s="74"/>
      <c r="Q173" s="74"/>
      <c r="R173" s="81"/>
      <c r="S173" s="81"/>
      <c r="T173" s="81"/>
      <c r="U173" s="81"/>
      <c r="V173" s="48"/>
      <c r="W173" s="48"/>
      <c r="X173" s="48"/>
      <c r="Y173" s="48"/>
      <c r="Z173" s="47"/>
      <c r="AA173" s="69"/>
      <c r="AB173" s="69"/>
      <c r="AC173" s="70"/>
      <c r="AD173" t="s">
        <v>5288</v>
      </c>
      <c r="AE173" s="78" t="s">
        <v>6566</v>
      </c>
      <c r="AF173">
        <v>224</v>
      </c>
      <c r="AG173">
        <v>297816</v>
      </c>
      <c r="AH173">
        <v>125766</v>
      </c>
      <c r="AI173">
        <v>21234</v>
      </c>
      <c r="AK173" t="s">
        <v>7746</v>
      </c>
      <c r="AL173" t="s">
        <v>8829</v>
      </c>
      <c r="AM173" s="79" t="str">
        <f>HYPERLINK("https://t.co/IYDDKwDLDq")</f>
        <v>https://t.co/IYDDKwDLDq</v>
      </c>
      <c r="AO173" s="76">
        <v>39884.645567129628</v>
      </c>
      <c r="AP173" s="79" t="str">
        <f>HYPERLINK("https://pbs.twimg.com/profile_banners/23967651/1590072051")</f>
        <v>https://pbs.twimg.com/profile_banners/23967651/1590072051</v>
      </c>
      <c r="AQ173" t="b">
        <v>0</v>
      </c>
      <c r="AR173" t="b">
        <v>0</v>
      </c>
      <c r="AS173" t="b">
        <v>1</v>
      </c>
      <c r="AU173">
        <v>1025</v>
      </c>
      <c r="AV173" s="79" t="str">
        <f>HYPERLINK("https://abs.twimg.com/images/themes/theme1/bg.png")</f>
        <v>https://abs.twimg.com/images/themes/theme1/bg.png</v>
      </c>
      <c r="AW173" t="b">
        <v>1</v>
      </c>
      <c r="AX173" t="s">
        <v>9303</v>
      </c>
      <c r="AY173" s="79" t="str">
        <f>HYPERLINK("https://twitter.com/heb")</f>
        <v>https://twitter.com/heb</v>
      </c>
      <c r="AZ173" t="s">
        <v>65</v>
      </c>
      <c r="BA173" s="2"/>
    </row>
    <row r="174" spans="1:53" x14ac:dyDescent="0.45">
      <c r="A174" s="62" t="s">
        <v>1363</v>
      </c>
      <c r="B174" s="63"/>
      <c r="C174" s="63"/>
      <c r="D174" s="64"/>
      <c r="E174" s="66"/>
      <c r="F174" s="98" t="str">
        <f>HYPERLINK("https://pbs.twimg.com/profile_images/1192092116199059458/bM7PHPRb_normal.jpg")</f>
        <v>https://pbs.twimg.com/profile_images/1192092116199059458/bM7PHPRb_normal.jpg</v>
      </c>
      <c r="G174" s="63"/>
      <c r="H174" s="67"/>
      <c r="I174" s="68"/>
      <c r="J174" s="68"/>
      <c r="K174" s="67" t="s">
        <v>10125</v>
      </c>
      <c r="L174" s="71"/>
      <c r="M174" s="72"/>
      <c r="N174" s="72"/>
      <c r="O174" s="73"/>
      <c r="P174" s="74"/>
      <c r="Q174" s="74"/>
      <c r="R174" s="81"/>
      <c r="S174" s="81"/>
      <c r="T174" s="81"/>
      <c r="U174" s="81"/>
      <c r="V174" s="48"/>
      <c r="W174" s="48"/>
      <c r="X174" s="48"/>
      <c r="Y174" s="48"/>
      <c r="Z174" s="47"/>
      <c r="AA174" s="69"/>
      <c r="AB174" s="69"/>
      <c r="AC174" s="70"/>
      <c r="AD174" t="s">
        <v>5813</v>
      </c>
      <c r="AE174" s="78" t="s">
        <v>7042</v>
      </c>
      <c r="AF174">
        <v>3139</v>
      </c>
      <c r="AG174">
        <v>290709</v>
      </c>
      <c r="AH174">
        <v>38351</v>
      </c>
      <c r="AI174">
        <v>48760</v>
      </c>
      <c r="AK174" t="s">
        <v>8207</v>
      </c>
      <c r="AL174" t="s">
        <v>8692</v>
      </c>
      <c r="AM174" s="79" t="str">
        <f>HYPERLINK("https://t.co/qt7pHqWI4i")</f>
        <v>https://t.co/qt7pHqWI4i</v>
      </c>
      <c r="AO174" s="76">
        <v>40245.816886574074</v>
      </c>
      <c r="AP174" s="79" t="str">
        <f>HYPERLINK("https://pbs.twimg.com/profile_banners/121207255/1573051884")</f>
        <v>https://pbs.twimg.com/profile_banners/121207255/1573051884</v>
      </c>
      <c r="AQ174" t="b">
        <v>0</v>
      </c>
      <c r="AR174" t="b">
        <v>0</v>
      </c>
      <c r="AS174" t="b">
        <v>1</v>
      </c>
      <c r="AU174">
        <v>154</v>
      </c>
      <c r="AV174" s="79" t="str">
        <f>HYPERLINK("https://abs.twimg.com/images/themes/theme14/bg.gif")</f>
        <v>https://abs.twimg.com/images/themes/theme14/bg.gif</v>
      </c>
      <c r="AW174" t="b">
        <v>1</v>
      </c>
      <c r="AX174" t="s">
        <v>9303</v>
      </c>
      <c r="AY174" s="79" t="str">
        <f>HYPERLINK("https://twitter.com/gammalabs")</f>
        <v>https://twitter.com/gammalabs</v>
      </c>
      <c r="AZ174" t="s">
        <v>65</v>
      </c>
      <c r="BA174" s="2"/>
    </row>
    <row r="175" spans="1:53" x14ac:dyDescent="0.45">
      <c r="A175" s="62" t="s">
        <v>1236</v>
      </c>
      <c r="B175" s="63"/>
      <c r="C175" s="63"/>
      <c r="D175" s="64"/>
      <c r="E175" s="66"/>
      <c r="F175" s="98" t="str">
        <f>HYPERLINK("https://pbs.twimg.com/profile_images/1596528201337028610/dX_NS_JB_normal.jpg")</f>
        <v>https://pbs.twimg.com/profile_images/1596528201337028610/dX_NS_JB_normal.jpg</v>
      </c>
      <c r="G175" s="63"/>
      <c r="H175" s="67"/>
      <c r="I175" s="68"/>
      <c r="J175" s="68"/>
      <c r="K175" s="67" t="s">
        <v>9589</v>
      </c>
      <c r="L175" s="71"/>
      <c r="M175" s="72"/>
      <c r="N175" s="72"/>
      <c r="O175" s="73"/>
      <c r="P175" s="74"/>
      <c r="Q175" s="74"/>
      <c r="R175" s="81"/>
      <c r="S175" s="81"/>
      <c r="T175" s="81"/>
      <c r="U175" s="81"/>
      <c r="V175" s="48"/>
      <c r="W175" s="48"/>
      <c r="X175" s="48"/>
      <c r="Y175" s="48"/>
      <c r="Z175" s="47"/>
      <c r="AA175" s="69"/>
      <c r="AB175" s="69"/>
      <c r="AC175" s="70"/>
      <c r="AD175" t="s">
        <v>5282</v>
      </c>
      <c r="AE175" s="78" t="s">
        <v>6560</v>
      </c>
      <c r="AF175">
        <v>1833</v>
      </c>
      <c r="AG175">
        <v>287354</v>
      </c>
      <c r="AH175">
        <v>6647</v>
      </c>
      <c r="AI175">
        <v>4908</v>
      </c>
      <c r="AK175" t="s">
        <v>7741</v>
      </c>
      <c r="AL175" t="s">
        <v>8722</v>
      </c>
      <c r="AM175" s="79" t="str">
        <f>HYPERLINK("https://t.co/4GpaVlpilw")</f>
        <v>https://t.co/4GpaVlpilw</v>
      </c>
      <c r="AO175" s="76">
        <v>39103.849479166667</v>
      </c>
      <c r="AP175" s="79" t="str">
        <f>HYPERLINK("https://pbs.twimg.com/profile_banners/676573/1640024536")</f>
        <v>https://pbs.twimg.com/profile_banners/676573/1640024536</v>
      </c>
      <c r="AQ175" t="b">
        <v>0</v>
      </c>
      <c r="AR175" t="b">
        <v>0</v>
      </c>
      <c r="AS175" t="b">
        <v>1</v>
      </c>
      <c r="AU175">
        <v>3485</v>
      </c>
      <c r="AV175" s="79" t="str">
        <f>HYPERLINK("https://abs.twimg.com/images/themes/theme15/bg.png")</f>
        <v>https://abs.twimg.com/images/themes/theme15/bg.png</v>
      </c>
      <c r="AW175" t="b">
        <v>1</v>
      </c>
      <c r="AX175" t="s">
        <v>9303</v>
      </c>
      <c r="AY175" s="79" t="str">
        <f>HYPERLINK("https://twitter.com/tobi")</f>
        <v>https://twitter.com/tobi</v>
      </c>
      <c r="AZ175" t="s">
        <v>65</v>
      </c>
      <c r="BA175" s="2"/>
    </row>
    <row r="176" spans="1:53" x14ac:dyDescent="0.45">
      <c r="A176" s="62" t="s">
        <v>1532</v>
      </c>
      <c r="B176" s="63"/>
      <c r="C176" s="63"/>
      <c r="D176" s="64"/>
      <c r="E176" s="66"/>
      <c r="F176" s="98" t="str">
        <f>HYPERLINK("https://pbs.twimg.com/profile_images/1227962615592292352/iNpRxSYh_normal.jpg")</f>
        <v>https://pbs.twimg.com/profile_images/1227962615592292352/iNpRxSYh_normal.jpg</v>
      </c>
      <c r="G176" s="63"/>
      <c r="H176" s="67"/>
      <c r="I176" s="68"/>
      <c r="J176" s="68"/>
      <c r="K176" s="67" t="s">
        <v>10574</v>
      </c>
      <c r="L176" s="71"/>
      <c r="M176" s="72"/>
      <c r="N176" s="72"/>
      <c r="O176" s="73"/>
      <c r="P176" s="74"/>
      <c r="Q176" s="74"/>
      <c r="R176" s="81"/>
      <c r="S176" s="81"/>
      <c r="T176" s="81"/>
      <c r="U176" s="81"/>
      <c r="V176" s="48"/>
      <c r="W176" s="48"/>
      <c r="X176" s="48"/>
      <c r="Y176" s="48"/>
      <c r="Z176" s="47"/>
      <c r="AA176" s="69"/>
      <c r="AB176" s="69"/>
      <c r="AC176" s="70"/>
      <c r="AD176" t="s">
        <v>6252</v>
      </c>
      <c r="AE176" s="78" t="s">
        <v>7425</v>
      </c>
      <c r="AF176">
        <v>6920</v>
      </c>
      <c r="AG176">
        <v>280876</v>
      </c>
      <c r="AH176">
        <v>24867</v>
      </c>
      <c r="AI176">
        <v>8856</v>
      </c>
      <c r="AK176" t="s">
        <v>8599</v>
      </c>
      <c r="AM176" s="79" t="str">
        <f>HYPERLINK("https://t.co/dMvTNSIMUH")</f>
        <v>https://t.co/dMvTNSIMUH</v>
      </c>
      <c r="AO176" s="76">
        <v>40155.953472222223</v>
      </c>
      <c r="AP176" s="79" t="str">
        <f>HYPERLINK("https://pbs.twimg.com/profile_banners/95520415/1673974514")</f>
        <v>https://pbs.twimg.com/profile_banners/95520415/1673974514</v>
      </c>
      <c r="AQ176" t="b">
        <v>0</v>
      </c>
      <c r="AR176" t="b">
        <v>0</v>
      </c>
      <c r="AS176" t="b">
        <v>1</v>
      </c>
      <c r="AU176">
        <v>427</v>
      </c>
      <c r="AV176" s="79" t="str">
        <f>HYPERLINK("https://abs.twimg.com/images/themes/theme1/bg.png")</f>
        <v>https://abs.twimg.com/images/themes/theme1/bg.png</v>
      </c>
      <c r="AW176" t="b">
        <v>1</v>
      </c>
      <c r="AX176" t="s">
        <v>9303</v>
      </c>
      <c r="AY176" s="79" t="str">
        <f>HYPERLINK("https://twitter.com/academy")</f>
        <v>https://twitter.com/academy</v>
      </c>
      <c r="AZ176" t="s">
        <v>65</v>
      </c>
      <c r="BA176" s="2"/>
    </row>
    <row r="177" spans="1:53" x14ac:dyDescent="0.45">
      <c r="A177" s="62" t="s">
        <v>1436</v>
      </c>
      <c r="B177" s="63"/>
      <c r="C177" s="63"/>
      <c r="D177" s="64"/>
      <c r="E177" s="66"/>
      <c r="F177" s="98" t="str">
        <f>HYPERLINK("https://pbs.twimg.com/profile_images/1617419991267291137/Cq3tppUi_normal.jpg")</f>
        <v>https://pbs.twimg.com/profile_images/1617419991267291137/Cq3tppUi_normal.jpg</v>
      </c>
      <c r="G177" s="63"/>
      <c r="H177" s="67"/>
      <c r="I177" s="68"/>
      <c r="J177" s="68"/>
      <c r="K177" s="67" t="s">
        <v>10343</v>
      </c>
      <c r="L177" s="71"/>
      <c r="M177" s="72"/>
      <c r="N177" s="72"/>
      <c r="O177" s="73"/>
      <c r="P177" s="74"/>
      <c r="Q177" s="74"/>
      <c r="R177" s="81"/>
      <c r="S177" s="81"/>
      <c r="T177" s="81"/>
      <c r="U177" s="81"/>
      <c r="V177" s="48"/>
      <c r="W177" s="48"/>
      <c r="X177" s="48"/>
      <c r="Y177" s="48"/>
      <c r="Z177" s="47"/>
      <c r="AA177" s="69"/>
      <c r="AB177" s="69"/>
      <c r="AC177" s="70"/>
      <c r="AD177" t="s">
        <v>6026</v>
      </c>
      <c r="AE177" s="78" t="s">
        <v>7234</v>
      </c>
      <c r="AF177">
        <v>186</v>
      </c>
      <c r="AG177">
        <v>277994</v>
      </c>
      <c r="AH177">
        <v>19041</v>
      </c>
      <c r="AI177">
        <v>17679</v>
      </c>
      <c r="AK177" t="s">
        <v>8396</v>
      </c>
      <c r="AL177" t="s">
        <v>8783</v>
      </c>
      <c r="AM177" s="79" t="str">
        <f>HYPERLINK("https://t.co/bPGg0xIGeG")</f>
        <v>https://t.co/bPGg0xIGeG</v>
      </c>
      <c r="AO177" s="76">
        <v>41556.910763888889</v>
      </c>
      <c r="AP177" s="79" t="str">
        <f>HYPERLINK("https://pbs.twimg.com/profile_banners/706963995/1673242449")</f>
        <v>https://pbs.twimg.com/profile_banners/706963995/1673242449</v>
      </c>
      <c r="AQ177" t="b">
        <v>1</v>
      </c>
      <c r="AR177" t="b">
        <v>0</v>
      </c>
      <c r="AS177" t="b">
        <v>1</v>
      </c>
      <c r="AU177">
        <v>168</v>
      </c>
      <c r="AV177" s="79" t="str">
        <f>HYPERLINK("https://abs.twimg.com/images/themes/theme1/bg.png")</f>
        <v>https://abs.twimg.com/images/themes/theme1/bg.png</v>
      </c>
      <c r="AW177" t="b">
        <v>1</v>
      </c>
      <c r="AX177" t="s">
        <v>9303</v>
      </c>
      <c r="AY177" s="79" t="str">
        <f>HYPERLINK("https://twitter.com/ashwinikchoubey")</f>
        <v>https://twitter.com/ashwinikchoubey</v>
      </c>
      <c r="AZ177" t="s">
        <v>65</v>
      </c>
      <c r="BA177" s="2"/>
    </row>
    <row r="178" spans="1:53" x14ac:dyDescent="0.45">
      <c r="A178" s="62" t="s">
        <v>1462</v>
      </c>
      <c r="B178" s="63"/>
      <c r="C178" s="63"/>
      <c r="D178" s="64"/>
      <c r="E178" s="66"/>
      <c r="F178" s="98" t="str">
        <f>HYPERLINK("https://pbs.twimg.com/profile_images/1490360768864276480/27cXdyc1_normal.jpg")</f>
        <v>https://pbs.twimg.com/profile_images/1490360768864276480/27cXdyc1_normal.jpg</v>
      </c>
      <c r="G178" s="63"/>
      <c r="H178" s="67"/>
      <c r="I178" s="68"/>
      <c r="J178" s="68"/>
      <c r="K178" s="67" t="s">
        <v>10405</v>
      </c>
      <c r="L178" s="71"/>
      <c r="M178" s="72"/>
      <c r="N178" s="72"/>
      <c r="O178" s="73"/>
      <c r="P178" s="74"/>
      <c r="Q178" s="74"/>
      <c r="R178" s="81"/>
      <c r="S178" s="81"/>
      <c r="T178" s="81"/>
      <c r="U178" s="81"/>
      <c r="V178" s="48"/>
      <c r="W178" s="48"/>
      <c r="X178" s="48"/>
      <c r="Y178" s="48"/>
      <c r="Z178" s="47"/>
      <c r="AA178" s="69"/>
      <c r="AB178" s="69"/>
      <c r="AC178" s="70"/>
      <c r="AD178" t="s">
        <v>6087</v>
      </c>
      <c r="AE178" s="78" t="s">
        <v>7287</v>
      </c>
      <c r="AF178">
        <v>8</v>
      </c>
      <c r="AG178">
        <v>266537</v>
      </c>
      <c r="AH178">
        <v>1186</v>
      </c>
      <c r="AI178">
        <v>301</v>
      </c>
      <c r="AK178" t="s">
        <v>8449</v>
      </c>
      <c r="AL178" t="s">
        <v>8678</v>
      </c>
      <c r="AM178" s="79" t="str">
        <f>HYPERLINK("https://t.co/klwyYW2Xer")</f>
        <v>https://t.co/klwyYW2Xer</v>
      </c>
      <c r="AO178" s="76">
        <v>39524.344050925924</v>
      </c>
      <c r="AQ178" t="b">
        <v>0</v>
      </c>
      <c r="AR178" t="b">
        <v>0</v>
      </c>
      <c r="AS178" t="b">
        <v>1</v>
      </c>
      <c r="AU178">
        <v>799</v>
      </c>
      <c r="AV178" s="79" t="str">
        <f>HYPERLINK("https://abs.twimg.com/images/themes/theme15/bg.png")</f>
        <v>https://abs.twimg.com/images/themes/theme15/bg.png</v>
      </c>
      <c r="AW178" t="b">
        <v>1</v>
      </c>
      <c r="AX178" t="s">
        <v>9303</v>
      </c>
      <c r="AY178" s="79" t="str">
        <f>HYPERLINK("https://twitter.com/_sachinbansal")</f>
        <v>https://twitter.com/_sachinbansal</v>
      </c>
      <c r="AZ178" t="s">
        <v>65</v>
      </c>
      <c r="BA178" s="2"/>
    </row>
    <row r="179" spans="1:53" x14ac:dyDescent="0.45">
      <c r="A179" s="62" t="s">
        <v>1364</v>
      </c>
      <c r="B179" s="63"/>
      <c r="C179" s="63"/>
      <c r="D179" s="64"/>
      <c r="E179" s="66"/>
      <c r="F179" s="98" t="str">
        <f>HYPERLINK("https://pbs.twimg.com/profile_images/1289269554816995328/6xun0qpb_normal.jpg")</f>
        <v>https://pbs.twimg.com/profile_images/1289269554816995328/6xun0qpb_normal.jpg</v>
      </c>
      <c r="G179" s="63"/>
      <c r="H179" s="67"/>
      <c r="I179" s="68"/>
      <c r="J179" s="68"/>
      <c r="K179" s="67" t="s">
        <v>10127</v>
      </c>
      <c r="L179" s="71"/>
      <c r="M179" s="72"/>
      <c r="N179" s="72"/>
      <c r="O179" s="73"/>
      <c r="P179" s="74"/>
      <c r="Q179" s="74"/>
      <c r="R179" s="81"/>
      <c r="S179" s="81"/>
      <c r="T179" s="81"/>
      <c r="U179" s="81"/>
      <c r="V179" s="48"/>
      <c r="W179" s="48"/>
      <c r="X179" s="48"/>
      <c r="Y179" s="48"/>
      <c r="Z179" s="47"/>
      <c r="AA179" s="69"/>
      <c r="AB179" s="69"/>
      <c r="AC179" s="70"/>
      <c r="AD179" t="s">
        <v>5815</v>
      </c>
      <c r="AE179" s="78" t="s">
        <v>4741</v>
      </c>
      <c r="AF179">
        <v>20</v>
      </c>
      <c r="AG179">
        <v>260031</v>
      </c>
      <c r="AH179">
        <v>136685</v>
      </c>
      <c r="AI179">
        <v>23552</v>
      </c>
      <c r="AK179" t="s">
        <v>8209</v>
      </c>
      <c r="AO179" s="76">
        <v>39583.454756944448</v>
      </c>
      <c r="AP179" s="79" t="str">
        <f>HYPERLINK("https://pbs.twimg.com/profile_banners/14784550/1659788075")</f>
        <v>https://pbs.twimg.com/profile_banners/14784550/1659788075</v>
      </c>
      <c r="AQ179" t="b">
        <v>0</v>
      </c>
      <c r="AR179" t="b">
        <v>0</v>
      </c>
      <c r="AS179" t="b">
        <v>1</v>
      </c>
      <c r="AU179">
        <v>908</v>
      </c>
      <c r="AV179" s="79" t="str">
        <f>HYPERLINK("https://abs.twimg.com/images/themes/theme1/bg.png")</f>
        <v>https://abs.twimg.com/images/themes/theme1/bg.png</v>
      </c>
      <c r="AW179" t="b">
        <v>1</v>
      </c>
      <c r="AX179" t="s">
        <v>9303</v>
      </c>
      <c r="AY179" s="79" t="str">
        <f>HYPERLINK("https://twitter.com/publix")</f>
        <v>https://twitter.com/publix</v>
      </c>
      <c r="AZ179" t="s">
        <v>65</v>
      </c>
      <c r="BA179" s="2"/>
    </row>
    <row r="180" spans="1:53" x14ac:dyDescent="0.45">
      <c r="A180" s="62" t="s">
        <v>630</v>
      </c>
      <c r="B180" s="63"/>
      <c r="C180" s="63"/>
      <c r="D180" s="64"/>
      <c r="E180" s="66"/>
      <c r="F180" s="98" t="str">
        <f>HYPERLINK("https://pbs.twimg.com/profile_images/1234999131594055681/PBSrLVO2_normal.jpg")</f>
        <v>https://pbs.twimg.com/profile_images/1234999131594055681/PBSrLVO2_normal.jpg</v>
      </c>
      <c r="G180" s="63"/>
      <c r="H180" s="67"/>
      <c r="I180" s="68"/>
      <c r="J180" s="68"/>
      <c r="K180" s="67" t="s">
        <v>9939</v>
      </c>
      <c r="L180" s="71"/>
      <c r="M180" s="72"/>
      <c r="N180" s="72"/>
      <c r="O180" s="73"/>
      <c r="P180" s="74"/>
      <c r="Q180" s="74"/>
      <c r="R180" s="81"/>
      <c r="S180" s="81"/>
      <c r="T180" s="81"/>
      <c r="U180" s="81"/>
      <c r="V180" s="48"/>
      <c r="W180" s="48"/>
      <c r="X180" s="48"/>
      <c r="Y180" s="48"/>
      <c r="Z180" s="47"/>
      <c r="AA180" s="69"/>
      <c r="AB180" s="69"/>
      <c r="AC180" s="70"/>
      <c r="AD180" t="s">
        <v>5630</v>
      </c>
      <c r="AE180" s="78" t="s">
        <v>6873</v>
      </c>
      <c r="AF180">
        <v>1226</v>
      </c>
      <c r="AG180">
        <v>254861</v>
      </c>
      <c r="AH180">
        <v>269115</v>
      </c>
      <c r="AI180">
        <v>3895</v>
      </c>
      <c r="AK180" t="s">
        <v>8046</v>
      </c>
      <c r="AL180" t="s">
        <v>9006</v>
      </c>
      <c r="AM180" s="79" t="str">
        <f>HYPERLINK("https://t.co/E1l8O2yrSS")</f>
        <v>https://t.co/E1l8O2yrSS</v>
      </c>
      <c r="AO180" s="76">
        <v>39527.757754629631</v>
      </c>
      <c r="AP180" s="79" t="str">
        <f>HYPERLINK("https://pbs.twimg.com/profile_banners/14185814/1637199129")</f>
        <v>https://pbs.twimg.com/profile_banners/14185814/1637199129</v>
      </c>
      <c r="AQ180" t="b">
        <v>0</v>
      </c>
      <c r="AR180" t="b">
        <v>0</v>
      </c>
      <c r="AS180" t="b">
        <v>1</v>
      </c>
      <c r="AU180">
        <v>2451</v>
      </c>
      <c r="AV180" s="79" t="str">
        <f>HYPERLINK("https://abs.twimg.com/images/themes/theme1/bg.png")</f>
        <v>https://abs.twimg.com/images/themes/theme1/bg.png</v>
      </c>
      <c r="AW180" t="b">
        <v>1</v>
      </c>
      <c r="AX180" t="s">
        <v>9303</v>
      </c>
      <c r="AY180" s="79" t="str">
        <f>HYPERLINK("https://twitter.com/kgwnews")</f>
        <v>https://twitter.com/kgwnews</v>
      </c>
      <c r="AZ180" t="s">
        <v>66</v>
      </c>
      <c r="BA180" s="2"/>
    </row>
    <row r="181" spans="1:53" x14ac:dyDescent="0.45">
      <c r="A181" s="62" t="s">
        <v>1110</v>
      </c>
      <c r="B181" s="63"/>
      <c r="C181" s="63"/>
      <c r="D181" s="64"/>
      <c r="E181" s="66"/>
      <c r="F181" s="98" t="str">
        <f>HYPERLINK("https://pbs.twimg.com/profile_images/817766985719316480/_HVZYsjI_normal.jpg")</f>
        <v>https://pbs.twimg.com/profile_images/817766985719316480/_HVZYsjI_normal.jpg</v>
      </c>
      <c r="G181" s="63"/>
      <c r="H181" s="67"/>
      <c r="I181" s="68"/>
      <c r="J181" s="68"/>
      <c r="K181" s="67" t="s">
        <v>9314</v>
      </c>
      <c r="L181" s="71"/>
      <c r="M181" s="72"/>
      <c r="N181" s="72"/>
      <c r="O181" s="73"/>
      <c r="P181" s="74"/>
      <c r="Q181" s="74"/>
      <c r="R181" s="81"/>
      <c r="S181" s="81"/>
      <c r="T181" s="81"/>
      <c r="U181" s="81"/>
      <c r="V181" s="48"/>
      <c r="W181" s="48"/>
      <c r="X181" s="48"/>
      <c r="Y181" s="48"/>
      <c r="Z181" s="47"/>
      <c r="AA181" s="69"/>
      <c r="AB181" s="69"/>
      <c r="AC181" s="70"/>
      <c r="AD181" t="s">
        <v>5010</v>
      </c>
      <c r="AE181" s="78" t="s">
        <v>4642</v>
      </c>
      <c r="AF181">
        <v>10</v>
      </c>
      <c r="AG181">
        <v>251870</v>
      </c>
      <c r="AH181">
        <v>3138537</v>
      </c>
      <c r="AI181">
        <v>1611</v>
      </c>
      <c r="AK181" t="s">
        <v>7500</v>
      </c>
      <c r="AL181" t="s">
        <v>4898</v>
      </c>
      <c r="AM181" s="79" t="str">
        <f>HYPERLINK("https://t.co/aQHlbDZI7B")</f>
        <v>https://t.co/aQHlbDZI7B</v>
      </c>
      <c r="AO181" s="76">
        <v>41229.487685185188</v>
      </c>
      <c r="AP181" s="79" t="str">
        <f>HYPERLINK("https://pbs.twimg.com/profile_banners/951522626/1654593616")</f>
        <v>https://pbs.twimg.com/profile_banners/951522626/1654593616</v>
      </c>
      <c r="AQ181" t="b">
        <v>1</v>
      </c>
      <c r="AR181" t="b">
        <v>0</v>
      </c>
      <c r="AS181" t="b">
        <v>0</v>
      </c>
      <c r="AU181">
        <v>194</v>
      </c>
      <c r="AV181" s="79" t="str">
        <f>HYPERLINK("https://abs.twimg.com/images/themes/theme1/bg.png")</f>
        <v>https://abs.twimg.com/images/themes/theme1/bg.png</v>
      </c>
      <c r="AW181" t="b">
        <v>1</v>
      </c>
      <c r="AX181" t="s">
        <v>9303</v>
      </c>
      <c r="AY181" s="79" t="str">
        <f>HYPERLINK("https://twitter.com/flipkartsupport")</f>
        <v>https://twitter.com/flipkartsupport</v>
      </c>
      <c r="AZ181" t="s">
        <v>65</v>
      </c>
      <c r="BA181" s="2"/>
    </row>
    <row r="182" spans="1:53" x14ac:dyDescent="0.45">
      <c r="A182" s="62" t="s">
        <v>558</v>
      </c>
      <c r="B182" s="63"/>
      <c r="C182" s="63"/>
      <c r="D182" s="64"/>
      <c r="E182" s="66"/>
      <c r="F182" s="98" t="str">
        <f>HYPERLINK("https://pbs.twimg.com/profile_images/1610293234625830913/h47AXy9u_normal.jpg")</f>
        <v>https://pbs.twimg.com/profile_images/1610293234625830913/h47AXy9u_normal.jpg</v>
      </c>
      <c r="G182" s="63"/>
      <c r="H182" s="67"/>
      <c r="I182" s="68"/>
      <c r="J182" s="68"/>
      <c r="K182" s="67" t="s">
        <v>9856</v>
      </c>
      <c r="L182" s="71"/>
      <c r="M182" s="72"/>
      <c r="N182" s="72"/>
      <c r="O182" s="73"/>
      <c r="P182" s="74"/>
      <c r="Q182" s="74"/>
      <c r="R182" s="81"/>
      <c r="S182" s="81"/>
      <c r="T182" s="81"/>
      <c r="U182" s="81"/>
      <c r="V182" s="48"/>
      <c r="W182" s="48"/>
      <c r="X182" s="48"/>
      <c r="Y182" s="48"/>
      <c r="Z182" s="47"/>
      <c r="AA182" s="69"/>
      <c r="AB182" s="69"/>
      <c r="AC182" s="70"/>
      <c r="AD182" t="s">
        <v>5547</v>
      </c>
      <c r="AE182" s="78" t="s">
        <v>6795</v>
      </c>
      <c r="AF182">
        <v>1588</v>
      </c>
      <c r="AG182">
        <v>249671</v>
      </c>
      <c r="AH182">
        <v>279263</v>
      </c>
      <c r="AI182">
        <v>11174</v>
      </c>
      <c r="AK182" t="s">
        <v>7970</v>
      </c>
      <c r="AL182" t="s">
        <v>8949</v>
      </c>
      <c r="AM182" s="79" t="str">
        <f>HYPERLINK("https://t.co/pQ9S8uRd5B")</f>
        <v>https://t.co/pQ9S8uRd5B</v>
      </c>
      <c r="AO182" s="76">
        <v>39960.698599537034</v>
      </c>
      <c r="AP182" s="79" t="str">
        <f>HYPERLINK("https://pbs.twimg.com/profile_banners/42921216/1672758800")</f>
        <v>https://pbs.twimg.com/profile_banners/42921216/1672758800</v>
      </c>
      <c r="AQ182" t="b">
        <v>0</v>
      </c>
      <c r="AR182" t="b">
        <v>0</v>
      </c>
      <c r="AS182" t="b">
        <v>1</v>
      </c>
      <c r="AU182">
        <v>1923</v>
      </c>
      <c r="AV182" s="79" t="str">
        <f>HYPERLINK("https://abs.twimg.com/images/themes/theme14/bg.gif")</f>
        <v>https://abs.twimg.com/images/themes/theme14/bg.gif</v>
      </c>
      <c r="AW182" t="b">
        <v>1</v>
      </c>
      <c r="AX182" t="s">
        <v>9303</v>
      </c>
      <c r="AY182" s="79" t="str">
        <f>HYPERLINK("https://twitter.com/ksdknews")</f>
        <v>https://twitter.com/ksdknews</v>
      </c>
      <c r="AZ182" t="s">
        <v>66</v>
      </c>
      <c r="BA182" s="2"/>
    </row>
    <row r="183" spans="1:53" x14ac:dyDescent="0.45">
      <c r="A183" s="62" t="s">
        <v>601</v>
      </c>
      <c r="B183" s="63"/>
      <c r="C183" s="63"/>
      <c r="D183" s="64"/>
      <c r="E183" s="66"/>
      <c r="F183" s="98" t="str">
        <f>HYPERLINK("https://pbs.twimg.com/profile_images/1441530457372254213/pe0MaT68_normal.png")</f>
        <v>https://pbs.twimg.com/profile_images/1441530457372254213/pe0MaT68_normal.png</v>
      </c>
      <c r="G183" s="63"/>
      <c r="H183" s="67"/>
      <c r="I183" s="68"/>
      <c r="J183" s="68"/>
      <c r="K183" s="67" t="s">
        <v>9899</v>
      </c>
      <c r="L183" s="71"/>
      <c r="M183" s="72"/>
      <c r="N183" s="72"/>
      <c r="O183" s="73"/>
      <c r="P183" s="74"/>
      <c r="Q183" s="74"/>
      <c r="R183" s="81"/>
      <c r="S183" s="81"/>
      <c r="T183" s="81"/>
      <c r="U183" s="81"/>
      <c r="V183" s="48"/>
      <c r="W183" s="48"/>
      <c r="X183" s="48"/>
      <c r="Y183" s="48"/>
      <c r="Z183" s="47"/>
      <c r="AA183" s="69"/>
      <c r="AB183" s="69"/>
      <c r="AC183" s="70"/>
      <c r="AD183" t="s">
        <v>5590</v>
      </c>
      <c r="AE183" s="78" t="s">
        <v>6838</v>
      </c>
      <c r="AF183">
        <v>1186</v>
      </c>
      <c r="AG183">
        <v>248327</v>
      </c>
      <c r="AH183">
        <v>292054</v>
      </c>
      <c r="AI183">
        <v>10837</v>
      </c>
      <c r="AK183" t="s">
        <v>8013</v>
      </c>
      <c r="AL183" t="s">
        <v>8687</v>
      </c>
      <c r="AM183" s="79" t="str">
        <f>HYPERLINK("https://t.co/5D4tmvXajX")</f>
        <v>https://t.co/5D4tmvXajX</v>
      </c>
      <c r="AO183" s="76">
        <v>39624.652789351851</v>
      </c>
      <c r="AP183" s="79" t="str">
        <f>HYPERLINK("https://pbs.twimg.com/profile_banners/15232635/1635444037")</f>
        <v>https://pbs.twimg.com/profile_banners/15232635/1635444037</v>
      </c>
      <c r="AQ183" t="b">
        <v>0</v>
      </c>
      <c r="AR183" t="b">
        <v>0</v>
      </c>
      <c r="AS183" t="b">
        <v>1</v>
      </c>
      <c r="AU183">
        <v>2564</v>
      </c>
      <c r="AV183" s="79" t="str">
        <f>HYPERLINK("https://abs.twimg.com/images/themes/theme1/bg.png")</f>
        <v>https://abs.twimg.com/images/themes/theme1/bg.png</v>
      </c>
      <c r="AW183" t="b">
        <v>1</v>
      </c>
      <c r="AX183" t="s">
        <v>9303</v>
      </c>
      <c r="AY183" s="79" t="str">
        <f>HYPERLINK("https://twitter.com/kvue")</f>
        <v>https://twitter.com/kvue</v>
      </c>
      <c r="AZ183" t="s">
        <v>66</v>
      </c>
      <c r="BA183" s="2"/>
    </row>
    <row r="184" spans="1:53" x14ac:dyDescent="0.45">
      <c r="A184" s="62" t="s">
        <v>1102</v>
      </c>
      <c r="B184" s="63"/>
      <c r="C184" s="63"/>
      <c r="D184" s="64"/>
      <c r="E184" s="66"/>
      <c r="F184" s="98" t="str">
        <f>HYPERLINK("https://pbs.twimg.com/profile_images/880793742285742080/ihF2cK2E_normal.jpg")</f>
        <v>https://pbs.twimg.com/profile_images/880793742285742080/ihF2cK2E_normal.jpg</v>
      </c>
      <c r="G184" s="63"/>
      <c r="H184" s="67"/>
      <c r="I184" s="68"/>
      <c r="J184" s="68"/>
      <c r="K184" s="67" t="s">
        <v>10650</v>
      </c>
      <c r="L184" s="71"/>
      <c r="M184" s="72"/>
      <c r="N184" s="72"/>
      <c r="O184" s="73"/>
      <c r="P184" s="74"/>
      <c r="Q184" s="74"/>
      <c r="R184" s="81"/>
      <c r="S184" s="81"/>
      <c r="T184" s="81"/>
      <c r="U184" s="81"/>
      <c r="V184" s="48"/>
      <c r="W184" s="48"/>
      <c r="X184" s="48"/>
      <c r="Y184" s="48"/>
      <c r="Z184" s="47"/>
      <c r="AA184" s="69"/>
      <c r="AB184" s="69"/>
      <c r="AC184" s="70"/>
      <c r="AD184" t="s">
        <v>6325</v>
      </c>
      <c r="AE184" s="78" t="s">
        <v>4828</v>
      </c>
      <c r="AF184">
        <v>8153</v>
      </c>
      <c r="AG184">
        <v>245398</v>
      </c>
      <c r="AH184">
        <v>50507</v>
      </c>
      <c r="AI184">
        <v>27025</v>
      </c>
      <c r="AK184" t="s">
        <v>8670</v>
      </c>
      <c r="AL184" t="s">
        <v>9301</v>
      </c>
      <c r="AM184" s="79" t="str">
        <f>HYPERLINK("https://t.co/r611h0BtPh")</f>
        <v>https://t.co/r611h0BtPh</v>
      </c>
      <c r="AO184" s="76">
        <v>40204.833564814813</v>
      </c>
      <c r="AP184" s="79" t="str">
        <f>HYPERLINK("https://pbs.twimg.com/profile_banners/108701392/1578608040")</f>
        <v>https://pbs.twimg.com/profile_banners/108701392/1578608040</v>
      </c>
      <c r="AQ184" t="b">
        <v>0</v>
      </c>
      <c r="AR184" t="b">
        <v>0</v>
      </c>
      <c r="AS184" t="b">
        <v>1</v>
      </c>
      <c r="AU184">
        <v>1483</v>
      </c>
      <c r="AV184" s="79" t="str">
        <f>HYPERLINK("https://abs.twimg.com/images/themes/theme1/bg.png")</f>
        <v>https://abs.twimg.com/images/themes/theme1/bg.png</v>
      </c>
      <c r="AW184" t="b">
        <v>1</v>
      </c>
      <c r="AX184" t="s">
        <v>9303</v>
      </c>
      <c r="AY184" s="79" t="str">
        <f>HYPERLINK("https://twitter.com/thepennyhoarder")</f>
        <v>https://twitter.com/thepennyhoarder</v>
      </c>
      <c r="AZ184" t="s">
        <v>66</v>
      </c>
      <c r="BA184" s="2"/>
    </row>
    <row r="185" spans="1:53" x14ac:dyDescent="0.45">
      <c r="A185" s="62" t="s">
        <v>586</v>
      </c>
      <c r="B185" s="63"/>
      <c r="C185" s="63"/>
      <c r="D185" s="64"/>
      <c r="E185" s="66"/>
      <c r="F185" s="98" t="str">
        <f>HYPERLINK("https://pbs.twimg.com/profile_images/1221210557686132740/aimc8D8F_normal.png")</f>
        <v>https://pbs.twimg.com/profile_images/1221210557686132740/aimc8D8F_normal.png</v>
      </c>
      <c r="G185" s="63"/>
      <c r="H185" s="67"/>
      <c r="I185" s="68"/>
      <c r="J185" s="68"/>
      <c r="K185" s="67" t="s">
        <v>9884</v>
      </c>
      <c r="L185" s="71"/>
      <c r="M185" s="72"/>
      <c r="N185" s="72"/>
      <c r="O185" s="73"/>
      <c r="P185" s="74"/>
      <c r="Q185" s="74"/>
      <c r="R185" s="81"/>
      <c r="S185" s="81"/>
      <c r="T185" s="81"/>
      <c r="U185" s="81"/>
      <c r="V185" s="48"/>
      <c r="W185" s="48"/>
      <c r="X185" s="48"/>
      <c r="Y185" s="48"/>
      <c r="Z185" s="47"/>
      <c r="AA185" s="69"/>
      <c r="AB185" s="69"/>
      <c r="AC185" s="70"/>
      <c r="AD185" t="s">
        <v>5575</v>
      </c>
      <c r="AE185" s="78" t="s">
        <v>6823</v>
      </c>
      <c r="AF185">
        <v>6538</v>
      </c>
      <c r="AG185">
        <v>240292</v>
      </c>
      <c r="AH185">
        <v>271901</v>
      </c>
      <c r="AI185">
        <v>6895</v>
      </c>
      <c r="AK185" t="s">
        <v>7998</v>
      </c>
      <c r="AL185" t="s">
        <v>8771</v>
      </c>
      <c r="AM185" s="79" t="str">
        <f>HYPERLINK("https://t.co/i2pqQBrQYA")</f>
        <v>https://t.co/i2pqQBrQYA</v>
      </c>
      <c r="AO185" s="76">
        <v>39474.161030092589</v>
      </c>
      <c r="AP185" s="79" t="str">
        <f>HYPERLINK("https://pbs.twimg.com/profile_banners/12738892/1645461771")</f>
        <v>https://pbs.twimg.com/profile_banners/12738892/1645461771</v>
      </c>
      <c r="AQ185" t="b">
        <v>0</v>
      </c>
      <c r="AR185" t="b">
        <v>0</v>
      </c>
      <c r="AS185" t="b">
        <v>1</v>
      </c>
      <c r="AU185">
        <v>1695</v>
      </c>
      <c r="AV185" s="79" t="str">
        <f>HYPERLINK("https://abs.twimg.com/images/themes/theme1/bg.png")</f>
        <v>https://abs.twimg.com/images/themes/theme1/bg.png</v>
      </c>
      <c r="AW185" t="b">
        <v>1</v>
      </c>
      <c r="AX185" t="s">
        <v>9303</v>
      </c>
      <c r="AY185" s="79" t="str">
        <f>HYPERLINK("https://twitter.com/wcnc")</f>
        <v>https://twitter.com/wcnc</v>
      </c>
      <c r="AZ185" t="s">
        <v>66</v>
      </c>
      <c r="BA185" s="2"/>
    </row>
    <row r="186" spans="1:53" x14ac:dyDescent="0.45">
      <c r="A186" s="62" t="s">
        <v>1525</v>
      </c>
      <c r="B186" s="63"/>
      <c r="C186" s="63"/>
      <c r="D186" s="64"/>
      <c r="E186" s="66"/>
      <c r="F186" s="98" t="str">
        <f>HYPERLINK("https://pbs.twimg.com/profile_images/1567807256091308032/4AXfLwia_normal.jpg")</f>
        <v>https://pbs.twimg.com/profile_images/1567807256091308032/4AXfLwia_normal.jpg</v>
      </c>
      <c r="G186" s="63"/>
      <c r="H186" s="67"/>
      <c r="I186" s="68"/>
      <c r="J186" s="68"/>
      <c r="K186" s="67" t="s">
        <v>10556</v>
      </c>
      <c r="L186" s="71"/>
      <c r="M186" s="72"/>
      <c r="N186" s="72"/>
      <c r="O186" s="73"/>
      <c r="P186" s="74"/>
      <c r="Q186" s="74"/>
      <c r="R186" s="81"/>
      <c r="S186" s="81"/>
      <c r="T186" s="81"/>
      <c r="U186" s="81"/>
      <c r="V186" s="48"/>
      <c r="W186" s="48"/>
      <c r="X186" s="48"/>
      <c r="Y186" s="48"/>
      <c r="Z186" s="47"/>
      <c r="AA186" s="69"/>
      <c r="AB186" s="69"/>
      <c r="AC186" s="70"/>
      <c r="AD186" t="s">
        <v>6234</v>
      </c>
      <c r="AE186" s="78" t="s">
        <v>7410</v>
      </c>
      <c r="AF186">
        <v>2370</v>
      </c>
      <c r="AG186">
        <v>238198</v>
      </c>
      <c r="AH186">
        <v>9248</v>
      </c>
      <c r="AI186">
        <v>6001</v>
      </c>
      <c r="AK186" t="s">
        <v>8582</v>
      </c>
      <c r="AM186" s="79" t="str">
        <f>HYPERLINK("https://t.co/tAzEot93tb")</f>
        <v>https://t.co/tAzEot93tb</v>
      </c>
      <c r="AO186" s="76">
        <v>41851.138657407406</v>
      </c>
      <c r="AP186" s="79" t="str">
        <f>HYPERLINK("https://pbs.twimg.com/profile_banners/2694564780/1669002975")</f>
        <v>https://pbs.twimg.com/profile_banners/2694564780/1669002975</v>
      </c>
      <c r="AQ186" t="b">
        <v>0</v>
      </c>
      <c r="AR186" t="b">
        <v>0</v>
      </c>
      <c r="AS186" t="b">
        <v>1</v>
      </c>
      <c r="AU186">
        <v>1088</v>
      </c>
      <c r="AV186" s="79" t="str">
        <f>HYPERLINK("https://abs.twimg.com/images/themes/theme1/bg.png")</f>
        <v>https://abs.twimg.com/images/themes/theme1/bg.png</v>
      </c>
      <c r="AW186" t="b">
        <v>1</v>
      </c>
      <c r="AX186" t="s">
        <v>9303</v>
      </c>
      <c r="AY186" s="79" t="str">
        <f>HYPERLINK("https://twitter.com/alibabagroup")</f>
        <v>https://twitter.com/alibabagroup</v>
      </c>
      <c r="AZ186" t="s">
        <v>65</v>
      </c>
      <c r="BA186" s="2"/>
    </row>
    <row r="187" spans="1:53" x14ac:dyDescent="0.45">
      <c r="A187" s="62" t="s">
        <v>589</v>
      </c>
      <c r="B187" s="63"/>
      <c r="C187" s="63"/>
      <c r="D187" s="64"/>
      <c r="E187" s="66"/>
      <c r="F187" s="98" t="str">
        <f>HYPERLINK("https://pbs.twimg.com/profile_images/1379823713684627459/RyoT1mTT_normal.jpg")</f>
        <v>https://pbs.twimg.com/profile_images/1379823713684627459/RyoT1mTT_normal.jpg</v>
      </c>
      <c r="G187" s="63"/>
      <c r="H187" s="67"/>
      <c r="I187" s="68"/>
      <c r="J187" s="68"/>
      <c r="K187" s="67" t="s">
        <v>9887</v>
      </c>
      <c r="L187" s="71"/>
      <c r="M187" s="72"/>
      <c r="N187" s="72"/>
      <c r="O187" s="73"/>
      <c r="P187" s="74"/>
      <c r="Q187" s="74"/>
      <c r="R187" s="81"/>
      <c r="S187" s="81"/>
      <c r="T187" s="81"/>
      <c r="U187" s="81"/>
      <c r="V187" s="48"/>
      <c r="W187" s="48"/>
      <c r="X187" s="48"/>
      <c r="Y187" s="48"/>
      <c r="Z187" s="47"/>
      <c r="AA187" s="69"/>
      <c r="AB187" s="69"/>
      <c r="AC187" s="70"/>
      <c r="AD187" t="s">
        <v>5578</v>
      </c>
      <c r="AE187" s="78" t="s">
        <v>6826</v>
      </c>
      <c r="AF187">
        <v>8555</v>
      </c>
      <c r="AG187">
        <v>234877</v>
      </c>
      <c r="AH187">
        <v>438241</v>
      </c>
      <c r="AI187">
        <v>19616</v>
      </c>
      <c r="AK187" t="s">
        <v>8001</v>
      </c>
      <c r="AL187" t="s">
        <v>8973</v>
      </c>
      <c r="AM187" s="79" t="str">
        <f>HYPERLINK("https://t.co/16k843uR9I")</f>
        <v>https://t.co/16k843uR9I</v>
      </c>
      <c r="AO187" s="76">
        <v>39757.51090277778</v>
      </c>
      <c r="AP187" s="79" t="str">
        <f>HYPERLINK("https://pbs.twimg.com/profile_banners/17187236/1595644548")</f>
        <v>https://pbs.twimg.com/profile_banners/17187236/1595644548</v>
      </c>
      <c r="AQ187" t="b">
        <v>0</v>
      </c>
      <c r="AR187" t="b">
        <v>0</v>
      </c>
      <c r="AS187" t="b">
        <v>1</v>
      </c>
      <c r="AU187">
        <v>1585</v>
      </c>
      <c r="AV187" s="79" t="str">
        <f>HYPERLINK("https://abs.twimg.com/images/themes/theme14/bg.gif")</f>
        <v>https://abs.twimg.com/images/themes/theme14/bg.gif</v>
      </c>
      <c r="AW187" t="b">
        <v>1</v>
      </c>
      <c r="AX187" t="s">
        <v>9303</v>
      </c>
      <c r="AY187" s="79" t="str">
        <f>HYPERLINK("https://twitter.com/12news")</f>
        <v>https://twitter.com/12news</v>
      </c>
      <c r="AZ187" t="s">
        <v>66</v>
      </c>
      <c r="BA187" s="2"/>
    </row>
    <row r="188" spans="1:53" x14ac:dyDescent="0.45">
      <c r="A188" s="62" t="s">
        <v>596</v>
      </c>
      <c r="B188" s="63"/>
      <c r="C188" s="63"/>
      <c r="D188" s="64"/>
      <c r="E188" s="66"/>
      <c r="F188" s="98" t="str">
        <f>HYPERLINK("https://pbs.twimg.com/profile_images/1567429898955808768/-SXZPYVH_normal.png")</f>
        <v>https://pbs.twimg.com/profile_images/1567429898955808768/-SXZPYVH_normal.png</v>
      </c>
      <c r="G188" s="63"/>
      <c r="H188" s="67"/>
      <c r="I188" s="68"/>
      <c r="J188" s="68"/>
      <c r="K188" s="67" t="s">
        <v>9894</v>
      </c>
      <c r="L188" s="71"/>
      <c r="M188" s="72"/>
      <c r="N188" s="72"/>
      <c r="O188" s="73"/>
      <c r="P188" s="74"/>
      <c r="Q188" s="74"/>
      <c r="R188" s="81"/>
      <c r="S188" s="81"/>
      <c r="T188" s="81"/>
      <c r="U188" s="81"/>
      <c r="V188" s="48"/>
      <c r="W188" s="48"/>
      <c r="X188" s="48"/>
      <c r="Y188" s="48"/>
      <c r="Z188" s="47"/>
      <c r="AA188" s="69"/>
      <c r="AB188" s="69"/>
      <c r="AC188" s="70"/>
      <c r="AD188" t="s">
        <v>5585</v>
      </c>
      <c r="AE188" s="78" t="s">
        <v>6833</v>
      </c>
      <c r="AF188">
        <v>905</v>
      </c>
      <c r="AG188">
        <v>227556</v>
      </c>
      <c r="AH188">
        <v>265520</v>
      </c>
      <c r="AI188">
        <v>13454</v>
      </c>
      <c r="AK188" t="s">
        <v>8008</v>
      </c>
      <c r="AM188" s="79" t="str">
        <f>HYPERLINK("https://t.co/aiTFG4isMd")</f>
        <v>https://t.co/aiTFG4isMd</v>
      </c>
      <c r="AO188" s="76">
        <v>39538.900104166663</v>
      </c>
      <c r="AP188" s="79" t="str">
        <f>HYPERLINK("https://pbs.twimg.com/profile_banners/14269771/1662539385")</f>
        <v>https://pbs.twimg.com/profile_banners/14269771/1662539385</v>
      </c>
      <c r="AQ188" t="b">
        <v>0</v>
      </c>
      <c r="AR188" t="b">
        <v>0</v>
      </c>
      <c r="AS188" t="b">
        <v>1</v>
      </c>
      <c r="AU188">
        <v>1898</v>
      </c>
      <c r="AV188" s="79" t="str">
        <f>HYPERLINK("https://abs.twimg.com/images/themes/theme1/bg.png")</f>
        <v>https://abs.twimg.com/images/themes/theme1/bg.png</v>
      </c>
      <c r="AW188" t="b">
        <v>1</v>
      </c>
      <c r="AX188" t="s">
        <v>9303</v>
      </c>
      <c r="AY188" s="79" t="str">
        <f>HYPERLINK("https://twitter.com/wwltv")</f>
        <v>https://twitter.com/wwltv</v>
      </c>
      <c r="AZ188" t="s">
        <v>66</v>
      </c>
      <c r="BA188" s="2"/>
    </row>
    <row r="189" spans="1:53" x14ac:dyDescent="0.45">
      <c r="A189" s="62" t="s">
        <v>1193</v>
      </c>
      <c r="B189" s="63"/>
      <c r="C189" s="63"/>
      <c r="D189" s="64"/>
      <c r="E189" s="66"/>
      <c r="F189" s="98" t="str">
        <f>HYPERLINK("https://pbs.twimg.com/profile_images/1542615596575195136/sBgwpCMI_normal.jpg")</f>
        <v>https://pbs.twimg.com/profile_images/1542615596575195136/sBgwpCMI_normal.jpg</v>
      </c>
      <c r="G189" s="63"/>
      <c r="H189" s="67"/>
      <c r="I189" s="68"/>
      <c r="J189" s="68"/>
      <c r="K189" s="67" t="s">
        <v>9484</v>
      </c>
      <c r="L189" s="71"/>
      <c r="M189" s="72"/>
      <c r="N189" s="72"/>
      <c r="O189" s="73"/>
      <c r="P189" s="74"/>
      <c r="Q189" s="74"/>
      <c r="R189" s="81"/>
      <c r="S189" s="81"/>
      <c r="T189" s="81"/>
      <c r="U189" s="81"/>
      <c r="V189" s="48"/>
      <c r="W189" s="48"/>
      <c r="X189" s="48"/>
      <c r="Y189" s="48"/>
      <c r="Z189" s="47"/>
      <c r="AA189" s="69"/>
      <c r="AB189" s="69"/>
      <c r="AC189" s="70"/>
      <c r="AD189" t="s">
        <v>5178</v>
      </c>
      <c r="AE189" s="78" t="s">
        <v>6474</v>
      </c>
      <c r="AF189">
        <v>1002</v>
      </c>
      <c r="AG189">
        <v>225741</v>
      </c>
      <c r="AH189">
        <v>9394</v>
      </c>
      <c r="AI189">
        <v>2200</v>
      </c>
      <c r="AK189" t="s">
        <v>7649</v>
      </c>
      <c r="AL189" t="s">
        <v>8774</v>
      </c>
      <c r="AM189" s="79" t="str">
        <f>HYPERLINK("https://t.co/s9K4n4IMRY")</f>
        <v>https://t.co/s9K4n4IMRY</v>
      </c>
      <c r="AO189" s="76">
        <v>39931.111168981479</v>
      </c>
      <c r="AP189" s="79" t="str">
        <f>HYPERLINK("https://pbs.twimg.com/profile_banners/35961145/1656623102")</f>
        <v>https://pbs.twimg.com/profile_banners/35961145/1656623102</v>
      </c>
      <c r="AQ189" t="b">
        <v>0</v>
      </c>
      <c r="AR189" t="b">
        <v>0</v>
      </c>
      <c r="AS189" t="b">
        <v>1</v>
      </c>
      <c r="AU189">
        <v>2255</v>
      </c>
      <c r="AV189" s="79" t="str">
        <f>HYPERLINK("https://abs.twimg.com/images/themes/theme1/bg.png")</f>
        <v>https://abs.twimg.com/images/themes/theme1/bg.png</v>
      </c>
      <c r="AW189" t="b">
        <v>1</v>
      </c>
      <c r="AX189" t="s">
        <v>9303</v>
      </c>
      <c r="AY189" s="79" t="str">
        <f>HYPERLINK("https://twitter.com/merck")</f>
        <v>https://twitter.com/merck</v>
      </c>
      <c r="AZ189" t="s">
        <v>65</v>
      </c>
      <c r="BA189" s="2"/>
    </row>
    <row r="190" spans="1:53" x14ac:dyDescent="0.45">
      <c r="A190" s="62" t="s">
        <v>1205</v>
      </c>
      <c r="B190" s="63"/>
      <c r="C190" s="63"/>
      <c r="D190" s="64"/>
      <c r="E190" s="66"/>
      <c r="F190" s="98" t="str">
        <f>HYPERLINK("https://pbs.twimg.com/profile_images/1554119764267638786/jp0ZFDno_normal.jpg")</f>
        <v>https://pbs.twimg.com/profile_images/1554119764267638786/jp0ZFDno_normal.jpg</v>
      </c>
      <c r="G190" s="63"/>
      <c r="H190" s="67"/>
      <c r="I190" s="68"/>
      <c r="J190" s="68"/>
      <c r="K190" s="67" t="s">
        <v>9502</v>
      </c>
      <c r="L190" s="71"/>
      <c r="M190" s="72"/>
      <c r="N190" s="72"/>
      <c r="O190" s="73"/>
      <c r="P190" s="74"/>
      <c r="Q190" s="74"/>
      <c r="R190" s="81"/>
      <c r="S190" s="81"/>
      <c r="T190" s="81"/>
      <c r="U190" s="81"/>
      <c r="V190" s="48"/>
      <c r="W190" s="48"/>
      <c r="X190" s="48"/>
      <c r="Y190" s="48"/>
      <c r="Z190" s="47"/>
      <c r="AA190" s="69"/>
      <c r="AB190" s="69"/>
      <c r="AC190" s="70"/>
      <c r="AD190" t="s">
        <v>5196</v>
      </c>
      <c r="AE190" s="78" t="s">
        <v>4691</v>
      </c>
      <c r="AF190">
        <v>1409</v>
      </c>
      <c r="AG190">
        <v>222527</v>
      </c>
      <c r="AH190">
        <v>12615</v>
      </c>
      <c r="AI190">
        <v>2875</v>
      </c>
      <c r="AK190" t="s">
        <v>7666</v>
      </c>
      <c r="AL190" t="s">
        <v>8784</v>
      </c>
      <c r="AM190" s="79" t="str">
        <f>HYPERLINK("https://t.co/ilpYQdlWOF")</f>
        <v>https://t.co/ilpYQdlWOF</v>
      </c>
      <c r="AO190" s="76">
        <v>40147.579907407409</v>
      </c>
      <c r="AP190" s="79" t="str">
        <f>HYPERLINK("https://pbs.twimg.com/profile_banners/93634334/1659366001")</f>
        <v>https://pbs.twimg.com/profile_banners/93634334/1659366001</v>
      </c>
      <c r="AQ190" t="b">
        <v>0</v>
      </c>
      <c r="AR190" t="b">
        <v>0</v>
      </c>
      <c r="AS190" t="b">
        <v>0</v>
      </c>
      <c r="AU190">
        <v>1514</v>
      </c>
      <c r="AV190" s="79" t="str">
        <f>HYPERLINK("https://abs.twimg.com/images/themes/theme1/bg.png")</f>
        <v>https://abs.twimg.com/images/themes/theme1/bg.png</v>
      </c>
      <c r="AW190" t="b">
        <v>1</v>
      </c>
      <c r="AX190" t="s">
        <v>9303</v>
      </c>
      <c r="AY190" s="79" t="str">
        <f>HYPERLINK("https://twitter.com/walmartworld")</f>
        <v>https://twitter.com/walmartworld</v>
      </c>
      <c r="AZ190" t="s">
        <v>65</v>
      </c>
      <c r="BA190" s="2"/>
    </row>
    <row r="191" spans="1:53" x14ac:dyDescent="0.45">
      <c r="A191" s="62" t="s">
        <v>1285</v>
      </c>
      <c r="B191" s="63"/>
      <c r="C191" s="63"/>
      <c r="D191" s="64"/>
      <c r="E191" s="66"/>
      <c r="F191" s="98" t="str">
        <f>HYPERLINK("https://pbs.twimg.com/profile_images/1350176173666553861/qyD9pKoC_normal.png")</f>
        <v>https://pbs.twimg.com/profile_images/1350176173666553861/qyD9pKoC_normal.png</v>
      </c>
      <c r="G191" s="63"/>
      <c r="H191" s="67"/>
      <c r="I191" s="68"/>
      <c r="J191" s="68"/>
      <c r="K191" s="67" t="s">
        <v>9789</v>
      </c>
      <c r="L191" s="71"/>
      <c r="M191" s="72"/>
      <c r="N191" s="72"/>
      <c r="O191" s="73"/>
      <c r="P191" s="74"/>
      <c r="Q191" s="74"/>
      <c r="R191" s="81"/>
      <c r="S191" s="81"/>
      <c r="T191" s="81"/>
      <c r="U191" s="81"/>
      <c r="V191" s="48"/>
      <c r="W191" s="48"/>
      <c r="X191" s="48"/>
      <c r="Y191" s="48"/>
      <c r="Z191" s="47"/>
      <c r="AA191" s="69"/>
      <c r="AB191" s="69"/>
      <c r="AC191" s="70"/>
      <c r="AD191" t="s">
        <v>5481</v>
      </c>
      <c r="AE191" s="78" t="s">
        <v>6738</v>
      </c>
      <c r="AF191">
        <v>1247</v>
      </c>
      <c r="AG191">
        <v>221225</v>
      </c>
      <c r="AH191">
        <v>18385</v>
      </c>
      <c r="AI191">
        <v>15537</v>
      </c>
      <c r="AK191" t="s">
        <v>7910</v>
      </c>
      <c r="AL191" t="s">
        <v>8920</v>
      </c>
      <c r="AM191" s="79" t="str">
        <f>HYPERLINK("https://t.co/mtfSJWboxf")</f>
        <v>https://t.co/mtfSJWboxf</v>
      </c>
      <c r="AO191" s="76">
        <v>39899.641435185185</v>
      </c>
      <c r="AP191" s="79" t="str">
        <f>HYPERLINK("https://pbs.twimg.com/profile_banners/27025414/1661535581")</f>
        <v>https://pbs.twimg.com/profile_banners/27025414/1661535581</v>
      </c>
      <c r="AQ191" t="b">
        <v>0</v>
      </c>
      <c r="AR191" t="b">
        <v>0</v>
      </c>
      <c r="AS191" t="b">
        <v>0</v>
      </c>
      <c r="AU191">
        <v>2238</v>
      </c>
      <c r="AV191" s="79" t="str">
        <f>HYPERLINK("https://abs.twimg.com/images/themes/theme4/bg.gif")</f>
        <v>https://abs.twimg.com/images/themes/theme4/bg.gif</v>
      </c>
      <c r="AW191" t="b">
        <v>1</v>
      </c>
      <c r="AX191" t="s">
        <v>9303</v>
      </c>
      <c r="AY191" s="79" t="str">
        <f>HYPERLINK("https://twitter.com/proctergamble")</f>
        <v>https://twitter.com/proctergamble</v>
      </c>
      <c r="AZ191" t="s">
        <v>65</v>
      </c>
      <c r="BA191" s="2"/>
    </row>
    <row r="192" spans="1:53" x14ac:dyDescent="0.45">
      <c r="A192" s="62" t="s">
        <v>1541</v>
      </c>
      <c r="B192" s="63"/>
      <c r="C192" s="63"/>
      <c r="D192" s="64"/>
      <c r="E192" s="66"/>
      <c r="F192" s="98" t="str">
        <f>HYPERLINK("https://pbs.twimg.com/profile_images/1618575477781807105/iDuRlqTe_normal.jpg")</f>
        <v>https://pbs.twimg.com/profile_images/1618575477781807105/iDuRlqTe_normal.jpg</v>
      </c>
      <c r="G192" s="63"/>
      <c r="H192" s="67"/>
      <c r="I192" s="68"/>
      <c r="J192" s="68"/>
      <c r="K192" s="67" t="s">
        <v>10591</v>
      </c>
      <c r="L192" s="71"/>
      <c r="M192" s="72"/>
      <c r="N192" s="72"/>
      <c r="O192" s="73"/>
      <c r="P192" s="74"/>
      <c r="Q192" s="74"/>
      <c r="R192" s="81"/>
      <c r="S192" s="81"/>
      <c r="T192" s="81"/>
      <c r="U192" s="81"/>
      <c r="V192" s="48"/>
      <c r="W192" s="48"/>
      <c r="X192" s="48"/>
      <c r="Y192" s="48"/>
      <c r="Z192" s="47"/>
      <c r="AA192" s="69"/>
      <c r="AB192" s="69"/>
      <c r="AC192" s="70"/>
      <c r="AD192" t="s">
        <v>6269</v>
      </c>
      <c r="AE192" s="78" t="s">
        <v>7439</v>
      </c>
      <c r="AF192">
        <v>540</v>
      </c>
      <c r="AG192">
        <v>220848</v>
      </c>
      <c r="AH192">
        <v>34617</v>
      </c>
      <c r="AI192">
        <v>6263</v>
      </c>
      <c r="AK192" t="s">
        <v>8615</v>
      </c>
      <c r="AL192" t="s">
        <v>9278</v>
      </c>
      <c r="AM192" s="79" t="str">
        <f>HYPERLINK("https://t.co/1dBQAW35Wr")</f>
        <v>https://t.co/1dBQAW35Wr</v>
      </c>
      <c r="AO192" s="76">
        <v>40185.946921296294</v>
      </c>
      <c r="AP192" s="79" t="str">
        <f>HYPERLINK("https://pbs.twimg.com/profile_banners/102812444/1627937102")</f>
        <v>https://pbs.twimg.com/profile_banners/102812444/1627937102</v>
      </c>
      <c r="AQ192" t="b">
        <v>0</v>
      </c>
      <c r="AR192" t="b">
        <v>0</v>
      </c>
      <c r="AS192" t="b">
        <v>0</v>
      </c>
      <c r="AU192">
        <v>2784</v>
      </c>
      <c r="AV192" s="79" t="str">
        <f>HYPERLINK("https://abs.twimg.com/images/themes/theme1/bg.png")</f>
        <v>https://abs.twimg.com/images/themes/theme1/bg.png</v>
      </c>
      <c r="AW192" t="b">
        <v>1</v>
      </c>
      <c r="AX192" t="s">
        <v>9303</v>
      </c>
      <c r="AY192" s="79" t="str">
        <f>HYPERLINK("https://twitter.com/stripe")</f>
        <v>https://twitter.com/stripe</v>
      </c>
      <c r="AZ192" t="s">
        <v>65</v>
      </c>
      <c r="BA192" s="2"/>
    </row>
    <row r="193" spans="1:53" x14ac:dyDescent="0.45">
      <c r="A193" s="62" t="s">
        <v>1529</v>
      </c>
      <c r="B193" s="63"/>
      <c r="C193" s="63"/>
      <c r="D193" s="64"/>
      <c r="E193" s="66"/>
      <c r="F193" s="98" t="str">
        <f>HYPERLINK("https://pbs.twimg.com/profile_images/1538574383807086592/OavDidHn_normal.jpg")</f>
        <v>https://pbs.twimg.com/profile_images/1538574383807086592/OavDidHn_normal.jpg</v>
      </c>
      <c r="G193" s="63"/>
      <c r="H193" s="67"/>
      <c r="I193" s="68"/>
      <c r="J193" s="68"/>
      <c r="K193" s="67" t="s">
        <v>10563</v>
      </c>
      <c r="L193" s="71"/>
      <c r="M193" s="72"/>
      <c r="N193" s="72"/>
      <c r="O193" s="73"/>
      <c r="P193" s="74"/>
      <c r="Q193" s="74"/>
      <c r="R193" s="81"/>
      <c r="S193" s="81"/>
      <c r="T193" s="81"/>
      <c r="U193" s="81"/>
      <c r="V193" s="48"/>
      <c r="W193" s="48"/>
      <c r="X193" s="48"/>
      <c r="Y193" s="48"/>
      <c r="Z193" s="47"/>
      <c r="AA193" s="69"/>
      <c r="AB193" s="69"/>
      <c r="AC193" s="70"/>
      <c r="AD193" t="s">
        <v>6241</v>
      </c>
      <c r="AE193" s="78" t="s">
        <v>7416</v>
      </c>
      <c r="AF193">
        <v>351</v>
      </c>
      <c r="AG193">
        <v>216854</v>
      </c>
      <c r="AH193">
        <v>46032</v>
      </c>
      <c r="AI193">
        <v>22615</v>
      </c>
      <c r="AK193" t="s">
        <v>8589</v>
      </c>
      <c r="AL193" t="s">
        <v>8772</v>
      </c>
      <c r="AM193" s="79" t="str">
        <f>HYPERLINK("https://t.co/bLRnPL2uJy")</f>
        <v>https://t.co/bLRnPL2uJy</v>
      </c>
      <c r="AO193" s="76">
        <v>41444.781064814815</v>
      </c>
      <c r="AP193" s="79" t="str">
        <f>HYPERLINK("https://pbs.twimg.com/profile_banners/1531669496/1672787569")</f>
        <v>https://pbs.twimg.com/profile_banners/1531669496/1672787569</v>
      </c>
      <c r="AQ193" t="b">
        <v>0</v>
      </c>
      <c r="AR193" t="b">
        <v>0</v>
      </c>
      <c r="AS193" t="b">
        <v>0</v>
      </c>
      <c r="AU193">
        <v>551</v>
      </c>
      <c r="AV193" s="79" t="str">
        <f>HYPERLINK("https://abs.twimg.com/images/themes/theme14/bg.gif")</f>
        <v>https://abs.twimg.com/images/themes/theme14/bg.gif</v>
      </c>
      <c r="AW193" t="b">
        <v>1</v>
      </c>
      <c r="AX193" t="s">
        <v>9303</v>
      </c>
      <c r="AY193" s="79" t="str">
        <f>HYPERLINK("https://twitter.com/doordash")</f>
        <v>https://twitter.com/doordash</v>
      </c>
      <c r="AZ193" t="s">
        <v>65</v>
      </c>
      <c r="BA193" s="2"/>
    </row>
    <row r="194" spans="1:53" x14ac:dyDescent="0.45">
      <c r="A194" s="62" t="s">
        <v>594</v>
      </c>
      <c r="B194" s="63"/>
      <c r="C194" s="63"/>
      <c r="D194" s="64"/>
      <c r="E194" s="66"/>
      <c r="F194" s="98" t="str">
        <f>HYPERLINK("https://pbs.twimg.com/profile_images/1095051798614822914/obPxDgCM_normal.jpg")</f>
        <v>https://pbs.twimg.com/profile_images/1095051798614822914/obPxDgCM_normal.jpg</v>
      </c>
      <c r="G194" s="63"/>
      <c r="H194" s="67"/>
      <c r="I194" s="68"/>
      <c r="J194" s="68"/>
      <c r="K194" s="67" t="s">
        <v>9892</v>
      </c>
      <c r="L194" s="71"/>
      <c r="M194" s="72"/>
      <c r="N194" s="72"/>
      <c r="O194" s="73"/>
      <c r="P194" s="74"/>
      <c r="Q194" s="74"/>
      <c r="R194" s="81"/>
      <c r="S194" s="81"/>
      <c r="T194" s="81"/>
      <c r="U194" s="81"/>
      <c r="V194" s="48"/>
      <c r="W194" s="48"/>
      <c r="X194" s="48"/>
      <c r="Y194" s="48"/>
      <c r="Z194" s="47"/>
      <c r="AA194" s="69"/>
      <c r="AB194" s="69"/>
      <c r="AC194" s="70"/>
      <c r="AD194" t="s">
        <v>5583</v>
      </c>
      <c r="AE194" s="78" t="s">
        <v>6831</v>
      </c>
      <c r="AF194">
        <v>2015</v>
      </c>
      <c r="AG194">
        <v>213855</v>
      </c>
      <c r="AH194">
        <v>304333</v>
      </c>
      <c r="AI194">
        <v>3307</v>
      </c>
      <c r="AK194" t="s">
        <v>8006</v>
      </c>
      <c r="AL194" t="s">
        <v>8978</v>
      </c>
      <c r="AM194" s="79" t="str">
        <f>HYPERLINK("http://t.co/ciJPXP2KCF")</f>
        <v>http://t.co/ciJPXP2KCF</v>
      </c>
      <c r="AO194" s="76">
        <v>39632.551585648151</v>
      </c>
      <c r="AP194" s="79" t="str">
        <f>HYPERLINK("https://pbs.twimg.com/profile_banners/15308015/1616161582")</f>
        <v>https://pbs.twimg.com/profile_banners/15308015/1616161582</v>
      </c>
      <c r="AQ194" t="b">
        <v>0</v>
      </c>
      <c r="AR194" t="b">
        <v>0</v>
      </c>
      <c r="AS194" t="b">
        <v>1</v>
      </c>
      <c r="AU194">
        <v>1289</v>
      </c>
      <c r="AV194" s="79" t="str">
        <f>HYPERLINK("https://abs.twimg.com/images/themes/theme1/bg.png")</f>
        <v>https://abs.twimg.com/images/themes/theme1/bg.png</v>
      </c>
      <c r="AW194" t="b">
        <v>1</v>
      </c>
      <c r="AX194" t="s">
        <v>9303</v>
      </c>
      <c r="AY194" s="79" t="str">
        <f>HYPERLINK("https://twitter.com/wgrz")</f>
        <v>https://twitter.com/wgrz</v>
      </c>
      <c r="AZ194" t="s">
        <v>66</v>
      </c>
      <c r="BA194" s="2"/>
    </row>
    <row r="195" spans="1:53" x14ac:dyDescent="0.45">
      <c r="A195" s="62" t="s">
        <v>1166</v>
      </c>
      <c r="B195" s="63"/>
      <c r="C195" s="63"/>
      <c r="D195" s="64"/>
      <c r="E195" s="66"/>
      <c r="F195" s="98" t="str">
        <f>HYPERLINK("https://pbs.twimg.com/profile_images/1620826765487738889/HRRDvBV3_normal.jpg")</f>
        <v>https://pbs.twimg.com/profile_images/1620826765487738889/HRRDvBV3_normal.jpg</v>
      </c>
      <c r="G195" s="63"/>
      <c r="H195" s="67"/>
      <c r="I195" s="68"/>
      <c r="J195" s="68"/>
      <c r="K195" s="67" t="s">
        <v>9441</v>
      </c>
      <c r="L195" s="71"/>
      <c r="M195" s="72"/>
      <c r="N195" s="72"/>
      <c r="O195" s="73"/>
      <c r="P195" s="74"/>
      <c r="Q195" s="74"/>
      <c r="R195" s="81"/>
      <c r="S195" s="81"/>
      <c r="T195" s="81"/>
      <c r="U195" s="81"/>
      <c r="V195" s="48"/>
      <c r="W195" s="48"/>
      <c r="X195" s="48"/>
      <c r="Y195" s="48"/>
      <c r="Z195" s="47"/>
      <c r="AA195" s="69"/>
      <c r="AB195" s="69"/>
      <c r="AC195" s="70"/>
      <c r="AD195" t="s">
        <v>5135</v>
      </c>
      <c r="AE195" s="78" t="s">
        <v>6440</v>
      </c>
      <c r="AF195">
        <v>244</v>
      </c>
      <c r="AG195">
        <v>205226</v>
      </c>
      <c r="AH195">
        <v>12924</v>
      </c>
      <c r="AI195">
        <v>2426</v>
      </c>
      <c r="AK195" t="s">
        <v>7610</v>
      </c>
      <c r="AL195" t="s">
        <v>8722</v>
      </c>
      <c r="AM195" s="79" t="str">
        <f>HYPERLINK("https://t.co/yqlldUZ2pb")</f>
        <v>https://t.co/yqlldUZ2pb</v>
      </c>
      <c r="AO195" s="76">
        <v>41248.693738425929</v>
      </c>
      <c r="AP195" s="79" t="str">
        <f>HYPERLINK("https://pbs.twimg.com/profile_banners/991322275/1675270202")</f>
        <v>https://pbs.twimg.com/profile_banners/991322275/1675270202</v>
      </c>
      <c r="AQ195" t="b">
        <v>0</v>
      </c>
      <c r="AR195" t="b">
        <v>0</v>
      </c>
      <c r="AS195" t="b">
        <v>1</v>
      </c>
      <c r="AU195">
        <v>441</v>
      </c>
      <c r="AV195" s="79" t="str">
        <f>HYPERLINK("https://abs.twimg.com/images/themes/theme9/bg.gif")</f>
        <v>https://abs.twimg.com/images/themes/theme9/bg.gif</v>
      </c>
      <c r="AW195" t="b">
        <v>1</v>
      </c>
      <c r="AX195" t="s">
        <v>9303</v>
      </c>
      <c r="AY195" s="79" t="str">
        <f>HYPERLINK("https://twitter.com/xboxcanada")</f>
        <v>https://twitter.com/xboxcanada</v>
      </c>
      <c r="AZ195" t="s">
        <v>65</v>
      </c>
      <c r="BA195" s="2"/>
    </row>
    <row r="196" spans="1:53" x14ac:dyDescent="0.45">
      <c r="A196" s="62" t="s">
        <v>564</v>
      </c>
      <c r="B196" s="63"/>
      <c r="C196" s="63"/>
      <c r="D196" s="64"/>
      <c r="E196" s="66"/>
      <c r="F196" s="98" t="str">
        <f>HYPERLINK("https://pbs.twimg.com/profile_images/1176895016867905536/_zeHOc_q_normal.jpg")</f>
        <v>https://pbs.twimg.com/profile_images/1176895016867905536/_zeHOc_q_normal.jpg</v>
      </c>
      <c r="G196" s="63"/>
      <c r="H196" s="67"/>
      <c r="I196" s="68"/>
      <c r="J196" s="68"/>
      <c r="K196" s="67" t="s">
        <v>9862</v>
      </c>
      <c r="L196" s="71"/>
      <c r="M196" s="72"/>
      <c r="N196" s="72"/>
      <c r="O196" s="73"/>
      <c r="P196" s="74"/>
      <c r="Q196" s="74"/>
      <c r="R196" s="81"/>
      <c r="S196" s="81"/>
      <c r="T196" s="81"/>
      <c r="U196" s="81"/>
      <c r="V196" s="48"/>
      <c r="W196" s="48"/>
      <c r="X196" s="48"/>
      <c r="Y196" s="48"/>
      <c r="Z196" s="47"/>
      <c r="AA196" s="69"/>
      <c r="AB196" s="69"/>
      <c r="AC196" s="70"/>
      <c r="AD196" t="s">
        <v>5553</v>
      </c>
      <c r="AE196" s="78" t="s">
        <v>6801</v>
      </c>
      <c r="AF196">
        <v>17606</v>
      </c>
      <c r="AG196">
        <v>200972</v>
      </c>
      <c r="AH196">
        <v>360366</v>
      </c>
      <c r="AI196">
        <v>10047</v>
      </c>
      <c r="AK196" t="s">
        <v>7976</v>
      </c>
      <c r="AL196" t="s">
        <v>8955</v>
      </c>
      <c r="AM196" s="79" t="str">
        <f>HYPERLINK("https://t.co/HdshrYlpu6")</f>
        <v>https://t.co/HdshrYlpu6</v>
      </c>
      <c r="AO196" s="76">
        <v>39541.851226851853</v>
      </c>
      <c r="AP196" s="79" t="str">
        <f>HYPERLINK("https://pbs.twimg.com/profile_banners/14296548/1610388817")</f>
        <v>https://pbs.twimg.com/profile_banners/14296548/1610388817</v>
      </c>
      <c r="AQ196" t="b">
        <v>0</v>
      </c>
      <c r="AR196" t="b">
        <v>0</v>
      </c>
      <c r="AS196" t="b">
        <v>1</v>
      </c>
      <c r="AU196">
        <v>1784</v>
      </c>
      <c r="AV196" s="79" t="str">
        <f>HYPERLINK("https://abs.twimg.com/images/themes/theme5/bg.gif")</f>
        <v>https://abs.twimg.com/images/themes/theme5/bg.gif</v>
      </c>
      <c r="AW196" t="b">
        <v>1</v>
      </c>
      <c r="AX196" t="s">
        <v>9303</v>
      </c>
      <c r="AY196" s="79" t="str">
        <f>HYPERLINK("https://twitter.com/wkyc")</f>
        <v>https://twitter.com/wkyc</v>
      </c>
      <c r="AZ196" t="s">
        <v>66</v>
      </c>
      <c r="BA196" s="2"/>
    </row>
    <row r="197" spans="1:53" x14ac:dyDescent="0.45">
      <c r="A197" s="62" t="s">
        <v>1214</v>
      </c>
      <c r="B197" s="63"/>
      <c r="C197" s="63"/>
      <c r="D197" s="64"/>
      <c r="E197" s="66"/>
      <c r="F197" s="98" t="str">
        <f>HYPERLINK("https://pbs.twimg.com/profile_images/1197612145820594176/omdc0qqe_normal.jpg")</f>
        <v>https://pbs.twimg.com/profile_images/1197612145820594176/omdc0qqe_normal.jpg</v>
      </c>
      <c r="G197" s="63"/>
      <c r="H197" s="67"/>
      <c r="I197" s="68"/>
      <c r="J197" s="68"/>
      <c r="K197" s="67" t="s">
        <v>9532</v>
      </c>
      <c r="L197" s="71"/>
      <c r="M197" s="72"/>
      <c r="N197" s="72"/>
      <c r="O197" s="73"/>
      <c r="P197" s="74"/>
      <c r="Q197" s="74"/>
      <c r="R197" s="81"/>
      <c r="S197" s="81"/>
      <c r="T197" s="81"/>
      <c r="U197" s="81"/>
      <c r="V197" s="48"/>
      <c r="W197" s="48"/>
      <c r="X197" s="48"/>
      <c r="Y197" s="48"/>
      <c r="Z197" s="47"/>
      <c r="AA197" s="69"/>
      <c r="AB197" s="69"/>
      <c r="AC197" s="70"/>
      <c r="AD197" t="s">
        <v>5226</v>
      </c>
      <c r="AE197" s="78" t="s">
        <v>6510</v>
      </c>
      <c r="AF197">
        <v>1187</v>
      </c>
      <c r="AG197">
        <v>199766</v>
      </c>
      <c r="AH197">
        <v>40381</v>
      </c>
      <c r="AI197">
        <v>8626</v>
      </c>
      <c r="AK197" t="s">
        <v>7694</v>
      </c>
      <c r="AL197" t="s">
        <v>8738</v>
      </c>
      <c r="AM197" s="79" t="str">
        <f>HYPERLINK("http://t.co/WXPbeTAL8D")</f>
        <v>http://t.co/WXPbeTAL8D</v>
      </c>
      <c r="AO197" s="76">
        <v>39889.627662037034</v>
      </c>
      <c r="AP197" s="79" t="str">
        <f>HYPERLINK("https://pbs.twimg.com/profile_banners/24894213/1591644174")</f>
        <v>https://pbs.twimg.com/profile_banners/24894213/1591644174</v>
      </c>
      <c r="AQ197" t="b">
        <v>0</v>
      </c>
      <c r="AR197" t="b">
        <v>0</v>
      </c>
      <c r="AS197" t="b">
        <v>1</v>
      </c>
      <c r="AU197">
        <v>1913</v>
      </c>
      <c r="AV197" s="79" t="str">
        <f>HYPERLINK("https://abs.twimg.com/images/themes/theme1/bg.png")</f>
        <v>https://abs.twimg.com/images/themes/theme1/bg.png</v>
      </c>
      <c r="AW197" t="b">
        <v>1</v>
      </c>
      <c r="AX197" t="s">
        <v>9303</v>
      </c>
      <c r="AY197" s="79" t="str">
        <f>HYPERLINK("https://twitter.com/penn")</f>
        <v>https://twitter.com/penn</v>
      </c>
      <c r="AZ197" t="s">
        <v>65</v>
      </c>
      <c r="BA197" s="2"/>
    </row>
    <row r="198" spans="1:53" x14ac:dyDescent="0.45">
      <c r="A198" s="62" t="s">
        <v>1171</v>
      </c>
      <c r="B198" s="63"/>
      <c r="C198" s="63"/>
      <c r="D198" s="64"/>
      <c r="E198" s="66"/>
      <c r="F198" s="98" t="str">
        <f>HYPERLINK("https://pbs.twimg.com/profile_images/1555182071651471366/2esOby_l_normal.jpg")</f>
        <v>https://pbs.twimg.com/profile_images/1555182071651471366/2esOby_l_normal.jpg</v>
      </c>
      <c r="G198" s="63"/>
      <c r="H198" s="67"/>
      <c r="I198" s="68"/>
      <c r="J198" s="68"/>
      <c r="K198" s="67" t="s">
        <v>9450</v>
      </c>
      <c r="L198" s="71"/>
      <c r="M198" s="72"/>
      <c r="N198" s="72"/>
      <c r="O198" s="73"/>
      <c r="P198" s="74"/>
      <c r="Q198" s="74"/>
      <c r="R198" s="81"/>
      <c r="S198" s="81"/>
      <c r="T198" s="81"/>
      <c r="U198" s="81"/>
      <c r="V198" s="48"/>
      <c r="W198" s="48"/>
      <c r="X198" s="48"/>
      <c r="Y198" s="48"/>
      <c r="Z198" s="47"/>
      <c r="AA198" s="69"/>
      <c r="AB198" s="69"/>
      <c r="AC198" s="70"/>
      <c r="AD198" t="s">
        <v>5144</v>
      </c>
      <c r="AE198" s="78" t="s">
        <v>6447</v>
      </c>
      <c r="AF198">
        <v>1182</v>
      </c>
      <c r="AG198">
        <v>194739</v>
      </c>
      <c r="AH198">
        <v>17236</v>
      </c>
      <c r="AI198">
        <v>2445</v>
      </c>
      <c r="AK198" t="s">
        <v>7617</v>
      </c>
      <c r="AL198" t="s">
        <v>8760</v>
      </c>
      <c r="AM198" s="79" t="str">
        <f>HYPERLINK("https://t.co/cscPwJQXJZ")</f>
        <v>https://t.co/cscPwJQXJZ</v>
      </c>
      <c r="AO198" s="76">
        <v>41797.021284722221</v>
      </c>
      <c r="AP198" s="79" t="str">
        <f>HYPERLINK("https://pbs.twimg.com/profile_banners/2551259005/1669851443")</f>
        <v>https://pbs.twimg.com/profile_banners/2551259005/1669851443</v>
      </c>
      <c r="AQ198" t="b">
        <v>0</v>
      </c>
      <c r="AR198" t="b">
        <v>0</v>
      </c>
      <c r="AS198" t="b">
        <v>0</v>
      </c>
      <c r="AU198">
        <v>368</v>
      </c>
      <c r="AV198" s="79" t="str">
        <f>HYPERLINK("https://abs.twimg.com/images/themes/theme1/bg.png")</f>
        <v>https://abs.twimg.com/images/themes/theme1/bg.png</v>
      </c>
      <c r="AW198" t="b">
        <v>1</v>
      </c>
      <c r="AX198" t="s">
        <v>9303</v>
      </c>
      <c r="AY198" s="79" t="str">
        <f>HYPERLINK("https://twitter.com/wishshopping")</f>
        <v>https://twitter.com/wishshopping</v>
      </c>
      <c r="AZ198" t="s">
        <v>65</v>
      </c>
      <c r="BA198" s="2"/>
    </row>
    <row r="199" spans="1:53" x14ac:dyDescent="0.45">
      <c r="A199" s="62" t="s">
        <v>1222</v>
      </c>
      <c r="B199" s="63"/>
      <c r="C199" s="63"/>
      <c r="D199" s="64"/>
      <c r="E199" s="66"/>
      <c r="F199" s="98" t="str">
        <f>HYPERLINK("https://pbs.twimg.com/profile_images/1410671543844327431/b_kzNAQ7_normal.jpg")</f>
        <v>https://pbs.twimg.com/profile_images/1410671543844327431/b_kzNAQ7_normal.jpg</v>
      </c>
      <c r="G199" s="63"/>
      <c r="H199" s="67"/>
      <c r="I199" s="68"/>
      <c r="J199" s="68"/>
      <c r="K199" s="67" t="s">
        <v>9547</v>
      </c>
      <c r="L199" s="71"/>
      <c r="M199" s="72"/>
      <c r="N199" s="72"/>
      <c r="O199" s="73"/>
      <c r="P199" s="74"/>
      <c r="Q199" s="74"/>
      <c r="R199" s="81"/>
      <c r="S199" s="81"/>
      <c r="T199" s="81"/>
      <c r="U199" s="81"/>
      <c r="V199" s="48"/>
      <c r="W199" s="48"/>
      <c r="X199" s="48"/>
      <c r="Y199" s="48"/>
      <c r="Z199" s="47"/>
      <c r="AA199" s="69"/>
      <c r="AB199" s="69"/>
      <c r="AC199" s="70"/>
      <c r="AD199" t="s">
        <v>5240</v>
      </c>
      <c r="AE199" s="78" t="s">
        <v>6523</v>
      </c>
      <c r="AF199">
        <v>729</v>
      </c>
      <c r="AG199">
        <v>192752</v>
      </c>
      <c r="AH199">
        <v>23653</v>
      </c>
      <c r="AI199">
        <v>4810</v>
      </c>
      <c r="AK199" t="s">
        <v>7708</v>
      </c>
      <c r="AL199" t="s">
        <v>4901</v>
      </c>
      <c r="AM199" s="79" t="str">
        <f>HYPERLINK("https://t.co/3ucebEKPhF")</f>
        <v>https://t.co/3ucebEKPhF</v>
      </c>
      <c r="AO199" s="76">
        <v>39672.923148148147</v>
      </c>
      <c r="AP199" s="79" t="str">
        <f>HYPERLINK("https://pbs.twimg.com/profile_banners/15829003/1581510728")</f>
        <v>https://pbs.twimg.com/profile_banners/15829003/1581510728</v>
      </c>
      <c r="AQ199" t="b">
        <v>0</v>
      </c>
      <c r="AR199" t="b">
        <v>0</v>
      </c>
      <c r="AS199" t="b">
        <v>1</v>
      </c>
      <c r="AU199">
        <v>2501</v>
      </c>
      <c r="AV199" s="79" t="str">
        <f>HYPERLINK("https://abs.twimg.com/images/themes/theme1/bg.png")</f>
        <v>https://abs.twimg.com/images/themes/theme1/bg.png</v>
      </c>
      <c r="AW199" t="b">
        <v>1</v>
      </c>
      <c r="AX199" t="s">
        <v>9303</v>
      </c>
      <c r="AY199" s="79" t="str">
        <f>HYPERLINK("https://twitter.com/bp_america")</f>
        <v>https://twitter.com/bp_america</v>
      </c>
      <c r="AZ199" t="s">
        <v>65</v>
      </c>
      <c r="BA199" s="2"/>
    </row>
    <row r="200" spans="1:53" x14ac:dyDescent="0.45">
      <c r="A200" s="62" t="s">
        <v>1212</v>
      </c>
      <c r="B200" s="63"/>
      <c r="C200" s="63"/>
      <c r="D200" s="64"/>
      <c r="E200" s="66"/>
      <c r="F200" s="98" t="str">
        <f>HYPERLINK("https://pbs.twimg.com/profile_images/1407028301923770368/p9VY682G_normal.jpg")</f>
        <v>https://pbs.twimg.com/profile_images/1407028301923770368/p9VY682G_normal.jpg</v>
      </c>
      <c r="G200" s="63"/>
      <c r="H200" s="67"/>
      <c r="I200" s="68"/>
      <c r="J200" s="68"/>
      <c r="K200" s="67" t="s">
        <v>9528</v>
      </c>
      <c r="L200" s="71"/>
      <c r="M200" s="72"/>
      <c r="N200" s="72"/>
      <c r="O200" s="73"/>
      <c r="P200" s="74"/>
      <c r="Q200" s="74"/>
      <c r="R200" s="81"/>
      <c r="S200" s="81"/>
      <c r="T200" s="81"/>
      <c r="U200" s="81"/>
      <c r="V200" s="48"/>
      <c r="W200" s="48"/>
      <c r="X200" s="48"/>
      <c r="Y200" s="48"/>
      <c r="Z200" s="47"/>
      <c r="AA200" s="69"/>
      <c r="AB200" s="69"/>
      <c r="AC200" s="70"/>
      <c r="AD200" t="s">
        <v>5222</v>
      </c>
      <c r="AE200" s="78" t="s">
        <v>4677</v>
      </c>
      <c r="AF200">
        <v>3966</v>
      </c>
      <c r="AG200">
        <v>189256</v>
      </c>
      <c r="AH200">
        <v>32647</v>
      </c>
      <c r="AI200">
        <v>9353</v>
      </c>
      <c r="AK200" t="s">
        <v>7690</v>
      </c>
      <c r="AL200" t="s">
        <v>8708</v>
      </c>
      <c r="AM200" s="79" t="str">
        <f>HYPERLINK("https://t.co/wyw6a4EmMq")</f>
        <v>https://t.co/wyw6a4EmMq</v>
      </c>
      <c r="AO200" s="76">
        <v>39874.555162037039</v>
      </c>
      <c r="AP200" s="79" t="str">
        <f>HYPERLINK("https://pbs.twimg.com/profile_banners/22482597/1581607369")</f>
        <v>https://pbs.twimg.com/profile_banners/22482597/1581607369</v>
      </c>
      <c r="AQ200" t="b">
        <v>0</v>
      </c>
      <c r="AR200" t="b">
        <v>0</v>
      </c>
      <c r="AS200" t="b">
        <v>1</v>
      </c>
      <c r="AU200">
        <v>1676</v>
      </c>
      <c r="AV200" s="79" t="str">
        <f>HYPERLINK("https://abs.twimg.com/images/themes/theme1/bg.png")</f>
        <v>https://abs.twimg.com/images/themes/theme1/bg.png</v>
      </c>
      <c r="AW200" t="b">
        <v>1</v>
      </c>
      <c r="AX200" t="s">
        <v>9303</v>
      </c>
      <c r="AY200" s="79" t="str">
        <f>HYPERLINK("https://twitter.com/gnclivewell")</f>
        <v>https://twitter.com/gnclivewell</v>
      </c>
      <c r="AZ200" t="s">
        <v>65</v>
      </c>
      <c r="BA200" s="2"/>
    </row>
    <row r="201" spans="1:53" x14ac:dyDescent="0.45">
      <c r="A201" s="62" t="s">
        <v>1403</v>
      </c>
      <c r="B201" s="63"/>
      <c r="C201" s="63"/>
      <c r="D201" s="64"/>
      <c r="E201" s="66"/>
      <c r="F201" s="98" t="str">
        <f>HYPERLINK("https://pbs.twimg.com/profile_images/1542858098750197760/WXdRZ3xJ_normal.jpg")</f>
        <v>https://pbs.twimg.com/profile_images/1542858098750197760/WXdRZ3xJ_normal.jpg</v>
      </c>
      <c r="G201" s="63"/>
      <c r="H201" s="67"/>
      <c r="I201" s="68"/>
      <c r="J201" s="68"/>
      <c r="K201" s="67" t="s">
        <v>10248</v>
      </c>
      <c r="L201" s="71"/>
      <c r="M201" s="72"/>
      <c r="N201" s="72"/>
      <c r="O201" s="73"/>
      <c r="P201" s="74"/>
      <c r="Q201" s="74"/>
      <c r="R201" s="81"/>
      <c r="S201" s="81"/>
      <c r="T201" s="81"/>
      <c r="U201" s="81"/>
      <c r="V201" s="48"/>
      <c r="W201" s="48"/>
      <c r="X201" s="48"/>
      <c r="Y201" s="48"/>
      <c r="Z201" s="47"/>
      <c r="AA201" s="69"/>
      <c r="AB201" s="69"/>
      <c r="AC201" s="70"/>
      <c r="AD201" t="s">
        <v>5931</v>
      </c>
      <c r="AE201" s="78" t="s">
        <v>7146</v>
      </c>
      <c r="AF201">
        <v>582</v>
      </c>
      <c r="AG201">
        <v>188638</v>
      </c>
      <c r="AH201">
        <v>14178</v>
      </c>
      <c r="AI201">
        <v>4574</v>
      </c>
      <c r="AK201" t="s">
        <v>8310</v>
      </c>
      <c r="AM201" s="79" t="str">
        <f>HYPERLINK("https://t.co/Xobg5jMzq0")</f>
        <v>https://t.co/Xobg5jMzq0</v>
      </c>
      <c r="AO201" s="76">
        <v>40086.081446759257</v>
      </c>
      <c r="AP201" s="79" t="str">
        <f>HYPERLINK("https://pbs.twimg.com/profile_banners/78482616/1675098743")</f>
        <v>https://pbs.twimg.com/profile_banners/78482616/1675098743</v>
      </c>
      <c r="AQ201" t="b">
        <v>0</v>
      </c>
      <c r="AR201" t="b">
        <v>0</v>
      </c>
      <c r="AS201" t="b">
        <v>1</v>
      </c>
      <c r="AU201">
        <v>1352</v>
      </c>
      <c r="AV201" s="79" t="str">
        <f>HYPERLINK("https://abs.twimg.com/images/themes/theme1/bg.png")</f>
        <v>https://abs.twimg.com/images/themes/theme1/bg.png</v>
      </c>
      <c r="AW201" t="b">
        <v>1</v>
      </c>
      <c r="AX201" t="s">
        <v>9303</v>
      </c>
      <c r="AY201" s="79" t="str">
        <f>HYPERLINK("https://twitter.com/hasbro")</f>
        <v>https://twitter.com/hasbro</v>
      </c>
      <c r="AZ201" t="s">
        <v>65</v>
      </c>
      <c r="BA201" s="2"/>
    </row>
    <row r="202" spans="1:53" x14ac:dyDescent="0.45">
      <c r="A202" s="62" t="s">
        <v>597</v>
      </c>
      <c r="B202" s="63"/>
      <c r="C202" s="63"/>
      <c r="D202" s="64"/>
      <c r="E202" s="66"/>
      <c r="F202" s="98" t="str">
        <f>HYPERLINK("https://pbs.twimg.com/profile_images/1345928858651021313/RfkWQG-o_normal.jpg")</f>
        <v>https://pbs.twimg.com/profile_images/1345928858651021313/RfkWQG-o_normal.jpg</v>
      </c>
      <c r="G202" s="63"/>
      <c r="H202" s="67"/>
      <c r="I202" s="68"/>
      <c r="J202" s="68"/>
      <c r="K202" s="67" t="s">
        <v>9895</v>
      </c>
      <c r="L202" s="71"/>
      <c r="M202" s="72"/>
      <c r="N202" s="72"/>
      <c r="O202" s="73"/>
      <c r="P202" s="74"/>
      <c r="Q202" s="74"/>
      <c r="R202" s="81"/>
      <c r="S202" s="81"/>
      <c r="T202" s="81"/>
      <c r="U202" s="81"/>
      <c r="V202" s="48"/>
      <c r="W202" s="48"/>
      <c r="X202" s="48"/>
      <c r="Y202" s="48"/>
      <c r="Z202" s="47"/>
      <c r="AA202" s="69"/>
      <c r="AB202" s="69"/>
      <c r="AC202" s="70"/>
      <c r="AD202" t="s">
        <v>5586</v>
      </c>
      <c r="AE202" s="78" t="s">
        <v>6834</v>
      </c>
      <c r="AF202">
        <v>537</v>
      </c>
      <c r="AG202">
        <v>186758</v>
      </c>
      <c r="AH202">
        <v>243911</v>
      </c>
      <c r="AI202">
        <v>9585</v>
      </c>
      <c r="AK202" t="s">
        <v>8009</v>
      </c>
      <c r="AL202" t="s">
        <v>8829</v>
      </c>
      <c r="AM202" s="79" t="str">
        <f>HYPERLINK("http://t.co/c0ZdGTY2uk")</f>
        <v>http://t.co/c0ZdGTY2uk</v>
      </c>
      <c r="AO202" s="76">
        <v>39975.247395833336</v>
      </c>
      <c r="AP202" s="79" t="str">
        <f>HYPERLINK("https://pbs.twimg.com/profile_banners/46326721/1488516076")</f>
        <v>https://pbs.twimg.com/profile_banners/46326721/1488516076</v>
      </c>
      <c r="AQ202" t="b">
        <v>0</v>
      </c>
      <c r="AR202" t="b">
        <v>0</v>
      </c>
      <c r="AS202" t="b">
        <v>1</v>
      </c>
      <c r="AU202">
        <v>1114</v>
      </c>
      <c r="AV202" s="79" t="str">
        <f>HYPERLINK("https://abs.twimg.com/images/themes/theme4/bg.gif")</f>
        <v>https://abs.twimg.com/images/themes/theme4/bg.gif</v>
      </c>
      <c r="AW202" t="b">
        <v>1</v>
      </c>
      <c r="AX202" t="s">
        <v>9303</v>
      </c>
      <c r="AY202" s="79" t="str">
        <f>HYPERLINK("https://twitter.com/kens5")</f>
        <v>https://twitter.com/kens5</v>
      </c>
      <c r="AZ202" t="s">
        <v>66</v>
      </c>
      <c r="BA202" s="2"/>
    </row>
    <row r="203" spans="1:53" x14ac:dyDescent="0.45">
      <c r="A203" s="62" t="s">
        <v>1303</v>
      </c>
      <c r="B203" s="63"/>
      <c r="C203" s="63"/>
      <c r="D203" s="64"/>
      <c r="E203" s="66"/>
      <c r="F203" s="98" t="str">
        <f>HYPERLINK("https://pbs.twimg.com/profile_images/460235684221964288/E2MOHwN8_normal.jpeg")</f>
        <v>https://pbs.twimg.com/profile_images/460235684221964288/E2MOHwN8_normal.jpeg</v>
      </c>
      <c r="G203" s="63"/>
      <c r="H203" s="67"/>
      <c r="I203" s="68"/>
      <c r="J203" s="68"/>
      <c r="K203" s="67" t="s">
        <v>9907</v>
      </c>
      <c r="L203" s="71"/>
      <c r="M203" s="72"/>
      <c r="N203" s="72"/>
      <c r="O203" s="73"/>
      <c r="P203" s="74"/>
      <c r="Q203" s="74"/>
      <c r="R203" s="81"/>
      <c r="S203" s="81"/>
      <c r="T203" s="81"/>
      <c r="U203" s="81"/>
      <c r="V203" s="48"/>
      <c r="W203" s="48"/>
      <c r="X203" s="48"/>
      <c r="Y203" s="48"/>
      <c r="Z203" s="47"/>
      <c r="AA203" s="69"/>
      <c r="AB203" s="69"/>
      <c r="AC203" s="70"/>
      <c r="AD203" t="s">
        <v>5598</v>
      </c>
      <c r="AE203" s="78" t="s">
        <v>6843</v>
      </c>
      <c r="AF203">
        <v>946</v>
      </c>
      <c r="AG203">
        <v>185560</v>
      </c>
      <c r="AH203">
        <v>5302</v>
      </c>
      <c r="AI203">
        <v>17922</v>
      </c>
      <c r="AK203" t="s">
        <v>8021</v>
      </c>
      <c r="AL203" t="s">
        <v>8990</v>
      </c>
      <c r="AM203" s="79" t="str">
        <f>HYPERLINK("http://t.co/Eg9I66oMfm")</f>
        <v>http://t.co/Eg9I66oMfm</v>
      </c>
      <c r="AO203" s="76">
        <v>40003.856724537036</v>
      </c>
      <c r="AP203" s="79" t="str">
        <f>HYPERLINK("https://pbs.twimg.com/profile_banners/55353207/1398348297")</f>
        <v>https://pbs.twimg.com/profile_banners/55353207/1398348297</v>
      </c>
      <c r="AQ203" t="b">
        <v>0</v>
      </c>
      <c r="AR203" t="b">
        <v>0</v>
      </c>
      <c r="AS203" t="b">
        <v>1</v>
      </c>
      <c r="AU203">
        <v>2304</v>
      </c>
      <c r="AV203" s="79" t="str">
        <f>HYPERLINK("https://abs.twimg.com/images/themes/theme1/bg.png")</f>
        <v>https://abs.twimg.com/images/themes/theme1/bg.png</v>
      </c>
      <c r="AW203" t="b">
        <v>1</v>
      </c>
      <c r="AX203" t="s">
        <v>9303</v>
      </c>
      <c r="AY203" s="79" t="str">
        <f>HYPERLINK("https://twitter.com/marioandretti")</f>
        <v>https://twitter.com/marioandretti</v>
      </c>
      <c r="AZ203" t="s">
        <v>65</v>
      </c>
      <c r="BA203" s="2"/>
    </row>
    <row r="204" spans="1:53" x14ac:dyDescent="0.45">
      <c r="A204" s="62" t="s">
        <v>572</v>
      </c>
      <c r="B204" s="63"/>
      <c r="C204" s="63"/>
      <c r="D204" s="64"/>
      <c r="E204" s="66"/>
      <c r="F204" s="98" t="str">
        <f>HYPERLINK("https://pbs.twimg.com/profile_images/1257694617690046467/ISKyPJi0_normal.jpg")</f>
        <v>https://pbs.twimg.com/profile_images/1257694617690046467/ISKyPJi0_normal.jpg</v>
      </c>
      <c r="G204" s="63"/>
      <c r="H204" s="67"/>
      <c r="I204" s="68"/>
      <c r="J204" s="68"/>
      <c r="K204" s="67" t="s">
        <v>9870</v>
      </c>
      <c r="L204" s="71"/>
      <c r="M204" s="72"/>
      <c r="N204" s="72"/>
      <c r="O204" s="73"/>
      <c r="P204" s="74"/>
      <c r="Q204" s="74"/>
      <c r="R204" s="81"/>
      <c r="S204" s="81"/>
      <c r="T204" s="81"/>
      <c r="U204" s="81"/>
      <c r="V204" s="48"/>
      <c r="W204" s="48"/>
      <c r="X204" s="48"/>
      <c r="Y204" s="48"/>
      <c r="Z204" s="47"/>
      <c r="AA204" s="69"/>
      <c r="AB204" s="69"/>
      <c r="AC204" s="70"/>
      <c r="AD204" t="s">
        <v>5561</v>
      </c>
      <c r="AE204" s="78" t="s">
        <v>6809</v>
      </c>
      <c r="AF204">
        <v>11945</v>
      </c>
      <c r="AG204">
        <v>180524</v>
      </c>
      <c r="AH204">
        <v>314877</v>
      </c>
      <c r="AI204">
        <v>10729</v>
      </c>
      <c r="AK204" t="s">
        <v>7984</v>
      </c>
      <c r="AL204" t="s">
        <v>8962</v>
      </c>
      <c r="AM204" s="79" t="str">
        <f>HYPERLINK("https://t.co/rHVdIDVNLL")</f>
        <v>https://t.co/rHVdIDVNLL</v>
      </c>
      <c r="AO204" s="76">
        <v>39735.801701388889</v>
      </c>
      <c r="AP204" s="79" t="str">
        <f>HYPERLINK("https://pbs.twimg.com/profile_banners/16743886/1630102269")</f>
        <v>https://pbs.twimg.com/profile_banners/16743886/1630102269</v>
      </c>
      <c r="AQ204" t="b">
        <v>0</v>
      </c>
      <c r="AR204" t="b">
        <v>0</v>
      </c>
      <c r="AS204" t="b">
        <v>1</v>
      </c>
      <c r="AU204">
        <v>1723</v>
      </c>
      <c r="AV204" s="79" t="str">
        <f>HYPERLINK("https://abs.twimg.com/images/themes/theme12/bg.gif")</f>
        <v>https://abs.twimg.com/images/themes/theme12/bg.gif</v>
      </c>
      <c r="AW204" t="b">
        <v>1</v>
      </c>
      <c r="AX204" t="s">
        <v>9303</v>
      </c>
      <c r="AY204" s="79" t="str">
        <f>HYPERLINK("https://twitter.com/10tampabay")</f>
        <v>https://twitter.com/10tampabay</v>
      </c>
      <c r="AZ204" t="s">
        <v>66</v>
      </c>
      <c r="BA204" s="2"/>
    </row>
    <row r="205" spans="1:53" x14ac:dyDescent="0.45">
      <c r="A205" s="62" t="s">
        <v>576</v>
      </c>
      <c r="B205" s="63"/>
      <c r="C205" s="63"/>
      <c r="D205" s="64"/>
      <c r="E205" s="66"/>
      <c r="F205" s="98" t="str">
        <f>HYPERLINK("https://pbs.twimg.com/profile_images/1413193160839290885/Pb3FN5l1_normal.png")</f>
        <v>https://pbs.twimg.com/profile_images/1413193160839290885/Pb3FN5l1_normal.png</v>
      </c>
      <c r="G205" s="63"/>
      <c r="H205" s="67"/>
      <c r="I205" s="68"/>
      <c r="J205" s="68"/>
      <c r="K205" s="67" t="s">
        <v>9874</v>
      </c>
      <c r="L205" s="71"/>
      <c r="M205" s="72"/>
      <c r="N205" s="72"/>
      <c r="O205" s="73"/>
      <c r="P205" s="74"/>
      <c r="Q205" s="74"/>
      <c r="R205" s="81"/>
      <c r="S205" s="81"/>
      <c r="T205" s="81"/>
      <c r="U205" s="81"/>
      <c r="V205" s="48"/>
      <c r="W205" s="48"/>
      <c r="X205" s="48"/>
      <c r="Y205" s="48"/>
      <c r="Z205" s="47"/>
      <c r="AA205" s="69"/>
      <c r="AB205" s="69"/>
      <c r="AC205" s="70"/>
      <c r="AD205" t="s">
        <v>5565</v>
      </c>
      <c r="AE205" s="78" t="s">
        <v>6813</v>
      </c>
      <c r="AF205">
        <v>670</v>
      </c>
      <c r="AG205">
        <v>179550</v>
      </c>
      <c r="AH205">
        <v>244110</v>
      </c>
      <c r="AI205">
        <v>3731</v>
      </c>
      <c r="AK205" t="s">
        <v>7988</v>
      </c>
      <c r="AL205" t="s">
        <v>8966</v>
      </c>
      <c r="AM205" s="79" t="str">
        <f>HYPERLINK("https://t.co/QUf1yFRDE1")</f>
        <v>https://t.co/QUf1yFRDE1</v>
      </c>
      <c r="AO205" s="76">
        <v>39855.066770833335</v>
      </c>
      <c r="AP205" s="79" t="str">
        <f>HYPERLINK("https://pbs.twimg.com/profile_banners/20563513/1647375672")</f>
        <v>https://pbs.twimg.com/profile_banners/20563513/1647375672</v>
      </c>
      <c r="AQ205" t="b">
        <v>0</v>
      </c>
      <c r="AR205" t="b">
        <v>0</v>
      </c>
      <c r="AS205" t="b">
        <v>1</v>
      </c>
      <c r="AU205">
        <v>1060</v>
      </c>
      <c r="AV205" s="79" t="str">
        <f>HYPERLINK("https://abs.twimg.com/images/themes/theme15/bg.png")</f>
        <v>https://abs.twimg.com/images/themes/theme15/bg.png</v>
      </c>
      <c r="AW205" t="b">
        <v>1</v>
      </c>
      <c r="AX205" t="s">
        <v>9303</v>
      </c>
      <c r="AY205" s="79" t="str">
        <f>HYPERLINK("https://twitter.com/whas11")</f>
        <v>https://twitter.com/whas11</v>
      </c>
      <c r="AZ205" t="s">
        <v>66</v>
      </c>
      <c r="BA205" s="2"/>
    </row>
    <row r="206" spans="1:53" x14ac:dyDescent="0.45">
      <c r="A206" s="62" t="s">
        <v>567</v>
      </c>
      <c r="B206" s="63"/>
      <c r="C206" s="63"/>
      <c r="D206" s="64"/>
      <c r="E206" s="66"/>
      <c r="F206" s="98" t="str">
        <f>HYPERLINK("https://pbs.twimg.com/profile_images/1346484677327126529/v0oa5gTZ_normal.jpg")</f>
        <v>https://pbs.twimg.com/profile_images/1346484677327126529/v0oa5gTZ_normal.jpg</v>
      </c>
      <c r="G206" s="63"/>
      <c r="H206" s="67"/>
      <c r="I206" s="68"/>
      <c r="J206" s="68"/>
      <c r="K206" s="67" t="s">
        <v>9865</v>
      </c>
      <c r="L206" s="71"/>
      <c r="M206" s="72"/>
      <c r="N206" s="72"/>
      <c r="O206" s="73"/>
      <c r="P206" s="74"/>
      <c r="Q206" s="74"/>
      <c r="R206" s="81"/>
      <c r="S206" s="81"/>
      <c r="T206" s="81"/>
      <c r="U206" s="81"/>
      <c r="V206" s="48"/>
      <c r="W206" s="48"/>
      <c r="X206" s="48"/>
      <c r="Y206" s="48"/>
      <c r="Z206" s="47"/>
      <c r="AA206" s="69"/>
      <c r="AB206" s="69"/>
      <c r="AC206" s="70"/>
      <c r="AD206" t="s">
        <v>5556</v>
      </c>
      <c r="AE206" s="78" t="s">
        <v>6804</v>
      </c>
      <c r="AF206">
        <v>423</v>
      </c>
      <c r="AG206">
        <v>173812</v>
      </c>
      <c r="AH206">
        <v>211746</v>
      </c>
      <c r="AI206">
        <v>11192</v>
      </c>
      <c r="AK206" t="s">
        <v>7979</v>
      </c>
      <c r="AL206" t="s">
        <v>8958</v>
      </c>
      <c r="AM206" s="79" t="str">
        <f>HYPERLINK("https://t.co/DVwSFjMSJz")</f>
        <v>https://t.co/DVwSFjMSJz</v>
      </c>
      <c r="AO206" s="76">
        <v>39672.655706018515</v>
      </c>
      <c r="AP206" s="79" t="str">
        <f>HYPERLINK("https://pbs.twimg.com/profile_banners/15823826/1644439050")</f>
        <v>https://pbs.twimg.com/profile_banners/15823826/1644439050</v>
      </c>
      <c r="AQ206" t="b">
        <v>1</v>
      </c>
      <c r="AR206" t="b">
        <v>0</v>
      </c>
      <c r="AS206" t="b">
        <v>1</v>
      </c>
      <c r="AU206">
        <v>873</v>
      </c>
      <c r="AV206" s="79" t="str">
        <f>HYPERLINK("https://abs.twimg.com/images/themes/theme1/bg.png")</f>
        <v>https://abs.twimg.com/images/themes/theme1/bg.png</v>
      </c>
      <c r="AW206" t="b">
        <v>1</v>
      </c>
      <c r="AX206" t="s">
        <v>9303</v>
      </c>
      <c r="AY206" s="79" t="str">
        <f>HYPERLINK("https://twitter.com/thv11")</f>
        <v>https://twitter.com/thv11</v>
      </c>
      <c r="AZ206" t="s">
        <v>66</v>
      </c>
      <c r="BA206" s="2"/>
    </row>
    <row r="207" spans="1:53" x14ac:dyDescent="0.45">
      <c r="A207" s="62" t="s">
        <v>1442</v>
      </c>
      <c r="B207" s="63"/>
      <c r="C207" s="63"/>
      <c r="D207" s="64"/>
      <c r="E207" s="66"/>
      <c r="F207" s="98" t="str">
        <f>HYPERLINK("https://pbs.twimg.com/profile_images/1595488540246228993/M67LS_lA_normal.jpg")</f>
        <v>https://pbs.twimg.com/profile_images/1595488540246228993/M67LS_lA_normal.jpg</v>
      </c>
      <c r="G207" s="63"/>
      <c r="H207" s="67"/>
      <c r="I207" s="68"/>
      <c r="J207" s="68"/>
      <c r="K207" s="67" t="s">
        <v>10364</v>
      </c>
      <c r="L207" s="71"/>
      <c r="M207" s="72"/>
      <c r="N207" s="72"/>
      <c r="O207" s="73"/>
      <c r="P207" s="74"/>
      <c r="Q207" s="74"/>
      <c r="R207" s="81"/>
      <c r="S207" s="81"/>
      <c r="T207" s="81"/>
      <c r="U207" s="81"/>
      <c r="V207" s="48"/>
      <c r="W207" s="48"/>
      <c r="X207" s="48"/>
      <c r="Y207" s="48"/>
      <c r="Z207" s="47"/>
      <c r="AA207" s="69"/>
      <c r="AB207" s="69"/>
      <c r="AC207" s="70"/>
      <c r="AD207" t="s">
        <v>6047</v>
      </c>
      <c r="AE207" s="78" t="s">
        <v>7252</v>
      </c>
      <c r="AF207">
        <v>8827</v>
      </c>
      <c r="AG207">
        <v>168759</v>
      </c>
      <c r="AH207">
        <v>75660</v>
      </c>
      <c r="AI207">
        <v>29612</v>
      </c>
      <c r="AK207" t="s">
        <v>8413</v>
      </c>
      <c r="AL207" t="s">
        <v>8742</v>
      </c>
      <c r="AM207" s="79" t="str">
        <f>HYPERLINK("https://t.co/X2gEyUQJGC")</f>
        <v>https://t.co/X2gEyUQJGC</v>
      </c>
      <c r="AO207" s="76">
        <v>39655.863240740742</v>
      </c>
      <c r="AP207" s="79" t="str">
        <f>HYPERLINK("https://pbs.twimg.com/profile_banners/15614141/1610665148")</f>
        <v>https://pbs.twimg.com/profile_banners/15614141/1610665148</v>
      </c>
      <c r="AQ207" t="b">
        <v>0</v>
      </c>
      <c r="AR207" t="b">
        <v>0</v>
      </c>
      <c r="AS207" t="b">
        <v>1</v>
      </c>
      <c r="AU207">
        <v>1411</v>
      </c>
      <c r="AV207" s="79" t="str">
        <f>HYPERLINK("https://abs.twimg.com/images/themes/theme14/bg.gif")</f>
        <v>https://abs.twimg.com/images/themes/theme14/bg.gif</v>
      </c>
      <c r="AW207" t="b">
        <v>1</v>
      </c>
      <c r="AX207" t="s">
        <v>9303</v>
      </c>
      <c r="AY207" s="79" t="str">
        <f>HYPERLINK("https://twitter.com/kyleclark")</f>
        <v>https://twitter.com/kyleclark</v>
      </c>
      <c r="AZ207" t="s">
        <v>65</v>
      </c>
      <c r="BA207" s="2"/>
    </row>
    <row r="208" spans="1:53" x14ac:dyDescent="0.45">
      <c r="A208" s="62" t="s">
        <v>1185</v>
      </c>
      <c r="B208" s="63"/>
      <c r="C208" s="63"/>
      <c r="D208" s="64"/>
      <c r="E208" s="66"/>
      <c r="F208" s="98" t="str">
        <f>HYPERLINK("https://pbs.twimg.com/profile_images/1435602431447076872/GDrxlMTV_normal.png")</f>
        <v>https://pbs.twimg.com/profile_images/1435602431447076872/GDrxlMTV_normal.png</v>
      </c>
      <c r="G208" s="63"/>
      <c r="H208" s="67"/>
      <c r="I208" s="68"/>
      <c r="J208" s="68"/>
      <c r="K208" s="67" t="s">
        <v>9471</v>
      </c>
      <c r="L208" s="71"/>
      <c r="M208" s="72"/>
      <c r="N208" s="72"/>
      <c r="O208" s="73"/>
      <c r="P208" s="74"/>
      <c r="Q208" s="74"/>
      <c r="R208" s="81"/>
      <c r="S208" s="81"/>
      <c r="T208" s="81"/>
      <c r="U208" s="81"/>
      <c r="V208" s="48"/>
      <c r="W208" s="48"/>
      <c r="X208" s="48"/>
      <c r="Y208" s="48"/>
      <c r="Z208" s="47"/>
      <c r="AA208" s="69"/>
      <c r="AB208" s="69"/>
      <c r="AC208" s="70"/>
      <c r="AD208" t="s">
        <v>5165</v>
      </c>
      <c r="AE208" s="78" t="s">
        <v>4765</v>
      </c>
      <c r="AF208">
        <v>295</v>
      </c>
      <c r="AG208">
        <v>166794</v>
      </c>
      <c r="AH208">
        <v>135636</v>
      </c>
      <c r="AI208">
        <v>63154</v>
      </c>
      <c r="AK208" t="s">
        <v>7636</v>
      </c>
      <c r="AL208" t="s">
        <v>4899</v>
      </c>
      <c r="AM208" s="79" t="str">
        <f>HYPERLINK("https://t.co/h9XIdBrPmX")</f>
        <v>https://t.co/h9XIdBrPmX</v>
      </c>
      <c r="AO208" s="76">
        <v>39932.57271990741</v>
      </c>
      <c r="AP208" s="79" t="str">
        <f>HYPERLINK("https://pbs.twimg.com/profile_banners/36359791/1648566285")</f>
        <v>https://pbs.twimg.com/profile_banners/36359791/1648566285</v>
      </c>
      <c r="AQ208" t="b">
        <v>0</v>
      </c>
      <c r="AR208" t="b">
        <v>0</v>
      </c>
      <c r="AS208" t="b">
        <v>1</v>
      </c>
      <c r="AU208">
        <v>1522</v>
      </c>
      <c r="AV208" s="79" t="str">
        <f t="shared" ref="AV208:AV213" si="5">HYPERLINK("https://abs.twimg.com/images/themes/theme1/bg.png")</f>
        <v>https://abs.twimg.com/images/themes/theme1/bg.png</v>
      </c>
      <c r="AW208" t="b">
        <v>1</v>
      </c>
      <c r="AX208" t="s">
        <v>9303</v>
      </c>
      <c r="AY208" s="79" t="str">
        <f>HYPERLINK("https://twitter.com/kroger")</f>
        <v>https://twitter.com/kroger</v>
      </c>
      <c r="AZ208" t="s">
        <v>65</v>
      </c>
      <c r="BA208" s="2"/>
    </row>
    <row r="209" spans="1:53" x14ac:dyDescent="0.45">
      <c r="A209" s="62" t="s">
        <v>578</v>
      </c>
      <c r="B209" s="63"/>
      <c r="C209" s="63"/>
      <c r="D209" s="64"/>
      <c r="E209" s="66"/>
      <c r="F209" s="98" t="str">
        <f>HYPERLINK("https://pbs.twimg.com/profile_images/1196441238880342016/VEDg6A0R_normal.png")</f>
        <v>https://pbs.twimg.com/profile_images/1196441238880342016/VEDg6A0R_normal.png</v>
      </c>
      <c r="G209" s="63"/>
      <c r="H209" s="67"/>
      <c r="I209" s="68"/>
      <c r="J209" s="68"/>
      <c r="K209" s="67" t="s">
        <v>9876</v>
      </c>
      <c r="L209" s="71"/>
      <c r="M209" s="72"/>
      <c r="N209" s="72"/>
      <c r="O209" s="73"/>
      <c r="P209" s="74"/>
      <c r="Q209" s="74"/>
      <c r="R209" s="81"/>
      <c r="S209" s="81"/>
      <c r="T209" s="81"/>
      <c r="U209" s="81"/>
      <c r="V209" s="48"/>
      <c r="W209" s="48"/>
      <c r="X209" s="48"/>
      <c r="Y209" s="48"/>
      <c r="Z209" s="47"/>
      <c r="AA209" s="69"/>
      <c r="AB209" s="69"/>
      <c r="AC209" s="70"/>
      <c r="AD209" t="s">
        <v>5567</v>
      </c>
      <c r="AE209" s="78" t="s">
        <v>6815</v>
      </c>
      <c r="AF209">
        <v>1659</v>
      </c>
      <c r="AG209">
        <v>163587</v>
      </c>
      <c r="AH209">
        <v>128230</v>
      </c>
      <c r="AI209">
        <v>656</v>
      </c>
      <c r="AK209" t="s">
        <v>7990</v>
      </c>
      <c r="AL209" t="s">
        <v>8968</v>
      </c>
      <c r="AM209" s="79" t="str">
        <f>HYPERLINK("https://t.co/GFjWmGBvZg")</f>
        <v>https://t.co/GFjWmGBvZg</v>
      </c>
      <c r="AO209" s="76">
        <v>39902.931597222225</v>
      </c>
      <c r="AP209" s="79" t="str">
        <f>HYPERLINK("https://pbs.twimg.com/profile_banners/27745484/1643757021")</f>
        <v>https://pbs.twimg.com/profile_banners/27745484/1643757021</v>
      </c>
      <c r="AQ209" t="b">
        <v>0</v>
      </c>
      <c r="AR209" t="b">
        <v>0</v>
      </c>
      <c r="AS209" t="b">
        <v>1</v>
      </c>
      <c r="AU209">
        <v>1894</v>
      </c>
      <c r="AV209" s="79" t="str">
        <f t="shared" si="5"/>
        <v>https://abs.twimg.com/images/themes/theme1/bg.png</v>
      </c>
      <c r="AW209" t="b">
        <v>1</v>
      </c>
      <c r="AX209" t="s">
        <v>9303</v>
      </c>
      <c r="AY209" s="79" t="str">
        <f>HYPERLINK("https://twitter.com/cbs8")</f>
        <v>https://twitter.com/cbs8</v>
      </c>
      <c r="AZ209" t="s">
        <v>66</v>
      </c>
      <c r="BA209" s="2"/>
    </row>
    <row r="210" spans="1:53" x14ac:dyDescent="0.45">
      <c r="A210" s="62" t="s">
        <v>582</v>
      </c>
      <c r="B210" s="63"/>
      <c r="C210" s="63"/>
      <c r="D210" s="64"/>
      <c r="E210" s="66"/>
      <c r="F210" s="98" t="str">
        <f>HYPERLINK("https://pbs.twimg.com/profile_images/1280200443642052615/kgy48xzs_normal.jpg")</f>
        <v>https://pbs.twimg.com/profile_images/1280200443642052615/kgy48xzs_normal.jpg</v>
      </c>
      <c r="G210" s="63"/>
      <c r="H210" s="67"/>
      <c r="I210" s="68"/>
      <c r="J210" s="68"/>
      <c r="K210" s="67" t="s">
        <v>9880</v>
      </c>
      <c r="L210" s="71"/>
      <c r="M210" s="72"/>
      <c r="N210" s="72"/>
      <c r="O210" s="73"/>
      <c r="P210" s="74"/>
      <c r="Q210" s="74"/>
      <c r="R210" s="81"/>
      <c r="S210" s="81"/>
      <c r="T210" s="81"/>
      <c r="U210" s="81"/>
      <c r="V210" s="48"/>
      <c r="W210" s="48"/>
      <c r="X210" s="48"/>
      <c r="Y210" s="48"/>
      <c r="Z210" s="47"/>
      <c r="AA210" s="69"/>
      <c r="AB210" s="69"/>
      <c r="AC210" s="70"/>
      <c r="AD210" t="s">
        <v>5571</v>
      </c>
      <c r="AE210" s="78" t="s">
        <v>6819</v>
      </c>
      <c r="AF210">
        <v>1833</v>
      </c>
      <c r="AG210">
        <v>158318</v>
      </c>
      <c r="AH210">
        <v>249190</v>
      </c>
      <c r="AI210">
        <v>5163</v>
      </c>
      <c r="AK210" t="s">
        <v>7994</v>
      </c>
      <c r="AL210" t="s">
        <v>8819</v>
      </c>
      <c r="AM210" s="79" t="str">
        <f>HYPERLINK("https://t.co/MwmuljPOXT")</f>
        <v>https://t.co/MwmuljPOXT</v>
      </c>
      <c r="AO210" s="76">
        <v>39819.056157407409</v>
      </c>
      <c r="AP210" s="79" t="str">
        <f>HYPERLINK("https://pbs.twimg.com/profile_banners/18655359/1594058631")</f>
        <v>https://pbs.twimg.com/profile_banners/18655359/1594058631</v>
      </c>
      <c r="AQ210" t="b">
        <v>0</v>
      </c>
      <c r="AR210" t="b">
        <v>0</v>
      </c>
      <c r="AS210" t="b">
        <v>1</v>
      </c>
      <c r="AU210">
        <v>1527</v>
      </c>
      <c r="AV210" s="79" t="str">
        <f t="shared" si="5"/>
        <v>https://abs.twimg.com/images/themes/theme1/bg.png</v>
      </c>
      <c r="AW210" t="b">
        <v>1</v>
      </c>
      <c r="AX210" t="s">
        <v>9303</v>
      </c>
      <c r="AY210" s="79" t="str">
        <f>HYPERLINK("https://twitter.com/abc10")</f>
        <v>https://twitter.com/abc10</v>
      </c>
      <c r="AZ210" t="s">
        <v>66</v>
      </c>
      <c r="BA210" s="2"/>
    </row>
    <row r="211" spans="1:53" x14ac:dyDescent="0.45">
      <c r="A211" s="62" t="s">
        <v>1470</v>
      </c>
      <c r="B211" s="63"/>
      <c r="C211" s="63"/>
      <c r="D211" s="64"/>
      <c r="E211" s="66"/>
      <c r="F211" s="98" t="str">
        <f>HYPERLINK("https://pbs.twimg.com/profile_images/877239454460649472/xE_FmkWc_normal.jpg")</f>
        <v>https://pbs.twimg.com/profile_images/877239454460649472/xE_FmkWc_normal.jpg</v>
      </c>
      <c r="G211" s="63"/>
      <c r="H211" s="67"/>
      <c r="I211" s="68"/>
      <c r="J211" s="68"/>
      <c r="K211" s="67" t="s">
        <v>10421</v>
      </c>
      <c r="L211" s="71"/>
      <c r="M211" s="72"/>
      <c r="N211" s="72"/>
      <c r="O211" s="73"/>
      <c r="P211" s="74"/>
      <c r="Q211" s="74"/>
      <c r="R211" s="81"/>
      <c r="S211" s="81"/>
      <c r="T211" s="81"/>
      <c r="U211" s="81"/>
      <c r="V211" s="48"/>
      <c r="W211" s="48"/>
      <c r="X211" s="48"/>
      <c r="Y211" s="48"/>
      <c r="Z211" s="47"/>
      <c r="AA211" s="69"/>
      <c r="AB211" s="69"/>
      <c r="AC211" s="70"/>
      <c r="AD211" t="s">
        <v>6103</v>
      </c>
      <c r="AE211" s="78" t="s">
        <v>7301</v>
      </c>
      <c r="AF211">
        <v>2374</v>
      </c>
      <c r="AG211">
        <v>157612</v>
      </c>
      <c r="AH211">
        <v>19938</v>
      </c>
      <c r="AI211">
        <v>20414</v>
      </c>
      <c r="AK211" t="s">
        <v>8464</v>
      </c>
      <c r="AL211" t="s">
        <v>9207</v>
      </c>
      <c r="AM211" s="79" t="str">
        <f>HYPERLINK("https://t.co/Q6wiTjHTNs")</f>
        <v>https://t.co/Q6wiTjHTNs</v>
      </c>
      <c r="AO211" s="76">
        <v>39843.672013888892</v>
      </c>
      <c r="AP211" s="79" t="str">
        <f>HYPERLINK("https://pbs.twimg.com/profile_banners/19773627/1592858023")</f>
        <v>https://pbs.twimg.com/profile_banners/19773627/1592858023</v>
      </c>
      <c r="AQ211" t="b">
        <v>0</v>
      </c>
      <c r="AR211" t="b">
        <v>0</v>
      </c>
      <c r="AS211" t="b">
        <v>1</v>
      </c>
      <c r="AU211">
        <v>789</v>
      </c>
      <c r="AV211" s="79" t="str">
        <f t="shared" si="5"/>
        <v>https://abs.twimg.com/images/themes/theme1/bg.png</v>
      </c>
      <c r="AW211" t="b">
        <v>1</v>
      </c>
      <c r="AX211" t="s">
        <v>9303</v>
      </c>
      <c r="AY211" s="79" t="str">
        <f>HYPERLINK("https://twitter.com/utknoxville")</f>
        <v>https://twitter.com/utknoxville</v>
      </c>
      <c r="AZ211" t="s">
        <v>65</v>
      </c>
      <c r="BA211" s="2"/>
    </row>
    <row r="212" spans="1:53" x14ac:dyDescent="0.45">
      <c r="A212" s="62" t="s">
        <v>1345</v>
      </c>
      <c r="B212" s="63"/>
      <c r="C212" s="63"/>
      <c r="D212" s="64"/>
      <c r="E212" s="66"/>
      <c r="F212" s="98" t="str">
        <f>HYPERLINK("https://pbs.twimg.com/profile_images/486623151673982976/hMY_T-Al_normal.png")</f>
        <v>https://pbs.twimg.com/profile_images/486623151673982976/hMY_T-Al_normal.png</v>
      </c>
      <c r="G212" s="63"/>
      <c r="H212" s="67"/>
      <c r="I212" s="68"/>
      <c r="J212" s="68"/>
      <c r="K212" s="67" t="s">
        <v>10052</v>
      </c>
      <c r="L212" s="71"/>
      <c r="M212" s="72"/>
      <c r="N212" s="72"/>
      <c r="O212" s="73"/>
      <c r="P212" s="74"/>
      <c r="Q212" s="74"/>
      <c r="R212" s="81"/>
      <c r="S212" s="81"/>
      <c r="T212" s="81"/>
      <c r="U212" s="81"/>
      <c r="V212" s="48"/>
      <c r="W212" s="48"/>
      <c r="X212" s="48"/>
      <c r="Y212" s="48"/>
      <c r="Z212" s="47"/>
      <c r="AA212" s="69"/>
      <c r="AB212" s="69"/>
      <c r="AC212" s="70"/>
      <c r="AD212" t="s">
        <v>5741</v>
      </c>
      <c r="AE212" s="78" t="s">
        <v>6978</v>
      </c>
      <c r="AF212">
        <v>3796</v>
      </c>
      <c r="AG212">
        <v>154550</v>
      </c>
      <c r="AH212">
        <v>54034</v>
      </c>
      <c r="AI212">
        <v>26312</v>
      </c>
      <c r="AK212" t="s">
        <v>8139</v>
      </c>
      <c r="AL212" t="s">
        <v>8772</v>
      </c>
      <c r="AM212" s="79" t="str">
        <f>HYPERLINK("https://t.co/igiGVajliK")</f>
        <v>https://t.co/igiGVajliK</v>
      </c>
      <c r="AO212" s="76">
        <v>40773.043344907404</v>
      </c>
      <c r="AP212" s="79" t="str">
        <f>HYPERLINK("https://pbs.twimg.com/profile_banners/357211620/1603994127")</f>
        <v>https://pbs.twimg.com/profile_banners/357211620/1603994127</v>
      </c>
      <c r="AQ212" t="b">
        <v>0</v>
      </c>
      <c r="AR212" t="b">
        <v>0</v>
      </c>
      <c r="AS212" t="b">
        <v>1</v>
      </c>
      <c r="AU212">
        <v>641</v>
      </c>
      <c r="AV212" s="79" t="str">
        <f t="shared" si="5"/>
        <v>https://abs.twimg.com/images/themes/theme1/bg.png</v>
      </c>
      <c r="AW212" t="b">
        <v>1</v>
      </c>
      <c r="AX212" t="s">
        <v>9303</v>
      </c>
      <c r="AY212" s="79" t="str">
        <f>HYPERLINK("https://twitter.com/poshmarkapp")</f>
        <v>https://twitter.com/poshmarkapp</v>
      </c>
      <c r="AZ212" t="s">
        <v>65</v>
      </c>
      <c r="BA212" s="2"/>
    </row>
    <row r="213" spans="1:53" x14ac:dyDescent="0.45">
      <c r="A213" s="62" t="s">
        <v>577</v>
      </c>
      <c r="B213" s="63"/>
      <c r="C213" s="63"/>
      <c r="D213" s="64"/>
      <c r="E213" s="66"/>
      <c r="F213" s="98" t="str">
        <f>HYPERLINK("https://pbs.twimg.com/profile_images/715223305100386307/PmAuS5BH_normal.jpg")</f>
        <v>https://pbs.twimg.com/profile_images/715223305100386307/PmAuS5BH_normal.jpg</v>
      </c>
      <c r="G213" s="63"/>
      <c r="H213" s="67"/>
      <c r="I213" s="68"/>
      <c r="J213" s="68"/>
      <c r="K213" s="67" t="s">
        <v>9875</v>
      </c>
      <c r="L213" s="71"/>
      <c r="M213" s="72"/>
      <c r="N213" s="72"/>
      <c r="O213" s="73"/>
      <c r="P213" s="74"/>
      <c r="Q213" s="74"/>
      <c r="R213" s="81"/>
      <c r="S213" s="81"/>
      <c r="T213" s="81"/>
      <c r="U213" s="81"/>
      <c r="V213" s="48"/>
      <c r="W213" s="48"/>
      <c r="X213" s="48"/>
      <c r="Y213" s="48"/>
      <c r="Z213" s="47"/>
      <c r="AA213" s="69"/>
      <c r="AB213" s="69"/>
      <c r="AC213" s="70"/>
      <c r="AD213" t="s">
        <v>5566</v>
      </c>
      <c r="AE213" s="78" t="s">
        <v>6814</v>
      </c>
      <c r="AF213">
        <v>157</v>
      </c>
      <c r="AG213">
        <v>153186</v>
      </c>
      <c r="AH213">
        <v>101214</v>
      </c>
      <c r="AI213">
        <v>1879</v>
      </c>
      <c r="AK213" t="s">
        <v>7989</v>
      </c>
      <c r="AL213" t="s">
        <v>8967</v>
      </c>
      <c r="AM213" s="79" t="str">
        <f>HYPERLINK("http://t.co/j6izrAvlAz")</f>
        <v>http://t.co/j6izrAvlAz</v>
      </c>
      <c r="AO213" s="76">
        <v>39604.649236111109</v>
      </c>
      <c r="AP213" s="79" t="str">
        <f>HYPERLINK("https://pbs.twimg.com/profile_banners/15019344/1398257984")</f>
        <v>https://pbs.twimg.com/profile_banners/15019344/1398257984</v>
      </c>
      <c r="AQ213" t="b">
        <v>0</v>
      </c>
      <c r="AR213" t="b">
        <v>0</v>
      </c>
      <c r="AS213" t="b">
        <v>1</v>
      </c>
      <c r="AU213">
        <v>692</v>
      </c>
      <c r="AV213" s="79" t="str">
        <f t="shared" si="5"/>
        <v>https://abs.twimg.com/images/themes/theme1/bg.png</v>
      </c>
      <c r="AW213" t="b">
        <v>1</v>
      </c>
      <c r="AX213" t="s">
        <v>9303</v>
      </c>
      <c r="AY213" s="79" t="str">
        <f>HYPERLINK("https://twitter.com/wnep")</f>
        <v>https://twitter.com/wnep</v>
      </c>
      <c r="AZ213" t="s">
        <v>66</v>
      </c>
      <c r="BA213" s="2"/>
    </row>
    <row r="214" spans="1:53" x14ac:dyDescent="0.45">
      <c r="A214" s="62" t="s">
        <v>1291</v>
      </c>
      <c r="B214" s="63"/>
      <c r="C214" s="63"/>
      <c r="D214" s="64"/>
      <c r="E214" s="66"/>
      <c r="F214" s="98" t="str">
        <f>HYPERLINK("https://pbs.twimg.com/profile_images/919242984973111296/NZNzWfTM_normal.jpg")</f>
        <v>https://pbs.twimg.com/profile_images/919242984973111296/NZNzWfTM_normal.jpg</v>
      </c>
      <c r="G214" s="63"/>
      <c r="H214" s="67"/>
      <c r="I214" s="68"/>
      <c r="J214" s="68"/>
      <c r="K214" s="67" t="s">
        <v>9801</v>
      </c>
      <c r="L214" s="71"/>
      <c r="M214" s="72"/>
      <c r="N214" s="72"/>
      <c r="O214" s="73"/>
      <c r="P214" s="74"/>
      <c r="Q214" s="74"/>
      <c r="R214" s="81"/>
      <c r="S214" s="81"/>
      <c r="T214" s="81"/>
      <c r="U214" s="81"/>
      <c r="V214" s="48"/>
      <c r="W214" s="48"/>
      <c r="X214" s="48"/>
      <c r="Y214" s="48"/>
      <c r="Z214" s="47"/>
      <c r="AA214" s="69"/>
      <c r="AB214" s="69"/>
      <c r="AC214" s="70"/>
      <c r="AD214" t="s">
        <v>5492</v>
      </c>
      <c r="AE214" s="78" t="s">
        <v>4709</v>
      </c>
      <c r="AF214">
        <v>151951</v>
      </c>
      <c r="AG214">
        <v>152721</v>
      </c>
      <c r="AH214">
        <v>16126</v>
      </c>
      <c r="AI214">
        <v>55965</v>
      </c>
      <c r="AK214" t="s">
        <v>7922</v>
      </c>
      <c r="AL214" t="s">
        <v>8926</v>
      </c>
      <c r="AM214" s="79" t="str">
        <f>HYPERLINK("https://t.co/cTM22ziNT5")</f>
        <v>https://t.co/cTM22ziNT5</v>
      </c>
      <c r="AO214" s="76">
        <v>40684.945567129631</v>
      </c>
      <c r="AP214" s="79" t="str">
        <f>HYPERLINK("https://pbs.twimg.com/profile_banners/302881437/1604837451")</f>
        <v>https://pbs.twimg.com/profile_banners/302881437/1604837451</v>
      </c>
      <c r="AQ214" t="b">
        <v>0</v>
      </c>
      <c r="AR214" t="b">
        <v>0</v>
      </c>
      <c r="AS214" t="b">
        <v>0</v>
      </c>
      <c r="AU214">
        <v>870</v>
      </c>
      <c r="AV214" s="79" t="str">
        <f>HYPERLINK("https://abs.twimg.com/images/themes/theme15/bg.png")</f>
        <v>https://abs.twimg.com/images/themes/theme15/bg.png</v>
      </c>
      <c r="AW214" t="b">
        <v>0</v>
      </c>
      <c r="AX214" t="s">
        <v>9303</v>
      </c>
      <c r="AY214" s="79" t="str">
        <f>HYPERLINK("https://twitter.com/marc_perrone")</f>
        <v>https://twitter.com/marc_perrone</v>
      </c>
      <c r="AZ214" t="s">
        <v>65</v>
      </c>
      <c r="BA214" s="2"/>
    </row>
    <row r="215" spans="1:53" x14ac:dyDescent="0.45">
      <c r="A215" s="62" t="s">
        <v>1482</v>
      </c>
      <c r="B215" s="63"/>
      <c r="C215" s="63"/>
      <c r="D215" s="64"/>
      <c r="E215" s="66"/>
      <c r="F215" s="98" t="str">
        <f>HYPERLINK("https://pbs.twimg.com/profile_images/378800000278977006/4c9e101ebb2a66314de5f74fb4bd7787_normal.png")</f>
        <v>https://pbs.twimg.com/profile_images/378800000278977006/4c9e101ebb2a66314de5f74fb4bd7787_normal.png</v>
      </c>
      <c r="G215" s="63"/>
      <c r="H215" s="67"/>
      <c r="I215" s="68"/>
      <c r="J215" s="68"/>
      <c r="K215" s="67" t="s">
        <v>10468</v>
      </c>
      <c r="L215" s="71"/>
      <c r="M215" s="72"/>
      <c r="N215" s="72"/>
      <c r="O215" s="73"/>
      <c r="P215" s="74"/>
      <c r="Q215" s="74"/>
      <c r="R215" s="81"/>
      <c r="S215" s="81"/>
      <c r="T215" s="81"/>
      <c r="U215" s="81"/>
      <c r="V215" s="48"/>
      <c r="W215" s="48"/>
      <c r="X215" s="48"/>
      <c r="Y215" s="48"/>
      <c r="Z215" s="47"/>
      <c r="AA215" s="69"/>
      <c r="AB215" s="69"/>
      <c r="AC215" s="70"/>
      <c r="AD215" t="s">
        <v>6149</v>
      </c>
      <c r="AE215" s="78" t="s">
        <v>7336</v>
      </c>
      <c r="AF215">
        <v>1077</v>
      </c>
      <c r="AG215">
        <v>152556</v>
      </c>
      <c r="AH215">
        <v>19913</v>
      </c>
      <c r="AI215">
        <v>19382</v>
      </c>
      <c r="AK215" t="s">
        <v>8507</v>
      </c>
      <c r="AL215" t="s">
        <v>8826</v>
      </c>
      <c r="AM215" s="79" t="str">
        <f>HYPERLINK("https://t.co/vkDkRWL883")</f>
        <v>https://t.co/vkDkRWL883</v>
      </c>
      <c r="AO215" s="76">
        <v>39859.781689814816</v>
      </c>
      <c r="AP215" s="79" t="str">
        <f>HYPERLINK("https://pbs.twimg.com/profile_banners/20927633/1673434413")</f>
        <v>https://pbs.twimg.com/profile_banners/20927633/1673434413</v>
      </c>
      <c r="AQ215" t="b">
        <v>0</v>
      </c>
      <c r="AR215" t="b">
        <v>0</v>
      </c>
      <c r="AS215" t="b">
        <v>1</v>
      </c>
      <c r="AU215">
        <v>992</v>
      </c>
      <c r="AV215" s="79" t="str">
        <f>HYPERLINK("https://abs.twimg.com/images/themes/theme1/bg.png")</f>
        <v>https://abs.twimg.com/images/themes/theme1/bg.png</v>
      </c>
      <c r="AW215" t="b">
        <v>1</v>
      </c>
      <c r="AX215" t="s">
        <v>9303</v>
      </c>
      <c r="AY215" s="79" t="str">
        <f>HYPERLINK("https://twitter.com/sweden")</f>
        <v>https://twitter.com/sweden</v>
      </c>
      <c r="AZ215" t="s">
        <v>65</v>
      </c>
      <c r="BA215" s="2"/>
    </row>
    <row r="216" spans="1:53" x14ac:dyDescent="0.45">
      <c r="A216" s="62" t="s">
        <v>573</v>
      </c>
      <c r="B216" s="63"/>
      <c r="C216" s="63"/>
      <c r="D216" s="64"/>
      <c r="E216" s="66"/>
      <c r="F216" s="98" t="str">
        <f>HYPERLINK("https://pbs.twimg.com/profile_images/988787749405671425/YenK3Kos_normal.jpg")</f>
        <v>https://pbs.twimg.com/profile_images/988787749405671425/YenK3Kos_normal.jpg</v>
      </c>
      <c r="G216" s="63"/>
      <c r="H216" s="67"/>
      <c r="I216" s="68"/>
      <c r="J216" s="68"/>
      <c r="K216" s="67" t="s">
        <v>9871</v>
      </c>
      <c r="L216" s="71"/>
      <c r="M216" s="72"/>
      <c r="N216" s="72"/>
      <c r="O216" s="73"/>
      <c r="P216" s="74"/>
      <c r="Q216" s="74"/>
      <c r="R216" s="81"/>
      <c r="S216" s="81"/>
      <c r="T216" s="81"/>
      <c r="U216" s="81"/>
      <c r="V216" s="48"/>
      <c r="W216" s="48"/>
      <c r="X216" s="48"/>
      <c r="Y216" s="48"/>
      <c r="Z216" s="47"/>
      <c r="AA216" s="69"/>
      <c r="AB216" s="69"/>
      <c r="AC216" s="70"/>
      <c r="AD216" t="s">
        <v>5562</v>
      </c>
      <c r="AE216" s="78" t="s">
        <v>6810</v>
      </c>
      <c r="AF216">
        <v>851</v>
      </c>
      <c r="AG216">
        <v>151509</v>
      </c>
      <c r="AH216">
        <v>237845</v>
      </c>
      <c r="AI216">
        <v>2383</v>
      </c>
      <c r="AK216" t="s">
        <v>7985</v>
      </c>
      <c r="AL216" t="s">
        <v>8963</v>
      </c>
      <c r="AM216" s="79" t="str">
        <f>HYPERLINK("http://t.co/MWpJqlWt4M")</f>
        <v>http://t.co/MWpJqlWt4M</v>
      </c>
      <c r="AO216" s="76">
        <v>39378.686041666668</v>
      </c>
      <c r="AP216" s="79" t="str">
        <f>HYPERLINK("https://pbs.twimg.com/profile_banners/9627102/1614705016")</f>
        <v>https://pbs.twimg.com/profile_banners/9627102/1614705016</v>
      </c>
      <c r="AQ216" t="b">
        <v>0</v>
      </c>
      <c r="AR216" t="b">
        <v>0</v>
      </c>
      <c r="AS216" t="b">
        <v>1</v>
      </c>
      <c r="AU216">
        <v>1085</v>
      </c>
      <c r="AV216" s="79" t="str">
        <f>HYPERLINK("https://abs.twimg.com/images/themes/theme15/bg.png")</f>
        <v>https://abs.twimg.com/images/themes/theme15/bg.png</v>
      </c>
      <c r="AW216" t="b">
        <v>1</v>
      </c>
      <c r="AX216" t="s">
        <v>9303</v>
      </c>
      <c r="AY216" s="79" t="str">
        <f>HYPERLINK("https://twitter.com/fox61news")</f>
        <v>https://twitter.com/fox61news</v>
      </c>
      <c r="AZ216" t="s">
        <v>66</v>
      </c>
      <c r="BA216" s="2"/>
    </row>
    <row r="217" spans="1:53" x14ac:dyDescent="0.45">
      <c r="A217" s="62" t="s">
        <v>1321</v>
      </c>
      <c r="B217" s="63"/>
      <c r="C217" s="63"/>
      <c r="D217" s="64"/>
      <c r="E217" s="66"/>
      <c r="F217" s="98" t="str">
        <f>HYPERLINK("https://pbs.twimg.com/profile_images/1363968131798994944/TwkBAWmn_normal.jpg")</f>
        <v>https://pbs.twimg.com/profile_images/1363968131798994944/TwkBAWmn_normal.jpg</v>
      </c>
      <c r="G217" s="63"/>
      <c r="H217" s="67"/>
      <c r="I217" s="68"/>
      <c r="J217" s="68"/>
      <c r="K217" s="67" t="s">
        <v>9975</v>
      </c>
      <c r="L217" s="71"/>
      <c r="M217" s="72"/>
      <c r="N217" s="72"/>
      <c r="O217" s="73"/>
      <c r="P217" s="74"/>
      <c r="Q217" s="74"/>
      <c r="R217" s="81"/>
      <c r="S217" s="81"/>
      <c r="T217" s="81"/>
      <c r="U217" s="81"/>
      <c r="V217" s="48"/>
      <c r="W217" s="48"/>
      <c r="X217" s="48"/>
      <c r="Y217" s="48"/>
      <c r="Z217" s="47"/>
      <c r="AA217" s="69"/>
      <c r="AB217" s="69"/>
      <c r="AC217" s="70"/>
      <c r="AD217" t="s">
        <v>5666</v>
      </c>
      <c r="AE217" s="78" t="s">
        <v>6908</v>
      </c>
      <c r="AF217">
        <v>7047</v>
      </c>
      <c r="AG217">
        <v>149053</v>
      </c>
      <c r="AH217">
        <v>79424</v>
      </c>
      <c r="AI217">
        <v>25373</v>
      </c>
      <c r="AK217" t="s">
        <v>8075</v>
      </c>
      <c r="AL217" t="s">
        <v>8722</v>
      </c>
      <c r="AM217" s="79" t="str">
        <f>HYPERLINK("https://t.co/IUhuMJxqHB")</f>
        <v>https://t.co/IUhuMJxqHB</v>
      </c>
      <c r="AO217" s="76">
        <v>39261.556712962964</v>
      </c>
      <c r="AP217" s="79" t="str">
        <f>HYPERLINK("https://pbs.twimg.com/profile_banners/7130402/1674245715")</f>
        <v>https://pbs.twimg.com/profile_banners/7130402/1674245715</v>
      </c>
      <c r="AQ217" t="b">
        <v>0</v>
      </c>
      <c r="AR217" t="b">
        <v>0</v>
      </c>
      <c r="AS217" t="b">
        <v>1</v>
      </c>
      <c r="AU217">
        <v>1427</v>
      </c>
      <c r="AV217" s="79" t="str">
        <f>HYPERLINK("https://abs.twimg.com/images/themes/theme1/bg.png")</f>
        <v>https://abs.twimg.com/images/themes/theme1/bg.png</v>
      </c>
      <c r="AW217" t="b">
        <v>1</v>
      </c>
      <c r="AX217" t="s">
        <v>9303</v>
      </c>
      <c r="AY217" s="79" t="str">
        <f>HYPERLINK("https://twitter.com/chaptersindigo")</f>
        <v>https://twitter.com/chaptersindigo</v>
      </c>
      <c r="AZ217" t="s">
        <v>65</v>
      </c>
      <c r="BA217" s="2"/>
    </row>
    <row r="218" spans="1:53" x14ac:dyDescent="0.45">
      <c r="A218" s="62" t="s">
        <v>559</v>
      </c>
      <c r="B218" s="63"/>
      <c r="C218" s="63"/>
      <c r="D218" s="64"/>
      <c r="E218" s="66"/>
      <c r="F218" s="98" t="str">
        <f>HYPERLINK("https://pbs.twimg.com/profile_images/1230583948968964096/rtlhlX3E_normal.jpg")</f>
        <v>https://pbs.twimg.com/profile_images/1230583948968964096/rtlhlX3E_normal.jpg</v>
      </c>
      <c r="G218" s="63"/>
      <c r="H218" s="67"/>
      <c r="I218" s="68"/>
      <c r="J218" s="68"/>
      <c r="K218" s="67" t="s">
        <v>9857</v>
      </c>
      <c r="L218" s="71"/>
      <c r="M218" s="72"/>
      <c r="N218" s="72"/>
      <c r="O218" s="73"/>
      <c r="P218" s="74"/>
      <c r="Q218" s="74"/>
      <c r="R218" s="81"/>
      <c r="S218" s="81"/>
      <c r="T218" s="81"/>
      <c r="U218" s="81"/>
      <c r="V218" s="48"/>
      <c r="W218" s="48"/>
      <c r="X218" s="48"/>
      <c r="Y218" s="48"/>
      <c r="Z218" s="47"/>
      <c r="AA218" s="69"/>
      <c r="AB218" s="69"/>
      <c r="AC218" s="70"/>
      <c r="AD218" t="s">
        <v>5548</v>
      </c>
      <c r="AE218" s="78" t="s">
        <v>6796</v>
      </c>
      <c r="AF218">
        <v>1949</v>
      </c>
      <c r="AG218">
        <v>147942</v>
      </c>
      <c r="AH218">
        <v>252769</v>
      </c>
      <c r="AI218">
        <v>1924</v>
      </c>
      <c r="AK218" t="s">
        <v>7971</v>
      </c>
      <c r="AL218" t="s">
        <v>8950</v>
      </c>
      <c r="AM218" s="79" t="str">
        <f>HYPERLINK("https://t.co/iYqP96MBEt")</f>
        <v>https://t.co/iYqP96MBEt</v>
      </c>
      <c r="AO218" s="76">
        <v>39465.862916666665</v>
      </c>
      <c r="AP218" s="79" t="str">
        <f>HYPERLINK("https://pbs.twimg.com/profile_banners/12413892/1655492961")</f>
        <v>https://pbs.twimg.com/profile_banners/12413892/1655492961</v>
      </c>
      <c r="AQ218" t="b">
        <v>0</v>
      </c>
      <c r="AR218" t="b">
        <v>0</v>
      </c>
      <c r="AS218" t="b">
        <v>1</v>
      </c>
      <c r="AU218">
        <v>1110</v>
      </c>
      <c r="AV218" s="79" t="str">
        <f>HYPERLINK("https://abs.twimg.com/images/themes/theme1/bg.png")</f>
        <v>https://abs.twimg.com/images/themes/theme1/bg.png</v>
      </c>
      <c r="AW218" t="b">
        <v>1</v>
      </c>
      <c r="AX218" t="s">
        <v>9303</v>
      </c>
      <c r="AY218" s="79" t="str">
        <f>HYPERLINK("https://twitter.com/13newsnow")</f>
        <v>https://twitter.com/13newsnow</v>
      </c>
      <c r="AZ218" t="s">
        <v>66</v>
      </c>
      <c r="BA218" s="2"/>
    </row>
    <row r="219" spans="1:53" x14ac:dyDescent="0.45">
      <c r="A219" s="62" t="s">
        <v>569</v>
      </c>
      <c r="B219" s="63"/>
      <c r="C219" s="63"/>
      <c r="D219" s="64"/>
      <c r="E219" s="66"/>
      <c r="F219" s="98" t="str">
        <f>HYPERLINK("https://pbs.twimg.com/profile_images/867401894003707905/Czy-RKnE_normal.jpg")</f>
        <v>https://pbs.twimg.com/profile_images/867401894003707905/Czy-RKnE_normal.jpg</v>
      </c>
      <c r="G219" s="63"/>
      <c r="H219" s="67"/>
      <c r="I219" s="68"/>
      <c r="J219" s="68"/>
      <c r="K219" s="67" t="s">
        <v>9867</v>
      </c>
      <c r="L219" s="71"/>
      <c r="M219" s="72"/>
      <c r="N219" s="72"/>
      <c r="O219" s="73"/>
      <c r="P219" s="74"/>
      <c r="Q219" s="74"/>
      <c r="R219" s="81"/>
      <c r="S219" s="81"/>
      <c r="T219" s="81"/>
      <c r="U219" s="81"/>
      <c r="V219" s="48"/>
      <c r="W219" s="48"/>
      <c r="X219" s="48"/>
      <c r="Y219" s="48"/>
      <c r="Z219" s="47"/>
      <c r="AA219" s="69"/>
      <c r="AB219" s="69"/>
      <c r="AC219" s="70"/>
      <c r="AD219" t="s">
        <v>5558</v>
      </c>
      <c r="AE219" s="78" t="s">
        <v>6806</v>
      </c>
      <c r="AF219">
        <v>1227</v>
      </c>
      <c r="AG219">
        <v>146832</v>
      </c>
      <c r="AH219">
        <v>304984</v>
      </c>
      <c r="AI219">
        <v>6008</v>
      </c>
      <c r="AK219" t="s">
        <v>7981</v>
      </c>
      <c r="AL219" t="s">
        <v>8960</v>
      </c>
      <c r="AM219" s="79" t="str">
        <f>HYPERLINK("https://t.co/3l33dNTPnV")</f>
        <v>https://t.co/3l33dNTPnV</v>
      </c>
      <c r="AO219" s="76">
        <v>39820.856527777774</v>
      </c>
      <c r="AP219" s="79" t="str">
        <f>HYPERLINK("https://pbs.twimg.com/profile_banners/18736950/1658158582")</f>
        <v>https://pbs.twimg.com/profile_banners/18736950/1658158582</v>
      </c>
      <c r="AQ219" t="b">
        <v>0</v>
      </c>
      <c r="AR219" t="b">
        <v>0</v>
      </c>
      <c r="AS219" t="b">
        <v>1</v>
      </c>
      <c r="AU219">
        <v>1104</v>
      </c>
      <c r="AV219" s="79" t="str">
        <f>HYPERLINK("https://abs.twimg.com/images/themes/theme15/bg.png")</f>
        <v>https://abs.twimg.com/images/themes/theme15/bg.png</v>
      </c>
      <c r="AW219" t="b">
        <v>1</v>
      </c>
      <c r="AX219" t="s">
        <v>9303</v>
      </c>
      <c r="AY219" s="79" t="str">
        <f>HYPERLINK("https://twitter.com/fcn2go")</f>
        <v>https://twitter.com/fcn2go</v>
      </c>
      <c r="AZ219" t="s">
        <v>66</v>
      </c>
      <c r="BA219" s="2"/>
    </row>
    <row r="220" spans="1:53" x14ac:dyDescent="0.45">
      <c r="A220" s="62" t="s">
        <v>1163</v>
      </c>
      <c r="B220" s="63"/>
      <c r="C220" s="63"/>
      <c r="D220" s="64"/>
      <c r="E220" s="66"/>
      <c r="F220" s="98" t="str">
        <f>HYPERLINK("https://pbs.twimg.com/profile_images/1459948503740948481/yZCJCYS9_normal.jpg")</f>
        <v>https://pbs.twimg.com/profile_images/1459948503740948481/yZCJCYS9_normal.jpg</v>
      </c>
      <c r="G220" s="63"/>
      <c r="H220" s="67"/>
      <c r="I220" s="68"/>
      <c r="J220" s="68"/>
      <c r="K220" s="67" t="s">
        <v>9428</v>
      </c>
      <c r="L220" s="71"/>
      <c r="M220" s="72"/>
      <c r="N220" s="72"/>
      <c r="O220" s="73"/>
      <c r="P220" s="74"/>
      <c r="Q220" s="74"/>
      <c r="R220" s="81"/>
      <c r="S220" s="81"/>
      <c r="T220" s="81"/>
      <c r="U220" s="81"/>
      <c r="V220" s="48"/>
      <c r="W220" s="48"/>
      <c r="X220" s="48"/>
      <c r="Y220" s="48"/>
      <c r="Z220" s="47"/>
      <c r="AA220" s="69"/>
      <c r="AB220" s="69"/>
      <c r="AC220" s="70"/>
      <c r="AD220" t="s">
        <v>5122</v>
      </c>
      <c r="AE220" s="78" t="s">
        <v>4660</v>
      </c>
      <c r="AF220">
        <v>13</v>
      </c>
      <c r="AG220">
        <v>146376</v>
      </c>
      <c r="AH220">
        <v>97276</v>
      </c>
      <c r="AI220">
        <v>1510</v>
      </c>
      <c r="AK220" t="s">
        <v>7601</v>
      </c>
      <c r="AL220" t="s">
        <v>8673</v>
      </c>
      <c r="AM220" s="79" t="str">
        <f>HYPERLINK("https://t.co/aQyh1Kcaax")</f>
        <v>https://t.co/aQyh1Kcaax</v>
      </c>
      <c r="AO220" s="76">
        <v>40115.63658564815</v>
      </c>
      <c r="AP220" s="79" t="str">
        <f>HYPERLINK("https://pbs.twimg.com/profile_banners/86089860/1672154034")</f>
        <v>https://pbs.twimg.com/profile_banners/86089860/1672154034</v>
      </c>
      <c r="AQ220" t="b">
        <v>0</v>
      </c>
      <c r="AR220" t="b">
        <v>0</v>
      </c>
      <c r="AS220" t="b">
        <v>1</v>
      </c>
      <c r="AU220">
        <v>944</v>
      </c>
      <c r="AV220" s="79" t="str">
        <f>HYPERLINK("https://abs.twimg.com/images/themes/theme1/bg.png")</f>
        <v>https://abs.twimg.com/images/themes/theme1/bg.png</v>
      </c>
      <c r="AW220" t="b">
        <v>1</v>
      </c>
      <c r="AX220" t="s">
        <v>9303</v>
      </c>
      <c r="AY220" s="79" t="str">
        <f>HYPERLINK("https://twitter.com/samsclub")</f>
        <v>https://twitter.com/samsclub</v>
      </c>
      <c r="AZ220" t="s">
        <v>65</v>
      </c>
      <c r="BA220" s="2"/>
    </row>
    <row r="221" spans="1:53" x14ac:dyDescent="0.45">
      <c r="A221" s="62" t="s">
        <v>1202</v>
      </c>
      <c r="B221" s="63"/>
      <c r="C221" s="63"/>
      <c r="D221" s="64"/>
      <c r="E221" s="66"/>
      <c r="F221" s="98" t="str">
        <f>HYPERLINK("https://pbs.twimg.com/profile_images/775298917315518464/Ppk6Gn6J_normal.jpg")</f>
        <v>https://pbs.twimg.com/profile_images/775298917315518464/Ppk6Gn6J_normal.jpg</v>
      </c>
      <c r="G221" s="63"/>
      <c r="H221" s="67"/>
      <c r="I221" s="68"/>
      <c r="J221" s="68"/>
      <c r="K221" s="67" t="s">
        <v>9499</v>
      </c>
      <c r="L221" s="71"/>
      <c r="M221" s="72"/>
      <c r="N221" s="72"/>
      <c r="O221" s="73"/>
      <c r="P221" s="74"/>
      <c r="Q221" s="74"/>
      <c r="R221" s="81"/>
      <c r="S221" s="81"/>
      <c r="T221" s="81"/>
      <c r="U221" s="81"/>
      <c r="V221" s="48"/>
      <c r="W221" s="48"/>
      <c r="X221" s="48"/>
      <c r="Y221" s="48"/>
      <c r="Z221" s="47"/>
      <c r="AA221" s="69"/>
      <c r="AB221" s="69"/>
      <c r="AC221" s="70"/>
      <c r="AD221" t="s">
        <v>5193</v>
      </c>
      <c r="AE221" s="78" t="s">
        <v>4768</v>
      </c>
      <c r="AF221">
        <v>29</v>
      </c>
      <c r="AG221">
        <v>144019</v>
      </c>
      <c r="AH221">
        <v>6066</v>
      </c>
      <c r="AI221">
        <v>737</v>
      </c>
      <c r="AK221" t="s">
        <v>7663</v>
      </c>
      <c r="AL221" t="s">
        <v>8783</v>
      </c>
      <c r="AM221" s="79" t="str">
        <f>HYPERLINK("https://t.co/H6VTUmpFVg")</f>
        <v>https://t.co/H6VTUmpFVg</v>
      </c>
      <c r="AO221" s="76">
        <v>42618.247731481482</v>
      </c>
      <c r="AP221" s="79" t="str">
        <f>HYPERLINK("https://pbs.twimg.com/profile_banners/772674808878342144/1675240283")</f>
        <v>https://pbs.twimg.com/profile_banners/772674808878342144/1675240283</v>
      </c>
      <c r="AQ221" t="b">
        <v>1</v>
      </c>
      <c r="AR221" t="b">
        <v>0</v>
      </c>
      <c r="AS221" t="b">
        <v>1</v>
      </c>
      <c r="AU221">
        <v>170</v>
      </c>
      <c r="AW221" t="b">
        <v>1</v>
      </c>
      <c r="AX221" t="s">
        <v>9303</v>
      </c>
      <c r="AY221" s="79" t="str">
        <f>HYPERLINK("https://twitter.com/jagograhakjago")</f>
        <v>https://twitter.com/jagograhakjago</v>
      </c>
      <c r="AZ221" t="s">
        <v>65</v>
      </c>
      <c r="BA221" s="2"/>
    </row>
    <row r="222" spans="1:53" x14ac:dyDescent="0.45">
      <c r="A222" s="62" t="s">
        <v>1457</v>
      </c>
      <c r="B222" s="63"/>
      <c r="C222" s="63"/>
      <c r="D222" s="64"/>
      <c r="E222" s="66"/>
      <c r="F222" s="98" t="str">
        <f>HYPERLINK("https://pbs.twimg.com/profile_images/1311672026734698496/-JNk4xc5_normal.jpg")</f>
        <v>https://pbs.twimg.com/profile_images/1311672026734698496/-JNk4xc5_normal.jpg</v>
      </c>
      <c r="G222" s="63"/>
      <c r="H222" s="67"/>
      <c r="I222" s="68"/>
      <c r="J222" s="68"/>
      <c r="K222" s="67" t="s">
        <v>10399</v>
      </c>
      <c r="L222" s="71"/>
      <c r="M222" s="72"/>
      <c r="N222" s="72"/>
      <c r="O222" s="73"/>
      <c r="P222" s="74"/>
      <c r="Q222" s="74"/>
      <c r="R222" s="81"/>
      <c r="S222" s="81"/>
      <c r="T222" s="81"/>
      <c r="U222" s="81"/>
      <c r="V222" s="48"/>
      <c r="W222" s="48"/>
      <c r="X222" s="48"/>
      <c r="Y222" s="48"/>
      <c r="Z222" s="47"/>
      <c r="AA222" s="69"/>
      <c r="AB222" s="69"/>
      <c r="AC222" s="70"/>
      <c r="AD222" t="s">
        <v>6081</v>
      </c>
      <c r="AE222" s="78" t="s">
        <v>7282</v>
      </c>
      <c r="AF222">
        <v>1256</v>
      </c>
      <c r="AG222">
        <v>140955</v>
      </c>
      <c r="AH222">
        <v>68725</v>
      </c>
      <c r="AI222">
        <v>4930</v>
      </c>
      <c r="AK222" t="s">
        <v>8443</v>
      </c>
      <c r="AM222" s="79" t="str">
        <f>HYPERLINK("https://t.co/eWz8vdoivh")</f>
        <v>https://t.co/eWz8vdoivh</v>
      </c>
      <c r="AO222" s="76">
        <v>40093.721307870372</v>
      </c>
      <c r="AP222" s="79" t="str">
        <f>HYPERLINK("https://pbs.twimg.com/profile_banners/80628196/1672845760")</f>
        <v>https://pbs.twimg.com/profile_banners/80628196/1672845760</v>
      </c>
      <c r="AQ222" t="b">
        <v>0</v>
      </c>
      <c r="AR222" t="b">
        <v>0</v>
      </c>
      <c r="AS222" t="b">
        <v>0</v>
      </c>
      <c r="AU222">
        <v>2560</v>
      </c>
      <c r="AV222" s="79" t="str">
        <f>HYPERLINK("https://abs.twimg.com/images/themes/theme1/bg.png")</f>
        <v>https://abs.twimg.com/images/themes/theme1/bg.png</v>
      </c>
      <c r="AW222" t="b">
        <v>1</v>
      </c>
      <c r="AX222" t="s">
        <v>9303</v>
      </c>
      <c r="AY222" s="79" t="str">
        <f>HYPERLINK("https://twitter.com/aarp")</f>
        <v>https://twitter.com/aarp</v>
      </c>
      <c r="AZ222" t="s">
        <v>65</v>
      </c>
      <c r="BA222" s="2"/>
    </row>
    <row r="223" spans="1:53" x14ac:dyDescent="0.45">
      <c r="A223" s="62" t="s">
        <v>561</v>
      </c>
      <c r="B223" s="63"/>
      <c r="C223" s="63"/>
      <c r="D223" s="64"/>
      <c r="E223" s="66"/>
      <c r="F223" s="98" t="str">
        <f>HYPERLINK("https://pbs.twimg.com/profile_images/1212550707699687424/g1k78r0Q_normal.jpg")</f>
        <v>https://pbs.twimg.com/profile_images/1212550707699687424/g1k78r0Q_normal.jpg</v>
      </c>
      <c r="G223" s="63"/>
      <c r="H223" s="67"/>
      <c r="I223" s="68"/>
      <c r="J223" s="68"/>
      <c r="K223" s="67" t="s">
        <v>9859</v>
      </c>
      <c r="L223" s="71"/>
      <c r="M223" s="72"/>
      <c r="N223" s="72"/>
      <c r="O223" s="73"/>
      <c r="P223" s="74"/>
      <c r="Q223" s="74"/>
      <c r="R223" s="81"/>
      <c r="S223" s="81"/>
      <c r="T223" s="81"/>
      <c r="U223" s="81"/>
      <c r="V223" s="48"/>
      <c r="W223" s="48"/>
      <c r="X223" s="48"/>
      <c r="Y223" s="48"/>
      <c r="Z223" s="47"/>
      <c r="AA223" s="69"/>
      <c r="AB223" s="69"/>
      <c r="AC223" s="70"/>
      <c r="AD223" t="s">
        <v>5550</v>
      </c>
      <c r="AE223" s="78" t="s">
        <v>6798</v>
      </c>
      <c r="AF223">
        <v>780</v>
      </c>
      <c r="AG223">
        <v>138315</v>
      </c>
      <c r="AH223">
        <v>350040</v>
      </c>
      <c r="AI223">
        <v>898</v>
      </c>
      <c r="AK223" t="s">
        <v>7973</v>
      </c>
      <c r="AL223" t="s">
        <v>8952</v>
      </c>
      <c r="AM223" s="79" t="str">
        <f>HYPERLINK("https://t.co/Kkwr85Duxc")</f>
        <v>https://t.co/Kkwr85Duxc</v>
      </c>
      <c r="AO223" s="76">
        <v>39549.610729166663</v>
      </c>
      <c r="AP223" s="79" t="str">
        <f>HYPERLINK("https://pbs.twimg.com/profile_banners/14361260/1577918489")</f>
        <v>https://pbs.twimg.com/profile_banners/14361260/1577918489</v>
      </c>
      <c r="AQ223" t="b">
        <v>0</v>
      </c>
      <c r="AR223" t="b">
        <v>0</v>
      </c>
      <c r="AS223" t="b">
        <v>1</v>
      </c>
      <c r="AU223">
        <v>984</v>
      </c>
      <c r="AV223" s="79" t="str">
        <f>HYPERLINK("https://abs.twimg.com/images/themes/theme1/bg.png")</f>
        <v>https://abs.twimg.com/images/themes/theme1/bg.png</v>
      </c>
      <c r="AW223" t="b">
        <v>1</v>
      </c>
      <c r="AX223" t="s">
        <v>9303</v>
      </c>
      <c r="AY223" s="79" t="str">
        <f>HYPERLINK("https://twitter.com/wfmy")</f>
        <v>https://twitter.com/wfmy</v>
      </c>
      <c r="AZ223" t="s">
        <v>66</v>
      </c>
      <c r="BA223" s="2"/>
    </row>
    <row r="224" spans="1:53" x14ac:dyDescent="0.45">
      <c r="A224" s="62" t="s">
        <v>1201</v>
      </c>
      <c r="B224" s="63"/>
      <c r="C224" s="63"/>
      <c r="D224" s="64"/>
      <c r="E224" s="66"/>
      <c r="F224" s="98" t="str">
        <f>HYPERLINK("https://pbs.twimg.com/profile_images/1142127099140026369/hDapPNjT_normal.png")</f>
        <v>https://pbs.twimg.com/profile_images/1142127099140026369/hDapPNjT_normal.png</v>
      </c>
      <c r="G224" s="63"/>
      <c r="H224" s="67"/>
      <c r="I224" s="68"/>
      <c r="J224" s="68"/>
      <c r="K224" s="67" t="s">
        <v>9498</v>
      </c>
      <c r="L224" s="71"/>
      <c r="M224" s="72"/>
      <c r="N224" s="72"/>
      <c r="O224" s="73"/>
      <c r="P224" s="74"/>
      <c r="Q224" s="74"/>
      <c r="R224" s="81"/>
      <c r="S224" s="81"/>
      <c r="T224" s="81"/>
      <c r="U224" s="81"/>
      <c r="V224" s="48"/>
      <c r="W224" s="48"/>
      <c r="X224" s="48"/>
      <c r="Y224" s="48"/>
      <c r="Z224" s="47"/>
      <c r="AA224" s="69"/>
      <c r="AB224" s="69"/>
      <c r="AC224" s="70"/>
      <c r="AD224" t="s">
        <v>5192</v>
      </c>
      <c r="AE224" s="78" t="s">
        <v>6486</v>
      </c>
      <c r="AF224">
        <v>1523</v>
      </c>
      <c r="AG224">
        <v>136289</v>
      </c>
      <c r="AH224">
        <v>55116</v>
      </c>
      <c r="AI224">
        <v>1850</v>
      </c>
      <c r="AK224" t="s">
        <v>7662</v>
      </c>
      <c r="AM224" s="79" t="str">
        <f>HYPERLINK("http://t.co/R4t570Ithj")</f>
        <v>http://t.co/R4t570Ithj</v>
      </c>
      <c r="AO224" s="76">
        <v>40311.769282407404</v>
      </c>
      <c r="AP224" s="79" t="str">
        <f>HYPERLINK("https://pbs.twimg.com/profile_banners/143528416/1585245205")</f>
        <v>https://pbs.twimg.com/profile_banners/143528416/1585245205</v>
      </c>
      <c r="AQ224" t="b">
        <v>0</v>
      </c>
      <c r="AR224" t="b">
        <v>0</v>
      </c>
      <c r="AS224" t="b">
        <v>1</v>
      </c>
      <c r="AU224">
        <v>603</v>
      </c>
      <c r="AV224" s="79" t="str">
        <f>HYPERLINK("https://abs.twimg.com/images/themes/theme1/bg.png")</f>
        <v>https://abs.twimg.com/images/themes/theme1/bg.png</v>
      </c>
      <c r="AW224" t="b">
        <v>1</v>
      </c>
      <c r="AX224" t="s">
        <v>9303</v>
      </c>
      <c r="AY224" s="79" t="str">
        <f>HYPERLINK("https://twitter.com/walmartcanada")</f>
        <v>https://twitter.com/walmartcanada</v>
      </c>
      <c r="AZ224" t="s">
        <v>65</v>
      </c>
      <c r="BA224" s="2"/>
    </row>
    <row r="225" spans="1:53" x14ac:dyDescent="0.45">
      <c r="A225" s="62" t="s">
        <v>1134</v>
      </c>
      <c r="B225" s="63"/>
      <c r="C225" s="63"/>
      <c r="D225" s="64"/>
      <c r="E225" s="66"/>
      <c r="F225" s="98" t="str">
        <f>HYPERLINK("https://pbs.twimg.com/profile_images/1121083861520326656/X6NEB7hZ_normal.jpg")</f>
        <v>https://pbs.twimg.com/profile_images/1121083861520326656/X6NEB7hZ_normal.jpg</v>
      </c>
      <c r="G225" s="63"/>
      <c r="H225" s="67"/>
      <c r="I225" s="68"/>
      <c r="J225" s="68"/>
      <c r="K225" s="67" t="s">
        <v>9359</v>
      </c>
      <c r="L225" s="71"/>
      <c r="M225" s="72"/>
      <c r="N225" s="72"/>
      <c r="O225" s="73"/>
      <c r="P225" s="74"/>
      <c r="Q225" s="74"/>
      <c r="R225" s="81"/>
      <c r="S225" s="81"/>
      <c r="T225" s="81"/>
      <c r="U225" s="81"/>
      <c r="V225" s="48"/>
      <c r="W225" s="48"/>
      <c r="X225" s="48"/>
      <c r="Y225" s="48"/>
      <c r="Z225" s="47"/>
      <c r="AA225" s="69"/>
      <c r="AB225" s="69"/>
      <c r="AC225" s="70"/>
      <c r="AD225" t="s">
        <v>5055</v>
      </c>
      <c r="AE225" s="78" t="s">
        <v>6370</v>
      </c>
      <c r="AF225">
        <v>109677</v>
      </c>
      <c r="AG225">
        <v>134565</v>
      </c>
      <c r="AH225">
        <v>84838</v>
      </c>
      <c r="AI225">
        <v>160585</v>
      </c>
      <c r="AK225" t="s">
        <v>7541</v>
      </c>
      <c r="AL225" t="s">
        <v>8712</v>
      </c>
      <c r="AM225" s="79" t="str">
        <f>HYPERLINK("https://t.co/Sui5jHXLXj")</f>
        <v>https://t.co/Sui5jHXLXj</v>
      </c>
      <c r="AO225" s="76">
        <v>42096.317708333336</v>
      </c>
      <c r="AP225" s="79" t="str">
        <f>HYPERLINK("https://pbs.twimg.com/profile_banners/3131243261/1620899319")</f>
        <v>https://pbs.twimg.com/profile_banners/3131243261/1620899319</v>
      </c>
      <c r="AQ225" t="b">
        <v>1</v>
      </c>
      <c r="AR225" t="b">
        <v>0</v>
      </c>
      <c r="AS225" t="b">
        <v>1</v>
      </c>
      <c r="AU225">
        <v>3362</v>
      </c>
      <c r="AV225" s="79" t="str">
        <f>HYPERLINK("https://abs.twimg.com/images/themes/theme1/bg.png")</f>
        <v>https://abs.twimg.com/images/themes/theme1/bg.png</v>
      </c>
      <c r="AW225" t="b">
        <v>0</v>
      </c>
      <c r="AX225" t="s">
        <v>9303</v>
      </c>
      <c r="AY225" s="79" t="str">
        <f>HYPERLINK("https://twitter.com/sallyeaves")</f>
        <v>https://twitter.com/sallyeaves</v>
      </c>
      <c r="AZ225" t="s">
        <v>65</v>
      </c>
      <c r="BA225" s="2"/>
    </row>
    <row r="226" spans="1:53" x14ac:dyDescent="0.45">
      <c r="A226" s="62" t="s">
        <v>584</v>
      </c>
      <c r="B226" s="63"/>
      <c r="C226" s="63"/>
      <c r="D226" s="64"/>
      <c r="E226" s="66"/>
      <c r="F226" s="98" t="str">
        <f>HYPERLINK("https://pbs.twimg.com/profile_images/1542966726643662849/ueFSM1sv_normal.jpg")</f>
        <v>https://pbs.twimg.com/profile_images/1542966726643662849/ueFSM1sv_normal.jpg</v>
      </c>
      <c r="G226" s="63"/>
      <c r="H226" s="67"/>
      <c r="I226" s="68"/>
      <c r="J226" s="68"/>
      <c r="K226" s="67" t="s">
        <v>9882</v>
      </c>
      <c r="L226" s="71"/>
      <c r="M226" s="72"/>
      <c r="N226" s="72"/>
      <c r="O226" s="73"/>
      <c r="P226" s="74"/>
      <c r="Q226" s="74"/>
      <c r="R226" s="81"/>
      <c r="S226" s="81"/>
      <c r="T226" s="81"/>
      <c r="U226" s="81"/>
      <c r="V226" s="48"/>
      <c r="W226" s="48"/>
      <c r="X226" s="48"/>
      <c r="Y226" s="48"/>
      <c r="Z226" s="47"/>
      <c r="AA226" s="69"/>
      <c r="AB226" s="69"/>
      <c r="AC226" s="70"/>
      <c r="AD226" t="s">
        <v>5573</v>
      </c>
      <c r="AE226" s="78" t="s">
        <v>6821</v>
      </c>
      <c r="AF226">
        <v>5228</v>
      </c>
      <c r="AG226">
        <v>134356</v>
      </c>
      <c r="AH226">
        <v>374965</v>
      </c>
      <c r="AI226">
        <v>12066</v>
      </c>
      <c r="AK226" t="s">
        <v>7996</v>
      </c>
      <c r="AL226" t="s">
        <v>8703</v>
      </c>
      <c r="AM226" s="79" t="str">
        <f>HYPERLINK("https://t.co/M7YohzY7AK")</f>
        <v>https://t.co/M7YohzY7AK</v>
      </c>
      <c r="AO226" s="76">
        <v>39640.555104166669</v>
      </c>
      <c r="AP226" s="79" t="str">
        <f>HYPERLINK("https://pbs.twimg.com/profile_banners/15391102/1524766682")</f>
        <v>https://pbs.twimg.com/profile_banners/15391102/1524766682</v>
      </c>
      <c r="AQ226" t="b">
        <v>0</v>
      </c>
      <c r="AR226" t="b">
        <v>0</v>
      </c>
      <c r="AS226" t="b">
        <v>1</v>
      </c>
      <c r="AU226">
        <v>2920</v>
      </c>
      <c r="AV226" s="79" t="str">
        <f>HYPERLINK("https://abs.twimg.com/images/themes/theme9/bg.gif")</f>
        <v>https://abs.twimg.com/images/themes/theme9/bg.gif</v>
      </c>
      <c r="AW226" t="b">
        <v>1</v>
      </c>
      <c r="AX226" t="s">
        <v>9303</v>
      </c>
      <c r="AY226" s="79" t="str">
        <f>HYPERLINK("https://twitter.com/wusa9")</f>
        <v>https://twitter.com/wusa9</v>
      </c>
      <c r="AZ226" t="s">
        <v>66</v>
      </c>
      <c r="BA226" s="2"/>
    </row>
    <row r="227" spans="1:53" x14ac:dyDescent="0.45">
      <c r="A227" s="62" t="s">
        <v>560</v>
      </c>
      <c r="B227" s="63"/>
      <c r="C227" s="63"/>
      <c r="D227" s="64"/>
      <c r="E227" s="66"/>
      <c r="F227" s="98" t="str">
        <f>HYPERLINK("https://pbs.twimg.com/profile_images/993665581340602369/wKuEzSYY_normal.jpg")</f>
        <v>https://pbs.twimg.com/profile_images/993665581340602369/wKuEzSYY_normal.jpg</v>
      </c>
      <c r="G227" s="63"/>
      <c r="H227" s="67"/>
      <c r="I227" s="68"/>
      <c r="J227" s="68"/>
      <c r="K227" s="67" t="s">
        <v>9858</v>
      </c>
      <c r="L227" s="71"/>
      <c r="M227" s="72"/>
      <c r="N227" s="72"/>
      <c r="O227" s="73"/>
      <c r="P227" s="74"/>
      <c r="Q227" s="74"/>
      <c r="R227" s="81"/>
      <c r="S227" s="81"/>
      <c r="T227" s="81"/>
      <c r="U227" s="81"/>
      <c r="V227" s="48"/>
      <c r="W227" s="48"/>
      <c r="X227" s="48"/>
      <c r="Y227" s="48"/>
      <c r="Z227" s="47"/>
      <c r="AA227" s="69"/>
      <c r="AB227" s="69"/>
      <c r="AC227" s="70"/>
      <c r="AD227" t="s">
        <v>5549</v>
      </c>
      <c r="AE227" s="78" t="s">
        <v>6797</v>
      </c>
      <c r="AF227">
        <v>3520</v>
      </c>
      <c r="AG227">
        <v>130751</v>
      </c>
      <c r="AH227">
        <v>246970</v>
      </c>
      <c r="AI227">
        <v>5781</v>
      </c>
      <c r="AK227" t="s">
        <v>7972</v>
      </c>
      <c r="AL227" t="s">
        <v>8951</v>
      </c>
      <c r="AM227" s="79" t="str">
        <f>HYPERLINK("https://t.co/vouhN8Mha1")</f>
        <v>https://t.co/vouhN8Mha1</v>
      </c>
      <c r="AO227" s="76">
        <v>39722.053773148145</v>
      </c>
      <c r="AP227" s="79" t="str">
        <f>HYPERLINK("https://pbs.twimg.com/profile_banners/16538186/1675010767")</f>
        <v>https://pbs.twimg.com/profile_banners/16538186/1675010767</v>
      </c>
      <c r="AQ227" t="b">
        <v>0</v>
      </c>
      <c r="AR227" t="b">
        <v>0</v>
      </c>
      <c r="AS227" t="b">
        <v>1</v>
      </c>
      <c r="AU227">
        <v>1097</v>
      </c>
      <c r="AV227" s="79" t="str">
        <f>HYPERLINK("https://abs.twimg.com/images/themes/theme1/bg.png")</f>
        <v>https://abs.twimg.com/images/themes/theme1/bg.png</v>
      </c>
      <c r="AW227" t="b">
        <v>1</v>
      </c>
      <c r="AX227" t="s">
        <v>9303</v>
      </c>
      <c r="AY227" s="79" t="str">
        <f>HYPERLINK("https://twitter.com/newscentermaine")</f>
        <v>https://twitter.com/newscentermaine</v>
      </c>
      <c r="AZ227" t="s">
        <v>66</v>
      </c>
      <c r="BA227" s="2"/>
    </row>
    <row r="228" spans="1:53" x14ac:dyDescent="0.45">
      <c r="A228" s="62" t="s">
        <v>1519</v>
      </c>
      <c r="B228" s="63"/>
      <c r="C228" s="63"/>
      <c r="D228" s="64"/>
      <c r="E228" s="66"/>
      <c r="F228" s="98" t="str">
        <f>HYPERLINK("https://pbs.twimg.com/profile_images/843910329314791426/OQGt92l2_normal.jpg")</f>
        <v>https://pbs.twimg.com/profile_images/843910329314791426/OQGt92l2_normal.jpg</v>
      </c>
      <c r="G228" s="63"/>
      <c r="H228" s="67"/>
      <c r="I228" s="68"/>
      <c r="J228" s="68"/>
      <c r="K228" s="67" t="s">
        <v>10546</v>
      </c>
      <c r="L228" s="71"/>
      <c r="M228" s="72"/>
      <c r="N228" s="72"/>
      <c r="O228" s="73"/>
      <c r="P228" s="74"/>
      <c r="Q228" s="74"/>
      <c r="R228" s="81"/>
      <c r="S228" s="81"/>
      <c r="T228" s="81"/>
      <c r="U228" s="81"/>
      <c r="V228" s="48"/>
      <c r="W228" s="48"/>
      <c r="X228" s="48"/>
      <c r="Y228" s="48"/>
      <c r="Z228" s="47"/>
      <c r="AA228" s="69"/>
      <c r="AB228" s="69"/>
      <c r="AC228" s="70"/>
      <c r="AD228" t="s">
        <v>6224</v>
      </c>
      <c r="AE228" s="78" t="s">
        <v>4807</v>
      </c>
      <c r="AF228">
        <v>454</v>
      </c>
      <c r="AG228">
        <v>130547</v>
      </c>
      <c r="AH228">
        <v>6936</v>
      </c>
      <c r="AI228">
        <v>200</v>
      </c>
      <c r="AK228" t="s">
        <v>8573</v>
      </c>
      <c r="AL228" t="s">
        <v>8703</v>
      </c>
      <c r="AM228" s="79" t="str">
        <f>HYPERLINK("https://t.co/VT1030VgaI")</f>
        <v>https://t.co/VT1030VgaI</v>
      </c>
      <c r="AO228" s="76">
        <v>42814.803287037037</v>
      </c>
      <c r="AP228" s="79" t="str">
        <f>HYPERLINK("https://pbs.twimg.com/profile_banners/843904157081845762/1556027611")</f>
        <v>https://pbs.twimg.com/profile_banners/843904157081845762/1556027611</v>
      </c>
      <c r="AQ228" t="b">
        <v>1</v>
      </c>
      <c r="AR228" t="b">
        <v>0</v>
      </c>
      <c r="AS228" t="b">
        <v>0</v>
      </c>
      <c r="AU228">
        <v>422</v>
      </c>
      <c r="AW228" t="b">
        <v>1</v>
      </c>
      <c r="AX228" t="s">
        <v>9303</v>
      </c>
      <c r="AY228" s="79" t="str">
        <f>HYPERLINK("https://twitter.com/usmarshalshq")</f>
        <v>https://twitter.com/usmarshalshq</v>
      </c>
      <c r="AZ228" t="s">
        <v>65</v>
      </c>
      <c r="BA228" s="2"/>
    </row>
    <row r="229" spans="1:53" x14ac:dyDescent="0.45">
      <c r="A229" s="62" t="s">
        <v>1286</v>
      </c>
      <c r="B229" s="63"/>
      <c r="C229" s="63"/>
      <c r="D229" s="64"/>
      <c r="E229" s="66"/>
      <c r="F229" s="98" t="str">
        <f>HYPERLINK("https://pbs.twimg.com/profile_images/1412257540235137024/HrJlHdqN_normal.jpg")</f>
        <v>https://pbs.twimg.com/profile_images/1412257540235137024/HrJlHdqN_normal.jpg</v>
      </c>
      <c r="G229" s="63"/>
      <c r="H229" s="67"/>
      <c r="I229" s="68"/>
      <c r="J229" s="68"/>
      <c r="K229" s="67" t="s">
        <v>9790</v>
      </c>
      <c r="L229" s="71"/>
      <c r="M229" s="72"/>
      <c r="N229" s="72"/>
      <c r="O229" s="73"/>
      <c r="P229" s="74"/>
      <c r="Q229" s="74"/>
      <c r="R229" s="81"/>
      <c r="S229" s="81"/>
      <c r="T229" s="81"/>
      <c r="U229" s="81"/>
      <c r="V229" s="48"/>
      <c r="W229" s="48"/>
      <c r="X229" s="48"/>
      <c r="Y229" s="48"/>
      <c r="Z229" s="47"/>
      <c r="AA229" s="69"/>
      <c r="AB229" s="69"/>
      <c r="AC229" s="70"/>
      <c r="AD229" t="s">
        <v>5482</v>
      </c>
      <c r="AE229" s="78" t="s">
        <v>6739</v>
      </c>
      <c r="AF229">
        <v>114</v>
      </c>
      <c r="AG229">
        <v>127644</v>
      </c>
      <c r="AH229">
        <v>3942</v>
      </c>
      <c r="AI229">
        <v>226</v>
      </c>
      <c r="AK229" t="s">
        <v>7911</v>
      </c>
      <c r="AL229" t="s">
        <v>4924</v>
      </c>
      <c r="AM229" s="79" t="str">
        <f>HYPERLINK("https://t.co/CMqGFp3067")</f>
        <v>https://t.co/CMqGFp3067</v>
      </c>
      <c r="AO229" s="76">
        <v>39862.057453703703</v>
      </c>
      <c r="AP229" s="79" t="str">
        <f>HYPERLINK("https://pbs.twimg.com/profile_banners/21155533/1597381454")</f>
        <v>https://pbs.twimg.com/profile_banners/21155533/1597381454</v>
      </c>
      <c r="AQ229" t="b">
        <v>0</v>
      </c>
      <c r="AR229" t="b">
        <v>0</v>
      </c>
      <c r="AS229" t="b">
        <v>1</v>
      </c>
      <c r="AU229">
        <v>462</v>
      </c>
      <c r="AV229" s="79" t="str">
        <f>HYPERLINK("https://abs.twimg.com/images/themes/theme9/bg.gif")</f>
        <v>https://abs.twimg.com/images/themes/theme9/bg.gif</v>
      </c>
      <c r="AW229" t="b">
        <v>0</v>
      </c>
      <c r="AX229" t="s">
        <v>9303</v>
      </c>
      <c r="AY229" s="79" t="str">
        <f>HYPERLINK("https://twitter.com/malimusic")</f>
        <v>https://twitter.com/malimusic</v>
      </c>
      <c r="AZ229" t="s">
        <v>65</v>
      </c>
      <c r="BA229" s="2"/>
    </row>
    <row r="230" spans="1:53" x14ac:dyDescent="0.45">
      <c r="A230" s="62" t="s">
        <v>563</v>
      </c>
      <c r="B230" s="63"/>
      <c r="C230" s="63"/>
      <c r="D230" s="64"/>
      <c r="E230" s="66"/>
      <c r="F230" s="98" t="str">
        <f>HYPERLINK("https://pbs.twimg.com/profile_images/773558323413028864/fd38Y9xm_normal.jpg")</f>
        <v>https://pbs.twimg.com/profile_images/773558323413028864/fd38Y9xm_normal.jpg</v>
      </c>
      <c r="G230" s="63"/>
      <c r="H230" s="67"/>
      <c r="I230" s="68"/>
      <c r="J230" s="68"/>
      <c r="K230" s="67" t="s">
        <v>9861</v>
      </c>
      <c r="L230" s="71"/>
      <c r="M230" s="72"/>
      <c r="N230" s="72"/>
      <c r="O230" s="73"/>
      <c r="P230" s="74"/>
      <c r="Q230" s="74"/>
      <c r="R230" s="81"/>
      <c r="S230" s="81"/>
      <c r="T230" s="81"/>
      <c r="U230" s="81"/>
      <c r="V230" s="48"/>
      <c r="W230" s="48"/>
      <c r="X230" s="48"/>
      <c r="Y230" s="48"/>
      <c r="Z230" s="47"/>
      <c r="AA230" s="69"/>
      <c r="AB230" s="69"/>
      <c r="AC230" s="70"/>
      <c r="AD230" t="s">
        <v>5552</v>
      </c>
      <c r="AE230" s="78" t="s">
        <v>6800</v>
      </c>
      <c r="AF230">
        <v>3215</v>
      </c>
      <c r="AG230">
        <v>126121</v>
      </c>
      <c r="AH230">
        <v>501309</v>
      </c>
      <c r="AI230">
        <v>18794</v>
      </c>
      <c r="AK230" t="s">
        <v>7975</v>
      </c>
      <c r="AL230" t="s">
        <v>8954</v>
      </c>
      <c r="AM230" s="79" t="str">
        <f>HYPERLINK("https://t.co/NWzAKPpC9Y")</f>
        <v>https://t.co/NWzAKPpC9Y</v>
      </c>
      <c r="AO230" s="76">
        <v>39766.593090277776</v>
      </c>
      <c r="AP230" s="79" t="str">
        <f>HYPERLINK("https://pbs.twimg.com/profile_banners/17387823/1559688638")</f>
        <v>https://pbs.twimg.com/profile_banners/17387823/1559688638</v>
      </c>
      <c r="AQ230" t="b">
        <v>0</v>
      </c>
      <c r="AR230" t="b">
        <v>0</v>
      </c>
      <c r="AS230" t="b">
        <v>1</v>
      </c>
      <c r="AU230">
        <v>1110</v>
      </c>
      <c r="AV230" s="79" t="str">
        <f>HYPERLINK("https://abs.twimg.com/images/themes/theme1/bg.png")</f>
        <v>https://abs.twimg.com/images/themes/theme1/bg.png</v>
      </c>
      <c r="AW230" t="b">
        <v>1</v>
      </c>
      <c r="AX230" t="s">
        <v>9303</v>
      </c>
      <c r="AY230" s="79" t="str">
        <f>HYPERLINK("https://twitter.com/wltx")</f>
        <v>https://twitter.com/wltx</v>
      </c>
      <c r="AZ230" t="s">
        <v>66</v>
      </c>
      <c r="BA230" s="2"/>
    </row>
    <row r="231" spans="1:53" x14ac:dyDescent="0.45">
      <c r="A231" s="62" t="s">
        <v>1251</v>
      </c>
      <c r="B231" s="63"/>
      <c r="C231" s="63"/>
      <c r="D231" s="64"/>
      <c r="E231" s="66"/>
      <c r="F231" s="98" t="str">
        <f>HYPERLINK("https://pbs.twimg.com/profile_images/857989703349317633/MMS0U3C-_normal.jpg")</f>
        <v>https://pbs.twimg.com/profile_images/857989703349317633/MMS0U3C-_normal.jpg</v>
      </c>
      <c r="G231" s="63"/>
      <c r="H231" s="67"/>
      <c r="I231" s="68"/>
      <c r="J231" s="68"/>
      <c r="K231" s="67" t="s">
        <v>9619</v>
      </c>
      <c r="L231" s="71"/>
      <c r="M231" s="72"/>
      <c r="N231" s="72"/>
      <c r="O231" s="73"/>
      <c r="P231" s="74"/>
      <c r="Q231" s="74"/>
      <c r="R231" s="81"/>
      <c r="S231" s="81"/>
      <c r="T231" s="81"/>
      <c r="U231" s="81"/>
      <c r="V231" s="48"/>
      <c r="W231" s="48"/>
      <c r="X231" s="48"/>
      <c r="Y231" s="48"/>
      <c r="Z231" s="47"/>
      <c r="AA231" s="69"/>
      <c r="AB231" s="69"/>
      <c r="AC231" s="70"/>
      <c r="AD231" t="s">
        <v>5312</v>
      </c>
      <c r="AE231" s="78" t="s">
        <v>6589</v>
      </c>
      <c r="AF231">
        <v>359</v>
      </c>
      <c r="AG231">
        <v>125645</v>
      </c>
      <c r="AH231">
        <v>216737</v>
      </c>
      <c r="AI231">
        <v>7373</v>
      </c>
      <c r="AK231" t="s">
        <v>7766</v>
      </c>
      <c r="AL231" t="s">
        <v>8842</v>
      </c>
      <c r="AM231" s="79" t="str">
        <f>HYPERLINK("https://t.co/vneFJyOx7S")</f>
        <v>https://t.co/vneFJyOx7S</v>
      </c>
      <c r="AO231" s="76">
        <v>39248.882314814815</v>
      </c>
      <c r="AP231" s="79" t="str">
        <f>HYPERLINK("https://pbs.twimg.com/profile_banners/6842112/1628303567")</f>
        <v>https://pbs.twimg.com/profile_banners/6842112/1628303567</v>
      </c>
      <c r="AQ231" t="b">
        <v>0</v>
      </c>
      <c r="AR231" t="b">
        <v>0</v>
      </c>
      <c r="AS231" t="b">
        <v>1</v>
      </c>
      <c r="AU231">
        <v>858</v>
      </c>
      <c r="AV231" s="79" t="str">
        <f>HYPERLINK("https://abs.twimg.com/images/themes/theme1/bg.png")</f>
        <v>https://abs.twimg.com/images/themes/theme1/bg.png</v>
      </c>
      <c r="AW231" t="b">
        <v>1</v>
      </c>
      <c r="AX231" t="s">
        <v>9303</v>
      </c>
      <c r="AY231" s="79" t="str">
        <f>HYPERLINK("https://twitter.com/koat7news")</f>
        <v>https://twitter.com/koat7news</v>
      </c>
      <c r="AZ231" t="s">
        <v>65</v>
      </c>
      <c r="BA231" s="2"/>
    </row>
    <row r="232" spans="1:53" x14ac:dyDescent="0.45">
      <c r="A232" s="62" t="s">
        <v>1196</v>
      </c>
      <c r="B232" s="63"/>
      <c r="C232" s="63"/>
      <c r="D232" s="64"/>
      <c r="E232" s="66"/>
      <c r="F232" s="98" t="str">
        <f>HYPERLINK("https://pbs.twimg.com/profile_images/1615525353249996800/PFWhKjMj_normal.jpg")</f>
        <v>https://pbs.twimg.com/profile_images/1615525353249996800/PFWhKjMj_normal.jpg</v>
      </c>
      <c r="G232" s="63"/>
      <c r="H232" s="67"/>
      <c r="I232" s="68"/>
      <c r="J232" s="68"/>
      <c r="K232" s="67" t="s">
        <v>9487</v>
      </c>
      <c r="L232" s="71"/>
      <c r="M232" s="72"/>
      <c r="N232" s="72"/>
      <c r="O232" s="73"/>
      <c r="P232" s="74"/>
      <c r="Q232" s="74"/>
      <c r="R232" s="81"/>
      <c r="S232" s="81"/>
      <c r="T232" s="81"/>
      <c r="U232" s="81"/>
      <c r="V232" s="48"/>
      <c r="W232" s="48"/>
      <c r="X232" s="48"/>
      <c r="Y232" s="48"/>
      <c r="Z232" s="47"/>
      <c r="AA232" s="69"/>
      <c r="AB232" s="69"/>
      <c r="AC232" s="70"/>
      <c r="AD232" t="s">
        <v>5181</v>
      </c>
      <c r="AE232" s="78" t="s">
        <v>6477</v>
      </c>
      <c r="AF232">
        <v>798</v>
      </c>
      <c r="AG232">
        <v>124389</v>
      </c>
      <c r="AH232">
        <v>12141</v>
      </c>
      <c r="AI232">
        <v>2978</v>
      </c>
      <c r="AK232" t="s">
        <v>7652</v>
      </c>
      <c r="AL232" t="s">
        <v>8777</v>
      </c>
      <c r="AM232" s="79" t="str">
        <f>HYPERLINK("https://t.co/NAacqfZA88")</f>
        <v>https://t.co/NAacqfZA88</v>
      </c>
      <c r="AO232" s="76">
        <v>39905.93954861111</v>
      </c>
      <c r="AP232" s="79" t="str">
        <f>HYPERLINK("https://pbs.twimg.com/profile_banners/28436760/1674006530")</f>
        <v>https://pbs.twimg.com/profile_banners/28436760/1674006530</v>
      </c>
      <c r="AQ232" t="b">
        <v>0</v>
      </c>
      <c r="AR232" t="b">
        <v>0</v>
      </c>
      <c r="AS232" t="b">
        <v>0</v>
      </c>
      <c r="AU232">
        <v>1690</v>
      </c>
      <c r="AV232" s="79" t="str">
        <f>HYPERLINK("https://abs.twimg.com/images/themes/theme2/bg.gif")</f>
        <v>https://abs.twimg.com/images/themes/theme2/bg.gif</v>
      </c>
      <c r="AW232" t="b">
        <v>1</v>
      </c>
      <c r="AX232" t="s">
        <v>9303</v>
      </c>
      <c r="AY232" s="79" t="str">
        <f>HYPERLINK("https://twitter.com/amgen")</f>
        <v>https://twitter.com/amgen</v>
      </c>
      <c r="AZ232" t="s">
        <v>65</v>
      </c>
      <c r="BA232" s="2"/>
    </row>
    <row r="233" spans="1:53" x14ac:dyDescent="0.45">
      <c r="A233" s="62" t="s">
        <v>1115</v>
      </c>
      <c r="B233" s="63"/>
      <c r="C233" s="63"/>
      <c r="D233" s="64"/>
      <c r="E233" s="66"/>
      <c r="F233" s="98" t="str">
        <f>HYPERLINK("https://pbs.twimg.com/profile_images/1618713294717476865/i9ScS3yX_normal.jpg")</f>
        <v>https://pbs.twimg.com/profile_images/1618713294717476865/i9ScS3yX_normal.jpg</v>
      </c>
      <c r="G233" s="63"/>
      <c r="H233" s="67"/>
      <c r="I233" s="68"/>
      <c r="J233" s="68"/>
      <c r="K233" s="67" t="s">
        <v>9323</v>
      </c>
      <c r="L233" s="71"/>
      <c r="M233" s="72"/>
      <c r="N233" s="72"/>
      <c r="O233" s="73"/>
      <c r="P233" s="74"/>
      <c r="Q233" s="74"/>
      <c r="R233" s="81"/>
      <c r="S233" s="81"/>
      <c r="T233" s="81"/>
      <c r="U233" s="81"/>
      <c r="V233" s="48"/>
      <c r="W233" s="48"/>
      <c r="X233" s="48"/>
      <c r="Y233" s="48"/>
      <c r="Z233" s="47"/>
      <c r="AA233" s="69"/>
      <c r="AB233" s="69"/>
      <c r="AC233" s="70"/>
      <c r="AD233" t="s">
        <v>5019</v>
      </c>
      <c r="AE233" s="78" t="s">
        <v>4644</v>
      </c>
      <c r="AF233">
        <v>508</v>
      </c>
      <c r="AG233">
        <v>120709</v>
      </c>
      <c r="AH233">
        <v>8377</v>
      </c>
      <c r="AI233">
        <v>69491</v>
      </c>
      <c r="AK233" t="s">
        <v>7508</v>
      </c>
      <c r="AL233" t="s">
        <v>8683</v>
      </c>
      <c r="AM233" s="79" t="str">
        <f>HYPERLINK("https://t.co/ONUxyfSbHM")</f>
        <v>https://t.co/ONUxyfSbHM</v>
      </c>
      <c r="AO233" s="76">
        <v>39183.857118055559</v>
      </c>
      <c r="AP233" s="79" t="str">
        <f>HYPERLINK("https://pbs.twimg.com/profile_banners/4239551/1674816769")</f>
        <v>https://pbs.twimg.com/profile_banners/4239551/1674816769</v>
      </c>
      <c r="AQ233" t="b">
        <v>0</v>
      </c>
      <c r="AR233" t="b">
        <v>0</v>
      </c>
      <c r="AS233" t="b">
        <v>0</v>
      </c>
      <c r="AU233">
        <v>1099</v>
      </c>
      <c r="AV233" s="79" t="str">
        <f>HYPERLINK("https://abs.twimg.com/images/themes/theme15/bg.png")</f>
        <v>https://abs.twimg.com/images/themes/theme15/bg.png</v>
      </c>
      <c r="AW233" t="b">
        <v>1</v>
      </c>
      <c r="AX233" t="s">
        <v>9303</v>
      </c>
      <c r="AY233" s="79" t="str">
        <f>HYPERLINK("https://twitter.com/amuse")</f>
        <v>https://twitter.com/amuse</v>
      </c>
      <c r="AZ233" t="s">
        <v>65</v>
      </c>
      <c r="BA233" s="2"/>
    </row>
    <row r="234" spans="1:53" x14ac:dyDescent="0.45">
      <c r="A234" s="62" t="s">
        <v>1157</v>
      </c>
      <c r="B234" s="63"/>
      <c r="C234" s="63"/>
      <c r="D234" s="64"/>
      <c r="E234" s="66"/>
      <c r="F234" s="98" t="str">
        <f>HYPERLINK("https://pbs.twimg.com/profile_images/1579322453859467264/cbDOUH4c_normal.jpg")</f>
        <v>https://pbs.twimg.com/profile_images/1579322453859467264/cbDOUH4c_normal.jpg</v>
      </c>
      <c r="G234" s="63"/>
      <c r="H234" s="67"/>
      <c r="I234" s="68"/>
      <c r="J234" s="68"/>
      <c r="K234" s="67" t="s">
        <v>9416</v>
      </c>
      <c r="L234" s="71"/>
      <c r="M234" s="72"/>
      <c r="N234" s="72"/>
      <c r="O234" s="73"/>
      <c r="P234" s="74"/>
      <c r="Q234" s="74"/>
      <c r="R234" s="81"/>
      <c r="S234" s="81"/>
      <c r="T234" s="81"/>
      <c r="U234" s="81"/>
      <c r="V234" s="48"/>
      <c r="W234" s="48"/>
      <c r="X234" s="48"/>
      <c r="Y234" s="48"/>
      <c r="Z234" s="47"/>
      <c r="AA234" s="69"/>
      <c r="AB234" s="69"/>
      <c r="AC234" s="70"/>
      <c r="AD234" t="s">
        <v>5110</v>
      </c>
      <c r="AE234" s="78" t="s">
        <v>6419</v>
      </c>
      <c r="AF234">
        <v>34</v>
      </c>
      <c r="AG234">
        <v>120629</v>
      </c>
      <c r="AH234">
        <v>652</v>
      </c>
      <c r="AI234">
        <v>528</v>
      </c>
      <c r="AK234" t="s">
        <v>7590</v>
      </c>
      <c r="AM234" s="79" t="str">
        <f>HYPERLINK("https://t.co/YvvJTmKnJh")</f>
        <v>https://t.co/YvvJTmKnJh</v>
      </c>
      <c r="AO234" s="76">
        <v>43332.927233796298</v>
      </c>
      <c r="AP234" s="79" t="str">
        <f>HYPERLINK("https://pbs.twimg.com/profile_banners/1031665988977258496/1674190768")</f>
        <v>https://pbs.twimg.com/profile_banners/1031665988977258496/1674190768</v>
      </c>
      <c r="AQ234" t="b">
        <v>1</v>
      </c>
      <c r="AR234" t="b">
        <v>0</v>
      </c>
      <c r="AS234" t="b">
        <v>0</v>
      </c>
      <c r="AU234">
        <v>103</v>
      </c>
      <c r="AW234" t="b">
        <v>1</v>
      </c>
      <c r="AX234" t="s">
        <v>9303</v>
      </c>
      <c r="AY234" s="79" t="str">
        <f>HYPERLINK("https://twitter.com/hardymusic")</f>
        <v>https://twitter.com/hardymusic</v>
      </c>
      <c r="AZ234" t="s">
        <v>65</v>
      </c>
      <c r="BA234" s="2"/>
    </row>
    <row r="235" spans="1:53" x14ac:dyDescent="0.45">
      <c r="A235" s="62" t="s">
        <v>1306</v>
      </c>
      <c r="B235" s="63"/>
      <c r="C235" s="63"/>
      <c r="D235" s="64"/>
      <c r="E235" s="66"/>
      <c r="F235" s="98" t="str">
        <f>HYPERLINK("https://pbs.twimg.com/profile_images/1410660335007059968/1Z4te5Q3_normal.jpg")</f>
        <v>https://pbs.twimg.com/profile_images/1410660335007059968/1Z4te5Q3_normal.jpg</v>
      </c>
      <c r="G235" s="63"/>
      <c r="H235" s="67"/>
      <c r="I235" s="68"/>
      <c r="J235" s="68"/>
      <c r="K235" s="67" t="s">
        <v>9922</v>
      </c>
      <c r="L235" s="71"/>
      <c r="M235" s="72"/>
      <c r="N235" s="72"/>
      <c r="O235" s="73"/>
      <c r="P235" s="74"/>
      <c r="Q235" s="74"/>
      <c r="R235" s="81"/>
      <c r="S235" s="81"/>
      <c r="T235" s="81"/>
      <c r="U235" s="81"/>
      <c r="V235" s="48"/>
      <c r="W235" s="48"/>
      <c r="X235" s="48"/>
      <c r="Y235" s="48"/>
      <c r="Z235" s="47"/>
      <c r="AA235" s="69"/>
      <c r="AB235" s="69"/>
      <c r="AC235" s="70"/>
      <c r="AD235" t="s">
        <v>5613</v>
      </c>
      <c r="AE235" s="78" t="s">
        <v>6857</v>
      </c>
      <c r="AF235">
        <v>1929</v>
      </c>
      <c r="AG235">
        <v>120269</v>
      </c>
      <c r="AH235">
        <v>54851</v>
      </c>
      <c r="AI235">
        <v>80100</v>
      </c>
      <c r="AK235" t="s">
        <v>8033</v>
      </c>
      <c r="AL235" t="s">
        <v>4924</v>
      </c>
      <c r="AM235" s="79" t="str">
        <f>HYPERLINK("https://t.co/eGAaPuRYar")</f>
        <v>https://t.co/eGAaPuRYar</v>
      </c>
      <c r="AO235" s="76">
        <v>39834.803483796299</v>
      </c>
      <c r="AP235" s="79" t="str">
        <f>HYPERLINK("https://pbs.twimg.com/profile_banners/19301925/1670992034")</f>
        <v>https://pbs.twimg.com/profile_banners/19301925/1670992034</v>
      </c>
      <c r="AQ235" t="b">
        <v>0</v>
      </c>
      <c r="AR235" t="b">
        <v>0</v>
      </c>
      <c r="AS235" t="b">
        <v>1</v>
      </c>
      <c r="AU235">
        <v>1393</v>
      </c>
      <c r="AV235" s="79" t="str">
        <f>HYPERLINK("https://abs.twimg.com/images/themes/theme9/bg.gif")</f>
        <v>https://abs.twimg.com/images/themes/theme9/bg.gif</v>
      </c>
      <c r="AW235" t="b">
        <v>1</v>
      </c>
      <c r="AX235" t="s">
        <v>9303</v>
      </c>
      <c r="AY235" s="79" t="str">
        <f>HYPERLINK("https://twitter.com/rhino_records")</f>
        <v>https://twitter.com/rhino_records</v>
      </c>
      <c r="AZ235" t="s">
        <v>65</v>
      </c>
      <c r="BA235" s="2"/>
    </row>
    <row r="236" spans="1:53" x14ac:dyDescent="0.45">
      <c r="A236" s="62" t="s">
        <v>574</v>
      </c>
      <c r="B236" s="63"/>
      <c r="C236" s="63"/>
      <c r="D236" s="64"/>
      <c r="E236" s="66"/>
      <c r="F236" s="98" t="str">
        <f>HYPERLINK("https://pbs.twimg.com/profile_images/1258402171864956928/WHJzABXM_normal.jpg")</f>
        <v>https://pbs.twimg.com/profile_images/1258402171864956928/WHJzABXM_normal.jpg</v>
      </c>
      <c r="G236" s="63"/>
      <c r="H236" s="67"/>
      <c r="I236" s="68"/>
      <c r="J236" s="68"/>
      <c r="K236" s="67" t="s">
        <v>9872</v>
      </c>
      <c r="L236" s="71"/>
      <c r="M236" s="72"/>
      <c r="N236" s="72"/>
      <c r="O236" s="73"/>
      <c r="P236" s="74"/>
      <c r="Q236" s="74"/>
      <c r="R236" s="81"/>
      <c r="S236" s="81"/>
      <c r="T236" s="81"/>
      <c r="U236" s="81"/>
      <c r="V236" s="48"/>
      <c r="W236" s="48"/>
      <c r="X236" s="48"/>
      <c r="Y236" s="48"/>
      <c r="Z236" s="47"/>
      <c r="AA236" s="69"/>
      <c r="AB236" s="69"/>
      <c r="AC236" s="70"/>
      <c r="AD236" t="s">
        <v>5563</v>
      </c>
      <c r="AE236" s="78" t="s">
        <v>6811</v>
      </c>
      <c r="AF236">
        <v>2160</v>
      </c>
      <c r="AG236">
        <v>119663</v>
      </c>
      <c r="AH236">
        <v>225719</v>
      </c>
      <c r="AI236">
        <v>1794</v>
      </c>
      <c r="AK236" t="s">
        <v>7986</v>
      </c>
      <c r="AL236" t="s">
        <v>8964</v>
      </c>
      <c r="AM236" s="79" t="str">
        <f>HYPERLINK("http://t.co/DzinqK9Oy4")</f>
        <v>http://t.co/DzinqK9Oy4</v>
      </c>
      <c r="AO236" s="76">
        <v>39710.01834490741</v>
      </c>
      <c r="AP236" s="79" t="str">
        <f>HYPERLINK("https://pbs.twimg.com/profile_banners/16356226/1620850711")</f>
        <v>https://pbs.twimg.com/profile_banners/16356226/1620850711</v>
      </c>
      <c r="AQ236" t="b">
        <v>0</v>
      </c>
      <c r="AR236" t="b">
        <v>0</v>
      </c>
      <c r="AS236" t="b">
        <v>1</v>
      </c>
      <c r="AU236">
        <v>800</v>
      </c>
      <c r="AV236" s="79" t="str">
        <f>HYPERLINK("https://abs.twimg.com/images/themes/theme1/bg.png")</f>
        <v>https://abs.twimg.com/images/themes/theme1/bg.png</v>
      </c>
      <c r="AW236" t="b">
        <v>1</v>
      </c>
      <c r="AX236" t="s">
        <v>9303</v>
      </c>
      <c r="AY236" s="79" t="str">
        <f>HYPERLINK("https://twitter.com/wtol11toledo")</f>
        <v>https://twitter.com/wtol11toledo</v>
      </c>
      <c r="AZ236" t="s">
        <v>66</v>
      </c>
      <c r="BA236" s="2"/>
    </row>
    <row r="237" spans="1:53" x14ac:dyDescent="0.45">
      <c r="A237" s="62" t="s">
        <v>1211</v>
      </c>
      <c r="B237" s="63"/>
      <c r="C237" s="63"/>
      <c r="D237" s="64"/>
      <c r="E237" s="66"/>
      <c r="F237" s="98" t="str">
        <f>HYPERLINK("https://pbs.twimg.com/profile_images/1619093859874783233/arPRFwqb_normal.jpg")</f>
        <v>https://pbs.twimg.com/profile_images/1619093859874783233/arPRFwqb_normal.jpg</v>
      </c>
      <c r="G237" s="63"/>
      <c r="H237" s="67"/>
      <c r="I237" s="68"/>
      <c r="J237" s="68"/>
      <c r="K237" s="67" t="s">
        <v>9526</v>
      </c>
      <c r="L237" s="71"/>
      <c r="M237" s="72"/>
      <c r="N237" s="72"/>
      <c r="O237" s="73"/>
      <c r="P237" s="74"/>
      <c r="Q237" s="74"/>
      <c r="R237" s="81"/>
      <c r="S237" s="81"/>
      <c r="T237" s="81"/>
      <c r="U237" s="81"/>
      <c r="V237" s="48"/>
      <c r="W237" s="48"/>
      <c r="X237" s="48"/>
      <c r="Y237" s="48"/>
      <c r="Z237" s="47"/>
      <c r="AA237" s="69"/>
      <c r="AB237" s="69"/>
      <c r="AC237" s="70"/>
      <c r="AD237" t="s">
        <v>5220</v>
      </c>
      <c r="AE237" s="78" t="s">
        <v>4743</v>
      </c>
      <c r="AF237">
        <v>39</v>
      </c>
      <c r="AG237">
        <v>119172</v>
      </c>
      <c r="AH237">
        <v>9488</v>
      </c>
      <c r="AI237">
        <v>22272</v>
      </c>
      <c r="AK237" t="s">
        <v>7688</v>
      </c>
      <c r="AM237" s="79" t="str">
        <f>HYPERLINK("https://t.co/aNXTcdZ3Dm")</f>
        <v>https://t.co/aNXTcdZ3Dm</v>
      </c>
      <c r="AO237" s="76">
        <v>42878.944803240738</v>
      </c>
      <c r="AP237" s="79" t="str">
        <f>HYPERLINK("https://pbs.twimg.com/profile_banners/867148263991894016/1675183965")</f>
        <v>https://pbs.twimg.com/profile_banners/867148263991894016/1675183965</v>
      </c>
      <c r="AQ237" t="b">
        <v>1</v>
      </c>
      <c r="AR237" t="b">
        <v>0</v>
      </c>
      <c r="AS237" t="b">
        <v>1</v>
      </c>
      <c r="AU237">
        <v>48</v>
      </c>
      <c r="AW237" t="b">
        <v>1</v>
      </c>
      <c r="AX237" t="s">
        <v>9303</v>
      </c>
      <c r="AY237" s="79" t="str">
        <f>HYPERLINK("https://twitter.com/squishmallows")</f>
        <v>https://twitter.com/squishmallows</v>
      </c>
      <c r="AZ237" t="s">
        <v>65</v>
      </c>
      <c r="BA237" s="2"/>
    </row>
    <row r="238" spans="1:53" x14ac:dyDescent="0.45">
      <c r="A238" s="62" t="s">
        <v>275</v>
      </c>
      <c r="B238" s="63"/>
      <c r="C238" s="63"/>
      <c r="D238" s="64"/>
      <c r="E238" s="66"/>
      <c r="F238" s="98" t="str">
        <f>HYPERLINK("https://pbs.twimg.com/profile_images/692168521/james_profile_normal.jpg")</f>
        <v>https://pbs.twimg.com/profile_images/692168521/james_profile_normal.jpg</v>
      </c>
      <c r="G238" s="63"/>
      <c r="H238" s="67"/>
      <c r="I238" s="68"/>
      <c r="J238" s="68"/>
      <c r="K238" s="67" t="s">
        <v>9426</v>
      </c>
      <c r="L238" s="71"/>
      <c r="M238" s="72"/>
      <c r="N238" s="72"/>
      <c r="O238" s="73"/>
      <c r="P238" s="74"/>
      <c r="Q238" s="74"/>
      <c r="R238" s="81"/>
      <c r="S238" s="81"/>
      <c r="T238" s="81"/>
      <c r="U238" s="81"/>
      <c r="V238" s="48"/>
      <c r="W238" s="48"/>
      <c r="X238" s="48"/>
      <c r="Y238" s="48"/>
      <c r="Z238" s="47"/>
      <c r="AA238" s="69"/>
      <c r="AB238" s="69"/>
      <c r="AC238" s="70"/>
      <c r="AD238" t="s">
        <v>5120</v>
      </c>
      <c r="AE238" s="78" t="s">
        <v>6428</v>
      </c>
      <c r="AF238">
        <v>108484</v>
      </c>
      <c r="AG238">
        <v>117528</v>
      </c>
      <c r="AH238">
        <v>518262</v>
      </c>
      <c r="AI238">
        <v>30087</v>
      </c>
      <c r="AK238" t="s">
        <v>7599</v>
      </c>
      <c r="AL238" t="s">
        <v>8746</v>
      </c>
      <c r="AM238" s="79" t="str">
        <f>HYPERLINK("https://t.co/pppp3rfGkP")</f>
        <v>https://t.co/pppp3rfGkP</v>
      </c>
      <c r="AO238" s="76">
        <v>39623.722858796296</v>
      </c>
      <c r="AP238" s="79" t="str">
        <f>HYPERLINK("https://pbs.twimg.com/profile_banners/15221598/1549678606")</f>
        <v>https://pbs.twimg.com/profile_banners/15221598/1549678606</v>
      </c>
      <c r="AQ238" t="b">
        <v>1</v>
      </c>
      <c r="AR238" t="b">
        <v>0</v>
      </c>
      <c r="AS238" t="b">
        <v>0</v>
      </c>
      <c r="AU238">
        <v>1305</v>
      </c>
      <c r="AV238" s="79" t="str">
        <f t="shared" ref="AV238:AV249" si="6">HYPERLINK("https://abs.twimg.com/images/themes/theme1/bg.png")</f>
        <v>https://abs.twimg.com/images/themes/theme1/bg.png</v>
      </c>
      <c r="AW238" t="b">
        <v>0</v>
      </c>
      <c r="AX238" t="s">
        <v>9303</v>
      </c>
      <c r="AY238" s="79" t="str">
        <f>HYPERLINK("https://twitter.com/jamesvgingerich")</f>
        <v>https://twitter.com/jamesvgingerich</v>
      </c>
      <c r="AZ238" t="s">
        <v>66</v>
      </c>
      <c r="BA238" s="2"/>
    </row>
    <row r="239" spans="1:53" x14ac:dyDescent="0.45">
      <c r="A239" s="62" t="s">
        <v>1250</v>
      </c>
      <c r="B239" s="63"/>
      <c r="C239" s="63"/>
      <c r="D239" s="64"/>
      <c r="E239" s="66"/>
      <c r="F239" s="98" t="str">
        <f>HYPERLINK("https://pbs.twimg.com/profile_images/697562917906952193/KhfuLFxT_normal.jpg")</f>
        <v>https://pbs.twimg.com/profile_images/697562917906952193/KhfuLFxT_normal.jpg</v>
      </c>
      <c r="G239" s="63"/>
      <c r="H239" s="67"/>
      <c r="I239" s="68"/>
      <c r="J239" s="68"/>
      <c r="K239" s="67" t="s">
        <v>9618</v>
      </c>
      <c r="L239" s="71"/>
      <c r="M239" s="72"/>
      <c r="N239" s="72"/>
      <c r="O239" s="73"/>
      <c r="P239" s="74"/>
      <c r="Q239" s="74"/>
      <c r="R239" s="81"/>
      <c r="S239" s="81"/>
      <c r="T239" s="81"/>
      <c r="U239" s="81"/>
      <c r="V239" s="48"/>
      <c r="W239" s="48"/>
      <c r="X239" s="48"/>
      <c r="Y239" s="48"/>
      <c r="Z239" s="47"/>
      <c r="AA239" s="69"/>
      <c r="AB239" s="69"/>
      <c r="AC239" s="70"/>
      <c r="AD239" t="s">
        <v>5311</v>
      </c>
      <c r="AE239" s="78" t="s">
        <v>6588</v>
      </c>
      <c r="AF239">
        <v>1559</v>
      </c>
      <c r="AG239">
        <v>114842</v>
      </c>
      <c r="AH239">
        <v>143465</v>
      </c>
      <c r="AI239">
        <v>826</v>
      </c>
      <c r="AK239" t="s">
        <v>7765</v>
      </c>
      <c r="AL239" t="s">
        <v>8841</v>
      </c>
      <c r="AM239" s="79" t="str">
        <f>HYPERLINK("https://t.co/buHyskxoYA")</f>
        <v>https://t.co/buHyskxoYA</v>
      </c>
      <c r="AO239" s="76">
        <v>39745.911504629628</v>
      </c>
      <c r="AP239" s="79" t="str">
        <f>HYPERLINK("https://pbs.twimg.com/profile_banners/16957784/1515521321")</f>
        <v>https://pbs.twimg.com/profile_banners/16957784/1515521321</v>
      </c>
      <c r="AQ239" t="b">
        <v>0</v>
      </c>
      <c r="AR239" t="b">
        <v>0</v>
      </c>
      <c r="AS239" t="b">
        <v>1</v>
      </c>
      <c r="AU239">
        <v>935</v>
      </c>
      <c r="AV239" s="79" t="str">
        <f t="shared" si="6"/>
        <v>https://abs.twimg.com/images/themes/theme1/bg.png</v>
      </c>
      <c r="AW239" t="b">
        <v>1</v>
      </c>
      <c r="AX239" t="s">
        <v>9303</v>
      </c>
      <c r="AY239" s="79" t="str">
        <f>HYPERLINK("https://twitter.com/krqe")</f>
        <v>https://twitter.com/krqe</v>
      </c>
      <c r="AZ239" t="s">
        <v>65</v>
      </c>
      <c r="BA239" s="2"/>
    </row>
    <row r="240" spans="1:53" x14ac:dyDescent="0.45">
      <c r="A240" s="62" t="s">
        <v>1262</v>
      </c>
      <c r="B240" s="63"/>
      <c r="C240" s="63"/>
      <c r="D240" s="64"/>
      <c r="E240" s="66"/>
      <c r="F240" s="98" t="str">
        <f>HYPERLINK("https://pbs.twimg.com/profile_images/1552765608688852998/HNcdjAmq_normal.jpg")</f>
        <v>https://pbs.twimg.com/profile_images/1552765608688852998/HNcdjAmq_normal.jpg</v>
      </c>
      <c r="G240" s="63"/>
      <c r="H240" s="67"/>
      <c r="I240" s="68"/>
      <c r="J240" s="68"/>
      <c r="K240" s="67" t="s">
        <v>9700</v>
      </c>
      <c r="L240" s="71"/>
      <c r="M240" s="72"/>
      <c r="N240" s="72"/>
      <c r="O240" s="73"/>
      <c r="P240" s="74"/>
      <c r="Q240" s="74"/>
      <c r="R240" s="81"/>
      <c r="S240" s="81"/>
      <c r="T240" s="81"/>
      <c r="U240" s="81"/>
      <c r="V240" s="48"/>
      <c r="W240" s="48"/>
      <c r="X240" s="48"/>
      <c r="Y240" s="48"/>
      <c r="Z240" s="47"/>
      <c r="AA240" s="69"/>
      <c r="AB240" s="69"/>
      <c r="AC240" s="70"/>
      <c r="AD240" t="s">
        <v>5392</v>
      </c>
      <c r="AE240" s="78" t="s">
        <v>6665</v>
      </c>
      <c r="AF240">
        <v>8252</v>
      </c>
      <c r="AG240">
        <v>113373</v>
      </c>
      <c r="AH240">
        <v>72252</v>
      </c>
      <c r="AI240">
        <v>20734</v>
      </c>
      <c r="AK240" t="s">
        <v>7836</v>
      </c>
      <c r="AL240" t="s">
        <v>8877</v>
      </c>
      <c r="AM240" s="79" t="str">
        <f>HYPERLINK("https://t.co/5ujNKsCE9C")</f>
        <v>https://t.co/5ujNKsCE9C</v>
      </c>
      <c r="AO240" s="76">
        <v>39611.013668981483</v>
      </c>
      <c r="AP240" s="79" t="str">
        <f>HYPERLINK("https://pbs.twimg.com/profile_banners/15091022/1670598065")</f>
        <v>https://pbs.twimg.com/profile_banners/15091022/1670598065</v>
      </c>
      <c r="AQ240" t="b">
        <v>0</v>
      </c>
      <c r="AR240" t="b">
        <v>0</v>
      </c>
      <c r="AS240" t="b">
        <v>1</v>
      </c>
      <c r="AU240">
        <v>1254</v>
      </c>
      <c r="AV240" s="79" t="str">
        <f t="shared" si="6"/>
        <v>https://abs.twimg.com/images/themes/theme1/bg.png</v>
      </c>
      <c r="AW240" t="b">
        <v>1</v>
      </c>
      <c r="AX240" t="s">
        <v>9303</v>
      </c>
      <c r="AY240" s="79" t="str">
        <f>HYPERLINK("https://twitter.com/statefarm")</f>
        <v>https://twitter.com/statefarm</v>
      </c>
      <c r="AZ240" t="s">
        <v>65</v>
      </c>
      <c r="BA240" s="2"/>
    </row>
    <row r="241" spans="1:53" x14ac:dyDescent="0.45">
      <c r="A241" s="62" t="s">
        <v>1133</v>
      </c>
      <c r="B241" s="63"/>
      <c r="C241" s="63"/>
      <c r="D241" s="64"/>
      <c r="E241" s="66"/>
      <c r="F241" s="98" t="str">
        <f>HYPERLINK("https://pbs.twimg.com/profile_images/773909130352402432/XKlKwdPG_normal.jpg")</f>
        <v>https://pbs.twimg.com/profile_images/773909130352402432/XKlKwdPG_normal.jpg</v>
      </c>
      <c r="G241" s="63"/>
      <c r="H241" s="67"/>
      <c r="I241" s="68"/>
      <c r="J241" s="68"/>
      <c r="K241" s="67" t="s">
        <v>9357</v>
      </c>
      <c r="L241" s="71"/>
      <c r="M241" s="72"/>
      <c r="N241" s="72"/>
      <c r="O241" s="73"/>
      <c r="P241" s="74"/>
      <c r="Q241" s="74"/>
      <c r="R241" s="81"/>
      <c r="S241" s="81"/>
      <c r="T241" s="81"/>
      <c r="U241" s="81"/>
      <c r="V241" s="48"/>
      <c r="W241" s="48"/>
      <c r="X241" s="48"/>
      <c r="Y241" s="48"/>
      <c r="Z241" s="47"/>
      <c r="AA241" s="69"/>
      <c r="AB241" s="69"/>
      <c r="AC241" s="70"/>
      <c r="AD241" t="s">
        <v>5053</v>
      </c>
      <c r="AE241" s="78" t="s">
        <v>6368</v>
      </c>
      <c r="AF241">
        <v>94956</v>
      </c>
      <c r="AG241">
        <v>109500</v>
      </c>
      <c r="AH241">
        <v>495289</v>
      </c>
      <c r="AI241">
        <v>229555</v>
      </c>
      <c r="AK241" t="s">
        <v>7539</v>
      </c>
      <c r="AL241" t="s">
        <v>8710</v>
      </c>
      <c r="AM241" s="79" t="str">
        <f>HYPERLINK("https://t.co/z1hEsOBNpD")</f>
        <v>https://t.co/z1hEsOBNpD</v>
      </c>
      <c r="AO241" s="76">
        <v>39834.499502314815</v>
      </c>
      <c r="AP241" s="79" t="str">
        <f>HYPERLINK("https://pbs.twimg.com/profile_banners/19284888/1353428962")</f>
        <v>https://pbs.twimg.com/profile_banners/19284888/1353428962</v>
      </c>
      <c r="AQ241" t="b">
        <v>0</v>
      </c>
      <c r="AR241" t="b">
        <v>0</v>
      </c>
      <c r="AS241" t="b">
        <v>1</v>
      </c>
      <c r="AU241">
        <v>3720</v>
      </c>
      <c r="AV241" s="79" t="str">
        <f t="shared" si="6"/>
        <v>https://abs.twimg.com/images/themes/theme1/bg.png</v>
      </c>
      <c r="AW241" t="b">
        <v>0</v>
      </c>
      <c r="AX241" t="s">
        <v>9303</v>
      </c>
      <c r="AY241" s="79" t="str">
        <f>HYPERLINK("https://twitter.com/nicochan33")</f>
        <v>https://twitter.com/nicochan33</v>
      </c>
      <c r="AZ241" t="s">
        <v>65</v>
      </c>
      <c r="BA241" s="2"/>
    </row>
    <row r="242" spans="1:53" x14ac:dyDescent="0.45">
      <c r="A242" s="62" t="s">
        <v>580</v>
      </c>
      <c r="B242" s="63"/>
      <c r="C242" s="63"/>
      <c r="D242" s="64"/>
      <c r="E242" s="66"/>
      <c r="F242" s="98" t="str">
        <f>HYPERLINK("https://pbs.twimg.com/profile_images/1103733698698989568/7l1xSlli_normal.png")</f>
        <v>https://pbs.twimg.com/profile_images/1103733698698989568/7l1xSlli_normal.png</v>
      </c>
      <c r="G242" s="63"/>
      <c r="H242" s="67"/>
      <c r="I242" s="68"/>
      <c r="J242" s="68"/>
      <c r="K242" s="67" t="s">
        <v>9878</v>
      </c>
      <c r="L242" s="71"/>
      <c r="M242" s="72"/>
      <c r="N242" s="72"/>
      <c r="O242" s="73"/>
      <c r="P242" s="74"/>
      <c r="Q242" s="74"/>
      <c r="R242" s="81"/>
      <c r="S242" s="81"/>
      <c r="T242" s="81"/>
      <c r="U242" s="81"/>
      <c r="V242" s="48"/>
      <c r="W242" s="48"/>
      <c r="X242" s="48"/>
      <c r="Y242" s="48"/>
      <c r="Z242" s="47"/>
      <c r="AA242" s="69"/>
      <c r="AB242" s="69"/>
      <c r="AC242" s="70"/>
      <c r="AD242" t="s">
        <v>5569</v>
      </c>
      <c r="AE242" s="78" t="s">
        <v>6817</v>
      </c>
      <c r="AF242">
        <v>4410</v>
      </c>
      <c r="AG242">
        <v>108643</v>
      </c>
      <c r="AH242">
        <v>137125</v>
      </c>
      <c r="AI242">
        <v>1250</v>
      </c>
      <c r="AK242" t="s">
        <v>7992</v>
      </c>
      <c r="AL242" t="s">
        <v>8779</v>
      </c>
      <c r="AM242" s="79" t="str">
        <f>HYPERLINK("https://t.co/uxgzzqgbrF")</f>
        <v>https://t.co/uxgzzqgbrF</v>
      </c>
      <c r="AO242" s="76">
        <v>39589.755729166667</v>
      </c>
      <c r="AP242" s="79" t="str">
        <f>HYPERLINK("https://pbs.twimg.com/profile_banners/14859642/1656427642")</f>
        <v>https://pbs.twimg.com/profile_banners/14859642/1656427642</v>
      </c>
      <c r="AQ242" t="b">
        <v>0</v>
      </c>
      <c r="AR242" t="b">
        <v>0</v>
      </c>
      <c r="AS242" t="b">
        <v>0</v>
      </c>
      <c r="AU242">
        <v>946</v>
      </c>
      <c r="AV242" s="79" t="str">
        <f t="shared" si="6"/>
        <v>https://abs.twimg.com/images/themes/theme1/bg.png</v>
      </c>
      <c r="AW242" t="b">
        <v>1</v>
      </c>
      <c r="AX242" t="s">
        <v>9303</v>
      </c>
      <c r="AY242" s="79" t="str">
        <f>HYPERLINK("https://twitter.com/ktvb")</f>
        <v>https://twitter.com/ktvb</v>
      </c>
      <c r="AZ242" t="s">
        <v>66</v>
      </c>
      <c r="BA242" s="2"/>
    </row>
    <row r="243" spans="1:53" x14ac:dyDescent="0.45">
      <c r="A243" s="62" t="s">
        <v>1414</v>
      </c>
      <c r="B243" s="63"/>
      <c r="C243" s="63"/>
      <c r="D243" s="64"/>
      <c r="E243" s="66"/>
      <c r="F243" s="98" t="str">
        <f>HYPERLINK("https://pbs.twimg.com/profile_images/630563733656350720/tDOhLnsW_normal.jpg")</f>
        <v>https://pbs.twimg.com/profile_images/630563733656350720/tDOhLnsW_normal.jpg</v>
      </c>
      <c r="G243" s="63"/>
      <c r="H243" s="67"/>
      <c r="I243" s="68"/>
      <c r="J243" s="68"/>
      <c r="K243" s="67" t="s">
        <v>10291</v>
      </c>
      <c r="L243" s="71"/>
      <c r="M243" s="72"/>
      <c r="N243" s="72"/>
      <c r="O243" s="73"/>
      <c r="P243" s="74"/>
      <c r="Q243" s="74"/>
      <c r="R243" s="81"/>
      <c r="S243" s="81"/>
      <c r="T243" s="81"/>
      <c r="U243" s="81"/>
      <c r="V243" s="48"/>
      <c r="W243" s="48"/>
      <c r="X243" s="48"/>
      <c r="Y243" s="48"/>
      <c r="Z243" s="47"/>
      <c r="AA243" s="69"/>
      <c r="AB243" s="69"/>
      <c r="AC243" s="70"/>
      <c r="AD243" t="s">
        <v>5974</v>
      </c>
      <c r="AE243" s="78" t="s">
        <v>7186</v>
      </c>
      <c r="AF243">
        <v>996</v>
      </c>
      <c r="AG243">
        <v>107965</v>
      </c>
      <c r="AH243">
        <v>23629</v>
      </c>
      <c r="AI243">
        <v>9701</v>
      </c>
      <c r="AK243" t="s">
        <v>8351</v>
      </c>
      <c r="AO243" s="76">
        <v>39996.914976851855</v>
      </c>
      <c r="AP243" s="79" t="str">
        <f>HYPERLINK("https://pbs.twimg.com/profile_banners/53201278/1672156617")</f>
        <v>https://pbs.twimg.com/profile_banners/53201278/1672156617</v>
      </c>
      <c r="AQ243" t="b">
        <v>0</v>
      </c>
      <c r="AR243" t="b">
        <v>0</v>
      </c>
      <c r="AS243" t="b">
        <v>0</v>
      </c>
      <c r="AU243">
        <v>865</v>
      </c>
      <c r="AV243" s="79" t="str">
        <f t="shared" si="6"/>
        <v>https://abs.twimg.com/images/themes/theme1/bg.png</v>
      </c>
      <c r="AW243" t="b">
        <v>1</v>
      </c>
      <c r="AX243" t="s">
        <v>9303</v>
      </c>
      <c r="AY243" s="79" t="str">
        <f>HYPERLINK("https://twitter.com/hobbylobby")</f>
        <v>https://twitter.com/hobbylobby</v>
      </c>
      <c r="AZ243" t="s">
        <v>65</v>
      </c>
      <c r="BA243" s="2"/>
    </row>
    <row r="244" spans="1:53" x14ac:dyDescent="0.45">
      <c r="A244" s="62" t="s">
        <v>1475</v>
      </c>
      <c r="B244" s="63"/>
      <c r="C244" s="63"/>
      <c r="D244" s="64"/>
      <c r="E244" s="66"/>
      <c r="F244" s="98" t="str">
        <f>HYPERLINK("https://pbs.twimg.com/profile_images/892805891627466752/4Nn5KUMb_normal.jpg")</f>
        <v>https://pbs.twimg.com/profile_images/892805891627466752/4Nn5KUMb_normal.jpg</v>
      </c>
      <c r="G244" s="63"/>
      <c r="H244" s="67"/>
      <c r="I244" s="68"/>
      <c r="J244" s="68"/>
      <c r="K244" s="67" t="s">
        <v>10445</v>
      </c>
      <c r="L244" s="71"/>
      <c r="M244" s="72"/>
      <c r="N244" s="72"/>
      <c r="O244" s="73"/>
      <c r="P244" s="74"/>
      <c r="Q244" s="74"/>
      <c r="R244" s="81"/>
      <c r="S244" s="81"/>
      <c r="T244" s="81"/>
      <c r="U244" s="81"/>
      <c r="V244" s="48"/>
      <c r="W244" s="48"/>
      <c r="X244" s="48"/>
      <c r="Y244" s="48"/>
      <c r="Z244" s="47"/>
      <c r="AA244" s="69"/>
      <c r="AB244" s="69"/>
      <c r="AC244" s="70"/>
      <c r="AD244" t="s">
        <v>6126</v>
      </c>
      <c r="AE244" s="78" t="s">
        <v>4786</v>
      </c>
      <c r="AF244">
        <v>60</v>
      </c>
      <c r="AG244">
        <v>105029</v>
      </c>
      <c r="AH244">
        <v>23707</v>
      </c>
      <c r="AI244">
        <v>7707</v>
      </c>
      <c r="AK244" t="s">
        <v>8485</v>
      </c>
      <c r="AL244" t="s">
        <v>9217</v>
      </c>
      <c r="AM244" s="79" t="str">
        <f>HYPERLINK("https://t.co/Y4gXUUQn6h")</f>
        <v>https://t.co/Y4gXUUQn6h</v>
      </c>
      <c r="AO244" s="76">
        <v>40644.643136574072</v>
      </c>
      <c r="AP244" s="79" t="str">
        <f>HYPERLINK("https://pbs.twimg.com/profile_banners/280557152/1607608619")</f>
        <v>https://pbs.twimg.com/profile_banners/280557152/1607608619</v>
      </c>
      <c r="AQ244" t="b">
        <v>0</v>
      </c>
      <c r="AR244" t="b">
        <v>0</v>
      </c>
      <c r="AS244" t="b">
        <v>0</v>
      </c>
      <c r="AU244">
        <v>1022</v>
      </c>
      <c r="AV244" s="79" t="str">
        <f t="shared" si="6"/>
        <v>https://abs.twimg.com/images/themes/theme1/bg.png</v>
      </c>
      <c r="AW244" t="b">
        <v>1</v>
      </c>
      <c r="AX244" t="s">
        <v>9303</v>
      </c>
      <c r="AY244" s="79" t="str">
        <f>HYPERLINK("https://twitter.com/generalmills")</f>
        <v>https://twitter.com/generalmills</v>
      </c>
      <c r="AZ244" t="s">
        <v>65</v>
      </c>
      <c r="BA244" s="2"/>
    </row>
    <row r="245" spans="1:53" x14ac:dyDescent="0.45">
      <c r="A245" s="62" t="s">
        <v>1327</v>
      </c>
      <c r="B245" s="63"/>
      <c r="C245" s="63"/>
      <c r="D245" s="64"/>
      <c r="E245" s="66"/>
      <c r="F245" s="98" t="str">
        <f>HYPERLINK("https://pbs.twimg.com/profile_images/1179118703327076352/oeXb4f39_normal.jpg")</f>
        <v>https://pbs.twimg.com/profile_images/1179118703327076352/oeXb4f39_normal.jpg</v>
      </c>
      <c r="G245" s="63"/>
      <c r="H245" s="67"/>
      <c r="I245" s="68"/>
      <c r="J245" s="68"/>
      <c r="K245" s="67" t="s">
        <v>10004</v>
      </c>
      <c r="L245" s="71"/>
      <c r="M245" s="72"/>
      <c r="N245" s="72"/>
      <c r="O245" s="73"/>
      <c r="P245" s="74"/>
      <c r="Q245" s="74"/>
      <c r="R245" s="81"/>
      <c r="S245" s="81"/>
      <c r="T245" s="81"/>
      <c r="U245" s="81"/>
      <c r="V245" s="48"/>
      <c r="W245" s="48"/>
      <c r="X245" s="48"/>
      <c r="Y245" s="48"/>
      <c r="Z245" s="47"/>
      <c r="AA245" s="69"/>
      <c r="AB245" s="69"/>
      <c r="AC245" s="70"/>
      <c r="AD245" t="s">
        <v>5694</v>
      </c>
      <c r="AE245" s="78" t="s">
        <v>6935</v>
      </c>
      <c r="AF245">
        <v>5044</v>
      </c>
      <c r="AG245">
        <v>103796</v>
      </c>
      <c r="AH245">
        <v>22268</v>
      </c>
      <c r="AI245">
        <v>4461</v>
      </c>
      <c r="AK245" t="s">
        <v>8100</v>
      </c>
      <c r="AL245" t="s">
        <v>9038</v>
      </c>
      <c r="AM245" s="79" t="str">
        <f>HYPERLINK("https://t.co/6Y4UPYCK6S")</f>
        <v>https://t.co/6Y4UPYCK6S</v>
      </c>
      <c r="AO245" s="76">
        <v>40078.828090277777</v>
      </c>
      <c r="AP245" s="79" t="str">
        <f>HYPERLINK("https://pbs.twimg.com/profile_banners/76430569/1664463010")</f>
        <v>https://pbs.twimg.com/profile_banners/76430569/1664463010</v>
      </c>
      <c r="AQ245" t="b">
        <v>0</v>
      </c>
      <c r="AR245" t="b">
        <v>0</v>
      </c>
      <c r="AS245" t="b">
        <v>1</v>
      </c>
      <c r="AU245">
        <v>678</v>
      </c>
      <c r="AV245" s="79" t="str">
        <f t="shared" si="6"/>
        <v>https://abs.twimg.com/images/themes/theme1/bg.png</v>
      </c>
      <c r="AW245" t="b">
        <v>1</v>
      </c>
      <c r="AX245" t="s">
        <v>9303</v>
      </c>
      <c r="AY245" s="79" t="str">
        <f>HYPERLINK("https://twitter.com/clorox")</f>
        <v>https://twitter.com/clorox</v>
      </c>
      <c r="AZ245" t="s">
        <v>65</v>
      </c>
      <c r="BA245" s="2"/>
    </row>
    <row r="246" spans="1:53" x14ac:dyDescent="0.45">
      <c r="A246" s="62" t="s">
        <v>1464</v>
      </c>
      <c r="B246" s="63"/>
      <c r="C246" s="63"/>
      <c r="D246" s="64"/>
      <c r="E246" s="66"/>
      <c r="F246" s="98" t="str">
        <f>HYPERLINK("https://pbs.twimg.com/profile_images/880471058767388672/-qrZ84x3_normal.jpg")</f>
        <v>https://pbs.twimg.com/profile_images/880471058767388672/-qrZ84x3_normal.jpg</v>
      </c>
      <c r="G246" s="63"/>
      <c r="H246" s="67"/>
      <c r="I246" s="68"/>
      <c r="J246" s="68"/>
      <c r="K246" s="67" t="s">
        <v>10409</v>
      </c>
      <c r="L246" s="71"/>
      <c r="M246" s="72"/>
      <c r="N246" s="72"/>
      <c r="O246" s="73"/>
      <c r="P246" s="74"/>
      <c r="Q246" s="74"/>
      <c r="R246" s="81"/>
      <c r="S246" s="81"/>
      <c r="T246" s="81"/>
      <c r="U246" s="81"/>
      <c r="V246" s="48"/>
      <c r="W246" s="48"/>
      <c r="X246" s="48"/>
      <c r="Y246" s="48"/>
      <c r="Z246" s="47"/>
      <c r="AA246" s="69"/>
      <c r="AB246" s="69"/>
      <c r="AC246" s="70"/>
      <c r="AD246" t="s">
        <v>6091</v>
      </c>
      <c r="AE246" s="78" t="s">
        <v>7290</v>
      </c>
      <c r="AF246">
        <v>210</v>
      </c>
      <c r="AG246">
        <v>101381</v>
      </c>
      <c r="AH246">
        <v>63931</v>
      </c>
      <c r="AI246">
        <v>5806</v>
      </c>
      <c r="AK246" t="s">
        <v>8453</v>
      </c>
      <c r="AL246" t="s">
        <v>9203</v>
      </c>
      <c r="AM246" s="79" t="str">
        <f>HYPERLINK("https://t.co/g6VBDErInn")</f>
        <v>https://t.co/g6VBDErInn</v>
      </c>
      <c r="AO246" s="76">
        <v>40553.444340277776</v>
      </c>
      <c r="AP246" s="79" t="str">
        <f>HYPERLINK("https://pbs.twimg.com/profile_banners/236336591/1479920827")</f>
        <v>https://pbs.twimg.com/profile_banners/236336591/1479920827</v>
      </c>
      <c r="AQ246" t="b">
        <v>1</v>
      </c>
      <c r="AR246" t="b">
        <v>0</v>
      </c>
      <c r="AS246" t="b">
        <v>0</v>
      </c>
      <c r="AU246">
        <v>1132</v>
      </c>
      <c r="AV246" s="79" t="str">
        <f t="shared" si="6"/>
        <v>https://abs.twimg.com/images/themes/theme1/bg.png</v>
      </c>
      <c r="AW246" t="b">
        <v>1</v>
      </c>
      <c r="AX246" t="s">
        <v>9303</v>
      </c>
      <c r="AY246" s="79" t="str">
        <f>HYPERLINK("https://twitter.com/nbcdfwweather")</f>
        <v>https://twitter.com/nbcdfwweather</v>
      </c>
      <c r="AZ246" t="s">
        <v>65</v>
      </c>
      <c r="BA246" s="2"/>
    </row>
    <row r="247" spans="1:53" x14ac:dyDescent="0.45">
      <c r="A247" s="62" t="s">
        <v>1252</v>
      </c>
      <c r="B247" s="63"/>
      <c r="C247" s="63"/>
      <c r="D247" s="64"/>
      <c r="E247" s="66"/>
      <c r="F247" s="98" t="str">
        <f>HYPERLINK("https://pbs.twimg.com/profile_images/1483141203348627464/6ZsYjqvi_normal.jpg")</f>
        <v>https://pbs.twimg.com/profile_images/1483141203348627464/6ZsYjqvi_normal.jpg</v>
      </c>
      <c r="G247" s="63"/>
      <c r="H247" s="67"/>
      <c r="I247" s="68"/>
      <c r="J247" s="68"/>
      <c r="K247" s="67" t="s">
        <v>9620</v>
      </c>
      <c r="L247" s="71"/>
      <c r="M247" s="72"/>
      <c r="N247" s="72"/>
      <c r="O247" s="73"/>
      <c r="P247" s="74"/>
      <c r="Q247" s="74"/>
      <c r="R247" s="81"/>
      <c r="S247" s="81"/>
      <c r="T247" s="81"/>
      <c r="U247" s="81"/>
      <c r="V247" s="48"/>
      <c r="W247" s="48"/>
      <c r="X247" s="48"/>
      <c r="Y247" s="48"/>
      <c r="Z247" s="47"/>
      <c r="AA247" s="69"/>
      <c r="AB247" s="69"/>
      <c r="AC247" s="70"/>
      <c r="AD247" t="s">
        <v>5313</v>
      </c>
      <c r="AE247" s="78" t="s">
        <v>6590</v>
      </c>
      <c r="AF247">
        <v>66</v>
      </c>
      <c r="AG247">
        <v>100274</v>
      </c>
      <c r="AH247">
        <v>91672</v>
      </c>
      <c r="AI247">
        <v>193</v>
      </c>
      <c r="AK247" t="s">
        <v>7767</v>
      </c>
      <c r="AL247" t="s">
        <v>8843</v>
      </c>
      <c r="AM247" s="79" t="str">
        <f>HYPERLINK("https://t.co/BIvWp5g5Ao")</f>
        <v>https://t.co/BIvWp5g5Ao</v>
      </c>
      <c r="AO247" s="76">
        <v>39552.569641203707</v>
      </c>
      <c r="AP247" s="79" t="str">
        <f>HYPERLINK("https://pbs.twimg.com/profile_banners/14385076/1507159849")</f>
        <v>https://pbs.twimg.com/profile_banners/14385076/1507159849</v>
      </c>
      <c r="AQ247" t="b">
        <v>0</v>
      </c>
      <c r="AR247" t="b">
        <v>0</v>
      </c>
      <c r="AS247" t="b">
        <v>1</v>
      </c>
      <c r="AU247">
        <v>949</v>
      </c>
      <c r="AV247" s="79" t="str">
        <f t="shared" si="6"/>
        <v>https://abs.twimg.com/images/themes/theme1/bg.png</v>
      </c>
      <c r="AW247" t="b">
        <v>0</v>
      </c>
      <c r="AX247" t="s">
        <v>9303</v>
      </c>
      <c r="AY247" s="79" t="str">
        <f>HYPERLINK("https://twitter.com/abqjournal")</f>
        <v>https://twitter.com/abqjournal</v>
      </c>
      <c r="AZ247" t="s">
        <v>65</v>
      </c>
      <c r="BA247" s="2"/>
    </row>
    <row r="248" spans="1:53" x14ac:dyDescent="0.45">
      <c r="A248" s="62" t="s">
        <v>1125</v>
      </c>
      <c r="B248" s="63"/>
      <c r="C248" s="63"/>
      <c r="D248" s="64"/>
      <c r="E248" s="66"/>
      <c r="F248" s="98" t="str">
        <f>HYPERLINK("https://pbs.twimg.com/profile_images/1241769824398774272/k_BaGvWQ_normal.jpg")</f>
        <v>https://pbs.twimg.com/profile_images/1241769824398774272/k_BaGvWQ_normal.jpg</v>
      </c>
      <c r="G248" s="63"/>
      <c r="H248" s="67"/>
      <c r="I248" s="68"/>
      <c r="J248" s="68"/>
      <c r="K248" s="67" t="s">
        <v>9342</v>
      </c>
      <c r="L248" s="71"/>
      <c r="M248" s="72"/>
      <c r="N248" s="72"/>
      <c r="O248" s="73"/>
      <c r="P248" s="74"/>
      <c r="Q248" s="74"/>
      <c r="R248" s="81"/>
      <c r="S248" s="81"/>
      <c r="T248" s="81"/>
      <c r="U248" s="81"/>
      <c r="V248" s="48"/>
      <c r="W248" s="48"/>
      <c r="X248" s="48"/>
      <c r="Y248" s="48"/>
      <c r="Z248" s="47"/>
      <c r="AA248" s="69"/>
      <c r="AB248" s="69"/>
      <c r="AC248" s="70"/>
      <c r="AD248" t="s">
        <v>5038</v>
      </c>
      <c r="AE248" s="78" t="s">
        <v>6356</v>
      </c>
      <c r="AF248">
        <v>84104</v>
      </c>
      <c r="AG248">
        <v>98474</v>
      </c>
      <c r="AH248">
        <v>153524</v>
      </c>
      <c r="AI248">
        <v>340947</v>
      </c>
      <c r="AK248" t="s">
        <v>7526</v>
      </c>
      <c r="AL248" t="s">
        <v>8699</v>
      </c>
      <c r="AM248" s="79" t="str">
        <f>HYPERLINK("https://t.co/TQda516Fuf")</f>
        <v>https://t.co/TQda516Fuf</v>
      </c>
      <c r="AO248" s="76">
        <v>40174.380069444444</v>
      </c>
      <c r="AP248" s="79" t="str">
        <f>HYPERLINK("https://pbs.twimg.com/profile_banners/99674560/1596467382")</f>
        <v>https://pbs.twimg.com/profile_banners/99674560/1596467382</v>
      </c>
      <c r="AQ248" t="b">
        <v>1</v>
      </c>
      <c r="AR248" t="b">
        <v>0</v>
      </c>
      <c r="AS248" t="b">
        <v>1</v>
      </c>
      <c r="AU248">
        <v>947</v>
      </c>
      <c r="AV248" s="79" t="str">
        <f t="shared" si="6"/>
        <v>https://abs.twimg.com/images/themes/theme1/bg.png</v>
      </c>
      <c r="AW248" t="b">
        <v>0</v>
      </c>
      <c r="AX248" t="s">
        <v>9303</v>
      </c>
      <c r="AY248" s="79" t="str">
        <f>HYPERLINK("https://twitter.com/mvollmer1")</f>
        <v>https://twitter.com/mvollmer1</v>
      </c>
      <c r="AZ248" t="s">
        <v>65</v>
      </c>
      <c r="BA248" s="2"/>
    </row>
    <row r="249" spans="1:53" x14ac:dyDescent="0.45">
      <c r="A249" s="62" t="s">
        <v>1473</v>
      </c>
      <c r="B249" s="63"/>
      <c r="C249" s="63"/>
      <c r="D249" s="64"/>
      <c r="E249" s="66"/>
      <c r="F249" s="98" t="str">
        <f>HYPERLINK("https://pbs.twimg.com/profile_images/814960626594238464/HXPDp9mn_normal.jpg")</f>
        <v>https://pbs.twimg.com/profile_images/814960626594238464/HXPDp9mn_normal.jpg</v>
      </c>
      <c r="G249" s="63"/>
      <c r="H249" s="67"/>
      <c r="I249" s="68"/>
      <c r="J249" s="68"/>
      <c r="K249" s="67" t="s">
        <v>10435</v>
      </c>
      <c r="L249" s="71"/>
      <c r="M249" s="72"/>
      <c r="N249" s="72"/>
      <c r="O249" s="73"/>
      <c r="P249" s="74"/>
      <c r="Q249" s="74"/>
      <c r="R249" s="81"/>
      <c r="S249" s="81"/>
      <c r="T249" s="81"/>
      <c r="U249" s="81"/>
      <c r="V249" s="48"/>
      <c r="W249" s="48"/>
      <c r="X249" s="48"/>
      <c r="Y249" s="48"/>
      <c r="Z249" s="47"/>
      <c r="AA249" s="69"/>
      <c r="AB249" s="69"/>
      <c r="AC249" s="70"/>
      <c r="AD249" t="s">
        <v>6116</v>
      </c>
      <c r="AE249" s="78" t="s">
        <v>7312</v>
      </c>
      <c r="AF249">
        <v>192</v>
      </c>
      <c r="AG249">
        <v>96761</v>
      </c>
      <c r="AH249">
        <v>44738</v>
      </c>
      <c r="AI249">
        <v>23278</v>
      </c>
      <c r="AK249" t="s">
        <v>8477</v>
      </c>
      <c r="AL249" t="s">
        <v>9213</v>
      </c>
      <c r="AM249" s="79" t="str">
        <f>HYPERLINK("https://t.co/NR4qLfIsqO")</f>
        <v>https://t.co/NR4qLfIsqO</v>
      </c>
      <c r="AO249" s="76">
        <v>39351.838553240741</v>
      </c>
      <c r="AP249" s="79" t="str">
        <f>HYPERLINK("https://pbs.twimg.com/profile_banners/9113072/1674851816")</f>
        <v>https://pbs.twimg.com/profile_banners/9113072/1674851816</v>
      </c>
      <c r="AQ249" t="b">
        <v>0</v>
      </c>
      <c r="AR249" t="b">
        <v>0</v>
      </c>
      <c r="AS249" t="b">
        <v>1</v>
      </c>
      <c r="AU249">
        <v>726</v>
      </c>
      <c r="AV249" s="79" t="str">
        <f t="shared" si="6"/>
        <v>https://abs.twimg.com/images/themes/theme1/bg.png</v>
      </c>
      <c r="AW249" t="b">
        <v>1</v>
      </c>
      <c r="AX249" t="s">
        <v>9303</v>
      </c>
      <c r="AY249" s="79" t="str">
        <f>HYPERLINK("https://twitter.com/entearth")</f>
        <v>https://twitter.com/entearth</v>
      </c>
      <c r="AZ249" t="s">
        <v>65</v>
      </c>
      <c r="BA249" s="2"/>
    </row>
    <row r="250" spans="1:53" x14ac:dyDescent="0.45">
      <c r="A250" s="62" t="s">
        <v>1261</v>
      </c>
      <c r="B250" s="63"/>
      <c r="C250" s="63"/>
      <c r="D250" s="64"/>
      <c r="E250" s="66"/>
      <c r="F250" s="98" t="str">
        <f>HYPERLINK("https://pbs.twimg.com/profile_images/1620580214601404418/XQdY5sUO_normal.jpg")</f>
        <v>https://pbs.twimg.com/profile_images/1620580214601404418/XQdY5sUO_normal.jpg</v>
      </c>
      <c r="G250" s="63"/>
      <c r="H250" s="67"/>
      <c r="I250" s="68"/>
      <c r="J250" s="68"/>
      <c r="K250" s="67" t="s">
        <v>9699</v>
      </c>
      <c r="L250" s="71"/>
      <c r="M250" s="72"/>
      <c r="N250" s="72"/>
      <c r="O250" s="73"/>
      <c r="P250" s="74"/>
      <c r="Q250" s="74"/>
      <c r="R250" s="81"/>
      <c r="S250" s="81"/>
      <c r="T250" s="81"/>
      <c r="U250" s="81"/>
      <c r="V250" s="48"/>
      <c r="W250" s="48"/>
      <c r="X250" s="48"/>
      <c r="Y250" s="48"/>
      <c r="Z250" s="47"/>
      <c r="AA250" s="69"/>
      <c r="AB250" s="69"/>
      <c r="AC250" s="70"/>
      <c r="AD250" t="s">
        <v>5391</v>
      </c>
      <c r="AE250" s="78" t="s">
        <v>4692</v>
      </c>
      <c r="AF250">
        <v>28434</v>
      </c>
      <c r="AG250">
        <v>94278</v>
      </c>
      <c r="AH250">
        <v>4760</v>
      </c>
      <c r="AI250">
        <v>23535</v>
      </c>
      <c r="AK250" t="s">
        <v>7835</v>
      </c>
      <c r="AL250" t="s">
        <v>8738</v>
      </c>
      <c r="AO250" s="76">
        <v>39975.139305555553</v>
      </c>
      <c r="AP250" s="79" t="str">
        <f>HYPERLINK("https://pbs.twimg.com/profile_banners/46302096/1673459146")</f>
        <v>https://pbs.twimg.com/profile_banners/46302096/1673459146</v>
      </c>
      <c r="AQ250" t="b">
        <v>0</v>
      </c>
      <c r="AR250" t="b">
        <v>0</v>
      </c>
      <c r="AS250" t="b">
        <v>1</v>
      </c>
      <c r="AU250">
        <v>666</v>
      </c>
      <c r="AV250" s="79" t="str">
        <f>HYPERLINK("https://abs.twimg.com/images/themes/theme15/bg.png")</f>
        <v>https://abs.twimg.com/images/themes/theme15/bg.png</v>
      </c>
      <c r="AW250" t="b">
        <v>0</v>
      </c>
      <c r="AX250" t="s">
        <v>9303</v>
      </c>
      <c r="AY250" s="79" t="str">
        <f>HYPERLINK("https://twitter.com/joeyfromphilly")</f>
        <v>https://twitter.com/joeyfromphilly</v>
      </c>
      <c r="AZ250" t="s">
        <v>65</v>
      </c>
      <c r="BA250" s="2"/>
    </row>
    <row r="251" spans="1:53" x14ac:dyDescent="0.45">
      <c r="A251" s="62" t="s">
        <v>1379</v>
      </c>
      <c r="B251" s="63"/>
      <c r="C251" s="63"/>
      <c r="D251" s="64"/>
      <c r="E251" s="66"/>
      <c r="F251" s="98" t="str">
        <f>HYPERLINK("https://pbs.twimg.com/profile_images/656843493365551104/vJzuCpMc_normal.png")</f>
        <v>https://pbs.twimg.com/profile_images/656843493365551104/vJzuCpMc_normal.png</v>
      </c>
      <c r="G251" s="63"/>
      <c r="H251" s="67"/>
      <c r="I251" s="68"/>
      <c r="J251" s="68"/>
      <c r="K251" s="67" t="s">
        <v>10172</v>
      </c>
      <c r="L251" s="71"/>
      <c r="M251" s="72"/>
      <c r="N251" s="72"/>
      <c r="O251" s="73"/>
      <c r="P251" s="74"/>
      <c r="Q251" s="74"/>
      <c r="R251" s="81"/>
      <c r="S251" s="81"/>
      <c r="T251" s="81"/>
      <c r="U251" s="81"/>
      <c r="V251" s="48"/>
      <c r="W251" s="48"/>
      <c r="X251" s="48"/>
      <c r="Y251" s="48"/>
      <c r="Z251" s="47"/>
      <c r="AA251" s="69"/>
      <c r="AB251" s="69"/>
      <c r="AC251" s="70"/>
      <c r="AD251" t="s">
        <v>5858</v>
      </c>
      <c r="AE251" s="78" t="s">
        <v>7081</v>
      </c>
      <c r="AF251">
        <v>4582</v>
      </c>
      <c r="AG251">
        <v>92819</v>
      </c>
      <c r="AH251">
        <v>7406</v>
      </c>
      <c r="AI251">
        <v>9489</v>
      </c>
      <c r="AK251" t="s">
        <v>8245</v>
      </c>
      <c r="AL251" t="s">
        <v>8719</v>
      </c>
      <c r="AM251" s="79" t="str">
        <f>HYPERLINK("https://t.co/Z3sPzTHHtF")</f>
        <v>https://t.co/Z3sPzTHHtF</v>
      </c>
      <c r="AO251" s="76">
        <v>39868.663356481484</v>
      </c>
      <c r="AP251" s="79" t="str">
        <f>HYPERLINK("https://pbs.twimg.com/profile_banners/21765161/1643930401")</f>
        <v>https://pbs.twimg.com/profile_banners/21765161/1643930401</v>
      </c>
      <c r="AQ251" t="b">
        <v>0</v>
      </c>
      <c r="AR251" t="b">
        <v>0</v>
      </c>
      <c r="AS251" t="b">
        <v>0</v>
      </c>
      <c r="AU251">
        <v>823</v>
      </c>
      <c r="AV251" s="79" t="str">
        <f>HYPERLINK("https://abs.twimg.com/images/themes/theme2/bg.gif")</f>
        <v>https://abs.twimg.com/images/themes/theme2/bg.gif</v>
      </c>
      <c r="AW251" t="b">
        <v>1</v>
      </c>
      <c r="AX251" t="s">
        <v>9303</v>
      </c>
      <c r="AY251" s="79" t="str">
        <f>HYPERLINK("https://twitter.com/vickypjward")</f>
        <v>https://twitter.com/vickypjward</v>
      </c>
      <c r="AZ251" t="s">
        <v>65</v>
      </c>
      <c r="BA251" s="2"/>
    </row>
    <row r="252" spans="1:53" x14ac:dyDescent="0.45">
      <c r="A252" s="62" t="s">
        <v>1447</v>
      </c>
      <c r="B252" s="63"/>
      <c r="C252" s="63"/>
      <c r="D252" s="64"/>
      <c r="E252" s="66"/>
      <c r="F252" s="98" t="str">
        <f>HYPERLINK("https://pbs.twimg.com/profile_images/1410540986422509570/nnNZUEfn_normal.jpg")</f>
        <v>https://pbs.twimg.com/profile_images/1410540986422509570/nnNZUEfn_normal.jpg</v>
      </c>
      <c r="G252" s="63"/>
      <c r="H252" s="67"/>
      <c r="I252" s="68"/>
      <c r="J252" s="68"/>
      <c r="K252" s="67" t="s">
        <v>10377</v>
      </c>
      <c r="L252" s="71"/>
      <c r="M252" s="72"/>
      <c r="N252" s="72"/>
      <c r="O252" s="73"/>
      <c r="P252" s="74"/>
      <c r="Q252" s="74"/>
      <c r="R252" s="81"/>
      <c r="S252" s="81"/>
      <c r="T252" s="81"/>
      <c r="U252" s="81"/>
      <c r="V252" s="48"/>
      <c r="W252" s="48"/>
      <c r="X252" s="48"/>
      <c r="Y252" s="48"/>
      <c r="Z252" s="47"/>
      <c r="AA252" s="69"/>
      <c r="AB252" s="69"/>
      <c r="AC252" s="70"/>
      <c r="AD252" t="s">
        <v>6060</v>
      </c>
      <c r="AE252" s="78" t="s">
        <v>7262</v>
      </c>
      <c r="AF252">
        <v>5375</v>
      </c>
      <c r="AG252">
        <v>92267</v>
      </c>
      <c r="AH252">
        <v>58325</v>
      </c>
      <c r="AI252">
        <v>56273</v>
      </c>
      <c r="AK252" t="s">
        <v>8425</v>
      </c>
      <c r="AL252" t="s">
        <v>8824</v>
      </c>
      <c r="AM252" s="79" t="str">
        <f>HYPERLINK("https://t.co/aVloJFt25l")</f>
        <v>https://t.co/aVloJFt25l</v>
      </c>
      <c r="AO252" s="76">
        <v>41588.445972222224</v>
      </c>
      <c r="AP252" s="79" t="str">
        <f>HYPERLINK("https://pbs.twimg.com/profile_banners/2186116027/1648543149")</f>
        <v>https://pbs.twimg.com/profile_banners/2186116027/1648543149</v>
      </c>
      <c r="AQ252" t="b">
        <v>0</v>
      </c>
      <c r="AR252" t="b">
        <v>0</v>
      </c>
      <c r="AS252" t="b">
        <v>0</v>
      </c>
      <c r="AU252">
        <v>267</v>
      </c>
      <c r="AV252" s="79" t="str">
        <f>HYPERLINK("https://abs.twimg.com/images/themes/theme1/bg.png")</f>
        <v>https://abs.twimg.com/images/themes/theme1/bg.png</v>
      </c>
      <c r="AW252" t="b">
        <v>0</v>
      </c>
      <c r="AX252" t="s">
        <v>9303</v>
      </c>
      <c r="AY252" s="79" t="str">
        <f>HYPERLINK("https://twitter.com/makeuprvltn")</f>
        <v>https://twitter.com/makeuprvltn</v>
      </c>
      <c r="AZ252" t="s">
        <v>65</v>
      </c>
      <c r="BA252" s="2"/>
    </row>
    <row r="253" spans="1:53" x14ac:dyDescent="0.45">
      <c r="A253" s="62" t="s">
        <v>562</v>
      </c>
      <c r="B253" s="63"/>
      <c r="C253" s="63"/>
      <c r="D253" s="64"/>
      <c r="E253" s="66"/>
      <c r="F253" s="98" t="str">
        <f>HYPERLINK("https://pbs.twimg.com/profile_images/1410665731063259143/ifEcr1oZ_normal.jpg")</f>
        <v>https://pbs.twimg.com/profile_images/1410665731063259143/ifEcr1oZ_normal.jpg</v>
      </c>
      <c r="G253" s="63"/>
      <c r="H253" s="67"/>
      <c r="I253" s="68"/>
      <c r="J253" s="68"/>
      <c r="K253" s="67" t="s">
        <v>9860</v>
      </c>
      <c r="L253" s="71"/>
      <c r="M253" s="72"/>
      <c r="N253" s="72"/>
      <c r="O253" s="73"/>
      <c r="P253" s="74"/>
      <c r="Q253" s="74"/>
      <c r="R253" s="81"/>
      <c r="S253" s="81"/>
      <c r="T253" s="81"/>
      <c r="U253" s="81"/>
      <c r="V253" s="48"/>
      <c r="W253" s="48"/>
      <c r="X253" s="48"/>
      <c r="Y253" s="48"/>
      <c r="Z253" s="47"/>
      <c r="AA253" s="69"/>
      <c r="AB253" s="69"/>
      <c r="AC253" s="70"/>
      <c r="AD253" t="s">
        <v>5551</v>
      </c>
      <c r="AE253" s="78" t="s">
        <v>6799</v>
      </c>
      <c r="AF253">
        <v>344</v>
      </c>
      <c r="AG253">
        <v>91642</v>
      </c>
      <c r="AH253">
        <v>292442</v>
      </c>
      <c r="AI253">
        <v>3183</v>
      </c>
      <c r="AK253" t="s">
        <v>7974</v>
      </c>
      <c r="AL253" t="s">
        <v>8953</v>
      </c>
      <c r="AM253" s="79" t="str">
        <f>HYPERLINK("https://t.co/f4evB9p0hi")</f>
        <v>https://t.co/f4evB9p0hi</v>
      </c>
      <c r="AO253" s="76">
        <v>39680.586226851854</v>
      </c>
      <c r="AP253" s="79" t="str">
        <f>HYPERLINK("https://pbs.twimg.com/profile_banners/15917758/1664803028")</f>
        <v>https://pbs.twimg.com/profile_banners/15917758/1664803028</v>
      </c>
      <c r="AQ253" t="b">
        <v>0</v>
      </c>
      <c r="AR253" t="b">
        <v>0</v>
      </c>
      <c r="AS253" t="b">
        <v>1</v>
      </c>
      <c r="AU253">
        <v>993</v>
      </c>
      <c r="AV253" s="79" t="str">
        <f>HYPERLINK("https://abs.twimg.com/images/themes/theme15/bg.png")</f>
        <v>https://abs.twimg.com/images/themes/theme15/bg.png</v>
      </c>
      <c r="AW253" t="b">
        <v>1</v>
      </c>
      <c r="AX253" t="s">
        <v>9303</v>
      </c>
      <c r="AY253" s="79" t="str">
        <f>HYPERLINK("https://twitter.com/wzzm13")</f>
        <v>https://twitter.com/wzzm13</v>
      </c>
      <c r="AZ253" t="s">
        <v>66</v>
      </c>
      <c r="BA253" s="2"/>
    </row>
    <row r="254" spans="1:53" x14ac:dyDescent="0.45">
      <c r="A254" s="62" t="s">
        <v>655</v>
      </c>
      <c r="B254" s="63"/>
      <c r="C254" s="63"/>
      <c r="D254" s="64"/>
      <c r="E254" s="66"/>
      <c r="F254" s="98" t="str">
        <f>HYPERLINK("https://pbs.twimg.com/profile_images/818495627244015616/SM_URVDM_normal.jpg")</f>
        <v>https://pbs.twimg.com/profile_images/818495627244015616/SM_URVDM_normal.jpg</v>
      </c>
      <c r="G254" s="63"/>
      <c r="H254" s="67"/>
      <c r="I254" s="68"/>
      <c r="J254" s="68"/>
      <c r="K254" s="67" t="s">
        <v>9966</v>
      </c>
      <c r="L254" s="71"/>
      <c r="M254" s="72"/>
      <c r="N254" s="72"/>
      <c r="O254" s="73"/>
      <c r="P254" s="74"/>
      <c r="Q254" s="74"/>
      <c r="R254" s="81"/>
      <c r="S254" s="81"/>
      <c r="T254" s="81"/>
      <c r="U254" s="81"/>
      <c r="V254" s="48"/>
      <c r="W254" s="48"/>
      <c r="X254" s="48"/>
      <c r="Y254" s="48"/>
      <c r="Z254" s="47"/>
      <c r="AA254" s="69"/>
      <c r="AB254" s="69"/>
      <c r="AC254" s="70"/>
      <c r="AD254" t="s">
        <v>5657</v>
      </c>
      <c r="AE254" s="78" t="s">
        <v>6899</v>
      </c>
      <c r="AF254">
        <v>99424</v>
      </c>
      <c r="AG254">
        <v>91263</v>
      </c>
      <c r="AH254">
        <v>56590</v>
      </c>
      <c r="AI254">
        <v>24143</v>
      </c>
      <c r="AK254" t="s">
        <v>8066</v>
      </c>
      <c r="AL254" t="s">
        <v>8948</v>
      </c>
      <c r="AM254" s="79" t="str">
        <f>HYPERLINK("https://t.co/u5ORqhKUIz")</f>
        <v>https://t.co/u5ORqhKUIz</v>
      </c>
      <c r="AO254" s="76">
        <v>39733.509050925924</v>
      </c>
      <c r="AP254" s="79" t="str">
        <f>HYPERLINK("https://pbs.twimg.com/profile_banners/16707004/1546179699")</f>
        <v>https://pbs.twimg.com/profile_banners/16707004/1546179699</v>
      </c>
      <c r="AQ254" t="b">
        <v>0</v>
      </c>
      <c r="AR254" t="b">
        <v>0</v>
      </c>
      <c r="AS254" t="b">
        <v>0</v>
      </c>
      <c r="AU254">
        <v>562</v>
      </c>
      <c r="AV254" s="79" t="str">
        <f t="shared" ref="AV254:AV263" si="7">HYPERLINK("https://abs.twimg.com/images/themes/theme1/bg.png")</f>
        <v>https://abs.twimg.com/images/themes/theme1/bg.png</v>
      </c>
      <c r="AW254" t="b">
        <v>0</v>
      </c>
      <c r="AX254" t="s">
        <v>9303</v>
      </c>
      <c r="AY254" s="79" t="str">
        <f>HYPERLINK("https://twitter.com/jeffkagan")</f>
        <v>https://twitter.com/jeffkagan</v>
      </c>
      <c r="AZ254" t="s">
        <v>66</v>
      </c>
      <c r="BA254" s="2"/>
    </row>
    <row r="255" spans="1:53" x14ac:dyDescent="0.45">
      <c r="A255" s="62" t="s">
        <v>1127</v>
      </c>
      <c r="B255" s="63"/>
      <c r="C255" s="63"/>
      <c r="D255" s="64"/>
      <c r="E255" s="66"/>
      <c r="F255" s="98" t="str">
        <f>HYPERLINK("https://pbs.twimg.com/profile_images/915247803248599040/GsF3avSn_normal.jpg")</f>
        <v>https://pbs.twimg.com/profile_images/915247803248599040/GsF3avSn_normal.jpg</v>
      </c>
      <c r="G255" s="63"/>
      <c r="H255" s="67"/>
      <c r="I255" s="68"/>
      <c r="J255" s="68"/>
      <c r="K255" s="67" t="s">
        <v>9344</v>
      </c>
      <c r="L255" s="71"/>
      <c r="M255" s="72"/>
      <c r="N255" s="72"/>
      <c r="O255" s="73"/>
      <c r="P255" s="74"/>
      <c r="Q255" s="74"/>
      <c r="R255" s="81"/>
      <c r="S255" s="81"/>
      <c r="T255" s="81"/>
      <c r="U255" s="81"/>
      <c r="V255" s="48"/>
      <c r="W255" s="48"/>
      <c r="X255" s="48"/>
      <c r="Y255" s="48"/>
      <c r="Z255" s="47"/>
      <c r="AA255" s="69"/>
      <c r="AB255" s="69"/>
      <c r="AC255" s="70"/>
      <c r="AD255" t="s">
        <v>5040</v>
      </c>
      <c r="AE255" s="78" t="s">
        <v>6358</v>
      </c>
      <c r="AF255">
        <v>6039</v>
      </c>
      <c r="AG255">
        <v>91154</v>
      </c>
      <c r="AH255">
        <v>240944</v>
      </c>
      <c r="AI255">
        <v>292350</v>
      </c>
      <c r="AK255" t="s">
        <v>7528</v>
      </c>
      <c r="AL255" t="s">
        <v>8701</v>
      </c>
      <c r="AM255" s="79" t="str">
        <f>HYPERLINK("https://t.co/q6j8SSWLBO")</f>
        <v>https://t.co/q6j8SSWLBO</v>
      </c>
      <c r="AO255" s="76">
        <v>42342.759467592594</v>
      </c>
      <c r="AP255" s="79" t="str">
        <f>HYPERLINK("https://pbs.twimg.com/profile_banners/4374719908/1618594801")</f>
        <v>https://pbs.twimg.com/profile_banners/4374719908/1618594801</v>
      </c>
      <c r="AQ255" t="b">
        <v>1</v>
      </c>
      <c r="AR255" t="b">
        <v>0</v>
      </c>
      <c r="AS255" t="b">
        <v>1</v>
      </c>
      <c r="AU255">
        <v>5078</v>
      </c>
      <c r="AV255" s="79" t="str">
        <f t="shared" si="7"/>
        <v>https://abs.twimg.com/images/themes/theme1/bg.png</v>
      </c>
      <c r="AW255" t="b">
        <v>0</v>
      </c>
      <c r="AX255" t="s">
        <v>9303</v>
      </c>
      <c r="AY255" s="79" t="str">
        <f>HYPERLINK("https://twitter.com/jblefevre60")</f>
        <v>https://twitter.com/jblefevre60</v>
      </c>
      <c r="AZ255" t="s">
        <v>65</v>
      </c>
      <c r="BA255" s="2"/>
    </row>
    <row r="256" spans="1:53" x14ac:dyDescent="0.45">
      <c r="A256" s="62" t="s">
        <v>1454</v>
      </c>
      <c r="B256" s="63"/>
      <c r="C256" s="63"/>
      <c r="D256" s="64"/>
      <c r="E256" s="66"/>
      <c r="F256" s="98" t="str">
        <f>HYPERLINK("https://pbs.twimg.com/profile_images/1539984146566610945/8ngnKtV5_normal.jpg")</f>
        <v>https://pbs.twimg.com/profile_images/1539984146566610945/8ngnKtV5_normal.jpg</v>
      </c>
      <c r="G256" s="63"/>
      <c r="H256" s="67"/>
      <c r="I256" s="68"/>
      <c r="J256" s="68"/>
      <c r="K256" s="67" t="s">
        <v>10391</v>
      </c>
      <c r="L256" s="71"/>
      <c r="M256" s="72"/>
      <c r="N256" s="72"/>
      <c r="O256" s="73"/>
      <c r="P256" s="74"/>
      <c r="Q256" s="74"/>
      <c r="R256" s="81"/>
      <c r="S256" s="81"/>
      <c r="T256" s="81"/>
      <c r="U256" s="81"/>
      <c r="V256" s="48"/>
      <c r="W256" s="48"/>
      <c r="X256" s="48"/>
      <c r="Y256" s="48"/>
      <c r="Z256" s="47"/>
      <c r="AA256" s="69"/>
      <c r="AB256" s="69"/>
      <c r="AC256" s="70"/>
      <c r="AD256" t="s">
        <v>6073</v>
      </c>
      <c r="AE256" s="78" t="s">
        <v>7275</v>
      </c>
      <c r="AF256">
        <v>148</v>
      </c>
      <c r="AG256">
        <v>89484</v>
      </c>
      <c r="AH256">
        <v>11053</v>
      </c>
      <c r="AI256">
        <v>32215</v>
      </c>
      <c r="AK256" t="s">
        <v>8437</v>
      </c>
      <c r="AM256" s="79" t="str">
        <f>HYPERLINK("https://t.co/YuYl2eELyR")</f>
        <v>https://t.co/YuYl2eELyR</v>
      </c>
      <c r="AO256" s="76">
        <v>40746.982071759259</v>
      </c>
      <c r="AP256" s="79" t="str">
        <f>HYPERLINK("https://pbs.twimg.com/profile_banners/340596866/1655995855")</f>
        <v>https://pbs.twimg.com/profile_banners/340596866/1655995855</v>
      </c>
      <c r="AQ256" t="b">
        <v>0</v>
      </c>
      <c r="AR256" t="b">
        <v>0</v>
      </c>
      <c r="AS256" t="b">
        <v>1</v>
      </c>
      <c r="AU256">
        <v>158</v>
      </c>
      <c r="AV256" s="79" t="str">
        <f t="shared" si="7"/>
        <v>https://abs.twimg.com/images/themes/theme1/bg.png</v>
      </c>
      <c r="AW256" t="b">
        <v>1</v>
      </c>
      <c r="AX256" t="s">
        <v>9303</v>
      </c>
      <c r="AY256" s="79" t="str">
        <f>HYPERLINK("https://twitter.com/drinkbodyarmor")</f>
        <v>https://twitter.com/drinkbodyarmor</v>
      </c>
      <c r="AZ256" t="s">
        <v>65</v>
      </c>
      <c r="BA256" s="2"/>
    </row>
    <row r="257" spans="1:53" x14ac:dyDescent="0.45">
      <c r="A257" s="62" t="s">
        <v>1290</v>
      </c>
      <c r="B257" s="63"/>
      <c r="C257" s="63"/>
      <c r="D257" s="64"/>
      <c r="E257" s="66"/>
      <c r="F257" s="98" t="str">
        <f>HYPERLINK("https://pbs.twimg.com/profile_images/1569775490730164224/PihDW56x_normal.jpg")</f>
        <v>https://pbs.twimg.com/profile_images/1569775490730164224/PihDW56x_normal.jpg</v>
      </c>
      <c r="G257" s="63"/>
      <c r="H257" s="67"/>
      <c r="I257" s="68"/>
      <c r="J257" s="68"/>
      <c r="K257" s="67" t="s">
        <v>9799</v>
      </c>
      <c r="L257" s="71"/>
      <c r="M257" s="72"/>
      <c r="N257" s="72"/>
      <c r="O257" s="73"/>
      <c r="P257" s="74"/>
      <c r="Q257" s="74"/>
      <c r="R257" s="81"/>
      <c r="S257" s="81"/>
      <c r="T257" s="81"/>
      <c r="U257" s="81"/>
      <c r="V257" s="48"/>
      <c r="W257" s="48"/>
      <c r="X257" s="48"/>
      <c r="Y257" s="48"/>
      <c r="Z257" s="47"/>
      <c r="AA257" s="69"/>
      <c r="AB257" s="69"/>
      <c r="AC257" s="70"/>
      <c r="AD257" t="s">
        <v>5490</v>
      </c>
      <c r="AE257" s="78" t="s">
        <v>6747</v>
      </c>
      <c r="AF257">
        <v>44383</v>
      </c>
      <c r="AG257">
        <v>85380</v>
      </c>
      <c r="AH257">
        <v>22059</v>
      </c>
      <c r="AI257">
        <v>10722</v>
      </c>
      <c r="AK257" t="s">
        <v>7920</v>
      </c>
      <c r="AL257" t="s">
        <v>8703</v>
      </c>
      <c r="AM257" s="79" t="str">
        <f>HYPERLINK("https://t.co/RakhdWIw9v")</f>
        <v>https://t.co/RakhdWIw9v</v>
      </c>
      <c r="AO257" s="76">
        <v>39686.785173611112</v>
      </c>
      <c r="AP257" s="79" t="str">
        <f>HYPERLINK("https://pbs.twimg.com/profile_banners/16000856/1650653608")</f>
        <v>https://pbs.twimg.com/profile_banners/16000856/1650653608</v>
      </c>
      <c r="AQ257" t="b">
        <v>0</v>
      </c>
      <c r="AR257" t="b">
        <v>0</v>
      </c>
      <c r="AS257" t="b">
        <v>0</v>
      </c>
      <c r="AU257">
        <v>1069</v>
      </c>
      <c r="AV257" s="79" t="str">
        <f t="shared" si="7"/>
        <v>https://abs.twimg.com/images/themes/theme1/bg.png</v>
      </c>
      <c r="AW257" t="b">
        <v>1</v>
      </c>
      <c r="AX257" t="s">
        <v>9303</v>
      </c>
      <c r="AY257" s="79" t="str">
        <f>HYPERLINK("https://twitter.com/ufcw")</f>
        <v>https://twitter.com/ufcw</v>
      </c>
      <c r="AZ257" t="s">
        <v>65</v>
      </c>
      <c r="BA257" s="2"/>
    </row>
    <row r="258" spans="1:53" x14ac:dyDescent="0.45">
      <c r="A258" s="62" t="s">
        <v>570</v>
      </c>
      <c r="B258" s="63"/>
      <c r="C258" s="63"/>
      <c r="D258" s="64"/>
      <c r="E258" s="66"/>
      <c r="F258" s="98" t="str">
        <f>HYPERLINK("https://pbs.twimg.com/profile_images/1296385757117128704/2oaRBVnq_normal.jpg")</f>
        <v>https://pbs.twimg.com/profile_images/1296385757117128704/2oaRBVnq_normal.jpg</v>
      </c>
      <c r="G258" s="63"/>
      <c r="H258" s="67"/>
      <c r="I258" s="68"/>
      <c r="J258" s="68"/>
      <c r="K258" s="67" t="s">
        <v>9868</v>
      </c>
      <c r="L258" s="71"/>
      <c r="M258" s="72"/>
      <c r="N258" s="72"/>
      <c r="O258" s="73"/>
      <c r="P258" s="74"/>
      <c r="Q258" s="74"/>
      <c r="R258" s="81"/>
      <c r="S258" s="81"/>
      <c r="T258" s="81"/>
      <c r="U258" s="81"/>
      <c r="V258" s="48"/>
      <c r="W258" s="48"/>
      <c r="X258" s="48"/>
      <c r="Y258" s="48"/>
      <c r="Z258" s="47"/>
      <c r="AA258" s="69"/>
      <c r="AB258" s="69"/>
      <c r="AC258" s="70"/>
      <c r="AD258" t="s">
        <v>5559</v>
      </c>
      <c r="AE258" s="78" t="s">
        <v>6807</v>
      </c>
      <c r="AF258">
        <v>1186</v>
      </c>
      <c r="AG258">
        <v>83542</v>
      </c>
      <c r="AH258">
        <v>245230</v>
      </c>
      <c r="AI258">
        <v>61972</v>
      </c>
      <c r="AK258" t="s">
        <v>7982</v>
      </c>
      <c r="AL258" t="s">
        <v>8961</v>
      </c>
      <c r="AM258" s="79" t="str">
        <f>HYPERLINK("https://t.co/NlmRWKJUUQ")</f>
        <v>https://t.co/NlmRWKJUUQ</v>
      </c>
      <c r="AO258" s="76">
        <v>39374.656076388892</v>
      </c>
      <c r="AP258" s="79" t="str">
        <f>HYPERLINK("https://pbs.twimg.com/profile_banners/9544952/1672664597")</f>
        <v>https://pbs.twimg.com/profile_banners/9544952/1672664597</v>
      </c>
      <c r="AQ258" t="b">
        <v>0</v>
      </c>
      <c r="AR258" t="b">
        <v>0</v>
      </c>
      <c r="AS258" t="b">
        <v>1</v>
      </c>
      <c r="AU258">
        <v>689</v>
      </c>
      <c r="AV258" s="79" t="str">
        <f t="shared" si="7"/>
        <v>https://abs.twimg.com/images/themes/theme1/bg.png</v>
      </c>
      <c r="AW258" t="b">
        <v>1</v>
      </c>
      <c r="AX258" t="s">
        <v>9303</v>
      </c>
      <c r="AY258" s="79" t="str">
        <f>HYPERLINK("https://twitter.com/fox43")</f>
        <v>https://twitter.com/fox43</v>
      </c>
      <c r="AZ258" t="s">
        <v>66</v>
      </c>
      <c r="BA258" s="2"/>
    </row>
    <row r="259" spans="1:53" x14ac:dyDescent="0.45">
      <c r="A259" s="62" t="s">
        <v>1280</v>
      </c>
      <c r="B259" s="63"/>
      <c r="C259" s="63"/>
      <c r="D259" s="64"/>
      <c r="E259" s="66"/>
      <c r="F259" s="98" t="str">
        <f>HYPERLINK("https://pbs.twimg.com/profile_images/789093479305637888/eebPBItP_normal.jpg")</f>
        <v>https://pbs.twimg.com/profile_images/789093479305637888/eebPBItP_normal.jpg</v>
      </c>
      <c r="G259" s="63"/>
      <c r="H259" s="67"/>
      <c r="I259" s="68"/>
      <c r="J259" s="68"/>
      <c r="K259" s="67" t="s">
        <v>9771</v>
      </c>
      <c r="L259" s="71"/>
      <c r="M259" s="72"/>
      <c r="N259" s="72"/>
      <c r="O259" s="73"/>
      <c r="P259" s="74"/>
      <c r="Q259" s="74"/>
      <c r="R259" s="81"/>
      <c r="S259" s="81"/>
      <c r="T259" s="81"/>
      <c r="U259" s="81"/>
      <c r="V259" s="48"/>
      <c r="W259" s="48"/>
      <c r="X259" s="48"/>
      <c r="Y259" s="48"/>
      <c r="Z259" s="47"/>
      <c r="AA259" s="69"/>
      <c r="AB259" s="69"/>
      <c r="AC259" s="70"/>
      <c r="AD259" t="s">
        <v>5463</v>
      </c>
      <c r="AE259" s="78" t="s">
        <v>6723</v>
      </c>
      <c r="AF259">
        <v>218</v>
      </c>
      <c r="AG259">
        <v>83284</v>
      </c>
      <c r="AH259">
        <v>1686</v>
      </c>
      <c r="AI259">
        <v>1429</v>
      </c>
      <c r="AK259" t="s">
        <v>7895</v>
      </c>
      <c r="AL259" t="s">
        <v>8835</v>
      </c>
      <c r="AM259" s="79" t="str">
        <f>HYPERLINK("https://t.co/rQuHABFUN2")</f>
        <v>https://t.co/rQuHABFUN2</v>
      </c>
      <c r="AO259" s="76">
        <v>39788.736990740741</v>
      </c>
      <c r="AP259" s="79" t="str">
        <f>HYPERLINK("https://pbs.twimg.com/profile_banners/17925320/1667089706")</f>
        <v>https://pbs.twimg.com/profile_banners/17925320/1667089706</v>
      </c>
      <c r="AQ259" t="b">
        <v>1</v>
      </c>
      <c r="AR259" t="b">
        <v>0</v>
      </c>
      <c r="AS259" t="b">
        <v>0</v>
      </c>
      <c r="AU259">
        <v>2229</v>
      </c>
      <c r="AV259" s="79" t="str">
        <f t="shared" si="7"/>
        <v>https://abs.twimg.com/images/themes/theme1/bg.png</v>
      </c>
      <c r="AW259" t="b">
        <v>0</v>
      </c>
      <c r="AX259" t="s">
        <v>9303</v>
      </c>
      <c r="AY259" s="79" t="str">
        <f>HYPERLINK("https://twitter.com/openstreetmap")</f>
        <v>https://twitter.com/openstreetmap</v>
      </c>
      <c r="AZ259" t="s">
        <v>65</v>
      </c>
      <c r="BA259" s="2"/>
    </row>
    <row r="260" spans="1:53" x14ac:dyDescent="0.45">
      <c r="A260" s="62" t="s">
        <v>1271</v>
      </c>
      <c r="B260" s="63"/>
      <c r="C260" s="63"/>
      <c r="D260" s="64"/>
      <c r="E260" s="66"/>
      <c r="F260" s="98" t="str">
        <f>HYPERLINK("https://pbs.twimg.com/profile_images/1613734960686317571/XxpglNyK_normal.png")</f>
        <v>https://pbs.twimg.com/profile_images/1613734960686317571/XxpglNyK_normal.png</v>
      </c>
      <c r="G260" s="63"/>
      <c r="H260" s="67"/>
      <c r="I260" s="68"/>
      <c r="J260" s="68"/>
      <c r="K260" s="67" t="s">
        <v>9733</v>
      </c>
      <c r="L260" s="71"/>
      <c r="M260" s="72"/>
      <c r="N260" s="72"/>
      <c r="O260" s="73"/>
      <c r="P260" s="74"/>
      <c r="Q260" s="74"/>
      <c r="R260" s="81"/>
      <c r="S260" s="81"/>
      <c r="T260" s="81"/>
      <c r="U260" s="81"/>
      <c r="V260" s="48"/>
      <c r="W260" s="48"/>
      <c r="X260" s="48"/>
      <c r="Y260" s="48"/>
      <c r="Z260" s="47"/>
      <c r="AA260" s="69"/>
      <c r="AB260" s="69"/>
      <c r="AC260" s="70"/>
      <c r="AD260" t="s">
        <v>5425</v>
      </c>
      <c r="AE260" s="78" t="s">
        <v>6696</v>
      </c>
      <c r="AF260">
        <v>981</v>
      </c>
      <c r="AG260">
        <v>82251</v>
      </c>
      <c r="AH260">
        <v>200151</v>
      </c>
      <c r="AI260">
        <v>28155</v>
      </c>
      <c r="AK260" t="s">
        <v>7863</v>
      </c>
      <c r="AL260" t="s">
        <v>8890</v>
      </c>
      <c r="AO260" s="76">
        <v>40449.988749999997</v>
      </c>
      <c r="AP260" s="79" t="str">
        <f>HYPERLINK("https://pbs.twimg.com/profile_banners/196371325/1673578992")</f>
        <v>https://pbs.twimg.com/profile_banners/196371325/1673578992</v>
      </c>
      <c r="AQ260" t="b">
        <v>0</v>
      </c>
      <c r="AR260" t="b">
        <v>0</v>
      </c>
      <c r="AS260" t="b">
        <v>1</v>
      </c>
      <c r="AU260">
        <v>342</v>
      </c>
      <c r="AV260" s="79" t="str">
        <f t="shared" si="7"/>
        <v>https://abs.twimg.com/images/themes/theme1/bg.png</v>
      </c>
      <c r="AW260" t="b">
        <v>0</v>
      </c>
      <c r="AX260" t="s">
        <v>9303</v>
      </c>
      <c r="AY260" s="79" t="str">
        <f>HYPERLINK("https://twitter.com/mileyupdates")</f>
        <v>https://twitter.com/mileyupdates</v>
      </c>
      <c r="AZ260" t="s">
        <v>65</v>
      </c>
      <c r="BA260" s="2"/>
    </row>
    <row r="261" spans="1:53" x14ac:dyDescent="0.45">
      <c r="A261" s="62" t="s">
        <v>1266</v>
      </c>
      <c r="B261" s="63"/>
      <c r="C261" s="63"/>
      <c r="D261" s="64"/>
      <c r="E261" s="66"/>
      <c r="F261" s="98" t="str">
        <f>HYPERLINK("https://pbs.twimg.com/profile_images/1307613257772003328/mtNm365t_normal.jpg")</f>
        <v>https://pbs.twimg.com/profile_images/1307613257772003328/mtNm365t_normal.jpg</v>
      </c>
      <c r="G261" s="63"/>
      <c r="H261" s="67"/>
      <c r="I261" s="68"/>
      <c r="J261" s="68"/>
      <c r="K261" s="67" t="s">
        <v>9711</v>
      </c>
      <c r="L261" s="71"/>
      <c r="M261" s="72"/>
      <c r="N261" s="72"/>
      <c r="O261" s="73"/>
      <c r="P261" s="74"/>
      <c r="Q261" s="74"/>
      <c r="R261" s="81"/>
      <c r="S261" s="81"/>
      <c r="T261" s="81"/>
      <c r="U261" s="81"/>
      <c r="V261" s="48"/>
      <c r="W261" s="48"/>
      <c r="X261" s="48"/>
      <c r="Y261" s="48"/>
      <c r="Z261" s="47"/>
      <c r="AA261" s="69"/>
      <c r="AB261" s="69"/>
      <c r="AC261" s="70"/>
      <c r="AD261" t="s">
        <v>5403</v>
      </c>
      <c r="AE261" s="78" t="s">
        <v>6676</v>
      </c>
      <c r="AF261">
        <v>2389</v>
      </c>
      <c r="AG261">
        <v>81746</v>
      </c>
      <c r="AH261">
        <v>39179</v>
      </c>
      <c r="AI261">
        <v>4859</v>
      </c>
      <c r="AK261" t="s">
        <v>7843</v>
      </c>
      <c r="AL261" t="s">
        <v>8738</v>
      </c>
      <c r="AM261" s="79" t="str">
        <f>HYPERLINK("https://t.co/uOIBFxG5jn")</f>
        <v>https://t.co/uOIBFxG5jn</v>
      </c>
      <c r="AO261" s="76">
        <v>40284.880057870374</v>
      </c>
      <c r="AP261" s="79" t="str">
        <f>HYPERLINK("https://pbs.twimg.com/profile_banners/133865373/1632348698")</f>
        <v>https://pbs.twimg.com/profile_banners/133865373/1632348698</v>
      </c>
      <c r="AQ261" t="b">
        <v>0</v>
      </c>
      <c r="AR261" t="b">
        <v>0</v>
      </c>
      <c r="AS261" t="b">
        <v>0</v>
      </c>
      <c r="AU261">
        <v>605</v>
      </c>
      <c r="AV261" s="79" t="str">
        <f t="shared" si="7"/>
        <v>https://abs.twimg.com/images/themes/theme1/bg.png</v>
      </c>
      <c r="AW261" t="b">
        <v>1</v>
      </c>
      <c r="AX261" t="s">
        <v>9303</v>
      </c>
      <c r="AY261" s="79" t="str">
        <f>HYPERLINK("https://twitter.com/riteaid")</f>
        <v>https://twitter.com/riteaid</v>
      </c>
      <c r="AZ261" t="s">
        <v>65</v>
      </c>
      <c r="BA261" s="2"/>
    </row>
    <row r="262" spans="1:53" x14ac:dyDescent="0.45">
      <c r="A262" s="62" t="s">
        <v>1526</v>
      </c>
      <c r="B262" s="63"/>
      <c r="C262" s="63"/>
      <c r="D262" s="64"/>
      <c r="E262" s="66"/>
      <c r="F262" s="98" t="str">
        <f>HYPERLINK("https://pbs.twimg.com/profile_images/1437953648592490497/tZef9NCD_normal.jpg")</f>
        <v>https://pbs.twimg.com/profile_images/1437953648592490497/tZef9NCD_normal.jpg</v>
      </c>
      <c r="G262" s="63"/>
      <c r="H262" s="67"/>
      <c r="I262" s="68"/>
      <c r="J262" s="68"/>
      <c r="K262" s="67" t="s">
        <v>10557</v>
      </c>
      <c r="L262" s="71"/>
      <c r="M262" s="72"/>
      <c r="N262" s="72"/>
      <c r="O262" s="73"/>
      <c r="P262" s="74"/>
      <c r="Q262" s="74"/>
      <c r="R262" s="81"/>
      <c r="S262" s="81"/>
      <c r="T262" s="81"/>
      <c r="U262" s="81"/>
      <c r="V262" s="48"/>
      <c r="W262" s="48"/>
      <c r="X262" s="48"/>
      <c r="Y262" s="48"/>
      <c r="Z262" s="47"/>
      <c r="AA262" s="69"/>
      <c r="AB262" s="69"/>
      <c r="AC262" s="70"/>
      <c r="AD262" t="s">
        <v>6235</v>
      </c>
      <c r="AE262" s="78" t="s">
        <v>7411</v>
      </c>
      <c r="AF262">
        <v>36</v>
      </c>
      <c r="AG262">
        <v>81047</v>
      </c>
      <c r="AH262">
        <v>12409</v>
      </c>
      <c r="AI262">
        <v>4187</v>
      </c>
      <c r="AK262" t="s">
        <v>8583</v>
      </c>
      <c r="AL262" t="s">
        <v>8847</v>
      </c>
      <c r="AM262" s="79" t="str">
        <f>HYPERLINK("https://t.co/svJW3NyTaO")</f>
        <v>https://t.co/svJW3NyTaO</v>
      </c>
      <c r="AO262" s="76">
        <v>42544.41337962963</v>
      </c>
      <c r="AP262" s="79" t="str">
        <f>HYPERLINK("https://pbs.twimg.com/profile_banners/745918133148524544/1644336536")</f>
        <v>https://pbs.twimg.com/profile_banners/745918133148524544/1644336536</v>
      </c>
      <c r="AQ262" t="b">
        <v>0</v>
      </c>
      <c r="AR262" t="b">
        <v>0</v>
      </c>
      <c r="AS262" t="b">
        <v>1</v>
      </c>
      <c r="AU262">
        <v>227</v>
      </c>
      <c r="AV262" s="79" t="str">
        <f t="shared" si="7"/>
        <v>https://abs.twimg.com/images/themes/theme1/bg.png</v>
      </c>
      <c r="AW262" t="b">
        <v>1</v>
      </c>
      <c r="AX262" t="s">
        <v>9303</v>
      </c>
      <c r="AY262" s="79" t="str">
        <f>HYPERLINK("https://twitter.com/aliexpress_en")</f>
        <v>https://twitter.com/aliexpress_en</v>
      </c>
      <c r="AZ262" t="s">
        <v>65</v>
      </c>
      <c r="BA262" s="2"/>
    </row>
    <row r="263" spans="1:53" x14ac:dyDescent="0.45">
      <c r="A263" s="62" t="s">
        <v>1111</v>
      </c>
      <c r="B263" s="63"/>
      <c r="C263" s="63"/>
      <c r="D263" s="64"/>
      <c r="E263" s="66"/>
      <c r="F263" s="98" t="str">
        <f>HYPERLINK("https://pbs.twimg.com/profile_images/1537852624795475969/y6tsJw8V_normal.jpg")</f>
        <v>https://pbs.twimg.com/profile_images/1537852624795475969/y6tsJw8V_normal.jpg</v>
      </c>
      <c r="G263" s="63"/>
      <c r="H263" s="67"/>
      <c r="I263" s="68"/>
      <c r="J263" s="68"/>
      <c r="K263" s="67" t="s">
        <v>9317</v>
      </c>
      <c r="L263" s="71"/>
      <c r="M263" s="72"/>
      <c r="N263" s="72"/>
      <c r="O263" s="73"/>
      <c r="P263" s="74"/>
      <c r="Q263" s="74"/>
      <c r="R263" s="81"/>
      <c r="S263" s="81"/>
      <c r="T263" s="81"/>
      <c r="U263" s="81"/>
      <c r="V263" s="48"/>
      <c r="W263" s="48"/>
      <c r="X263" s="48"/>
      <c r="Y263" s="48"/>
      <c r="Z263" s="47"/>
      <c r="AA263" s="69"/>
      <c r="AB263" s="69"/>
      <c r="AC263" s="70"/>
      <c r="AD263" t="s">
        <v>5013</v>
      </c>
      <c r="AE263" s="78" t="s">
        <v>4721</v>
      </c>
      <c r="AF263">
        <v>1198</v>
      </c>
      <c r="AG263">
        <v>77867</v>
      </c>
      <c r="AH263">
        <v>10019</v>
      </c>
      <c r="AI263">
        <v>1665</v>
      </c>
      <c r="AK263" t="s">
        <v>7502</v>
      </c>
      <c r="AL263" t="s">
        <v>8673</v>
      </c>
      <c r="AM263" s="79" t="str">
        <f>HYPERLINK("https://t.co/IqtS9E0Mfv")</f>
        <v>https://t.co/IqtS9E0Mfv</v>
      </c>
      <c r="AO263" s="76">
        <v>39946.835763888892</v>
      </c>
      <c r="AP263" s="79" t="str">
        <f>HYPERLINK("https://pbs.twimg.com/profile_banners/39820738/1662042356")</f>
        <v>https://pbs.twimg.com/profile_banners/39820738/1662042356</v>
      </c>
      <c r="AQ263" t="b">
        <v>0</v>
      </c>
      <c r="AR263" t="b">
        <v>0</v>
      </c>
      <c r="AS263" t="b">
        <v>0</v>
      </c>
      <c r="AU263">
        <v>668</v>
      </c>
      <c r="AV263" s="79" t="str">
        <f t="shared" si="7"/>
        <v>https://abs.twimg.com/images/themes/theme1/bg.png</v>
      </c>
      <c r="AW263" t="b">
        <v>1</v>
      </c>
      <c r="AX263" t="s">
        <v>9303</v>
      </c>
      <c r="AY263" s="79" t="str">
        <f>HYPERLINK("https://twitter.com/walmartinc")</f>
        <v>https://twitter.com/walmartinc</v>
      </c>
      <c r="AZ263" t="s">
        <v>65</v>
      </c>
      <c r="BA263" s="2"/>
    </row>
    <row r="264" spans="1:53" x14ac:dyDescent="0.45">
      <c r="A264" s="62" t="s">
        <v>966</v>
      </c>
      <c r="B264" s="63"/>
      <c r="C264" s="63"/>
      <c r="D264" s="64"/>
      <c r="E264" s="66"/>
      <c r="F264" s="98" t="str">
        <f>HYPERLINK("https://pbs.twimg.com/profile_images/1598789786986217474/z5Vx_OEL_normal.jpg")</f>
        <v>https://pbs.twimg.com/profile_images/1598789786986217474/z5Vx_OEL_normal.jpg</v>
      </c>
      <c r="G264" s="63"/>
      <c r="H264" s="67"/>
      <c r="I264" s="68"/>
      <c r="J264" s="68"/>
      <c r="K264" s="67" t="s">
        <v>10428</v>
      </c>
      <c r="L264" s="71"/>
      <c r="M264" s="72"/>
      <c r="N264" s="72"/>
      <c r="O264" s="73"/>
      <c r="P264" s="74"/>
      <c r="Q264" s="74"/>
      <c r="R264" s="81"/>
      <c r="S264" s="81"/>
      <c r="T264" s="81"/>
      <c r="U264" s="81"/>
      <c r="V264" s="48"/>
      <c r="W264" s="48"/>
      <c r="X264" s="48"/>
      <c r="Y264" s="48"/>
      <c r="Z264" s="47"/>
      <c r="AA264" s="69"/>
      <c r="AB264" s="69"/>
      <c r="AC264" s="70"/>
      <c r="AD264" t="s">
        <v>6110</v>
      </c>
      <c r="AE264" s="78" t="s">
        <v>7306</v>
      </c>
      <c r="AF264">
        <v>1169</v>
      </c>
      <c r="AG264">
        <v>77139</v>
      </c>
      <c r="AH264">
        <v>53228</v>
      </c>
      <c r="AI264">
        <v>20757</v>
      </c>
      <c r="AK264" t="s">
        <v>8471</v>
      </c>
      <c r="AL264" t="s">
        <v>8750</v>
      </c>
      <c r="AM264" s="79" t="str">
        <f>HYPERLINK("https://t.co/Pc9neqfYiV")</f>
        <v>https://t.co/Pc9neqfYiV</v>
      </c>
      <c r="AO264" s="76">
        <v>40031.037604166668</v>
      </c>
      <c r="AP264" s="79" t="str">
        <f>HYPERLINK("https://pbs.twimg.com/profile_banners/63316602/1660396166")</f>
        <v>https://pbs.twimg.com/profile_banners/63316602/1660396166</v>
      </c>
      <c r="AQ264" t="b">
        <v>0</v>
      </c>
      <c r="AR264" t="b">
        <v>0</v>
      </c>
      <c r="AS264" t="b">
        <v>1</v>
      </c>
      <c r="AU264">
        <v>72</v>
      </c>
      <c r="AV264" s="79" t="str">
        <f>HYPERLINK("https://abs.twimg.com/images/themes/theme9/bg.gif")</f>
        <v>https://abs.twimg.com/images/themes/theme9/bg.gif</v>
      </c>
      <c r="AW264" t="b">
        <v>0</v>
      </c>
      <c r="AX264" t="s">
        <v>9303</v>
      </c>
      <c r="AY264" s="79" t="str">
        <f>HYPERLINK("https://twitter.com/musiqcitywalls")</f>
        <v>https://twitter.com/musiqcitywalls</v>
      </c>
      <c r="AZ264" t="s">
        <v>66</v>
      </c>
      <c r="BA264" s="2"/>
    </row>
    <row r="265" spans="1:53" x14ac:dyDescent="0.45">
      <c r="A265" s="62" t="s">
        <v>1435</v>
      </c>
      <c r="B265" s="63"/>
      <c r="C265" s="63"/>
      <c r="D265" s="64"/>
      <c r="E265" s="66"/>
      <c r="F265" s="98" t="str">
        <f>HYPERLINK("https://pbs.twimg.com/profile_images/1559809770806095872/YzG4pMMy_normal.jpg")</f>
        <v>https://pbs.twimg.com/profile_images/1559809770806095872/YzG4pMMy_normal.jpg</v>
      </c>
      <c r="G265" s="63"/>
      <c r="H265" s="67"/>
      <c r="I265" s="68"/>
      <c r="J265" s="68"/>
      <c r="K265" s="67" t="s">
        <v>10342</v>
      </c>
      <c r="L265" s="71"/>
      <c r="M265" s="72"/>
      <c r="N265" s="72"/>
      <c r="O265" s="73"/>
      <c r="P265" s="74"/>
      <c r="Q265" s="74"/>
      <c r="R265" s="81"/>
      <c r="S265" s="81"/>
      <c r="T265" s="81"/>
      <c r="U265" s="81"/>
      <c r="V265" s="48"/>
      <c r="W265" s="48"/>
      <c r="X265" s="48"/>
      <c r="Y265" s="48"/>
      <c r="Z265" s="47"/>
      <c r="AA265" s="69"/>
      <c r="AB265" s="69"/>
      <c r="AC265" s="70"/>
      <c r="AD265" t="s">
        <v>6025</v>
      </c>
      <c r="AE265" s="78" t="s">
        <v>7233</v>
      </c>
      <c r="AF265">
        <v>253</v>
      </c>
      <c r="AG265">
        <v>75087</v>
      </c>
      <c r="AH265">
        <v>29777</v>
      </c>
      <c r="AI265">
        <v>4780</v>
      </c>
      <c r="AK265" t="s">
        <v>8395</v>
      </c>
      <c r="AL265" t="s">
        <v>8783</v>
      </c>
      <c r="AM265" s="79" t="str">
        <f>HYPERLINK("https://t.co/dpEUV5vxYv")</f>
        <v>https://t.co/dpEUV5vxYv</v>
      </c>
      <c r="AO265" s="76">
        <v>42225.352881944447</v>
      </c>
      <c r="AP265" s="79" t="str">
        <f>HYPERLINK("https://pbs.twimg.com/profile_banners/3310394966/1658557318")</f>
        <v>https://pbs.twimg.com/profile_banners/3310394966/1658557318</v>
      </c>
      <c r="AQ265" t="b">
        <v>0</v>
      </c>
      <c r="AR265" t="b">
        <v>0</v>
      </c>
      <c r="AS265" t="b">
        <v>1</v>
      </c>
      <c r="AU265">
        <v>128</v>
      </c>
      <c r="AV265" s="79" t="str">
        <f>HYPERLINK("https://abs.twimg.com/images/themes/theme1/bg.png")</f>
        <v>https://abs.twimg.com/images/themes/theme1/bg.png</v>
      </c>
      <c r="AW265" t="b">
        <v>1</v>
      </c>
      <c r="AX265" t="s">
        <v>9303</v>
      </c>
      <c r="AY265" s="79" t="str">
        <f>HYPERLINK("https://twitter.com/sadhviniranjan")</f>
        <v>https://twitter.com/sadhviniranjan</v>
      </c>
      <c r="AZ265" t="s">
        <v>65</v>
      </c>
      <c r="BA265" s="2"/>
    </row>
    <row r="266" spans="1:53" x14ac:dyDescent="0.45">
      <c r="A266" s="62" t="s">
        <v>453</v>
      </c>
      <c r="B266" s="63"/>
      <c r="C266" s="63"/>
      <c r="D266" s="64"/>
      <c r="E266" s="66"/>
      <c r="F266" s="98" t="str">
        <f>HYPERLINK("https://pbs.twimg.com/profile_images/1470967052357799937/IaT6i0Rq_normal.jpg")</f>
        <v>https://pbs.twimg.com/profile_images/1470967052357799937/IaT6i0Rq_normal.jpg</v>
      </c>
      <c r="G266" s="63"/>
      <c r="H266" s="67"/>
      <c r="I266" s="68"/>
      <c r="J266" s="68"/>
      <c r="K266" s="67" t="s">
        <v>9719</v>
      </c>
      <c r="L266" s="71"/>
      <c r="M266" s="72"/>
      <c r="N266" s="72"/>
      <c r="O266" s="73"/>
      <c r="P266" s="74"/>
      <c r="Q266" s="74"/>
      <c r="R266" s="81"/>
      <c r="S266" s="81"/>
      <c r="T266" s="81"/>
      <c r="U266" s="81"/>
      <c r="V266" s="48"/>
      <c r="W266" s="48"/>
      <c r="X266" s="48"/>
      <c r="Y266" s="48"/>
      <c r="Z266" s="47"/>
      <c r="AA266" s="69"/>
      <c r="AB266" s="69"/>
      <c r="AC266" s="70"/>
      <c r="AD266" t="s">
        <v>5411</v>
      </c>
      <c r="AE266" s="78" t="s">
        <v>6683</v>
      </c>
      <c r="AF266">
        <v>63</v>
      </c>
      <c r="AG266">
        <v>74661</v>
      </c>
      <c r="AH266">
        <v>26529</v>
      </c>
      <c r="AI266">
        <v>10216</v>
      </c>
      <c r="AK266" t="s">
        <v>7851</v>
      </c>
      <c r="AL266" t="s">
        <v>8750</v>
      </c>
      <c r="AM266" s="79" t="str">
        <f>HYPERLINK("https://t.co/QD6HDq6K5l")</f>
        <v>https://t.co/QD6HDq6K5l</v>
      </c>
      <c r="AO266" s="76">
        <v>40775.973460648151</v>
      </c>
      <c r="AP266" s="79" t="str">
        <f>HYPERLINK("https://pbs.twimg.com/profile_banners/359053462/1588957916")</f>
        <v>https://pbs.twimg.com/profile_banners/359053462/1588957916</v>
      </c>
      <c r="AQ266" t="b">
        <v>1</v>
      </c>
      <c r="AR266" t="b">
        <v>0</v>
      </c>
      <c r="AS266" t="b">
        <v>1</v>
      </c>
      <c r="AU266">
        <v>84</v>
      </c>
      <c r="AV266" s="79" t="str">
        <f>HYPERLINK("https://abs.twimg.com/images/themes/theme1/bg.png")</f>
        <v>https://abs.twimg.com/images/themes/theme1/bg.png</v>
      </c>
      <c r="AW266" t="b">
        <v>0</v>
      </c>
      <c r="AX266" t="s">
        <v>9303</v>
      </c>
      <c r="AY266" s="79" t="str">
        <f>HYPERLINK("https://twitter.com/maxxchewning")</f>
        <v>https://twitter.com/maxxchewning</v>
      </c>
      <c r="AZ266" t="s">
        <v>66</v>
      </c>
      <c r="BA266" s="2"/>
    </row>
    <row r="267" spans="1:53" x14ac:dyDescent="0.45">
      <c r="A267" s="62" t="s">
        <v>1057</v>
      </c>
      <c r="B267" s="63"/>
      <c r="C267" s="63"/>
      <c r="D267" s="64"/>
      <c r="E267" s="66"/>
      <c r="F267" s="98" t="str">
        <f>HYPERLINK("https://pbs.twimg.com/profile_images/1599044991082455045/nuyfaT7n_normal.jpg")</f>
        <v>https://pbs.twimg.com/profile_images/1599044991082455045/nuyfaT7n_normal.jpg</v>
      </c>
      <c r="G267" s="63"/>
      <c r="H267" s="67"/>
      <c r="I267" s="68"/>
      <c r="J267" s="68"/>
      <c r="K267" s="67" t="s">
        <v>10573</v>
      </c>
      <c r="L267" s="71"/>
      <c r="M267" s="72"/>
      <c r="N267" s="72"/>
      <c r="O267" s="73"/>
      <c r="P267" s="74"/>
      <c r="Q267" s="74"/>
      <c r="R267" s="81"/>
      <c r="S267" s="81"/>
      <c r="T267" s="81"/>
      <c r="U267" s="81"/>
      <c r="V267" s="48"/>
      <c r="W267" s="48"/>
      <c r="X267" s="48"/>
      <c r="Y267" s="48"/>
      <c r="Z267" s="47"/>
      <c r="AA267" s="69"/>
      <c r="AB267" s="69"/>
      <c r="AC267" s="70"/>
      <c r="AD267" t="s">
        <v>6251</v>
      </c>
      <c r="AE267" s="78" t="s">
        <v>7424</v>
      </c>
      <c r="AF267">
        <v>639</v>
      </c>
      <c r="AG267">
        <v>74628</v>
      </c>
      <c r="AH267">
        <v>10418</v>
      </c>
      <c r="AI267">
        <v>11030</v>
      </c>
      <c r="AK267" t="s">
        <v>8598</v>
      </c>
      <c r="AL267" t="s">
        <v>9267</v>
      </c>
      <c r="AM267" s="79" t="str">
        <f>HYPERLINK("https://t.co/rfeF090cmT")</f>
        <v>https://t.co/rfeF090cmT</v>
      </c>
      <c r="AO267" s="76">
        <v>39835.770671296297</v>
      </c>
      <c r="AP267" s="79" t="str">
        <f>HYPERLINK("https://pbs.twimg.com/profile_banners/19352525/1449324967")</f>
        <v>https://pbs.twimg.com/profile_banners/19352525/1449324967</v>
      </c>
      <c r="AQ267" t="b">
        <v>0</v>
      </c>
      <c r="AR267" t="b">
        <v>0</v>
      </c>
      <c r="AS267" t="b">
        <v>0</v>
      </c>
      <c r="AU267">
        <v>308</v>
      </c>
      <c r="AV267" s="79" t="str">
        <f>HYPERLINK("https://abs.twimg.com/images/themes/theme1/bg.png")</f>
        <v>https://abs.twimg.com/images/themes/theme1/bg.png</v>
      </c>
      <c r="AW267" t="b">
        <v>1</v>
      </c>
      <c r="AX267" t="s">
        <v>9303</v>
      </c>
      <c r="AY267" s="79" t="str">
        <f>HYPERLINK("https://twitter.com/rickandbubba")</f>
        <v>https://twitter.com/rickandbubba</v>
      </c>
      <c r="AZ267" t="s">
        <v>66</v>
      </c>
      <c r="BA267" s="2"/>
    </row>
    <row r="268" spans="1:53" x14ac:dyDescent="0.45">
      <c r="A268" s="62" t="s">
        <v>587</v>
      </c>
      <c r="B268" s="63"/>
      <c r="C268" s="63"/>
      <c r="D268" s="64"/>
      <c r="E268" s="66"/>
      <c r="F268" s="98" t="str">
        <f>HYPERLINK("https://pbs.twimg.com/profile_images/1045675428893970433/RPLzJ5Ku_normal.jpg")</f>
        <v>https://pbs.twimg.com/profile_images/1045675428893970433/RPLzJ5Ku_normal.jpg</v>
      </c>
      <c r="G268" s="63"/>
      <c r="H268" s="67"/>
      <c r="I268" s="68"/>
      <c r="J268" s="68"/>
      <c r="K268" s="67" t="s">
        <v>9885</v>
      </c>
      <c r="L268" s="71"/>
      <c r="M268" s="72"/>
      <c r="N268" s="72"/>
      <c r="O268" s="73"/>
      <c r="P268" s="74"/>
      <c r="Q268" s="74"/>
      <c r="R268" s="81"/>
      <c r="S268" s="81"/>
      <c r="T268" s="81"/>
      <c r="U268" s="81"/>
      <c r="V268" s="48"/>
      <c r="W268" s="48"/>
      <c r="X268" s="48"/>
      <c r="Y268" s="48"/>
      <c r="Z268" s="47"/>
      <c r="AA268" s="69"/>
      <c r="AB268" s="69"/>
      <c r="AC268" s="70"/>
      <c r="AD268" t="s">
        <v>5576</v>
      </c>
      <c r="AE268" s="78" t="s">
        <v>6824</v>
      </c>
      <c r="AF268">
        <v>468</v>
      </c>
      <c r="AG268">
        <v>74252</v>
      </c>
      <c r="AH268">
        <v>185129</v>
      </c>
      <c r="AI268">
        <v>1787</v>
      </c>
      <c r="AK268" t="s">
        <v>7999</v>
      </c>
      <c r="AL268" t="s">
        <v>8971</v>
      </c>
      <c r="AM268" s="79" t="str">
        <f>HYPERLINK("http://t.co/h1ouHFPDZF")</f>
        <v>http://t.co/h1ouHFPDZF</v>
      </c>
      <c r="AO268" s="76">
        <v>39814.553483796299</v>
      </c>
      <c r="AP268" s="79" t="str">
        <f>HYPERLINK("https://pbs.twimg.com/profile_banners/18527874/1457649362")</f>
        <v>https://pbs.twimg.com/profile_banners/18527874/1457649362</v>
      </c>
      <c r="AQ268" t="b">
        <v>0</v>
      </c>
      <c r="AR268" t="b">
        <v>0</v>
      </c>
      <c r="AS268" t="b">
        <v>1</v>
      </c>
      <c r="AU268">
        <v>554</v>
      </c>
      <c r="AV268" s="79" t="str">
        <f>HYPERLINK("https://abs.twimg.com/images/themes/theme1/bg.png")</f>
        <v>https://abs.twimg.com/images/themes/theme1/bg.png</v>
      </c>
      <c r="AW268" t="b">
        <v>1</v>
      </c>
      <c r="AX268" t="s">
        <v>9303</v>
      </c>
      <c r="AY268" s="79" t="str">
        <f>HYPERLINK("https://twitter.com/13wmaznews")</f>
        <v>https://twitter.com/13wmaznews</v>
      </c>
      <c r="AZ268" t="s">
        <v>66</v>
      </c>
      <c r="BA268" s="2"/>
    </row>
    <row r="269" spans="1:53" x14ac:dyDescent="0.45">
      <c r="A269" s="62" t="s">
        <v>599</v>
      </c>
      <c r="B269" s="63"/>
      <c r="C269" s="63"/>
      <c r="D269" s="64"/>
      <c r="E269" s="66"/>
      <c r="F269" s="98" t="str">
        <f>HYPERLINK("https://pbs.twimg.com/profile_images/1222575548507004929/Lb5U0GjO_normal.png")</f>
        <v>https://pbs.twimg.com/profile_images/1222575548507004929/Lb5U0GjO_normal.png</v>
      </c>
      <c r="G269" s="63"/>
      <c r="H269" s="67"/>
      <c r="I269" s="68"/>
      <c r="J269" s="68"/>
      <c r="K269" s="67" t="s">
        <v>9897</v>
      </c>
      <c r="L269" s="71"/>
      <c r="M269" s="72"/>
      <c r="N269" s="72"/>
      <c r="O269" s="73"/>
      <c r="P269" s="74"/>
      <c r="Q269" s="74"/>
      <c r="R269" s="81"/>
      <c r="S269" s="81"/>
      <c r="T269" s="81"/>
      <c r="U269" s="81"/>
      <c r="V269" s="48"/>
      <c r="W269" s="48"/>
      <c r="X269" s="48"/>
      <c r="Y269" s="48"/>
      <c r="Z269" s="47"/>
      <c r="AA269" s="69"/>
      <c r="AB269" s="69"/>
      <c r="AC269" s="70"/>
      <c r="AD269" t="s">
        <v>5588</v>
      </c>
      <c r="AE269" s="78" t="s">
        <v>6836</v>
      </c>
      <c r="AF269">
        <v>356</v>
      </c>
      <c r="AG269">
        <v>73923</v>
      </c>
      <c r="AH269">
        <v>109416</v>
      </c>
      <c r="AI269">
        <v>1479</v>
      </c>
      <c r="AK269" t="s">
        <v>8011</v>
      </c>
      <c r="AL269" t="s">
        <v>8981</v>
      </c>
      <c r="AM269" s="79" t="str">
        <f>HYPERLINK("https://t.co/Hz4hlwnBPW")</f>
        <v>https://t.co/Hz4hlwnBPW</v>
      </c>
      <c r="AO269" s="76">
        <v>39888.91333333333</v>
      </c>
      <c r="AP269" s="79" t="str">
        <f>HYPERLINK("https://pbs.twimg.com/profile_banners/24778454/1627928508")</f>
        <v>https://pbs.twimg.com/profile_banners/24778454/1627928508</v>
      </c>
      <c r="AQ269" t="b">
        <v>0</v>
      </c>
      <c r="AR269" t="b">
        <v>0</v>
      </c>
      <c r="AS269" t="b">
        <v>0</v>
      </c>
      <c r="AU269">
        <v>504</v>
      </c>
      <c r="AV269" s="79" t="str">
        <f>HYPERLINK("https://abs.twimg.com/images/themes/theme4/bg.gif")</f>
        <v>https://abs.twimg.com/images/themes/theme4/bg.gif</v>
      </c>
      <c r="AW269" t="b">
        <v>1</v>
      </c>
      <c r="AX269" t="s">
        <v>9303</v>
      </c>
      <c r="AY269" s="79" t="str">
        <f>HYPERLINK("https://twitter.com/5news")</f>
        <v>https://twitter.com/5news</v>
      </c>
      <c r="AZ269" t="s">
        <v>66</v>
      </c>
      <c r="BA269" s="2"/>
    </row>
    <row r="270" spans="1:53" x14ac:dyDescent="0.45">
      <c r="A270" s="62" t="s">
        <v>1277</v>
      </c>
      <c r="B270" s="63"/>
      <c r="C270" s="63"/>
      <c r="D270" s="64"/>
      <c r="E270" s="66"/>
      <c r="F270" s="98" t="str">
        <f>HYPERLINK("https://pbs.twimg.com/profile_images/1620890099499032576/CRDGlMWI_normal.jpg")</f>
        <v>https://pbs.twimg.com/profile_images/1620890099499032576/CRDGlMWI_normal.jpg</v>
      </c>
      <c r="G270" s="63"/>
      <c r="H270" s="67"/>
      <c r="I270" s="68"/>
      <c r="J270" s="68"/>
      <c r="K270" s="67" t="s">
        <v>9767</v>
      </c>
      <c r="L270" s="71"/>
      <c r="M270" s="72"/>
      <c r="N270" s="72"/>
      <c r="O270" s="73"/>
      <c r="P270" s="74"/>
      <c r="Q270" s="74"/>
      <c r="R270" s="81"/>
      <c r="S270" s="81"/>
      <c r="T270" s="81"/>
      <c r="U270" s="81"/>
      <c r="V270" s="48"/>
      <c r="W270" s="48"/>
      <c r="X270" s="48"/>
      <c r="Y270" s="48"/>
      <c r="Z270" s="47"/>
      <c r="AA270" s="69"/>
      <c r="AB270" s="69"/>
      <c r="AC270" s="70"/>
      <c r="AD270" t="s">
        <v>5459</v>
      </c>
      <c r="AE270" s="78" t="s">
        <v>6721</v>
      </c>
      <c r="AF270">
        <v>3882</v>
      </c>
      <c r="AG270">
        <v>72661</v>
      </c>
      <c r="AH270">
        <v>230632</v>
      </c>
      <c r="AI270">
        <v>495406</v>
      </c>
      <c r="AK270" t="s">
        <v>7891</v>
      </c>
      <c r="AM270" s="79" t="str">
        <f>HYPERLINK("https://t.co/hMagv5i8Ck")</f>
        <v>https://t.co/hMagv5i8Ck</v>
      </c>
      <c r="AO270" s="76">
        <v>41716.973009259258</v>
      </c>
      <c r="AP270" s="79" t="str">
        <f>HYPERLINK("https://pbs.twimg.com/profile_banners/2396910715/1674927113")</f>
        <v>https://pbs.twimg.com/profile_banners/2396910715/1674927113</v>
      </c>
      <c r="AQ270" t="b">
        <v>0</v>
      </c>
      <c r="AR270" t="b">
        <v>0</v>
      </c>
      <c r="AS270" t="b">
        <v>0</v>
      </c>
      <c r="AU270">
        <v>957</v>
      </c>
      <c r="AV270" s="79" t="str">
        <f>HYPERLINK("https://abs.twimg.com/images/themes/theme9/bg.gif")</f>
        <v>https://abs.twimg.com/images/themes/theme9/bg.gif</v>
      </c>
      <c r="AW270" t="b">
        <v>0</v>
      </c>
      <c r="AX270" t="s">
        <v>9303</v>
      </c>
      <c r="AY270" s="79" t="str">
        <f>HYPERLINK("https://twitter.com/bourgeoisalien")</f>
        <v>https://twitter.com/bourgeoisalien</v>
      </c>
      <c r="AZ270" t="s">
        <v>65</v>
      </c>
      <c r="BA270" s="2"/>
    </row>
    <row r="271" spans="1:53" x14ac:dyDescent="0.45">
      <c r="A271" s="62" t="s">
        <v>590</v>
      </c>
      <c r="B271" s="63"/>
      <c r="C271" s="63"/>
      <c r="D271" s="64"/>
      <c r="E271" s="66"/>
      <c r="F271" s="98" t="str">
        <f>HYPERLINK("https://pbs.twimg.com/profile_images/1507467919931838470/CMjkSawQ_normal.jpg")</f>
        <v>https://pbs.twimg.com/profile_images/1507467919931838470/CMjkSawQ_normal.jpg</v>
      </c>
      <c r="G271" s="63"/>
      <c r="H271" s="67"/>
      <c r="I271" s="68"/>
      <c r="J271" s="68"/>
      <c r="K271" s="67" t="s">
        <v>9888</v>
      </c>
      <c r="L271" s="71"/>
      <c r="M271" s="72"/>
      <c r="N271" s="72"/>
      <c r="O271" s="73"/>
      <c r="P271" s="74"/>
      <c r="Q271" s="74"/>
      <c r="R271" s="81"/>
      <c r="S271" s="81"/>
      <c r="T271" s="81"/>
      <c r="U271" s="81"/>
      <c r="V271" s="48"/>
      <c r="W271" s="48"/>
      <c r="X271" s="48"/>
      <c r="Y271" s="48"/>
      <c r="Z271" s="47"/>
      <c r="AA271" s="69"/>
      <c r="AB271" s="69"/>
      <c r="AC271" s="70"/>
      <c r="AD271" t="s">
        <v>5579</v>
      </c>
      <c r="AE271" s="78" t="s">
        <v>6827</v>
      </c>
      <c r="AF271">
        <v>1961</v>
      </c>
      <c r="AG271">
        <v>71168</v>
      </c>
      <c r="AH271">
        <v>222748</v>
      </c>
      <c r="AI271">
        <v>5456</v>
      </c>
      <c r="AK271" t="s">
        <v>8002</v>
      </c>
      <c r="AL271" t="s">
        <v>8974</v>
      </c>
      <c r="AM271" s="79" t="str">
        <f>HYPERLINK("https://t.co/oLLiXXpm0k")</f>
        <v>https://t.co/oLLiXXpm0k</v>
      </c>
      <c r="AO271" s="76">
        <v>39666.931168981479</v>
      </c>
      <c r="AP271" s="79" t="str">
        <f>HYPERLINK("https://pbs.twimg.com/profile_banners/15756056/1648243334")</f>
        <v>https://pbs.twimg.com/profile_banners/15756056/1648243334</v>
      </c>
      <c r="AQ271" t="b">
        <v>0</v>
      </c>
      <c r="AR271" t="b">
        <v>0</v>
      </c>
      <c r="AS271" t="b">
        <v>1</v>
      </c>
      <c r="AU271">
        <v>859</v>
      </c>
      <c r="AV271" s="79" t="str">
        <f t="shared" ref="AV271:AV276" si="8">HYPERLINK("https://abs.twimg.com/images/themes/theme1/bg.png")</f>
        <v>https://abs.twimg.com/images/themes/theme1/bg.png</v>
      </c>
      <c r="AW271" t="b">
        <v>1</v>
      </c>
      <c r="AX271" t="s">
        <v>9303</v>
      </c>
      <c r="AY271" s="79" t="str">
        <f>HYPERLINK("https://twitter.com/krem2")</f>
        <v>https://twitter.com/krem2</v>
      </c>
      <c r="AZ271" t="s">
        <v>66</v>
      </c>
      <c r="BA271" s="2"/>
    </row>
    <row r="272" spans="1:53" x14ac:dyDescent="0.45">
      <c r="A272" s="62" t="s">
        <v>1324</v>
      </c>
      <c r="B272" s="63"/>
      <c r="C272" s="63"/>
      <c r="D272" s="64"/>
      <c r="E272" s="66"/>
      <c r="F272" s="98" t="str">
        <f>HYPERLINK("https://pbs.twimg.com/profile_images/1594655829424218114/-DaTykMb_normal.jpg")</f>
        <v>https://pbs.twimg.com/profile_images/1594655829424218114/-DaTykMb_normal.jpg</v>
      </c>
      <c r="G272" s="63"/>
      <c r="H272" s="67"/>
      <c r="I272" s="68"/>
      <c r="J272" s="68"/>
      <c r="K272" s="67" t="s">
        <v>9978</v>
      </c>
      <c r="L272" s="71"/>
      <c r="M272" s="72"/>
      <c r="N272" s="72"/>
      <c r="O272" s="73"/>
      <c r="P272" s="74"/>
      <c r="Q272" s="74"/>
      <c r="R272" s="81"/>
      <c r="S272" s="81"/>
      <c r="T272" s="81"/>
      <c r="U272" s="81"/>
      <c r="V272" s="48"/>
      <c r="W272" s="48"/>
      <c r="X272" s="48"/>
      <c r="Y272" s="48"/>
      <c r="Z272" s="47"/>
      <c r="AA272" s="69"/>
      <c r="AB272" s="69"/>
      <c r="AC272" s="70"/>
      <c r="AD272" t="s">
        <v>5669</v>
      </c>
      <c r="AE272" s="78" t="s">
        <v>6911</v>
      </c>
      <c r="AF272">
        <v>2928</v>
      </c>
      <c r="AG272">
        <v>68280</v>
      </c>
      <c r="AH272">
        <v>18492</v>
      </c>
      <c r="AI272">
        <v>2928</v>
      </c>
      <c r="AK272" t="s">
        <v>8078</v>
      </c>
      <c r="AL272" t="s">
        <v>8847</v>
      </c>
      <c r="AM272" s="79" t="str">
        <f>HYPERLINK("https://t.co/FYajZ0Obry")</f>
        <v>https://t.co/FYajZ0Obry</v>
      </c>
      <c r="AO272" s="76">
        <v>39237.645451388889</v>
      </c>
      <c r="AP272" s="79" t="str">
        <f>HYPERLINK("https://pbs.twimg.com/profile_banners/6572712/1669030553")</f>
        <v>https://pbs.twimg.com/profile_banners/6572712/1669030553</v>
      </c>
      <c r="AQ272" t="b">
        <v>0</v>
      </c>
      <c r="AR272" t="b">
        <v>0</v>
      </c>
      <c r="AS272" t="b">
        <v>0</v>
      </c>
      <c r="AU272">
        <v>937</v>
      </c>
      <c r="AV272" s="79" t="str">
        <f t="shared" si="8"/>
        <v>https://abs.twimg.com/images/themes/theme1/bg.png</v>
      </c>
      <c r="AW272" t="b">
        <v>1</v>
      </c>
      <c r="AX272" t="s">
        <v>9303</v>
      </c>
      <c r="AY272" s="79" t="str">
        <f>HYPERLINK("https://twitter.com/bookdepository")</f>
        <v>https://twitter.com/bookdepository</v>
      </c>
      <c r="AZ272" t="s">
        <v>65</v>
      </c>
      <c r="BA272" s="2"/>
    </row>
    <row r="273" spans="1:53" x14ac:dyDescent="0.45">
      <c r="A273" s="62" t="s">
        <v>1147</v>
      </c>
      <c r="B273" s="63"/>
      <c r="C273" s="63"/>
      <c r="D273" s="64"/>
      <c r="E273" s="66"/>
      <c r="F273" s="98" t="str">
        <f>HYPERLINK("https://pbs.twimg.com/profile_images/1410201479399477248/YO48qDJv_normal.jpg")</f>
        <v>https://pbs.twimg.com/profile_images/1410201479399477248/YO48qDJv_normal.jpg</v>
      </c>
      <c r="G273" s="63"/>
      <c r="H273" s="67"/>
      <c r="I273" s="68"/>
      <c r="J273" s="68"/>
      <c r="K273" s="67" t="s">
        <v>9376</v>
      </c>
      <c r="L273" s="71"/>
      <c r="M273" s="72"/>
      <c r="N273" s="72"/>
      <c r="O273" s="73"/>
      <c r="P273" s="74"/>
      <c r="Q273" s="74"/>
      <c r="R273" s="81"/>
      <c r="S273" s="81"/>
      <c r="T273" s="81"/>
      <c r="U273" s="81"/>
      <c r="V273" s="48"/>
      <c r="W273" s="48"/>
      <c r="X273" s="48"/>
      <c r="Y273" s="48"/>
      <c r="Z273" s="47"/>
      <c r="AA273" s="69"/>
      <c r="AB273" s="69"/>
      <c r="AC273" s="70"/>
      <c r="AD273" t="s">
        <v>5072</v>
      </c>
      <c r="AE273" s="78" t="s">
        <v>6386</v>
      </c>
      <c r="AF273">
        <v>16363</v>
      </c>
      <c r="AG273">
        <v>68219</v>
      </c>
      <c r="AH273">
        <v>105364</v>
      </c>
      <c r="AI273">
        <v>73078</v>
      </c>
      <c r="AK273" t="s">
        <v>7558</v>
      </c>
      <c r="AL273" t="s">
        <v>8723</v>
      </c>
      <c r="AM273" s="79" t="str">
        <f>HYPERLINK("https://t.co/2GRAROXbil")</f>
        <v>https://t.co/2GRAROXbil</v>
      </c>
      <c r="AO273" s="76">
        <v>39766.475601851853</v>
      </c>
      <c r="AP273" s="79" t="str">
        <f>HYPERLINK("https://pbs.twimg.com/profile_banners/17385685/1639964480")</f>
        <v>https://pbs.twimg.com/profile_banners/17385685/1639964480</v>
      </c>
      <c r="AQ273" t="b">
        <v>0</v>
      </c>
      <c r="AR273" t="b">
        <v>0</v>
      </c>
      <c r="AS273" t="b">
        <v>1</v>
      </c>
      <c r="AU273">
        <v>1374</v>
      </c>
      <c r="AV273" s="79" t="str">
        <f t="shared" si="8"/>
        <v>https://abs.twimg.com/images/themes/theme1/bg.png</v>
      </c>
      <c r="AW273" t="b">
        <v>1</v>
      </c>
      <c r="AX273" t="s">
        <v>9303</v>
      </c>
      <c r="AY273" s="79" t="str">
        <f>HYPERLINK("https://twitter.com/yonifreedhoff")</f>
        <v>https://twitter.com/yonifreedhoff</v>
      </c>
      <c r="AZ273" t="s">
        <v>65</v>
      </c>
      <c r="BA273" s="2"/>
    </row>
    <row r="274" spans="1:53" x14ac:dyDescent="0.45">
      <c r="A274" s="62" t="s">
        <v>1492</v>
      </c>
      <c r="B274" s="63"/>
      <c r="C274" s="63"/>
      <c r="D274" s="64"/>
      <c r="E274" s="66"/>
      <c r="F274" s="98" t="str">
        <f>HYPERLINK("https://pbs.twimg.com/profile_images/1616663448913420288/lhrKiygq_normal.jpg")</f>
        <v>https://pbs.twimg.com/profile_images/1616663448913420288/lhrKiygq_normal.jpg</v>
      </c>
      <c r="G274" s="63"/>
      <c r="H274" s="67"/>
      <c r="I274" s="68"/>
      <c r="J274" s="68"/>
      <c r="K274" s="67" t="s">
        <v>10491</v>
      </c>
      <c r="L274" s="71"/>
      <c r="M274" s="72"/>
      <c r="N274" s="72"/>
      <c r="O274" s="73"/>
      <c r="P274" s="74"/>
      <c r="Q274" s="74"/>
      <c r="R274" s="81"/>
      <c r="S274" s="81"/>
      <c r="T274" s="81"/>
      <c r="U274" s="81"/>
      <c r="V274" s="48"/>
      <c r="W274" s="48"/>
      <c r="X274" s="48"/>
      <c r="Y274" s="48"/>
      <c r="Z274" s="47"/>
      <c r="AA274" s="69"/>
      <c r="AB274" s="69"/>
      <c r="AC274" s="70"/>
      <c r="AD274" t="s">
        <v>6169</v>
      </c>
      <c r="AE274" s="78" t="s">
        <v>4796</v>
      </c>
      <c r="AF274">
        <v>21106</v>
      </c>
      <c r="AG274">
        <v>67615</v>
      </c>
      <c r="AH274">
        <v>117813</v>
      </c>
      <c r="AI274">
        <v>166592</v>
      </c>
      <c r="AK274" t="s">
        <v>8527</v>
      </c>
      <c r="AO274" s="76">
        <v>40278.517002314817</v>
      </c>
      <c r="AP274" s="79" t="str">
        <f>HYPERLINK("https://pbs.twimg.com/profile_banners/131488891/1675175643")</f>
        <v>https://pbs.twimg.com/profile_banners/131488891/1675175643</v>
      </c>
      <c r="AQ274" t="b">
        <v>0</v>
      </c>
      <c r="AR274" t="b">
        <v>0</v>
      </c>
      <c r="AS274" t="b">
        <v>1</v>
      </c>
      <c r="AU274">
        <v>320</v>
      </c>
      <c r="AV274" s="79" t="str">
        <f t="shared" si="8"/>
        <v>https://abs.twimg.com/images/themes/theme1/bg.png</v>
      </c>
      <c r="AW274" t="b">
        <v>0</v>
      </c>
      <c r="AX274" t="s">
        <v>9303</v>
      </c>
      <c r="AY274" s="79" t="str">
        <f>HYPERLINK("https://twitter.com/leiane1")</f>
        <v>https://twitter.com/leiane1</v>
      </c>
      <c r="AZ274" t="s">
        <v>65</v>
      </c>
      <c r="BA274" s="2"/>
    </row>
    <row r="275" spans="1:53" x14ac:dyDescent="0.45">
      <c r="A275" s="62" t="s">
        <v>1346</v>
      </c>
      <c r="B275" s="63"/>
      <c r="C275" s="63"/>
      <c r="D275" s="64"/>
      <c r="E275" s="66"/>
      <c r="F275" s="98" t="str">
        <f>HYPERLINK("https://pbs.twimg.com/profile_images/1050189970747445248/TYKJ2L0r_normal.jpg")</f>
        <v>https://pbs.twimg.com/profile_images/1050189970747445248/TYKJ2L0r_normal.jpg</v>
      </c>
      <c r="G275" s="63"/>
      <c r="H275" s="67"/>
      <c r="I275" s="68"/>
      <c r="J275" s="68"/>
      <c r="K275" s="67" t="s">
        <v>10053</v>
      </c>
      <c r="L275" s="71"/>
      <c r="M275" s="72"/>
      <c r="N275" s="72"/>
      <c r="O275" s="73"/>
      <c r="P275" s="74"/>
      <c r="Q275" s="74"/>
      <c r="R275" s="81"/>
      <c r="S275" s="81"/>
      <c r="T275" s="81"/>
      <c r="U275" s="81"/>
      <c r="V275" s="48"/>
      <c r="W275" s="48"/>
      <c r="X275" s="48"/>
      <c r="Y275" s="48"/>
      <c r="Z275" s="47"/>
      <c r="AA275" s="69"/>
      <c r="AB275" s="69"/>
      <c r="AC275" s="70"/>
      <c r="AD275" t="s">
        <v>5742</v>
      </c>
      <c r="AE275" s="78" t="s">
        <v>4732</v>
      </c>
      <c r="AF275">
        <v>1786</v>
      </c>
      <c r="AG275">
        <v>67449</v>
      </c>
      <c r="AH275">
        <v>31384</v>
      </c>
      <c r="AI275">
        <v>80465</v>
      </c>
      <c r="AK275" t="s">
        <v>8140</v>
      </c>
      <c r="AM275" s="79" t="str">
        <f>HYPERLINK("https://t.co/vpqBTVOp3m")</f>
        <v>https://t.co/vpqBTVOp3m</v>
      </c>
      <c r="AO275" s="76">
        <v>39803.199652777781</v>
      </c>
      <c r="AP275" s="79" t="str">
        <f>HYPERLINK("https://pbs.twimg.com/profile_banners/18279320/1521015162")</f>
        <v>https://pbs.twimg.com/profile_banners/18279320/1521015162</v>
      </c>
      <c r="AQ275" t="b">
        <v>0</v>
      </c>
      <c r="AR275" t="b">
        <v>0</v>
      </c>
      <c r="AS275" t="b">
        <v>1</v>
      </c>
      <c r="AU275">
        <v>401</v>
      </c>
      <c r="AV275" s="79" t="str">
        <f t="shared" si="8"/>
        <v>https://abs.twimg.com/images/themes/theme1/bg.png</v>
      </c>
      <c r="AW275" t="b">
        <v>0</v>
      </c>
      <c r="AX275" t="s">
        <v>9303</v>
      </c>
      <c r="AY275" s="79" t="str">
        <f>HYPERLINK("https://twitter.com/lizcrokin")</f>
        <v>https://twitter.com/lizcrokin</v>
      </c>
      <c r="AZ275" t="s">
        <v>65</v>
      </c>
      <c r="BA275" s="2"/>
    </row>
    <row r="276" spans="1:53" x14ac:dyDescent="0.45">
      <c r="A276" s="62" t="s">
        <v>1531</v>
      </c>
      <c r="B276" s="63"/>
      <c r="C276" s="63"/>
      <c r="D276" s="64"/>
      <c r="E276" s="66"/>
      <c r="F276" s="98" t="str">
        <f>HYPERLINK("https://pbs.twimg.com/profile_images/1572136970712752129/cxmIQeUj_normal.jpg")</f>
        <v>https://pbs.twimg.com/profile_images/1572136970712752129/cxmIQeUj_normal.jpg</v>
      </c>
      <c r="G276" s="63"/>
      <c r="H276" s="67"/>
      <c r="I276" s="68"/>
      <c r="J276" s="68"/>
      <c r="K276" s="67" t="s">
        <v>10569</v>
      </c>
      <c r="L276" s="71"/>
      <c r="M276" s="72"/>
      <c r="N276" s="72"/>
      <c r="O276" s="73"/>
      <c r="P276" s="74"/>
      <c r="Q276" s="74"/>
      <c r="R276" s="81"/>
      <c r="S276" s="81"/>
      <c r="T276" s="81"/>
      <c r="U276" s="81"/>
      <c r="V276" s="48"/>
      <c r="W276" s="48"/>
      <c r="X276" s="48"/>
      <c r="Y276" s="48"/>
      <c r="Z276" s="47"/>
      <c r="AA276" s="69"/>
      <c r="AB276" s="69"/>
      <c r="AC276" s="70"/>
      <c r="AD276" t="s">
        <v>6247</v>
      </c>
      <c r="AE276" s="78" t="s">
        <v>7420</v>
      </c>
      <c r="AF276">
        <v>2779</v>
      </c>
      <c r="AG276">
        <v>66323</v>
      </c>
      <c r="AH276">
        <v>25928</v>
      </c>
      <c r="AI276">
        <v>4091</v>
      </c>
      <c r="AK276" t="s">
        <v>8594</v>
      </c>
      <c r="AL276" t="s">
        <v>9264</v>
      </c>
      <c r="AM276" s="79" t="str">
        <f>HYPERLINK("https://t.co/uHOlpEITDF")</f>
        <v>https://t.co/uHOlpEITDF</v>
      </c>
      <c r="AO276" s="76">
        <v>39891.489918981482</v>
      </c>
      <c r="AP276" s="79" t="str">
        <f>HYPERLINK("https://pbs.twimg.com/profile_banners/25273394/1663661638")</f>
        <v>https://pbs.twimg.com/profile_banners/25273394/1663661638</v>
      </c>
      <c r="AQ276" t="b">
        <v>0</v>
      </c>
      <c r="AR276" t="b">
        <v>0</v>
      </c>
      <c r="AS276" t="b">
        <v>1</v>
      </c>
      <c r="AU276">
        <v>558</v>
      </c>
      <c r="AV276" s="79" t="str">
        <f t="shared" si="8"/>
        <v>https://abs.twimg.com/images/themes/theme1/bg.png</v>
      </c>
      <c r="AW276" t="b">
        <v>1</v>
      </c>
      <c r="AX276" t="s">
        <v>9303</v>
      </c>
      <c r="AY276" s="79" t="str">
        <f>HYPERLINK("https://twitter.com/whsmith")</f>
        <v>https://twitter.com/whsmith</v>
      </c>
      <c r="AZ276" t="s">
        <v>65</v>
      </c>
      <c r="BA276" s="2"/>
    </row>
    <row r="277" spans="1:53" x14ac:dyDescent="0.45">
      <c r="A277" s="62" t="s">
        <v>575</v>
      </c>
      <c r="B277" s="63"/>
      <c r="C277" s="63"/>
      <c r="D277" s="64"/>
      <c r="E277" s="66"/>
      <c r="F277" s="98" t="str">
        <f>HYPERLINK("https://pbs.twimg.com/profile_images/1473694823286775817/loY2yiZL_normal.jpg")</f>
        <v>https://pbs.twimg.com/profile_images/1473694823286775817/loY2yiZL_normal.jpg</v>
      </c>
      <c r="G277" s="63"/>
      <c r="H277" s="67"/>
      <c r="I277" s="68"/>
      <c r="J277" s="68"/>
      <c r="K277" s="67" t="s">
        <v>9873</v>
      </c>
      <c r="L277" s="71"/>
      <c r="M277" s="72"/>
      <c r="N277" s="72"/>
      <c r="O277" s="73"/>
      <c r="P277" s="74"/>
      <c r="Q277" s="74"/>
      <c r="R277" s="81"/>
      <c r="S277" s="81"/>
      <c r="T277" s="81"/>
      <c r="U277" s="81"/>
      <c r="V277" s="48"/>
      <c r="W277" s="48"/>
      <c r="X277" s="48"/>
      <c r="Y277" s="48"/>
      <c r="Z277" s="47"/>
      <c r="AA277" s="69"/>
      <c r="AB277" s="69"/>
      <c r="AC277" s="70"/>
      <c r="AD277" t="s">
        <v>5564</v>
      </c>
      <c r="AE277" s="78" t="s">
        <v>6812</v>
      </c>
      <c r="AF277">
        <v>275</v>
      </c>
      <c r="AG277">
        <v>66290</v>
      </c>
      <c r="AH277">
        <v>131207</v>
      </c>
      <c r="AI277">
        <v>2179</v>
      </c>
      <c r="AK277" t="s">
        <v>7987</v>
      </c>
      <c r="AL277" t="s">
        <v>8965</v>
      </c>
      <c r="AM277" s="79" t="str">
        <f>HYPERLINK("https://t.co/mHLWrLemYI")</f>
        <v>https://t.co/mHLWrLemYI</v>
      </c>
      <c r="AO277" s="76">
        <v>40000.869872685187</v>
      </c>
      <c r="AP277" s="79" t="str">
        <f>HYPERLINK("https://pbs.twimg.com/profile_banners/54329062/1640123623")</f>
        <v>https://pbs.twimg.com/profile_banners/54329062/1640123623</v>
      </c>
      <c r="AQ277" t="b">
        <v>0</v>
      </c>
      <c r="AR277" t="b">
        <v>0</v>
      </c>
      <c r="AS277" t="b">
        <v>1</v>
      </c>
      <c r="AU277">
        <v>426</v>
      </c>
      <c r="AV277" s="79" t="str">
        <f>HYPERLINK("https://abs.twimg.com/images/themes/theme15/bg.png")</f>
        <v>https://abs.twimg.com/images/themes/theme15/bg.png</v>
      </c>
      <c r="AW277" t="b">
        <v>1</v>
      </c>
      <c r="AX277" t="s">
        <v>9303</v>
      </c>
      <c r="AY277" s="79" t="str">
        <f>HYPERLINK("https://twitter.com/kiii3news")</f>
        <v>https://twitter.com/kiii3news</v>
      </c>
      <c r="AZ277" t="s">
        <v>66</v>
      </c>
      <c r="BA277" s="2"/>
    </row>
    <row r="278" spans="1:53" x14ac:dyDescent="0.45">
      <c r="A278" s="62" t="s">
        <v>872</v>
      </c>
      <c r="B278" s="63"/>
      <c r="C278" s="63"/>
      <c r="D278" s="64"/>
      <c r="E278" s="66"/>
      <c r="F278" s="98" t="str">
        <f>HYPERLINK("https://pbs.twimg.com/profile_images/1486775293918515210/IY1R5TKM_normal.jpg")</f>
        <v>https://pbs.twimg.com/profile_images/1486775293918515210/IY1R5TKM_normal.jpg</v>
      </c>
      <c r="G278" s="63"/>
      <c r="H278" s="67"/>
      <c r="I278" s="68"/>
      <c r="J278" s="68"/>
      <c r="K278" s="67" t="s">
        <v>9435</v>
      </c>
      <c r="L278" s="71"/>
      <c r="M278" s="72"/>
      <c r="N278" s="72"/>
      <c r="O278" s="73"/>
      <c r="P278" s="74"/>
      <c r="Q278" s="74"/>
      <c r="R278" s="81"/>
      <c r="S278" s="81"/>
      <c r="T278" s="81"/>
      <c r="U278" s="81"/>
      <c r="V278" s="48"/>
      <c r="W278" s="48"/>
      <c r="X278" s="48"/>
      <c r="Y278" s="48"/>
      <c r="Z278" s="47"/>
      <c r="AA278" s="69"/>
      <c r="AB278" s="69"/>
      <c r="AC278" s="70"/>
      <c r="AD278" t="s">
        <v>5129</v>
      </c>
      <c r="AE278" s="78" t="s">
        <v>6435</v>
      </c>
      <c r="AF278">
        <v>3819</v>
      </c>
      <c r="AG278">
        <v>63655</v>
      </c>
      <c r="AH278">
        <v>41510</v>
      </c>
      <c r="AI278">
        <v>14432</v>
      </c>
      <c r="AK278" t="s">
        <v>7606</v>
      </c>
      <c r="AL278" t="s">
        <v>4924</v>
      </c>
      <c r="AM278" s="79" t="str">
        <f>HYPERLINK("https://t.co/ngVNLt6RsX")</f>
        <v>https://t.co/ngVNLt6RsX</v>
      </c>
      <c r="AO278" s="76">
        <v>39839.776550925926</v>
      </c>
      <c r="AP278" s="79" t="str">
        <f>HYPERLINK("https://pbs.twimg.com/profile_banners/19549042/1671485715")</f>
        <v>https://pbs.twimg.com/profile_banners/19549042/1671485715</v>
      </c>
      <c r="AQ278" t="b">
        <v>0</v>
      </c>
      <c r="AR278" t="b">
        <v>0</v>
      </c>
      <c r="AS278" t="b">
        <v>1</v>
      </c>
      <c r="AU278">
        <v>720</v>
      </c>
      <c r="AV278" s="79" t="str">
        <f>HYPERLINK("https://abs.twimg.com/images/themes/theme1/bg.png")</f>
        <v>https://abs.twimg.com/images/themes/theme1/bg.png</v>
      </c>
      <c r="AW278" t="b">
        <v>1</v>
      </c>
      <c r="AX278" t="s">
        <v>9303</v>
      </c>
      <c r="AY278" s="79" t="str">
        <f>HYPERLINK("https://twitter.com/shoutfactory")</f>
        <v>https://twitter.com/shoutfactory</v>
      </c>
      <c r="AZ278" t="s">
        <v>66</v>
      </c>
      <c r="BA278" s="2"/>
    </row>
    <row r="279" spans="1:53" x14ac:dyDescent="0.45">
      <c r="A279" s="62" t="s">
        <v>1138</v>
      </c>
      <c r="B279" s="63"/>
      <c r="C279" s="63"/>
      <c r="D279" s="64"/>
      <c r="E279" s="66"/>
      <c r="F279" s="98" t="str">
        <f>HYPERLINK("https://pbs.twimg.com/profile_images/1459163827992420353/vEO9OKQr_normal.jpg")</f>
        <v>https://pbs.twimg.com/profile_images/1459163827992420353/vEO9OKQr_normal.jpg</v>
      </c>
      <c r="G279" s="63"/>
      <c r="H279" s="67"/>
      <c r="I279" s="68"/>
      <c r="J279" s="68"/>
      <c r="K279" s="67" t="s">
        <v>9363</v>
      </c>
      <c r="L279" s="71"/>
      <c r="M279" s="72"/>
      <c r="N279" s="72"/>
      <c r="O279" s="73"/>
      <c r="P279" s="74"/>
      <c r="Q279" s="74"/>
      <c r="R279" s="81"/>
      <c r="S279" s="81"/>
      <c r="T279" s="81"/>
      <c r="U279" s="81"/>
      <c r="V279" s="48"/>
      <c r="W279" s="48"/>
      <c r="X279" s="48"/>
      <c r="Y279" s="48"/>
      <c r="Z279" s="47"/>
      <c r="AA279" s="69"/>
      <c r="AB279" s="69"/>
      <c r="AC279" s="70"/>
      <c r="AD279" t="s">
        <v>5059</v>
      </c>
      <c r="AE279" s="78" t="s">
        <v>6374</v>
      </c>
      <c r="AF279">
        <v>2359</v>
      </c>
      <c r="AG279">
        <v>62946</v>
      </c>
      <c r="AH279">
        <v>90349</v>
      </c>
      <c r="AI279">
        <v>26623</v>
      </c>
      <c r="AK279" t="s">
        <v>7545</v>
      </c>
      <c r="AL279" t="s">
        <v>8714</v>
      </c>
      <c r="AM279" s="79" t="str">
        <f>HYPERLINK("https://t.co/gHlEeikkeX")</f>
        <v>https://t.co/gHlEeikkeX</v>
      </c>
      <c r="AO279" s="76">
        <v>41401.35324074074</v>
      </c>
      <c r="AP279" s="79" t="str">
        <f>HYPERLINK("https://pbs.twimg.com/profile_banners/1409726425/1635400239")</f>
        <v>https://pbs.twimg.com/profile_banners/1409726425/1635400239</v>
      </c>
      <c r="AQ279" t="b">
        <v>0</v>
      </c>
      <c r="AR279" t="b">
        <v>0</v>
      </c>
      <c r="AS279" t="b">
        <v>1</v>
      </c>
      <c r="AU279">
        <v>902</v>
      </c>
      <c r="AV279" s="79" t="str">
        <f>HYPERLINK("https://abs.twimg.com/images/themes/theme1/bg.png")</f>
        <v>https://abs.twimg.com/images/themes/theme1/bg.png</v>
      </c>
      <c r="AW279" t="b">
        <v>0</v>
      </c>
      <c r="AX279" t="s">
        <v>9303</v>
      </c>
      <c r="AY279" s="79" t="str">
        <f>HYPERLINK("https://twitter.com/frronconi")</f>
        <v>https://twitter.com/frronconi</v>
      </c>
      <c r="AZ279" t="s">
        <v>65</v>
      </c>
      <c r="BA279" s="2"/>
    </row>
    <row r="280" spans="1:53" x14ac:dyDescent="0.45">
      <c r="A280" s="62" t="s">
        <v>1490</v>
      </c>
      <c r="B280" s="63"/>
      <c r="C280" s="63"/>
      <c r="D280" s="64"/>
      <c r="E280" s="66"/>
      <c r="F280" s="98" t="str">
        <f>HYPERLINK("https://pbs.twimg.com/profile_images/1389286821490696192/5yln9JmA_normal.jpg")</f>
        <v>https://pbs.twimg.com/profile_images/1389286821490696192/5yln9JmA_normal.jpg</v>
      </c>
      <c r="G280" s="63"/>
      <c r="H280" s="67"/>
      <c r="I280" s="68"/>
      <c r="J280" s="68"/>
      <c r="K280" s="67" t="s">
        <v>10489</v>
      </c>
      <c r="L280" s="71"/>
      <c r="M280" s="72"/>
      <c r="N280" s="72"/>
      <c r="O280" s="73"/>
      <c r="P280" s="74"/>
      <c r="Q280" s="74"/>
      <c r="R280" s="81"/>
      <c r="S280" s="81"/>
      <c r="T280" s="81"/>
      <c r="U280" s="81"/>
      <c r="V280" s="48"/>
      <c r="W280" s="48"/>
      <c r="X280" s="48"/>
      <c r="Y280" s="48"/>
      <c r="Z280" s="47"/>
      <c r="AA280" s="69"/>
      <c r="AB280" s="69"/>
      <c r="AC280" s="70"/>
      <c r="AD280" t="s">
        <v>6167</v>
      </c>
      <c r="AE280" s="78" t="s">
        <v>7354</v>
      </c>
      <c r="AF280">
        <v>0</v>
      </c>
      <c r="AG280">
        <v>62078</v>
      </c>
      <c r="AH280">
        <v>0</v>
      </c>
      <c r="AI280">
        <v>0</v>
      </c>
      <c r="AK280" t="s">
        <v>8525</v>
      </c>
      <c r="AM280" s="79" t="str">
        <f>HYPERLINK("https://t.co/LC8Bop68SR")</f>
        <v>https://t.co/LC8Bop68SR</v>
      </c>
      <c r="AO280" s="76">
        <v>41276.892835648148</v>
      </c>
      <c r="AP280" s="79" t="str">
        <f>HYPERLINK("https://pbs.twimg.com/profile_banners/1056152593/1620146224")</f>
        <v>https://pbs.twimg.com/profile_banners/1056152593/1620146224</v>
      </c>
      <c r="AQ280" t="b">
        <v>0</v>
      </c>
      <c r="AR280" t="b">
        <v>0</v>
      </c>
      <c r="AS280" t="b">
        <v>0</v>
      </c>
      <c r="AU280">
        <v>293</v>
      </c>
      <c r="AV280" s="79" t="str">
        <f>HYPERLINK("https://abs.twimg.com/images/themes/theme16/bg.gif")</f>
        <v>https://abs.twimg.com/images/themes/theme16/bg.gif</v>
      </c>
      <c r="AW280" t="b">
        <v>0</v>
      </c>
      <c r="AX280" t="s">
        <v>9303</v>
      </c>
      <c r="AY280" s="79" t="str">
        <f>HYPERLINK("https://twitter.com/costco")</f>
        <v>https://twitter.com/costco</v>
      </c>
      <c r="AZ280" t="s">
        <v>65</v>
      </c>
      <c r="BA280" s="2"/>
    </row>
    <row r="281" spans="1:53" x14ac:dyDescent="0.45">
      <c r="A281" s="62" t="s">
        <v>965</v>
      </c>
      <c r="B281" s="63"/>
      <c r="C281" s="63"/>
      <c r="D281" s="64"/>
      <c r="E281" s="66"/>
      <c r="F281" s="98" t="str">
        <f>HYPERLINK("https://pbs.twimg.com/profile_images/1362614048416796675/CikOTl1o_normal.jpg")</f>
        <v>https://pbs.twimg.com/profile_images/1362614048416796675/CikOTl1o_normal.jpg</v>
      </c>
      <c r="G281" s="63"/>
      <c r="H281" s="67"/>
      <c r="I281" s="68"/>
      <c r="J281" s="68"/>
      <c r="K281" s="67" t="s">
        <v>10427</v>
      </c>
      <c r="L281" s="71"/>
      <c r="M281" s="72"/>
      <c r="N281" s="72"/>
      <c r="O281" s="73"/>
      <c r="P281" s="74"/>
      <c r="Q281" s="74"/>
      <c r="R281" s="81"/>
      <c r="S281" s="81"/>
      <c r="T281" s="81"/>
      <c r="U281" s="81"/>
      <c r="V281" s="48"/>
      <c r="W281" s="48"/>
      <c r="X281" s="48"/>
      <c r="Y281" s="48"/>
      <c r="Z281" s="47"/>
      <c r="AA281" s="69"/>
      <c r="AB281" s="69"/>
      <c r="AC281" s="70"/>
      <c r="AD281" t="s">
        <v>6109</v>
      </c>
      <c r="AE281" s="78" t="s">
        <v>7305</v>
      </c>
      <c r="AF281">
        <v>1341</v>
      </c>
      <c r="AG281">
        <v>62065</v>
      </c>
      <c r="AH281">
        <v>21094</v>
      </c>
      <c r="AI281">
        <v>36282</v>
      </c>
      <c r="AK281" t="s">
        <v>8470</v>
      </c>
      <c r="AL281" t="s">
        <v>4899</v>
      </c>
      <c r="AM281" s="79" t="str">
        <f>HYPERLINK("https://t.co/txbrpe4y34")</f>
        <v>https://t.co/txbrpe4y34</v>
      </c>
      <c r="AO281" s="76">
        <v>43165.649027777778</v>
      </c>
      <c r="AP281" s="79" t="str">
        <f>HYPERLINK("https://pbs.twimg.com/profile_banners/971046392872521730/1598488199")</f>
        <v>https://pbs.twimg.com/profile_banners/971046392872521730/1598488199</v>
      </c>
      <c r="AQ281" t="b">
        <v>0</v>
      </c>
      <c r="AR281" t="b">
        <v>0</v>
      </c>
      <c r="AS281" t="b">
        <v>1</v>
      </c>
      <c r="AU281">
        <v>524</v>
      </c>
      <c r="AV281" s="79" t="str">
        <f>HYPERLINK("https://abs.twimg.com/images/themes/theme1/bg.png")</f>
        <v>https://abs.twimg.com/images/themes/theme1/bg.png</v>
      </c>
      <c r="AW281" t="b">
        <v>1</v>
      </c>
      <c r="AX281" t="s">
        <v>9303</v>
      </c>
      <c r="AY281" s="79" t="str">
        <f>HYPERLINK("https://twitter.com/trylolli")</f>
        <v>https://twitter.com/trylolli</v>
      </c>
      <c r="AZ281" t="s">
        <v>66</v>
      </c>
      <c r="BA281" s="2"/>
    </row>
    <row r="282" spans="1:53" x14ac:dyDescent="0.45">
      <c r="A282" s="62" t="s">
        <v>1129</v>
      </c>
      <c r="B282" s="63"/>
      <c r="C282" s="63"/>
      <c r="D282" s="64"/>
      <c r="E282" s="66"/>
      <c r="F282" s="98" t="str">
        <f>HYPERLINK("https://pbs.twimg.com/profile_images/1208067259287179264/AzFGeUdo_normal.jpg")</f>
        <v>https://pbs.twimg.com/profile_images/1208067259287179264/AzFGeUdo_normal.jpg</v>
      </c>
      <c r="G282" s="63"/>
      <c r="H282" s="67"/>
      <c r="I282" s="68"/>
      <c r="J282" s="68"/>
      <c r="K282" s="67" t="s">
        <v>9346</v>
      </c>
      <c r="L282" s="71"/>
      <c r="M282" s="72"/>
      <c r="N282" s="72"/>
      <c r="O282" s="73"/>
      <c r="P282" s="74"/>
      <c r="Q282" s="74"/>
      <c r="R282" s="81"/>
      <c r="S282" s="81"/>
      <c r="T282" s="81"/>
      <c r="U282" s="81"/>
      <c r="V282" s="48"/>
      <c r="W282" s="48"/>
      <c r="X282" s="48"/>
      <c r="Y282" s="48"/>
      <c r="Z282" s="47"/>
      <c r="AA282" s="69"/>
      <c r="AB282" s="69"/>
      <c r="AC282" s="70"/>
      <c r="AD282" t="s">
        <v>5042</v>
      </c>
      <c r="AE282" s="78" t="s">
        <v>6360</v>
      </c>
      <c r="AF282">
        <v>7225</v>
      </c>
      <c r="AG282">
        <v>61484</v>
      </c>
      <c r="AH282">
        <v>189280</v>
      </c>
      <c r="AI282">
        <v>222084</v>
      </c>
      <c r="AK282" t="s">
        <v>7530</v>
      </c>
      <c r="AL282" t="s">
        <v>8703</v>
      </c>
      <c r="AM282" s="79" t="str">
        <f>HYPERLINK("https://t.co/wIg6PCSWGq")</f>
        <v>https://t.co/wIg6PCSWGq</v>
      </c>
      <c r="AO282" s="76">
        <v>41966.517337962963</v>
      </c>
      <c r="AP282" s="79" t="str">
        <f>HYPERLINK("https://pbs.twimg.com/profile_banners/2908107542/1618627768")</f>
        <v>https://pbs.twimg.com/profile_banners/2908107542/1618627768</v>
      </c>
      <c r="AQ282" t="b">
        <v>1</v>
      </c>
      <c r="AR282" t="b">
        <v>0</v>
      </c>
      <c r="AS282" t="b">
        <v>0</v>
      </c>
      <c r="AU282">
        <v>2261</v>
      </c>
      <c r="AV282" s="79" t="str">
        <f>HYPERLINK("https://abs.twimg.com/images/themes/theme1/bg.png")</f>
        <v>https://abs.twimg.com/images/themes/theme1/bg.png</v>
      </c>
      <c r="AW282" t="b">
        <v>0</v>
      </c>
      <c r="AX282" t="s">
        <v>9303</v>
      </c>
      <c r="AY282" s="79" t="str">
        <f>HYPERLINK("https://twitter.com/psb_dc")</f>
        <v>https://twitter.com/psb_dc</v>
      </c>
      <c r="AZ282" t="s">
        <v>65</v>
      </c>
      <c r="BA282" s="2"/>
    </row>
    <row r="283" spans="1:53" x14ac:dyDescent="0.45">
      <c r="A283" s="62" t="s">
        <v>874</v>
      </c>
      <c r="B283" s="63"/>
      <c r="C283" s="63"/>
      <c r="D283" s="64"/>
      <c r="E283" s="66"/>
      <c r="F283" s="98" t="str">
        <f>HYPERLINK("https://pbs.twimg.com/profile_images/1334678018082672646/0HnP4ffU_normal.jpg")</f>
        <v>https://pbs.twimg.com/profile_images/1334678018082672646/0HnP4ffU_normal.jpg</v>
      </c>
      <c r="G283" s="63"/>
      <c r="H283" s="67"/>
      <c r="I283" s="68"/>
      <c r="J283" s="68"/>
      <c r="K283" s="67" t="s">
        <v>10277</v>
      </c>
      <c r="L283" s="71"/>
      <c r="M283" s="72"/>
      <c r="N283" s="72"/>
      <c r="O283" s="73"/>
      <c r="P283" s="74"/>
      <c r="Q283" s="74"/>
      <c r="R283" s="81"/>
      <c r="S283" s="81"/>
      <c r="T283" s="81"/>
      <c r="U283" s="81"/>
      <c r="V283" s="48"/>
      <c r="W283" s="48"/>
      <c r="X283" s="48"/>
      <c r="Y283" s="48"/>
      <c r="Z283" s="47"/>
      <c r="AA283" s="69"/>
      <c r="AB283" s="69"/>
      <c r="AC283" s="70"/>
      <c r="AD283" t="s">
        <v>5960</v>
      </c>
      <c r="AE283" s="78" t="s">
        <v>7172</v>
      </c>
      <c r="AF283">
        <v>3210</v>
      </c>
      <c r="AG283">
        <v>61069</v>
      </c>
      <c r="AH283">
        <v>20484</v>
      </c>
      <c r="AI283">
        <v>10427</v>
      </c>
      <c r="AK283" t="s">
        <v>8337</v>
      </c>
      <c r="AL283" t="s">
        <v>8703</v>
      </c>
      <c r="AM283" s="79" t="str">
        <f>HYPERLINK("https://t.co/NoU0ga9iRt")</f>
        <v>https://t.co/NoU0ga9iRt</v>
      </c>
      <c r="AO283" s="76">
        <v>40032.750810185185</v>
      </c>
      <c r="AP283" s="79" t="str">
        <f>HYPERLINK("https://pbs.twimg.com/profile_banners/63787812/1551985357")</f>
        <v>https://pbs.twimg.com/profile_banners/63787812/1551985357</v>
      </c>
      <c r="AQ283" t="b">
        <v>0</v>
      </c>
      <c r="AR283" t="b">
        <v>0</v>
      </c>
      <c r="AS283" t="b">
        <v>1</v>
      </c>
      <c r="AU283">
        <v>1729</v>
      </c>
      <c r="AV283" s="79" t="str">
        <f>HYPERLINK("https://abs.twimg.com/images/themes/theme1/bg.png")</f>
        <v>https://abs.twimg.com/images/themes/theme1/bg.png</v>
      </c>
      <c r="AW283" t="b">
        <v>1</v>
      </c>
      <c r="AX283" t="s">
        <v>9303</v>
      </c>
      <c r="AY283" s="79" t="str">
        <f>HYPERLINK("https://twitter.com/nrfnews")</f>
        <v>https://twitter.com/nrfnews</v>
      </c>
      <c r="AZ283" t="s">
        <v>66</v>
      </c>
      <c r="BA283" s="2"/>
    </row>
    <row r="284" spans="1:53" x14ac:dyDescent="0.45">
      <c r="A284" s="62" t="s">
        <v>936</v>
      </c>
      <c r="B284" s="63"/>
      <c r="C284" s="63"/>
      <c r="D284" s="64"/>
      <c r="E284" s="66"/>
      <c r="F284" s="98" t="str">
        <f>HYPERLINK("https://pbs.twimg.com/profile_images/1571215858843717633/dNB3EiB6_normal.jpg")</f>
        <v>https://pbs.twimg.com/profile_images/1571215858843717633/dNB3EiB6_normal.jpg</v>
      </c>
      <c r="G284" s="63"/>
      <c r="H284" s="67"/>
      <c r="I284" s="68"/>
      <c r="J284" s="68"/>
      <c r="K284" s="67" t="s">
        <v>10374</v>
      </c>
      <c r="L284" s="71"/>
      <c r="M284" s="72"/>
      <c r="N284" s="72"/>
      <c r="O284" s="73"/>
      <c r="P284" s="74"/>
      <c r="Q284" s="74"/>
      <c r="R284" s="81"/>
      <c r="S284" s="81"/>
      <c r="T284" s="81"/>
      <c r="U284" s="81"/>
      <c r="V284" s="48"/>
      <c r="W284" s="48"/>
      <c r="X284" s="48"/>
      <c r="Y284" s="48"/>
      <c r="Z284" s="47"/>
      <c r="AA284" s="69"/>
      <c r="AB284" s="69"/>
      <c r="AC284" s="70"/>
      <c r="AD284" t="s">
        <v>6057</v>
      </c>
      <c r="AE284" s="78" t="s">
        <v>4773</v>
      </c>
      <c r="AF284">
        <v>8871</v>
      </c>
      <c r="AG284">
        <v>60466</v>
      </c>
      <c r="AH284">
        <v>57</v>
      </c>
      <c r="AI284">
        <v>10170</v>
      </c>
      <c r="AK284" t="s">
        <v>8422</v>
      </c>
      <c r="AL284" t="s">
        <v>9194</v>
      </c>
      <c r="AO284" s="76">
        <v>42754.996562499997</v>
      </c>
      <c r="AP284" s="79" t="str">
        <f>HYPERLINK("https://pbs.twimg.com/profile_banners/822230925333381120/1670291844")</f>
        <v>https://pbs.twimg.com/profile_banners/822230925333381120/1670291844</v>
      </c>
      <c r="AQ284" t="b">
        <v>0</v>
      </c>
      <c r="AR284" t="b">
        <v>0</v>
      </c>
      <c r="AS284" t="b">
        <v>1</v>
      </c>
      <c r="AU284">
        <v>60</v>
      </c>
      <c r="AV284" s="79" t="str">
        <f>HYPERLINK("https://abs.twimg.com/images/themes/theme1/bg.png")</f>
        <v>https://abs.twimg.com/images/themes/theme1/bg.png</v>
      </c>
      <c r="AW284" t="b">
        <v>0</v>
      </c>
      <c r="AX284" t="s">
        <v>9303</v>
      </c>
      <c r="AY284" s="79" t="str">
        <f>HYPERLINK("https://twitter.com/schlottgsarah")</f>
        <v>https://twitter.com/schlottgsarah</v>
      </c>
      <c r="AZ284" t="s">
        <v>66</v>
      </c>
      <c r="BA284" s="2"/>
    </row>
    <row r="285" spans="1:53" x14ac:dyDescent="0.45">
      <c r="A285" s="62" t="s">
        <v>1360</v>
      </c>
      <c r="B285" s="63"/>
      <c r="C285" s="63"/>
      <c r="D285" s="64"/>
      <c r="E285" s="66"/>
      <c r="F285" s="98" t="str">
        <f>HYPERLINK("https://pbs.twimg.com/profile_images/1093149168414027777/ibV3xny2_normal.jpg")</f>
        <v>https://pbs.twimg.com/profile_images/1093149168414027777/ibV3xny2_normal.jpg</v>
      </c>
      <c r="G285" s="63"/>
      <c r="H285" s="67"/>
      <c r="I285" s="68"/>
      <c r="J285" s="68"/>
      <c r="K285" s="67" t="s">
        <v>10116</v>
      </c>
      <c r="L285" s="71"/>
      <c r="M285" s="72"/>
      <c r="N285" s="72"/>
      <c r="O285" s="73"/>
      <c r="P285" s="74"/>
      <c r="Q285" s="74"/>
      <c r="R285" s="81"/>
      <c r="S285" s="81"/>
      <c r="T285" s="81"/>
      <c r="U285" s="81"/>
      <c r="V285" s="48"/>
      <c r="W285" s="48"/>
      <c r="X285" s="48"/>
      <c r="Y285" s="48"/>
      <c r="Z285" s="47"/>
      <c r="AA285" s="69"/>
      <c r="AB285" s="69"/>
      <c r="AC285" s="70"/>
      <c r="AD285" t="s">
        <v>5804</v>
      </c>
      <c r="AE285" s="78" t="s">
        <v>7034</v>
      </c>
      <c r="AF285">
        <v>1567</v>
      </c>
      <c r="AG285">
        <v>58745</v>
      </c>
      <c r="AH285">
        <v>23576</v>
      </c>
      <c r="AI285">
        <v>9332</v>
      </c>
      <c r="AK285" t="s">
        <v>8199</v>
      </c>
      <c r="AL285" t="s">
        <v>9087</v>
      </c>
      <c r="AM285" s="79" t="str">
        <f>HYPERLINK("https://t.co/2xSgc3L1uk")</f>
        <v>https://t.co/2xSgc3L1uk</v>
      </c>
      <c r="AO285" s="76">
        <v>40058.610532407409</v>
      </c>
      <c r="AP285" s="79" t="str">
        <f>HYPERLINK("https://pbs.twimg.com/profile_banners/70979930/1675089977")</f>
        <v>https://pbs.twimg.com/profile_banners/70979930/1675089977</v>
      </c>
      <c r="AQ285" t="b">
        <v>0</v>
      </c>
      <c r="AR285" t="b">
        <v>0</v>
      </c>
      <c r="AS285" t="b">
        <v>1</v>
      </c>
      <c r="AU285">
        <v>471</v>
      </c>
      <c r="AV285" s="79" t="str">
        <f>HYPERLINK("https://abs.twimg.com/images/themes/theme1/bg.png")</f>
        <v>https://abs.twimg.com/images/themes/theme1/bg.png</v>
      </c>
      <c r="AW285" t="b">
        <v>1</v>
      </c>
      <c r="AX285" t="s">
        <v>9303</v>
      </c>
      <c r="AY285" s="79" t="str">
        <f>HYPERLINK("https://twitter.com/foodlion")</f>
        <v>https://twitter.com/foodlion</v>
      </c>
      <c r="AZ285" t="s">
        <v>65</v>
      </c>
      <c r="BA285" s="2"/>
    </row>
    <row r="286" spans="1:53" x14ac:dyDescent="0.45">
      <c r="A286" s="62" t="s">
        <v>1402</v>
      </c>
      <c r="B286" s="63"/>
      <c r="C286" s="63"/>
      <c r="D286" s="64"/>
      <c r="E286" s="66"/>
      <c r="F286" s="98" t="str">
        <f>HYPERLINK("https://pbs.twimg.com/profile_images/1211112339010834434/7FuTic0W_normal.jpg")</f>
        <v>https://pbs.twimg.com/profile_images/1211112339010834434/7FuTic0W_normal.jpg</v>
      </c>
      <c r="G286" s="63"/>
      <c r="H286" s="67"/>
      <c r="I286" s="68"/>
      <c r="J286" s="68"/>
      <c r="K286" s="67" t="s">
        <v>10246</v>
      </c>
      <c r="L286" s="71"/>
      <c r="M286" s="72"/>
      <c r="N286" s="72"/>
      <c r="O286" s="73"/>
      <c r="P286" s="74"/>
      <c r="Q286" s="74"/>
      <c r="R286" s="81"/>
      <c r="S286" s="81"/>
      <c r="T286" s="81"/>
      <c r="U286" s="81"/>
      <c r="V286" s="48"/>
      <c r="W286" s="48"/>
      <c r="X286" s="48"/>
      <c r="Y286" s="48"/>
      <c r="Z286" s="47"/>
      <c r="AA286" s="69"/>
      <c r="AB286" s="69"/>
      <c r="AC286" s="70"/>
      <c r="AD286" t="s">
        <v>5929</v>
      </c>
      <c r="AE286" s="78" t="s">
        <v>4759</v>
      </c>
      <c r="AF286">
        <v>519</v>
      </c>
      <c r="AG286">
        <v>58273</v>
      </c>
      <c r="AH286">
        <v>43675</v>
      </c>
      <c r="AI286">
        <v>4782</v>
      </c>
      <c r="AK286" t="s">
        <v>8308</v>
      </c>
      <c r="AL286" t="s">
        <v>9138</v>
      </c>
      <c r="AM286" s="79" t="str">
        <f>HYPERLINK("https://t.co/oJsVdT76rz")</f>
        <v>https://t.co/oJsVdT76rz</v>
      </c>
      <c r="AO286" s="76">
        <v>39871.902870370373</v>
      </c>
      <c r="AP286" s="79" t="str">
        <f>HYPERLINK("https://pbs.twimg.com/profile_banners/22194235/1553713026")</f>
        <v>https://pbs.twimg.com/profile_banners/22194235/1553713026</v>
      </c>
      <c r="AQ286" t="b">
        <v>0</v>
      </c>
      <c r="AR286" t="b">
        <v>0</v>
      </c>
      <c r="AS286" t="b">
        <v>0</v>
      </c>
      <c r="AU286">
        <v>1208</v>
      </c>
      <c r="AV286" s="79" t="str">
        <f>HYPERLINK("https://abs.twimg.com/images/themes/theme4/bg.gif")</f>
        <v>https://abs.twimg.com/images/themes/theme4/bg.gif</v>
      </c>
      <c r="AW286" t="b">
        <v>0</v>
      </c>
      <c r="AX286" t="s">
        <v>9303</v>
      </c>
      <c r="AY286" s="79" t="str">
        <f>HYPERLINK("https://twitter.com/kimkomando")</f>
        <v>https://twitter.com/kimkomando</v>
      </c>
      <c r="AZ286" t="s">
        <v>65</v>
      </c>
      <c r="BA286" s="2"/>
    </row>
    <row r="287" spans="1:53" x14ac:dyDescent="0.45">
      <c r="A287" s="62" t="s">
        <v>1518</v>
      </c>
      <c r="B287" s="63"/>
      <c r="C287" s="63"/>
      <c r="D287" s="64"/>
      <c r="E287" s="66"/>
      <c r="F287" s="98" t="str">
        <f>HYPERLINK("https://pbs.twimg.com/profile_images/1584240283696463977/LiwMfJxT_normal.jpg")</f>
        <v>https://pbs.twimg.com/profile_images/1584240283696463977/LiwMfJxT_normal.jpg</v>
      </c>
      <c r="G287" s="63"/>
      <c r="H287" s="67"/>
      <c r="I287" s="68"/>
      <c r="J287" s="68"/>
      <c r="K287" s="67" t="s">
        <v>10544</v>
      </c>
      <c r="L287" s="71"/>
      <c r="M287" s="72"/>
      <c r="N287" s="72"/>
      <c r="O287" s="73"/>
      <c r="P287" s="74"/>
      <c r="Q287" s="74"/>
      <c r="R287" s="81"/>
      <c r="S287" s="81"/>
      <c r="T287" s="81"/>
      <c r="U287" s="81"/>
      <c r="V287" s="48"/>
      <c r="W287" s="48"/>
      <c r="X287" s="48"/>
      <c r="Y287" s="48"/>
      <c r="Z287" s="47"/>
      <c r="AA287" s="69"/>
      <c r="AB287" s="69"/>
      <c r="AC287" s="70"/>
      <c r="AD287" t="s">
        <v>6222</v>
      </c>
      <c r="AE287" s="78" t="s">
        <v>4806</v>
      </c>
      <c r="AF287">
        <v>20879</v>
      </c>
      <c r="AG287">
        <v>56823</v>
      </c>
      <c r="AH287">
        <v>51086</v>
      </c>
      <c r="AI287">
        <v>26178</v>
      </c>
      <c r="AK287" t="s">
        <v>8571</v>
      </c>
      <c r="AO287" s="76">
        <v>44123.785451388889</v>
      </c>
      <c r="AP287" s="79" t="str">
        <f>HYPERLINK("https://pbs.twimg.com/profile_banners/1318263321745907713/1658546724")</f>
        <v>https://pbs.twimg.com/profile_banners/1318263321745907713/1658546724</v>
      </c>
      <c r="AQ287" t="b">
        <v>1</v>
      </c>
      <c r="AR287" t="b">
        <v>0</v>
      </c>
      <c r="AS287" t="b">
        <v>0</v>
      </c>
      <c r="AU287">
        <v>130</v>
      </c>
      <c r="AW287" t="b">
        <v>0</v>
      </c>
      <c r="AX287" t="s">
        <v>9303</v>
      </c>
      <c r="AY287" s="79" t="str">
        <f>HYPERLINK("https://twitter.com/its_the_dr")</f>
        <v>https://twitter.com/its_the_dr</v>
      </c>
      <c r="AZ287" t="s">
        <v>65</v>
      </c>
      <c r="BA287" s="2"/>
    </row>
    <row r="288" spans="1:53" x14ac:dyDescent="0.45">
      <c r="A288" s="62" t="s">
        <v>1139</v>
      </c>
      <c r="B288" s="63"/>
      <c r="C288" s="63"/>
      <c r="D288" s="64"/>
      <c r="E288" s="66"/>
      <c r="F288" s="98" t="str">
        <f>HYPERLINK("https://pbs.twimg.com/profile_images/1463995808685207555/KK3ECtYE_normal.jpg")</f>
        <v>https://pbs.twimg.com/profile_images/1463995808685207555/KK3ECtYE_normal.jpg</v>
      </c>
      <c r="G288" s="63"/>
      <c r="H288" s="67"/>
      <c r="I288" s="68"/>
      <c r="J288" s="68"/>
      <c r="K288" s="67" t="s">
        <v>9364</v>
      </c>
      <c r="L288" s="71"/>
      <c r="M288" s="72"/>
      <c r="N288" s="72"/>
      <c r="O288" s="73"/>
      <c r="P288" s="74"/>
      <c r="Q288" s="74"/>
      <c r="R288" s="81"/>
      <c r="S288" s="81"/>
      <c r="T288" s="81"/>
      <c r="U288" s="81"/>
      <c r="V288" s="48"/>
      <c r="W288" s="48"/>
      <c r="X288" s="48"/>
      <c r="Y288" s="48"/>
      <c r="Z288" s="47"/>
      <c r="AA288" s="69"/>
      <c r="AB288" s="69"/>
      <c r="AC288" s="70"/>
      <c r="AD288" t="s">
        <v>5060</v>
      </c>
      <c r="AE288" s="78" t="s">
        <v>6375</v>
      </c>
      <c r="AF288">
        <v>2330</v>
      </c>
      <c r="AG288">
        <v>55433</v>
      </c>
      <c r="AH288">
        <v>85454</v>
      </c>
      <c r="AI288">
        <v>134207</v>
      </c>
      <c r="AK288" t="s">
        <v>7546</v>
      </c>
      <c r="AL288" t="s">
        <v>8715</v>
      </c>
      <c r="AM288" s="79" t="str">
        <f>HYPERLINK("https://t.co/wSY0VoIm9q")</f>
        <v>https://t.co/wSY0VoIm9q</v>
      </c>
      <c r="AO288" s="76">
        <v>44359.992037037038</v>
      </c>
      <c r="AP288" s="79" t="str">
        <f>HYPERLINK("https://pbs.twimg.com/profile_banners/1403861754808049666/1663755738")</f>
        <v>https://pbs.twimg.com/profile_banners/1403861754808049666/1663755738</v>
      </c>
      <c r="AQ288" t="b">
        <v>1</v>
      </c>
      <c r="AR288" t="b">
        <v>0</v>
      </c>
      <c r="AS288" t="b">
        <v>0</v>
      </c>
      <c r="AU288">
        <v>167</v>
      </c>
      <c r="AW288" t="b">
        <v>0</v>
      </c>
      <c r="AX288" t="s">
        <v>9303</v>
      </c>
      <c r="AY288" s="79" t="str">
        <f>HYPERLINK("https://twitter.com/khulood_almani")</f>
        <v>https://twitter.com/khulood_almani</v>
      </c>
      <c r="AZ288" t="s">
        <v>65</v>
      </c>
      <c r="BA288" s="2"/>
    </row>
    <row r="289" spans="1:53" x14ac:dyDescent="0.45">
      <c r="A289" s="62" t="s">
        <v>897</v>
      </c>
      <c r="B289" s="63"/>
      <c r="C289" s="63"/>
      <c r="D289" s="64"/>
      <c r="E289" s="66"/>
      <c r="F289" s="98" t="str">
        <f>HYPERLINK("https://pbs.twimg.com/profile_images/1440050518907179017/K55XDgTt_normal.jpg")</f>
        <v>https://pbs.twimg.com/profile_images/1440050518907179017/K55XDgTt_normal.jpg</v>
      </c>
      <c r="G289" s="63"/>
      <c r="H289" s="67"/>
      <c r="I289" s="68"/>
      <c r="J289" s="68"/>
      <c r="K289" s="67" t="s">
        <v>10315</v>
      </c>
      <c r="L289" s="71"/>
      <c r="M289" s="72"/>
      <c r="N289" s="72"/>
      <c r="O289" s="73"/>
      <c r="P289" s="74"/>
      <c r="Q289" s="74"/>
      <c r="R289" s="81"/>
      <c r="S289" s="81"/>
      <c r="T289" s="81"/>
      <c r="U289" s="81"/>
      <c r="V289" s="48"/>
      <c r="W289" s="48"/>
      <c r="X289" s="48"/>
      <c r="Y289" s="48"/>
      <c r="Z289" s="47"/>
      <c r="AA289" s="69"/>
      <c r="AB289" s="69"/>
      <c r="AC289" s="70"/>
      <c r="AD289" t="s">
        <v>5998</v>
      </c>
      <c r="AE289" s="78" t="s">
        <v>7206</v>
      </c>
      <c r="AF289">
        <v>459</v>
      </c>
      <c r="AG289">
        <v>53978</v>
      </c>
      <c r="AH289">
        <v>1877</v>
      </c>
      <c r="AI289">
        <v>1</v>
      </c>
      <c r="AK289" t="s">
        <v>8372</v>
      </c>
      <c r="AM289" s="79" t="str">
        <f>HYPERLINK("https://t.co/jLquuFGygG")</f>
        <v>https://t.co/jLquuFGygG</v>
      </c>
      <c r="AO289" s="76">
        <v>41222.034016203703</v>
      </c>
      <c r="AP289" s="79" t="str">
        <f>HYPERLINK("https://pbs.twimg.com/profile_banners/935804371/1649978698")</f>
        <v>https://pbs.twimg.com/profile_banners/935804371/1649978698</v>
      </c>
      <c r="AQ289" t="b">
        <v>1</v>
      </c>
      <c r="AR289" t="b">
        <v>0</v>
      </c>
      <c r="AS289" t="b">
        <v>0</v>
      </c>
      <c r="AU289">
        <v>180</v>
      </c>
      <c r="AV289" s="79" t="str">
        <f>HYPERLINK("https://abs.twimg.com/images/themes/theme1/bg.png")</f>
        <v>https://abs.twimg.com/images/themes/theme1/bg.png</v>
      </c>
      <c r="AW289" t="b">
        <v>1</v>
      </c>
      <c r="AX289" t="s">
        <v>9303</v>
      </c>
      <c r="AY289" s="79" t="str">
        <f>HYPERLINK("https://twitter.com/amonra_stbrown")</f>
        <v>https://twitter.com/amonra_stbrown</v>
      </c>
      <c r="AZ289" t="s">
        <v>66</v>
      </c>
      <c r="BA289" s="2"/>
    </row>
    <row r="290" spans="1:53" x14ac:dyDescent="0.45">
      <c r="A290" s="62" t="s">
        <v>1017</v>
      </c>
      <c r="B290" s="63"/>
      <c r="C290" s="63"/>
      <c r="D290" s="64"/>
      <c r="E290" s="66"/>
      <c r="F290" s="98" t="str">
        <f>HYPERLINK("https://pbs.twimg.com/profile_images/624165654107713536/ktO9JRsq_normal.png")</f>
        <v>https://pbs.twimg.com/profile_images/624165654107713536/ktO9JRsq_normal.png</v>
      </c>
      <c r="G290" s="63"/>
      <c r="H290" s="67"/>
      <c r="I290" s="68"/>
      <c r="J290" s="68"/>
      <c r="K290" s="67" t="s">
        <v>9340</v>
      </c>
      <c r="L290" s="71"/>
      <c r="M290" s="72"/>
      <c r="N290" s="72"/>
      <c r="O290" s="73"/>
      <c r="P290" s="74"/>
      <c r="Q290" s="74"/>
      <c r="R290" s="81"/>
      <c r="S290" s="81"/>
      <c r="T290" s="81"/>
      <c r="U290" s="81"/>
      <c r="V290" s="48"/>
      <c r="W290" s="48"/>
      <c r="X290" s="48"/>
      <c r="Y290" s="48"/>
      <c r="Z290" s="47"/>
      <c r="AA290" s="69"/>
      <c r="AB290" s="69"/>
      <c r="AC290" s="70"/>
      <c r="AD290" t="s">
        <v>5036</v>
      </c>
      <c r="AE290" s="78" t="s">
        <v>6354</v>
      </c>
      <c r="AF290">
        <v>5614</v>
      </c>
      <c r="AG290">
        <v>53630</v>
      </c>
      <c r="AH290">
        <v>77753</v>
      </c>
      <c r="AI290">
        <v>55967</v>
      </c>
      <c r="AK290" t="s">
        <v>7524</v>
      </c>
      <c r="AL290" t="s">
        <v>8698</v>
      </c>
      <c r="AM290" s="79" t="str">
        <f>HYPERLINK("https://t.co/lxhqT0Ryz9")</f>
        <v>https://t.co/lxhqT0Ryz9</v>
      </c>
      <c r="AO290" s="76">
        <v>42109.533877314818</v>
      </c>
      <c r="AP290" s="79" t="str">
        <f>HYPERLINK("https://pbs.twimg.com/profile_banners/3169916217/1559548655")</f>
        <v>https://pbs.twimg.com/profile_banners/3169916217/1559548655</v>
      </c>
      <c r="AQ290" t="b">
        <v>1</v>
      </c>
      <c r="AR290" t="b">
        <v>0</v>
      </c>
      <c r="AS290" t="b">
        <v>0</v>
      </c>
      <c r="AU290">
        <v>3046</v>
      </c>
      <c r="AV290" s="79" t="str">
        <f>HYPERLINK("https://abs.twimg.com/images/themes/theme1/bg.png")</f>
        <v>https://abs.twimg.com/images/themes/theme1/bg.png</v>
      </c>
      <c r="AW290" t="b">
        <v>0</v>
      </c>
      <c r="AX290" t="s">
        <v>9303</v>
      </c>
      <c r="AY290" s="79" t="str">
        <f>HYPERLINK("https://twitter.com/chboursin")</f>
        <v>https://twitter.com/chboursin</v>
      </c>
      <c r="AZ290" t="s">
        <v>66</v>
      </c>
      <c r="BA290" s="2"/>
    </row>
    <row r="291" spans="1:53" x14ac:dyDescent="0.45">
      <c r="A291" s="62" t="s">
        <v>267</v>
      </c>
      <c r="B291" s="63"/>
      <c r="C291" s="63"/>
      <c r="D291" s="64"/>
      <c r="E291" s="66"/>
      <c r="F291" s="98" t="str">
        <f>HYPERLINK("https://pbs.twimg.com/profile_images/1227942262618968064/cIoZBrWj_normal.jpg")</f>
        <v>https://pbs.twimg.com/profile_images/1227942262618968064/cIoZBrWj_normal.jpg</v>
      </c>
      <c r="G291" s="63"/>
      <c r="H291" s="67"/>
      <c r="I291" s="68"/>
      <c r="J291" s="68"/>
      <c r="K291" s="67" t="s">
        <v>9397</v>
      </c>
      <c r="L291" s="71"/>
      <c r="M291" s="72"/>
      <c r="N291" s="72"/>
      <c r="O291" s="73"/>
      <c r="P291" s="74"/>
      <c r="Q291" s="74"/>
      <c r="R291" s="81"/>
      <c r="S291" s="81"/>
      <c r="T291" s="81"/>
      <c r="U291" s="81"/>
      <c r="V291" s="48"/>
      <c r="W291" s="48"/>
      <c r="X291" s="48"/>
      <c r="Y291" s="48"/>
      <c r="Z291" s="47"/>
      <c r="AA291" s="69"/>
      <c r="AB291" s="69"/>
      <c r="AC291" s="70"/>
      <c r="AD291" t="s">
        <v>5092</v>
      </c>
      <c r="AE291" s="78" t="s">
        <v>6402</v>
      </c>
      <c r="AF291">
        <v>8058</v>
      </c>
      <c r="AG291">
        <v>53495</v>
      </c>
      <c r="AH291">
        <v>58876</v>
      </c>
      <c r="AI291">
        <v>6878</v>
      </c>
      <c r="AK291" t="s">
        <v>7576</v>
      </c>
      <c r="AL291" t="s">
        <v>8703</v>
      </c>
      <c r="AM291" s="79" t="str">
        <f>HYPERLINK("https://t.co/fkDEFoltqf")</f>
        <v>https://t.co/fkDEFoltqf</v>
      </c>
      <c r="AO291" s="76">
        <v>39798.607025462959</v>
      </c>
      <c r="AP291" s="79" t="str">
        <f>HYPERLINK("https://pbs.twimg.com/profile_banners/18163042/1614027345")</f>
        <v>https://pbs.twimg.com/profile_banners/18163042/1614027345</v>
      </c>
      <c r="AQ291" t="b">
        <v>0</v>
      </c>
      <c r="AR291" t="b">
        <v>0</v>
      </c>
      <c r="AS291" t="b">
        <v>1</v>
      </c>
      <c r="AU291">
        <v>1028</v>
      </c>
      <c r="AV291" s="79" t="str">
        <f>HYPERLINK("https://abs.twimg.com/images/themes/theme15/bg.png")</f>
        <v>https://abs.twimg.com/images/themes/theme15/bg.png</v>
      </c>
      <c r="AW291" t="b">
        <v>1</v>
      </c>
      <c r="AX291" t="s">
        <v>9303</v>
      </c>
      <c r="AY291" s="79" t="str">
        <f>HYPERLINK("https://twitter.com/frcdc")</f>
        <v>https://twitter.com/frcdc</v>
      </c>
      <c r="AZ291" t="s">
        <v>66</v>
      </c>
      <c r="BA291" s="2"/>
    </row>
    <row r="292" spans="1:53" x14ac:dyDescent="0.45">
      <c r="A292" s="62" t="s">
        <v>1108</v>
      </c>
      <c r="B292" s="63"/>
      <c r="C292" s="63"/>
      <c r="D292" s="64"/>
      <c r="E292" s="66"/>
      <c r="F292" s="98" t="str">
        <f>HYPERLINK("https://pbs.twimg.com/profile_images/1154421883552407552/d74yFwi4_normal.jpg")</f>
        <v>https://pbs.twimg.com/profile_images/1154421883552407552/d74yFwi4_normal.jpg</v>
      </c>
      <c r="G292" s="63"/>
      <c r="H292" s="67"/>
      <c r="I292" s="68"/>
      <c r="J292" s="68"/>
      <c r="K292" s="67" t="s">
        <v>9312</v>
      </c>
      <c r="L292" s="71"/>
      <c r="M292" s="72"/>
      <c r="N292" s="72"/>
      <c r="O292" s="73"/>
      <c r="P292" s="74"/>
      <c r="Q292" s="74"/>
      <c r="R292" s="81"/>
      <c r="S292" s="81"/>
      <c r="T292" s="81"/>
      <c r="U292" s="81"/>
      <c r="V292" s="48"/>
      <c r="W292" s="48"/>
      <c r="X292" s="48"/>
      <c r="Y292" s="48"/>
      <c r="Z292" s="47"/>
      <c r="AA292" s="69"/>
      <c r="AB292" s="69"/>
      <c r="AC292" s="70"/>
      <c r="AD292" t="s">
        <v>5008</v>
      </c>
      <c r="AE292" s="78" t="s">
        <v>6335</v>
      </c>
      <c r="AF292">
        <v>33</v>
      </c>
      <c r="AG292">
        <v>51735</v>
      </c>
      <c r="AH292">
        <v>95</v>
      </c>
      <c r="AI292">
        <v>63</v>
      </c>
      <c r="AK292" t="s">
        <v>7498</v>
      </c>
      <c r="AL292" t="s">
        <v>8678</v>
      </c>
      <c r="AM292" s="79" t="str">
        <f>HYPERLINK("https://t.co/wEsGjF8F1v")</f>
        <v>https://t.co/wEsGjF8F1v</v>
      </c>
      <c r="AO292" s="76">
        <v>42675.198680555557</v>
      </c>
      <c r="AP292" s="79" t="str">
        <f>HYPERLINK("https://pbs.twimg.com/profile_banners/793313140733726720/1567831532")</f>
        <v>https://pbs.twimg.com/profile_banners/793313140733726720/1567831532</v>
      </c>
      <c r="AQ292" t="b">
        <v>0</v>
      </c>
      <c r="AR292" t="b">
        <v>0</v>
      </c>
      <c r="AS292" t="b">
        <v>0</v>
      </c>
      <c r="AU292">
        <v>86</v>
      </c>
      <c r="AV292" s="79" t="str">
        <f>HYPERLINK("https://abs.twimg.com/images/themes/theme1/bg.png")</f>
        <v>https://abs.twimg.com/images/themes/theme1/bg.png</v>
      </c>
      <c r="AW292" t="b">
        <v>1</v>
      </c>
      <c r="AX292" t="s">
        <v>9303</v>
      </c>
      <c r="AY292" s="79" t="str">
        <f>HYPERLINK("https://twitter.com/_kalyan_k")</f>
        <v>https://twitter.com/_kalyan_k</v>
      </c>
      <c r="AZ292" t="s">
        <v>65</v>
      </c>
      <c r="BA292" s="2"/>
    </row>
    <row r="293" spans="1:53" x14ac:dyDescent="0.45">
      <c r="A293" s="62" t="s">
        <v>1146</v>
      </c>
      <c r="B293" s="63"/>
      <c r="C293" s="63"/>
      <c r="D293" s="64"/>
      <c r="E293" s="66"/>
      <c r="F293" s="98" t="str">
        <f>HYPERLINK("https://pbs.twimg.com/profile_images/1503336650943959041/I6VESsCn_normal.jpg")</f>
        <v>https://pbs.twimg.com/profile_images/1503336650943959041/I6VESsCn_normal.jpg</v>
      </c>
      <c r="G293" s="63"/>
      <c r="H293" s="67"/>
      <c r="I293" s="68"/>
      <c r="J293" s="68"/>
      <c r="K293" s="67" t="s">
        <v>9375</v>
      </c>
      <c r="L293" s="71"/>
      <c r="M293" s="72"/>
      <c r="N293" s="72"/>
      <c r="O293" s="73"/>
      <c r="P293" s="74"/>
      <c r="Q293" s="74"/>
      <c r="R293" s="81"/>
      <c r="S293" s="81"/>
      <c r="T293" s="81"/>
      <c r="U293" s="81"/>
      <c r="V293" s="48"/>
      <c r="W293" s="48"/>
      <c r="X293" s="48"/>
      <c r="Y293" s="48"/>
      <c r="Z293" s="47"/>
      <c r="AA293" s="69"/>
      <c r="AB293" s="69"/>
      <c r="AC293" s="70"/>
      <c r="AD293" t="s">
        <v>5071</v>
      </c>
      <c r="AE293" s="78" t="s">
        <v>6385</v>
      </c>
      <c r="AF293">
        <v>2317</v>
      </c>
      <c r="AG293">
        <v>51723</v>
      </c>
      <c r="AH293">
        <v>38583</v>
      </c>
      <c r="AI293">
        <v>13970</v>
      </c>
      <c r="AK293" t="s">
        <v>7557</v>
      </c>
      <c r="AL293" t="s">
        <v>8722</v>
      </c>
      <c r="AM293" s="79" t="str">
        <f>HYPERLINK("https://t.co/y9qa3Mbrz2")</f>
        <v>https://t.co/y9qa3Mbrz2</v>
      </c>
      <c r="AO293" s="76">
        <v>39756.979317129626</v>
      </c>
      <c r="AP293" s="79" t="str">
        <f>HYPERLINK("https://pbs.twimg.com/profile_banners/17172820/1647258363")</f>
        <v>https://pbs.twimg.com/profile_banners/17172820/1647258363</v>
      </c>
      <c r="AQ293" t="b">
        <v>0</v>
      </c>
      <c r="AR293" t="b">
        <v>0</v>
      </c>
      <c r="AS293" t="b">
        <v>1</v>
      </c>
      <c r="AU293">
        <v>360</v>
      </c>
      <c r="AV293" s="79" t="str">
        <f>HYPERLINK("https://abs.twimg.com/images/themes/theme1/bg.png")</f>
        <v>https://abs.twimg.com/images/themes/theme1/bg.png</v>
      </c>
      <c r="AW293" t="b">
        <v>1</v>
      </c>
      <c r="AX293" t="s">
        <v>9303</v>
      </c>
      <c r="AY293" s="79" t="str">
        <f>HYPERLINK("https://twitter.com/sobeys")</f>
        <v>https://twitter.com/sobeys</v>
      </c>
      <c r="AZ293" t="s">
        <v>65</v>
      </c>
      <c r="BA293" s="2"/>
    </row>
    <row r="294" spans="1:53" x14ac:dyDescent="0.45">
      <c r="A294" s="62" t="s">
        <v>303</v>
      </c>
      <c r="B294" s="63"/>
      <c r="C294" s="63"/>
      <c r="D294" s="64"/>
      <c r="E294" s="66"/>
      <c r="F294" s="98" t="str">
        <f>HYPERLINK("https://pbs.twimg.com/profile_images/1572223192185315328/BGeYmpmF_normal.jpg")</f>
        <v>https://pbs.twimg.com/profile_images/1572223192185315328/BGeYmpmF_normal.jpg</v>
      </c>
      <c r="G294" s="63"/>
      <c r="H294" s="67"/>
      <c r="I294" s="68"/>
      <c r="J294" s="68"/>
      <c r="K294" s="67" t="s">
        <v>9493</v>
      </c>
      <c r="L294" s="71"/>
      <c r="M294" s="72"/>
      <c r="N294" s="72"/>
      <c r="O294" s="73"/>
      <c r="P294" s="74"/>
      <c r="Q294" s="74"/>
      <c r="R294" s="81"/>
      <c r="S294" s="81"/>
      <c r="T294" s="81"/>
      <c r="U294" s="81"/>
      <c r="V294" s="48"/>
      <c r="W294" s="48"/>
      <c r="X294" s="48"/>
      <c r="Y294" s="48"/>
      <c r="Z294" s="47"/>
      <c r="AA294" s="69"/>
      <c r="AB294" s="69"/>
      <c r="AC294" s="70"/>
      <c r="AD294" t="s">
        <v>5187</v>
      </c>
      <c r="AE294" s="78" t="s">
        <v>6482</v>
      </c>
      <c r="AF294">
        <v>37109</v>
      </c>
      <c r="AG294">
        <v>51630</v>
      </c>
      <c r="AH294">
        <v>39938</v>
      </c>
      <c r="AI294">
        <v>17382</v>
      </c>
      <c r="AK294" t="s">
        <v>7658</v>
      </c>
      <c r="AL294" t="s">
        <v>8781</v>
      </c>
      <c r="AM294" s="79" t="str">
        <f>HYPERLINK("https://t.co/gJIuNdZD99")</f>
        <v>https://t.co/gJIuNdZD99</v>
      </c>
      <c r="AO294" s="76">
        <v>41372.701793981483</v>
      </c>
      <c r="AP294" s="79" t="str">
        <f>HYPERLINK("https://pbs.twimg.com/profile_banners/1337085834/1421447343")</f>
        <v>https://pbs.twimg.com/profile_banners/1337085834/1421447343</v>
      </c>
      <c r="AQ294" t="b">
        <v>0</v>
      </c>
      <c r="AR294" t="b">
        <v>0</v>
      </c>
      <c r="AS294" t="b">
        <v>0</v>
      </c>
      <c r="AU294">
        <v>1448</v>
      </c>
      <c r="AV294" s="79" t="str">
        <f>HYPERLINK("https://abs.twimg.com/images/themes/theme1/bg.png")</f>
        <v>https://abs.twimg.com/images/themes/theme1/bg.png</v>
      </c>
      <c r="AW294" t="b">
        <v>0</v>
      </c>
      <c r="AX294" t="s">
        <v>9303</v>
      </c>
      <c r="AY294" s="79" t="str">
        <f>HYPERLINK("https://twitter.com/finmktg")</f>
        <v>https://twitter.com/finmktg</v>
      </c>
      <c r="AZ294" t="s">
        <v>66</v>
      </c>
      <c r="BA294" s="2"/>
    </row>
    <row r="295" spans="1:53" x14ac:dyDescent="0.45">
      <c r="A295" s="62" t="s">
        <v>591</v>
      </c>
      <c r="B295" s="63"/>
      <c r="C295" s="63"/>
      <c r="D295" s="64"/>
      <c r="E295" s="66"/>
      <c r="F295" s="98" t="str">
        <f>HYPERLINK("https://pbs.twimg.com/profile_images/1544291488607178752/EGHccxXS_normal.jpg")</f>
        <v>https://pbs.twimg.com/profile_images/1544291488607178752/EGHccxXS_normal.jpg</v>
      </c>
      <c r="G295" s="63"/>
      <c r="H295" s="67"/>
      <c r="I295" s="68"/>
      <c r="J295" s="68"/>
      <c r="K295" s="67" t="s">
        <v>9889</v>
      </c>
      <c r="L295" s="71"/>
      <c r="M295" s="72"/>
      <c r="N295" s="72"/>
      <c r="O295" s="73"/>
      <c r="P295" s="74"/>
      <c r="Q295" s="74"/>
      <c r="R295" s="81"/>
      <c r="S295" s="81"/>
      <c r="T295" s="81"/>
      <c r="U295" s="81"/>
      <c r="V295" s="48"/>
      <c r="W295" s="48"/>
      <c r="X295" s="48"/>
      <c r="Y295" s="48"/>
      <c r="Z295" s="47"/>
      <c r="AA295" s="69"/>
      <c r="AB295" s="69"/>
      <c r="AC295" s="70"/>
      <c r="AD295" t="s">
        <v>5580</v>
      </c>
      <c r="AE295" s="78" t="s">
        <v>6828</v>
      </c>
      <c r="AF295">
        <v>2475</v>
      </c>
      <c r="AG295">
        <v>49977</v>
      </c>
      <c r="AH295">
        <v>175575</v>
      </c>
      <c r="AI295">
        <v>4393</v>
      </c>
      <c r="AK295" t="s">
        <v>8003</v>
      </c>
      <c r="AL295" t="s">
        <v>8975</v>
      </c>
      <c r="AM295" s="79" t="str">
        <f>HYPERLINK("https://t.co/RhBdip4qiQ")</f>
        <v>https://t.co/RhBdip4qiQ</v>
      </c>
      <c r="AO295" s="76">
        <v>39904.633020833331</v>
      </c>
      <c r="AP295" s="79" t="str">
        <f>HYPERLINK("https://pbs.twimg.com/profile_banners/28123142/1662557850")</f>
        <v>https://pbs.twimg.com/profile_banners/28123142/1662557850</v>
      </c>
      <c r="AQ295" t="b">
        <v>0</v>
      </c>
      <c r="AR295" t="b">
        <v>0</v>
      </c>
      <c r="AS295" t="b">
        <v>1</v>
      </c>
      <c r="AU295">
        <v>460</v>
      </c>
      <c r="AV295" s="79" t="str">
        <f>HYPERLINK("https://abs.twimg.com/images/themes/theme8/bg.gif")</f>
        <v>https://abs.twimg.com/images/themes/theme8/bg.gif</v>
      </c>
      <c r="AW295" t="b">
        <v>1</v>
      </c>
      <c r="AX295" t="s">
        <v>9303</v>
      </c>
      <c r="AY295" s="79" t="str">
        <f>HYPERLINK("https://twitter.com/12newsnow")</f>
        <v>https://twitter.com/12newsnow</v>
      </c>
      <c r="AZ295" t="s">
        <v>66</v>
      </c>
      <c r="BA295" s="2"/>
    </row>
    <row r="296" spans="1:53" x14ac:dyDescent="0.45">
      <c r="A296" s="62" t="s">
        <v>1359</v>
      </c>
      <c r="B296" s="63"/>
      <c r="C296" s="63"/>
      <c r="D296" s="64"/>
      <c r="E296" s="66"/>
      <c r="F296" s="98" t="str">
        <f>HYPERLINK("https://pbs.twimg.com/profile_images/1171529136919048195/cip0mUtb_normal.jpg")</f>
        <v>https://pbs.twimg.com/profile_images/1171529136919048195/cip0mUtb_normal.jpg</v>
      </c>
      <c r="G296" s="63"/>
      <c r="H296" s="67"/>
      <c r="I296" s="68"/>
      <c r="J296" s="68"/>
      <c r="K296" s="67" t="s">
        <v>10115</v>
      </c>
      <c r="L296" s="71"/>
      <c r="M296" s="72"/>
      <c r="N296" s="72"/>
      <c r="O296" s="73"/>
      <c r="P296" s="74"/>
      <c r="Q296" s="74"/>
      <c r="R296" s="81"/>
      <c r="S296" s="81"/>
      <c r="T296" s="81"/>
      <c r="U296" s="81"/>
      <c r="V296" s="48"/>
      <c r="W296" s="48"/>
      <c r="X296" s="48"/>
      <c r="Y296" s="48"/>
      <c r="Z296" s="47"/>
      <c r="AA296" s="69"/>
      <c r="AB296" s="69"/>
      <c r="AC296" s="70"/>
      <c r="AD296" t="s">
        <v>5803</v>
      </c>
      <c r="AE296" s="78" t="s">
        <v>7033</v>
      </c>
      <c r="AF296">
        <v>10460</v>
      </c>
      <c r="AG296">
        <v>49808</v>
      </c>
      <c r="AH296">
        <v>36687</v>
      </c>
      <c r="AI296">
        <v>15458</v>
      </c>
      <c r="AK296" t="s">
        <v>8198</v>
      </c>
      <c r="AM296" s="79" t="str">
        <f>HYPERLINK("https://t.co/niEmdIJRJh")</f>
        <v>https://t.co/niEmdIJRJh</v>
      </c>
      <c r="AO296" s="76">
        <v>39843.551782407405</v>
      </c>
      <c r="AP296" s="79" t="str">
        <f>HYPERLINK("https://pbs.twimg.com/profile_banners/19766494/1552932305")</f>
        <v>https://pbs.twimg.com/profile_banners/19766494/1552932305</v>
      </c>
      <c r="AQ296" t="b">
        <v>0</v>
      </c>
      <c r="AR296" t="b">
        <v>0</v>
      </c>
      <c r="AS296" t="b">
        <v>1</v>
      </c>
      <c r="AU296">
        <v>990</v>
      </c>
      <c r="AV296" s="79" t="str">
        <f>HYPERLINK("https://abs.twimg.com/images/themes/theme1/bg.png")</f>
        <v>https://abs.twimg.com/images/themes/theme1/bg.png</v>
      </c>
      <c r="AW296" t="b">
        <v>0</v>
      </c>
      <c r="AX296" t="s">
        <v>9303</v>
      </c>
      <c r="AY296" s="79" t="str">
        <f>HYPERLINK("https://twitter.com/totalwine")</f>
        <v>https://twitter.com/totalwine</v>
      </c>
      <c r="AZ296" t="s">
        <v>65</v>
      </c>
      <c r="BA296" s="2"/>
    </row>
    <row r="297" spans="1:53" x14ac:dyDescent="0.45">
      <c r="A297" s="62" t="s">
        <v>1466</v>
      </c>
      <c r="B297" s="63"/>
      <c r="C297" s="63"/>
      <c r="D297" s="64"/>
      <c r="E297" s="66"/>
      <c r="F297" s="98" t="str">
        <f>HYPERLINK("https://pbs.twimg.com/profile_images/1421532831839399944/c-Wl32LB_normal.jpg")</f>
        <v>https://pbs.twimg.com/profile_images/1421532831839399944/c-Wl32LB_normal.jpg</v>
      </c>
      <c r="G297" s="63"/>
      <c r="H297" s="67"/>
      <c r="I297" s="68"/>
      <c r="J297" s="68"/>
      <c r="K297" s="67" t="s">
        <v>10413</v>
      </c>
      <c r="L297" s="71"/>
      <c r="M297" s="72"/>
      <c r="N297" s="72"/>
      <c r="O297" s="73"/>
      <c r="P297" s="74"/>
      <c r="Q297" s="74"/>
      <c r="R297" s="81"/>
      <c r="S297" s="81"/>
      <c r="T297" s="81"/>
      <c r="U297" s="81"/>
      <c r="V297" s="48"/>
      <c r="W297" s="48"/>
      <c r="X297" s="48"/>
      <c r="Y297" s="48"/>
      <c r="Z297" s="47"/>
      <c r="AA297" s="69"/>
      <c r="AB297" s="69"/>
      <c r="AC297" s="70"/>
      <c r="AD297" t="s">
        <v>6095</v>
      </c>
      <c r="AE297" s="78" t="s">
        <v>7293</v>
      </c>
      <c r="AF297">
        <v>18266</v>
      </c>
      <c r="AG297">
        <v>49383</v>
      </c>
      <c r="AH297">
        <v>26479</v>
      </c>
      <c r="AI297">
        <v>24738</v>
      </c>
      <c r="AK297" t="s">
        <v>8457</v>
      </c>
      <c r="AL297" t="s">
        <v>4920</v>
      </c>
      <c r="AM297" s="79" t="str">
        <f>HYPERLINK("https://t.co/4CzULp96pM")</f>
        <v>https://t.co/4CzULp96pM</v>
      </c>
      <c r="AO297" s="76">
        <v>42802.205196759256</v>
      </c>
      <c r="AP297" s="79" t="str">
        <f>HYPERLINK("https://pbs.twimg.com/profile_banners/839338759330152453/1662675512")</f>
        <v>https://pbs.twimg.com/profile_banners/839338759330152453/1662675512</v>
      </c>
      <c r="AQ297" t="b">
        <v>0</v>
      </c>
      <c r="AR297" t="b">
        <v>0</v>
      </c>
      <c r="AS297" t="b">
        <v>1</v>
      </c>
      <c r="AU297">
        <v>720</v>
      </c>
      <c r="AV297" s="79" t="str">
        <f>HYPERLINK("https://abs.twimg.com/images/themes/theme1/bg.png")</f>
        <v>https://abs.twimg.com/images/themes/theme1/bg.png</v>
      </c>
      <c r="AW297" t="b">
        <v>0</v>
      </c>
      <c r="AX297" t="s">
        <v>9303</v>
      </c>
      <c r="AY297" s="79" t="str">
        <f>HYPERLINK("https://twitter.com/yuhelenyu")</f>
        <v>https://twitter.com/yuhelenyu</v>
      </c>
      <c r="AZ297" t="s">
        <v>65</v>
      </c>
      <c r="BA297" s="2"/>
    </row>
    <row r="298" spans="1:53" x14ac:dyDescent="0.45">
      <c r="A298" s="62" t="s">
        <v>1440</v>
      </c>
      <c r="B298" s="63"/>
      <c r="C298" s="63"/>
      <c r="D298" s="64"/>
      <c r="E298" s="66"/>
      <c r="F298" s="98" t="str">
        <f>HYPERLINK("https://pbs.twimg.com/profile_images/1620846293017821188/ZCmqltXx_normal.jpg")</f>
        <v>https://pbs.twimg.com/profile_images/1620846293017821188/ZCmqltXx_normal.jpg</v>
      </c>
      <c r="G298" s="63"/>
      <c r="H298" s="67"/>
      <c r="I298" s="68"/>
      <c r="J298" s="68"/>
      <c r="K298" s="67" t="s">
        <v>10349</v>
      </c>
      <c r="L298" s="71"/>
      <c r="M298" s="72"/>
      <c r="N298" s="72"/>
      <c r="O298" s="73"/>
      <c r="P298" s="74"/>
      <c r="Q298" s="74"/>
      <c r="R298" s="81"/>
      <c r="S298" s="81"/>
      <c r="T298" s="81"/>
      <c r="U298" s="81"/>
      <c r="V298" s="48"/>
      <c r="W298" s="48"/>
      <c r="X298" s="48"/>
      <c r="Y298" s="48"/>
      <c r="Z298" s="47"/>
      <c r="AA298" s="69"/>
      <c r="AB298" s="69"/>
      <c r="AC298" s="70"/>
      <c r="AD298" t="s">
        <v>6032</v>
      </c>
      <c r="AE298" s="78" t="s">
        <v>7239</v>
      </c>
      <c r="AF298">
        <v>3609</v>
      </c>
      <c r="AG298">
        <v>49232</v>
      </c>
      <c r="AH298">
        <v>19233</v>
      </c>
      <c r="AI298">
        <v>2152</v>
      </c>
      <c r="AK298" t="s">
        <v>8401</v>
      </c>
      <c r="AL298" t="s">
        <v>8879</v>
      </c>
      <c r="AM298" s="79" t="str">
        <f>HYPERLINK("https://t.co/uXx5i9a95g")</f>
        <v>https://t.co/uXx5i9a95g</v>
      </c>
      <c r="AO298" s="76">
        <v>39805.783055555556</v>
      </c>
      <c r="AP298" s="79" t="str">
        <f>HYPERLINK("https://pbs.twimg.com/profile_banners/18339274/1675272922")</f>
        <v>https://pbs.twimg.com/profile_banners/18339274/1675272922</v>
      </c>
      <c r="AQ298" t="b">
        <v>0</v>
      </c>
      <c r="AR298" t="b">
        <v>0</v>
      </c>
      <c r="AS298" t="b">
        <v>1</v>
      </c>
      <c r="AU298">
        <v>363</v>
      </c>
      <c r="AV298" s="79" t="str">
        <f>HYPERLINK("https://abs.twimg.com/images/themes/theme1/bg.png")</f>
        <v>https://abs.twimg.com/images/themes/theme1/bg.png</v>
      </c>
      <c r="AW298" t="b">
        <v>1</v>
      </c>
      <c r="AX298" t="s">
        <v>9303</v>
      </c>
      <c r="AY298" s="79" t="str">
        <f>HYPERLINK("https://twitter.com/civicscience")</f>
        <v>https://twitter.com/civicscience</v>
      </c>
      <c r="AZ298" t="s">
        <v>65</v>
      </c>
      <c r="BA298" s="2"/>
    </row>
    <row r="299" spans="1:53" x14ac:dyDescent="0.45">
      <c r="A299" s="62" t="s">
        <v>1444</v>
      </c>
      <c r="B299" s="63"/>
      <c r="C299" s="63"/>
      <c r="D299" s="64"/>
      <c r="E299" s="66"/>
      <c r="F299" s="98" t="str">
        <f>HYPERLINK("https://pbs.twimg.com/profile_images/1410629910410977290/wMN7kqy2_normal.jpg")</f>
        <v>https://pbs.twimg.com/profile_images/1410629910410977290/wMN7kqy2_normal.jpg</v>
      </c>
      <c r="G299" s="63"/>
      <c r="H299" s="67"/>
      <c r="I299" s="68"/>
      <c r="J299" s="68"/>
      <c r="K299" s="67" t="s">
        <v>10370</v>
      </c>
      <c r="L299" s="71"/>
      <c r="M299" s="72"/>
      <c r="N299" s="72"/>
      <c r="O299" s="73"/>
      <c r="P299" s="74"/>
      <c r="Q299" s="74"/>
      <c r="R299" s="81"/>
      <c r="S299" s="81"/>
      <c r="T299" s="81"/>
      <c r="U299" s="81"/>
      <c r="V299" s="48"/>
      <c r="W299" s="48"/>
      <c r="X299" s="48"/>
      <c r="Y299" s="48"/>
      <c r="Z299" s="47"/>
      <c r="AA299" s="69"/>
      <c r="AB299" s="69"/>
      <c r="AC299" s="70"/>
      <c r="AD299" t="s">
        <v>6053</v>
      </c>
      <c r="AE299" s="78" t="s">
        <v>7258</v>
      </c>
      <c r="AF299">
        <v>588</v>
      </c>
      <c r="AG299">
        <v>49207</v>
      </c>
      <c r="AH299">
        <v>729</v>
      </c>
      <c r="AI299">
        <v>1702</v>
      </c>
      <c r="AK299" t="s">
        <v>8419</v>
      </c>
      <c r="AL299" t="s">
        <v>8719</v>
      </c>
      <c r="AM299" s="79" t="str">
        <f>HYPERLINK("https://t.co/LXhEVmUaXh")</f>
        <v>https://t.co/LXhEVmUaXh</v>
      </c>
      <c r="AO299" s="76">
        <v>40042.612256944441</v>
      </c>
      <c r="AP299" s="79" t="str">
        <f>HYPERLINK("https://pbs.twimg.com/profile_banners/66368876/1640993501")</f>
        <v>https://pbs.twimg.com/profile_banners/66368876/1640993501</v>
      </c>
      <c r="AQ299" t="b">
        <v>0</v>
      </c>
      <c r="AR299" t="b">
        <v>0</v>
      </c>
      <c r="AS299" t="b">
        <v>1</v>
      </c>
      <c r="AU299">
        <v>603</v>
      </c>
      <c r="AV299" s="79" t="str">
        <f>HYPERLINK("https://abs.twimg.com/images/themes/theme12/bg.gif")</f>
        <v>https://abs.twimg.com/images/themes/theme12/bg.gif</v>
      </c>
      <c r="AW299" t="b">
        <v>1</v>
      </c>
      <c r="AX299" t="s">
        <v>9303</v>
      </c>
      <c r="AY299" s="79" t="str">
        <f>HYPERLINK("https://twitter.com/manhattanda")</f>
        <v>https://twitter.com/manhattanda</v>
      </c>
      <c r="AZ299" t="s">
        <v>65</v>
      </c>
      <c r="BA299" s="2"/>
    </row>
    <row r="300" spans="1:53" x14ac:dyDescent="0.45">
      <c r="A300" s="62" t="s">
        <v>1459</v>
      </c>
      <c r="B300" s="63"/>
      <c r="C300" s="63"/>
      <c r="D300" s="64"/>
      <c r="E300" s="66"/>
      <c r="F300" s="98" t="str">
        <f>HYPERLINK("https://pbs.twimg.com/profile_images/1542902398368325632/0VYV9K7G_normal.jpg")</f>
        <v>https://pbs.twimg.com/profile_images/1542902398368325632/0VYV9K7G_normal.jpg</v>
      </c>
      <c r="G300" s="63"/>
      <c r="H300" s="67"/>
      <c r="I300" s="68"/>
      <c r="J300" s="68"/>
      <c r="K300" s="67" t="s">
        <v>10401</v>
      </c>
      <c r="L300" s="71"/>
      <c r="M300" s="72"/>
      <c r="N300" s="72"/>
      <c r="O300" s="73"/>
      <c r="P300" s="74"/>
      <c r="Q300" s="74"/>
      <c r="R300" s="81"/>
      <c r="S300" s="81"/>
      <c r="T300" s="81"/>
      <c r="U300" s="81"/>
      <c r="V300" s="48"/>
      <c r="W300" s="48"/>
      <c r="X300" s="48"/>
      <c r="Y300" s="48"/>
      <c r="Z300" s="47"/>
      <c r="AA300" s="69"/>
      <c r="AB300" s="69"/>
      <c r="AC300" s="70"/>
      <c r="AD300" t="s">
        <v>6083</v>
      </c>
      <c r="AE300" s="78" t="s">
        <v>7284</v>
      </c>
      <c r="AF300">
        <v>2744</v>
      </c>
      <c r="AG300">
        <v>49116</v>
      </c>
      <c r="AH300">
        <v>29463</v>
      </c>
      <c r="AI300">
        <v>14015</v>
      </c>
      <c r="AK300" t="s">
        <v>8445</v>
      </c>
      <c r="AL300" t="s">
        <v>9201</v>
      </c>
      <c r="AM300" s="79" t="str">
        <f>HYPERLINK("https://t.co/53w2mg1rOU")</f>
        <v>https://t.co/53w2mg1rOU</v>
      </c>
      <c r="AO300" s="76">
        <v>39847.786238425928</v>
      </c>
      <c r="AP300" s="79" t="str">
        <f>HYPERLINK("https://pbs.twimg.com/profile_banners/19992977/1645803554")</f>
        <v>https://pbs.twimg.com/profile_banners/19992977/1645803554</v>
      </c>
      <c r="AQ300" t="b">
        <v>0</v>
      </c>
      <c r="AR300" t="b">
        <v>0</v>
      </c>
      <c r="AS300" t="b">
        <v>1</v>
      </c>
      <c r="AU300">
        <v>1003</v>
      </c>
      <c r="AV300" s="79" t="str">
        <f>HYPERLINK("https://abs.twimg.com/images/themes/theme1/bg.png")</f>
        <v>https://abs.twimg.com/images/themes/theme1/bg.png</v>
      </c>
      <c r="AW300" t="b">
        <v>1</v>
      </c>
      <c r="AX300" t="s">
        <v>9303</v>
      </c>
      <c r="AY300" s="79" t="str">
        <f>HYPERLINK("https://twitter.com/adp")</f>
        <v>https://twitter.com/adp</v>
      </c>
      <c r="AZ300" t="s">
        <v>65</v>
      </c>
      <c r="BA300" s="2"/>
    </row>
    <row r="301" spans="1:53" x14ac:dyDescent="0.45">
      <c r="A301" s="62" t="s">
        <v>585</v>
      </c>
      <c r="B301" s="63"/>
      <c r="C301" s="63"/>
      <c r="D301" s="64"/>
      <c r="E301" s="66"/>
      <c r="F301" s="98" t="str">
        <f>HYPERLINK("https://pbs.twimg.com/profile_images/1271450526425677824/np8YNnn0_normal.jpg")</f>
        <v>https://pbs.twimg.com/profile_images/1271450526425677824/np8YNnn0_normal.jpg</v>
      </c>
      <c r="G301" s="63"/>
      <c r="H301" s="67"/>
      <c r="I301" s="68"/>
      <c r="J301" s="68"/>
      <c r="K301" s="67" t="s">
        <v>9883</v>
      </c>
      <c r="L301" s="71"/>
      <c r="M301" s="72"/>
      <c r="N301" s="72"/>
      <c r="O301" s="73"/>
      <c r="P301" s="74"/>
      <c r="Q301" s="74"/>
      <c r="R301" s="81"/>
      <c r="S301" s="81"/>
      <c r="T301" s="81"/>
      <c r="U301" s="81"/>
      <c r="V301" s="48"/>
      <c r="W301" s="48"/>
      <c r="X301" s="48"/>
      <c r="Y301" s="48"/>
      <c r="Z301" s="47"/>
      <c r="AA301" s="69"/>
      <c r="AB301" s="69"/>
      <c r="AC301" s="70"/>
      <c r="AD301" t="s">
        <v>5574</v>
      </c>
      <c r="AE301" s="78" t="s">
        <v>6822</v>
      </c>
      <c r="AF301">
        <v>791</v>
      </c>
      <c r="AG301">
        <v>49101</v>
      </c>
      <c r="AH301">
        <v>134356</v>
      </c>
      <c r="AI301">
        <v>907</v>
      </c>
      <c r="AK301" t="s">
        <v>7997</v>
      </c>
      <c r="AL301" t="s">
        <v>8970</v>
      </c>
      <c r="AM301" s="79" t="str">
        <f>HYPERLINK("https://t.co/J9Lf0hMaMF")</f>
        <v>https://t.co/J9Lf0hMaMF</v>
      </c>
      <c r="AO301" s="76">
        <v>39884.702511574076</v>
      </c>
      <c r="AP301" s="79" t="str">
        <f>HYPERLINK("https://pbs.twimg.com/profile_banners/23981681/1628699269")</f>
        <v>https://pbs.twimg.com/profile_banners/23981681/1628699269</v>
      </c>
      <c r="AQ301" t="b">
        <v>0</v>
      </c>
      <c r="AR301" t="b">
        <v>0</v>
      </c>
      <c r="AS301" t="b">
        <v>1</v>
      </c>
      <c r="AU301">
        <v>468</v>
      </c>
      <c r="AV301" s="79" t="str">
        <f>HYPERLINK("https://abs.twimg.com/images/themes/theme15/bg.png")</f>
        <v>https://abs.twimg.com/images/themes/theme15/bg.png</v>
      </c>
      <c r="AW301" t="b">
        <v>1</v>
      </c>
      <c r="AX301" t="s">
        <v>9303</v>
      </c>
      <c r="AY301" s="79" t="str">
        <f>HYPERLINK("https://twitter.com/wqad")</f>
        <v>https://twitter.com/wqad</v>
      </c>
      <c r="AZ301" t="s">
        <v>66</v>
      </c>
      <c r="BA301" s="2"/>
    </row>
    <row r="302" spans="1:53" x14ac:dyDescent="0.45">
      <c r="A302" s="62" t="s">
        <v>1052</v>
      </c>
      <c r="B302" s="63"/>
      <c r="C302" s="63"/>
      <c r="D302" s="64"/>
      <c r="E302" s="66"/>
      <c r="F302" s="98" t="str">
        <f>HYPERLINK("https://pbs.twimg.com/profile_images/890682765493981184/0D6M-XGk_normal.jpg")</f>
        <v>https://pbs.twimg.com/profile_images/890682765493981184/0D6M-XGk_normal.jpg</v>
      </c>
      <c r="G302" s="63"/>
      <c r="H302" s="67"/>
      <c r="I302" s="68"/>
      <c r="J302" s="68"/>
      <c r="K302" s="67" t="s">
        <v>10566</v>
      </c>
      <c r="L302" s="71"/>
      <c r="M302" s="72"/>
      <c r="N302" s="72"/>
      <c r="O302" s="73"/>
      <c r="P302" s="74"/>
      <c r="Q302" s="74"/>
      <c r="R302" s="81"/>
      <c r="S302" s="81"/>
      <c r="T302" s="81"/>
      <c r="U302" s="81"/>
      <c r="V302" s="48"/>
      <c r="W302" s="48"/>
      <c r="X302" s="48"/>
      <c r="Y302" s="48"/>
      <c r="Z302" s="47"/>
      <c r="AA302" s="69"/>
      <c r="AB302" s="69"/>
      <c r="AC302" s="70"/>
      <c r="AD302" t="s">
        <v>6244</v>
      </c>
      <c r="AE302" s="78" t="s">
        <v>4811</v>
      </c>
      <c r="AF302">
        <v>1091</v>
      </c>
      <c r="AG302">
        <v>48950</v>
      </c>
      <c r="AH302">
        <v>26288</v>
      </c>
      <c r="AI302">
        <v>26240</v>
      </c>
      <c r="AK302" t="s">
        <v>8591</v>
      </c>
      <c r="AL302" t="s">
        <v>9262</v>
      </c>
      <c r="AM302" s="79" t="str">
        <f>HYPERLINK("https://t.co/pWGoQFiHUV")</f>
        <v>https://t.co/pWGoQFiHUV</v>
      </c>
      <c r="AO302" s="76">
        <v>39919.189930555556</v>
      </c>
      <c r="AP302" s="79" t="str">
        <f>HYPERLINK("https://pbs.twimg.com/profile_banners/31644477/1661669358")</f>
        <v>https://pbs.twimg.com/profile_banners/31644477/1661669358</v>
      </c>
      <c r="AQ302" t="b">
        <v>0</v>
      </c>
      <c r="AR302" t="b">
        <v>0</v>
      </c>
      <c r="AS302" t="b">
        <v>1</v>
      </c>
      <c r="AU302">
        <v>332</v>
      </c>
      <c r="AV302" s="79" t="str">
        <f>HYPERLINK("https://abs.twimg.com/images/themes/theme1/bg.png")</f>
        <v>https://abs.twimg.com/images/themes/theme1/bg.png</v>
      </c>
      <c r="AW302" t="b">
        <v>0</v>
      </c>
      <c r="AX302" t="s">
        <v>9303</v>
      </c>
      <c r="AY302" s="79" t="str">
        <f>HYPERLINK("https://twitter.com/whytmanga")</f>
        <v>https://twitter.com/whytmanga</v>
      </c>
      <c r="AZ302" t="s">
        <v>66</v>
      </c>
      <c r="BA302" s="2"/>
    </row>
    <row r="303" spans="1:53" x14ac:dyDescent="0.45">
      <c r="A303" s="62" t="s">
        <v>1124</v>
      </c>
      <c r="B303" s="63"/>
      <c r="C303" s="63"/>
      <c r="D303" s="64"/>
      <c r="E303" s="66"/>
      <c r="F303" s="98" t="str">
        <f>HYPERLINK("https://pbs.twimg.com/profile_images/1416761190815047681/p-2nLUp__normal.jpg")</f>
        <v>https://pbs.twimg.com/profile_images/1416761190815047681/p-2nLUp__normal.jpg</v>
      </c>
      <c r="G303" s="63"/>
      <c r="H303" s="67"/>
      <c r="I303" s="68"/>
      <c r="J303" s="68"/>
      <c r="K303" s="67" t="s">
        <v>9341</v>
      </c>
      <c r="L303" s="71"/>
      <c r="M303" s="72"/>
      <c r="N303" s="72"/>
      <c r="O303" s="73"/>
      <c r="P303" s="74"/>
      <c r="Q303" s="74"/>
      <c r="R303" s="81"/>
      <c r="S303" s="81"/>
      <c r="T303" s="81"/>
      <c r="U303" s="81"/>
      <c r="V303" s="48"/>
      <c r="W303" s="48"/>
      <c r="X303" s="48"/>
      <c r="Y303" s="48"/>
      <c r="Z303" s="47"/>
      <c r="AA303" s="69"/>
      <c r="AB303" s="69"/>
      <c r="AC303" s="70"/>
      <c r="AD303" t="s">
        <v>5037</v>
      </c>
      <c r="AE303" s="78" t="s">
        <v>6355</v>
      </c>
      <c r="AF303">
        <v>22720</v>
      </c>
      <c r="AG303">
        <v>46288</v>
      </c>
      <c r="AH303">
        <v>37600</v>
      </c>
      <c r="AI303">
        <v>9810</v>
      </c>
      <c r="AK303" t="s">
        <v>7525</v>
      </c>
      <c r="AM303" s="79" t="str">
        <f>HYPERLINK("https://t.co/9VvqoJuYFi")</f>
        <v>https://t.co/9VvqoJuYFi</v>
      </c>
      <c r="AO303" s="76">
        <v>42527.399942129632</v>
      </c>
      <c r="AP303" s="79" t="str">
        <f>HYPERLINK("https://pbs.twimg.com/profile_banners/739752670752346112/1499194315")</f>
        <v>https://pbs.twimg.com/profile_banners/739752670752346112/1499194315</v>
      </c>
      <c r="AQ303" t="b">
        <v>0</v>
      </c>
      <c r="AR303" t="b">
        <v>0</v>
      </c>
      <c r="AS303" t="b">
        <v>1</v>
      </c>
      <c r="AU303">
        <v>583</v>
      </c>
      <c r="AV303" s="79" t="str">
        <f>HYPERLINK("https://abs.twimg.com/images/themes/theme1/bg.png")</f>
        <v>https://abs.twimg.com/images/themes/theme1/bg.png</v>
      </c>
      <c r="AW303" t="b">
        <v>0</v>
      </c>
      <c r="AX303" t="s">
        <v>9303</v>
      </c>
      <c r="AY303" s="79" t="str">
        <f>HYPERLINK("https://twitter.com/damien_cabadi")</f>
        <v>https://twitter.com/damien_cabadi</v>
      </c>
      <c r="AZ303" t="s">
        <v>65</v>
      </c>
      <c r="BA303" s="2"/>
    </row>
    <row r="304" spans="1:53" x14ac:dyDescent="0.45">
      <c r="A304" s="62" t="s">
        <v>1407</v>
      </c>
      <c r="B304" s="63"/>
      <c r="C304" s="63"/>
      <c r="D304" s="64"/>
      <c r="E304" s="66"/>
      <c r="F304" s="98" t="str">
        <f>HYPERLINK("https://pbs.twimg.com/profile_images/1538690380282986496/WnmK9e6v_normal.jpg")</f>
        <v>https://pbs.twimg.com/profile_images/1538690380282986496/WnmK9e6v_normal.jpg</v>
      </c>
      <c r="G304" s="63"/>
      <c r="H304" s="67"/>
      <c r="I304" s="68"/>
      <c r="J304" s="68"/>
      <c r="K304" s="67" t="s">
        <v>10268</v>
      </c>
      <c r="L304" s="71"/>
      <c r="M304" s="72"/>
      <c r="N304" s="72"/>
      <c r="O304" s="73"/>
      <c r="P304" s="74"/>
      <c r="Q304" s="74"/>
      <c r="R304" s="81"/>
      <c r="S304" s="81"/>
      <c r="T304" s="81"/>
      <c r="U304" s="81"/>
      <c r="V304" s="48"/>
      <c r="W304" s="48"/>
      <c r="X304" s="48"/>
      <c r="Y304" s="48"/>
      <c r="Z304" s="47"/>
      <c r="AA304" s="69"/>
      <c r="AB304" s="69"/>
      <c r="AC304" s="70"/>
      <c r="AD304" t="s">
        <v>5951</v>
      </c>
      <c r="AE304" s="78" t="s">
        <v>4762</v>
      </c>
      <c r="AF304">
        <v>21943</v>
      </c>
      <c r="AG304">
        <v>45661</v>
      </c>
      <c r="AH304">
        <v>38983</v>
      </c>
      <c r="AI304">
        <v>151267</v>
      </c>
      <c r="AK304" t="s">
        <v>8329</v>
      </c>
      <c r="AM304" s="79" t="str">
        <f>HYPERLINK("https://t.co/KvgPSEzmVh")</f>
        <v>https://t.co/KvgPSEzmVh</v>
      </c>
      <c r="AO304" s="76">
        <v>41137.751886574071</v>
      </c>
      <c r="AP304" s="79" t="str">
        <f>HYPERLINK("https://pbs.twimg.com/profile_banners/762024240/1671026170")</f>
        <v>https://pbs.twimg.com/profile_banners/762024240/1671026170</v>
      </c>
      <c r="AQ304" t="b">
        <v>0</v>
      </c>
      <c r="AR304" t="b">
        <v>0</v>
      </c>
      <c r="AS304" t="b">
        <v>1</v>
      </c>
      <c r="AU304">
        <v>89</v>
      </c>
      <c r="AV304" s="79" t="str">
        <f>HYPERLINK("https://abs.twimg.com/images/themes/theme1/bg.png")</f>
        <v>https://abs.twimg.com/images/themes/theme1/bg.png</v>
      </c>
      <c r="AW304" t="b">
        <v>0</v>
      </c>
      <c r="AX304" t="s">
        <v>9303</v>
      </c>
      <c r="AY304" s="79" t="str">
        <f>HYPERLINK("https://twitter.com/remasculate")</f>
        <v>https://twitter.com/remasculate</v>
      </c>
      <c r="AZ304" t="s">
        <v>65</v>
      </c>
      <c r="BA304" s="2"/>
    </row>
    <row r="305" spans="1:53" x14ac:dyDescent="0.45">
      <c r="A305" s="62" t="s">
        <v>1497</v>
      </c>
      <c r="B305" s="63"/>
      <c r="C305" s="63"/>
      <c r="D305" s="64"/>
      <c r="E305" s="66"/>
      <c r="F305" s="98" t="str">
        <f>HYPERLINK("https://pbs.twimg.com/profile_images/934906424/GOGLOGO_700dpi_normal.jpg")</f>
        <v>https://pbs.twimg.com/profile_images/934906424/GOGLOGO_700dpi_normal.jpg</v>
      </c>
      <c r="G305" s="63"/>
      <c r="H305" s="67"/>
      <c r="I305" s="68"/>
      <c r="J305" s="68"/>
      <c r="K305" s="67" t="s">
        <v>10504</v>
      </c>
      <c r="L305" s="71"/>
      <c r="M305" s="72"/>
      <c r="N305" s="72"/>
      <c r="O305" s="73"/>
      <c r="P305" s="74"/>
      <c r="Q305" s="74"/>
      <c r="R305" s="81"/>
      <c r="S305" s="81"/>
      <c r="T305" s="81"/>
      <c r="U305" s="81"/>
      <c r="V305" s="48"/>
      <c r="W305" s="48"/>
      <c r="X305" s="48"/>
      <c r="Y305" s="48"/>
      <c r="Z305" s="47"/>
      <c r="AA305" s="69"/>
      <c r="AB305" s="69"/>
      <c r="AC305" s="70"/>
      <c r="AD305" t="s">
        <v>6182</v>
      </c>
      <c r="AE305" s="78" t="s">
        <v>7366</v>
      </c>
      <c r="AF305">
        <v>1511</v>
      </c>
      <c r="AG305">
        <v>45430</v>
      </c>
      <c r="AH305">
        <v>6556</v>
      </c>
      <c r="AI305">
        <v>4507</v>
      </c>
      <c r="AK305" t="s">
        <v>8538</v>
      </c>
      <c r="AL305" t="s">
        <v>9235</v>
      </c>
      <c r="AM305" s="79" t="str">
        <f>HYPERLINK("https://t.co/dYlPUVT5w8")</f>
        <v>https://t.co/dYlPUVT5w8</v>
      </c>
      <c r="AO305" s="76">
        <v>40325.420405092591</v>
      </c>
      <c r="AP305" s="79" t="str">
        <f>HYPERLINK("https://pbs.twimg.com/profile_banners/148683630/1660478971")</f>
        <v>https://pbs.twimg.com/profile_banners/148683630/1660478971</v>
      </c>
      <c r="AQ305" t="b">
        <v>0</v>
      </c>
      <c r="AR305" t="b">
        <v>0</v>
      </c>
      <c r="AS305" t="b">
        <v>1</v>
      </c>
      <c r="AU305">
        <v>115</v>
      </c>
      <c r="AV305" s="79" t="str">
        <f>HYPERLINK("https://abs.twimg.com/images/themes/theme4/bg.gif")</f>
        <v>https://abs.twimg.com/images/themes/theme4/bg.gif</v>
      </c>
      <c r="AW305" t="b">
        <v>1</v>
      </c>
      <c r="AX305" t="s">
        <v>9303</v>
      </c>
      <c r="AY305" s="79" t="str">
        <f>HYPERLINK("https://twitter.com/giftofthegivers")</f>
        <v>https://twitter.com/giftofthegivers</v>
      </c>
      <c r="AZ305" t="s">
        <v>65</v>
      </c>
      <c r="BA305" s="2"/>
    </row>
    <row r="306" spans="1:53" x14ac:dyDescent="0.45">
      <c r="A306" s="62" t="s">
        <v>566</v>
      </c>
      <c r="B306" s="63"/>
      <c r="C306" s="63"/>
      <c r="D306" s="64"/>
      <c r="E306" s="66"/>
      <c r="F306" s="98" t="str">
        <f>HYPERLINK("https://pbs.twimg.com/profile_images/1405691351296057351/1Bru-lYk_normal.jpg")</f>
        <v>https://pbs.twimg.com/profile_images/1405691351296057351/1Bru-lYk_normal.jpg</v>
      </c>
      <c r="G306" s="63"/>
      <c r="H306" s="67"/>
      <c r="I306" s="68"/>
      <c r="J306" s="68"/>
      <c r="K306" s="67" t="s">
        <v>9864</v>
      </c>
      <c r="L306" s="71"/>
      <c r="M306" s="72"/>
      <c r="N306" s="72"/>
      <c r="O306" s="73"/>
      <c r="P306" s="74"/>
      <c r="Q306" s="74"/>
      <c r="R306" s="81"/>
      <c r="S306" s="81"/>
      <c r="T306" s="81"/>
      <c r="U306" s="81"/>
      <c r="V306" s="48"/>
      <c r="W306" s="48"/>
      <c r="X306" s="48"/>
      <c r="Y306" s="48"/>
      <c r="Z306" s="47"/>
      <c r="AA306" s="69"/>
      <c r="AB306" s="69"/>
      <c r="AC306" s="70"/>
      <c r="AD306" t="s">
        <v>5555</v>
      </c>
      <c r="AE306" s="78" t="s">
        <v>6803</v>
      </c>
      <c r="AF306">
        <v>778</v>
      </c>
      <c r="AG306">
        <v>45170</v>
      </c>
      <c r="AH306">
        <v>125467</v>
      </c>
      <c r="AI306">
        <v>2213</v>
      </c>
      <c r="AK306" t="s">
        <v>7978</v>
      </c>
      <c r="AL306" t="s">
        <v>8957</v>
      </c>
      <c r="AM306" s="79" t="str">
        <f>HYPERLINK("https://t.co/aFpIUZHY41")</f>
        <v>https://t.co/aFpIUZHY41</v>
      </c>
      <c r="AO306" s="76">
        <v>40007.818379629629</v>
      </c>
      <c r="AP306" s="79" t="str">
        <f>HYPERLINK("https://pbs.twimg.com/profile_banners/56470183/1639776503")</f>
        <v>https://pbs.twimg.com/profile_banners/56470183/1639776503</v>
      </c>
      <c r="AQ306" t="b">
        <v>0</v>
      </c>
      <c r="AR306" t="b">
        <v>0</v>
      </c>
      <c r="AS306" t="b">
        <v>1</v>
      </c>
      <c r="AU306">
        <v>497</v>
      </c>
      <c r="AV306" s="79" t="str">
        <f>HYPERLINK("https://abs.twimg.com/images/themes/theme15/bg.png")</f>
        <v>https://abs.twimg.com/images/themes/theme15/bg.png</v>
      </c>
      <c r="AW306" t="b">
        <v>1</v>
      </c>
      <c r="AX306" t="s">
        <v>9303</v>
      </c>
      <c r="AY306" s="79" t="str">
        <f>HYPERLINK("https://twitter.com/6newsctx")</f>
        <v>https://twitter.com/6newsctx</v>
      </c>
      <c r="AZ306" t="s">
        <v>66</v>
      </c>
      <c r="BA306" s="2"/>
    </row>
    <row r="307" spans="1:53" x14ac:dyDescent="0.45">
      <c r="A307" s="62" t="s">
        <v>844</v>
      </c>
      <c r="B307" s="63"/>
      <c r="C307" s="63"/>
      <c r="D307" s="64"/>
      <c r="E307" s="66"/>
      <c r="F307" s="98" t="str">
        <f>HYPERLINK("https://pbs.twimg.com/profile_images/1223207324292124672/7eQR339Z_normal.jpg")</f>
        <v>https://pbs.twimg.com/profile_images/1223207324292124672/7eQR339Z_normal.jpg</v>
      </c>
      <c r="G307" s="63"/>
      <c r="H307" s="67"/>
      <c r="I307" s="68"/>
      <c r="J307" s="68"/>
      <c r="K307" s="67" t="s">
        <v>10239</v>
      </c>
      <c r="L307" s="71"/>
      <c r="M307" s="72"/>
      <c r="N307" s="72"/>
      <c r="O307" s="73"/>
      <c r="P307" s="74"/>
      <c r="Q307" s="74"/>
      <c r="R307" s="81"/>
      <c r="S307" s="81"/>
      <c r="T307" s="81"/>
      <c r="U307" s="81"/>
      <c r="V307" s="48"/>
      <c r="W307" s="48"/>
      <c r="X307" s="48"/>
      <c r="Y307" s="48"/>
      <c r="Z307" s="47"/>
      <c r="AA307" s="69"/>
      <c r="AB307" s="69"/>
      <c r="AC307" s="70"/>
      <c r="AD307" t="s">
        <v>5923</v>
      </c>
      <c r="AE307" s="78" t="s">
        <v>7139</v>
      </c>
      <c r="AF307">
        <v>28982</v>
      </c>
      <c r="AG307">
        <v>44902</v>
      </c>
      <c r="AH307">
        <v>88525</v>
      </c>
      <c r="AI307">
        <v>17257</v>
      </c>
      <c r="AK307" t="s">
        <v>8304</v>
      </c>
      <c r="AL307" t="s">
        <v>4919</v>
      </c>
      <c r="AO307" s="76">
        <v>40303.316874999997</v>
      </c>
      <c r="AP307" s="79" t="str">
        <f>HYPERLINK("https://pbs.twimg.com/profile_banners/140342841/1588857412")</f>
        <v>https://pbs.twimg.com/profile_banners/140342841/1588857412</v>
      </c>
      <c r="AQ307" t="b">
        <v>0</v>
      </c>
      <c r="AR307" t="b">
        <v>0</v>
      </c>
      <c r="AS307" t="b">
        <v>1</v>
      </c>
      <c r="AU307">
        <v>260</v>
      </c>
      <c r="AV307" s="79" t="str">
        <f>HYPERLINK("https://abs.twimg.com/images/themes/theme14/bg.gif")</f>
        <v>https://abs.twimg.com/images/themes/theme14/bg.gif</v>
      </c>
      <c r="AW307" t="b">
        <v>0</v>
      </c>
      <c r="AX307" t="s">
        <v>9303</v>
      </c>
      <c r="AY307" s="79" t="str">
        <f>HYPERLINK("https://twitter.com/woodyfmartin")</f>
        <v>https://twitter.com/woodyfmartin</v>
      </c>
      <c r="AZ307" t="s">
        <v>66</v>
      </c>
      <c r="BA307" s="2"/>
    </row>
    <row r="308" spans="1:53" x14ac:dyDescent="0.45">
      <c r="A308" s="62" t="s">
        <v>1425</v>
      </c>
      <c r="B308" s="63"/>
      <c r="C308" s="63"/>
      <c r="D308" s="64"/>
      <c r="E308" s="66"/>
      <c r="F308" s="98" t="str">
        <f>HYPERLINK("https://pbs.twimg.com/profile_images/1107629430686388226/H9JzV0XN_normal.png")</f>
        <v>https://pbs.twimg.com/profile_images/1107629430686388226/H9JzV0XN_normal.png</v>
      </c>
      <c r="G308" s="63"/>
      <c r="H308" s="67"/>
      <c r="I308" s="68"/>
      <c r="J308" s="68"/>
      <c r="K308" s="67" t="s">
        <v>10316</v>
      </c>
      <c r="L308" s="71"/>
      <c r="M308" s="72"/>
      <c r="N308" s="72"/>
      <c r="O308" s="73"/>
      <c r="P308" s="74"/>
      <c r="Q308" s="74"/>
      <c r="R308" s="81"/>
      <c r="S308" s="81"/>
      <c r="T308" s="81"/>
      <c r="U308" s="81"/>
      <c r="V308" s="48"/>
      <c r="W308" s="48"/>
      <c r="X308" s="48"/>
      <c r="Y308" s="48"/>
      <c r="Z308" s="47"/>
      <c r="AA308" s="69"/>
      <c r="AB308" s="69"/>
      <c r="AC308" s="70"/>
      <c r="AD308" t="s">
        <v>5999</v>
      </c>
      <c r="AE308" s="78" t="s">
        <v>7207</v>
      </c>
      <c r="AF308">
        <v>1142</v>
      </c>
      <c r="AG308">
        <v>44726</v>
      </c>
      <c r="AH308">
        <v>7224</v>
      </c>
      <c r="AI308">
        <v>5050</v>
      </c>
      <c r="AK308" t="s">
        <v>8373</v>
      </c>
      <c r="AM308" s="79" t="str">
        <f>HYPERLINK("http://t.co/UI8jd4ybOI")</f>
        <v>http://t.co/UI8jd4ybOI</v>
      </c>
      <c r="AO308" s="76">
        <v>40695.721875000003</v>
      </c>
      <c r="AP308" s="79" t="str">
        <f>HYPERLINK("https://pbs.twimg.com/profile_banners/309176758/1600085046")</f>
        <v>https://pbs.twimg.com/profile_banners/309176758/1600085046</v>
      </c>
      <c r="AQ308" t="b">
        <v>1</v>
      </c>
      <c r="AR308" t="b">
        <v>0</v>
      </c>
      <c r="AS308" t="b">
        <v>1</v>
      </c>
      <c r="AU308">
        <v>117</v>
      </c>
      <c r="AV308" s="79" t="str">
        <f>HYPERLINK("https://abs.twimg.com/images/themes/theme1/bg.png")</f>
        <v>https://abs.twimg.com/images/themes/theme1/bg.png</v>
      </c>
      <c r="AW308" t="b">
        <v>1</v>
      </c>
      <c r="AX308" t="s">
        <v>9303</v>
      </c>
      <c r="AY308" s="79" t="str">
        <f>HYPERLINK("https://twitter.com/headshoulders")</f>
        <v>https://twitter.com/headshoulders</v>
      </c>
      <c r="AZ308" t="s">
        <v>65</v>
      </c>
      <c r="BA308" s="2"/>
    </row>
    <row r="309" spans="1:53" x14ac:dyDescent="0.45">
      <c r="A309" s="62" t="s">
        <v>918</v>
      </c>
      <c r="B309" s="63"/>
      <c r="C309" s="63"/>
      <c r="D309" s="64"/>
      <c r="E309" s="66"/>
      <c r="F309" s="98" t="str">
        <f>HYPERLINK("https://pbs.twimg.com/profile_images/1595200227874480128/veZ_B-z7_normal.jpg")</f>
        <v>https://pbs.twimg.com/profile_images/1595200227874480128/veZ_B-z7_normal.jpg</v>
      </c>
      <c r="G309" s="63"/>
      <c r="H309" s="67"/>
      <c r="I309" s="68"/>
      <c r="J309" s="68"/>
      <c r="K309" s="67" t="s">
        <v>10319</v>
      </c>
      <c r="L309" s="71"/>
      <c r="M309" s="72"/>
      <c r="N309" s="72"/>
      <c r="O309" s="73"/>
      <c r="P309" s="74"/>
      <c r="Q309" s="74"/>
      <c r="R309" s="81"/>
      <c r="S309" s="81"/>
      <c r="T309" s="81"/>
      <c r="U309" s="81"/>
      <c r="V309" s="48"/>
      <c r="W309" s="48"/>
      <c r="X309" s="48"/>
      <c r="Y309" s="48"/>
      <c r="Z309" s="47"/>
      <c r="AA309" s="69"/>
      <c r="AB309" s="69"/>
      <c r="AC309" s="70"/>
      <c r="AD309" t="s">
        <v>6002</v>
      </c>
      <c r="AE309" s="78" t="s">
        <v>7210</v>
      </c>
      <c r="AF309">
        <v>162</v>
      </c>
      <c r="AG309">
        <v>44549</v>
      </c>
      <c r="AH309">
        <v>9897</v>
      </c>
      <c r="AI309">
        <v>10649</v>
      </c>
      <c r="AK309" t="s">
        <v>8375</v>
      </c>
      <c r="AL309" t="s">
        <v>4924</v>
      </c>
      <c r="AM309" s="79" t="str">
        <f>HYPERLINK("https://t.co/oY1fQqHMZM")</f>
        <v>https://t.co/oY1fQqHMZM</v>
      </c>
      <c r="AO309" s="76">
        <v>41634.799837962964</v>
      </c>
      <c r="AP309" s="79" t="str">
        <f>HYPERLINK("https://pbs.twimg.com/profile_banners/2263221146/1671476939")</f>
        <v>https://pbs.twimg.com/profile_banners/2263221146/1671476939</v>
      </c>
      <c r="AQ309" t="b">
        <v>0</v>
      </c>
      <c r="AR309" t="b">
        <v>0</v>
      </c>
      <c r="AS309" t="b">
        <v>1</v>
      </c>
      <c r="AU309">
        <v>51</v>
      </c>
      <c r="AV309" s="79" t="str">
        <f>HYPERLINK("https://abs.twimg.com/images/themes/theme14/bg.gif")</f>
        <v>https://abs.twimg.com/images/themes/theme14/bg.gif</v>
      </c>
      <c r="AW309" t="b">
        <v>1</v>
      </c>
      <c r="AX309" t="s">
        <v>9303</v>
      </c>
      <c r="AY309" s="79" t="str">
        <f>HYPERLINK("https://twitter.com/thecremeshop")</f>
        <v>https://twitter.com/thecremeshop</v>
      </c>
      <c r="AZ309" t="s">
        <v>66</v>
      </c>
      <c r="BA309" s="2"/>
    </row>
    <row r="310" spans="1:53" x14ac:dyDescent="0.45">
      <c r="A310" s="62" t="s">
        <v>821</v>
      </c>
      <c r="B310" s="63"/>
      <c r="C310" s="63"/>
      <c r="D310" s="64"/>
      <c r="E310" s="66"/>
      <c r="F310" s="98" t="str">
        <f>HYPERLINK("https://pbs.twimg.com/profile_images/858088924899663872/6bhNyhri_normal.jpg")</f>
        <v>https://pbs.twimg.com/profile_images/858088924899663872/6bhNyhri_normal.jpg</v>
      </c>
      <c r="G310" s="63"/>
      <c r="H310" s="67"/>
      <c r="I310" s="68"/>
      <c r="J310" s="68"/>
      <c r="K310" s="67" t="s">
        <v>10146</v>
      </c>
      <c r="L310" s="71"/>
      <c r="M310" s="72"/>
      <c r="N310" s="72"/>
      <c r="O310" s="73"/>
      <c r="P310" s="74"/>
      <c r="Q310" s="74"/>
      <c r="R310" s="81"/>
      <c r="S310" s="81"/>
      <c r="T310" s="81"/>
      <c r="U310" s="81"/>
      <c r="V310" s="48"/>
      <c r="W310" s="48"/>
      <c r="X310" s="48"/>
      <c r="Y310" s="48"/>
      <c r="Z310" s="47"/>
      <c r="AA310" s="69"/>
      <c r="AB310" s="69"/>
      <c r="AC310" s="70"/>
      <c r="AD310" t="s">
        <v>821</v>
      </c>
      <c r="AE310" s="78" t="s">
        <v>7058</v>
      </c>
      <c r="AF310">
        <v>17351</v>
      </c>
      <c r="AG310">
        <v>44444</v>
      </c>
      <c r="AH310">
        <v>344806</v>
      </c>
      <c r="AI310">
        <v>71772</v>
      </c>
      <c r="AK310" t="s">
        <v>8225</v>
      </c>
      <c r="AL310" t="s">
        <v>9100</v>
      </c>
      <c r="AM310" s="79" t="str">
        <f>HYPERLINK("https://t.co/Xk9Bp6rE1q")</f>
        <v>https://t.co/Xk9Bp6rE1q</v>
      </c>
      <c r="AO310" s="76">
        <v>40207.695127314815</v>
      </c>
      <c r="AP310" s="79" t="str">
        <f>HYPERLINK("https://pbs.twimg.com/profile_banners/109604578/1493419371")</f>
        <v>https://pbs.twimg.com/profile_banners/109604578/1493419371</v>
      </c>
      <c r="AQ310" t="b">
        <v>0</v>
      </c>
      <c r="AR310" t="b">
        <v>0</v>
      </c>
      <c r="AS310" t="b">
        <v>1</v>
      </c>
      <c r="AU310">
        <v>1972</v>
      </c>
      <c r="AV310" s="79" t="str">
        <f>HYPERLINK("https://abs.twimg.com/images/themes/theme1/bg.png")</f>
        <v>https://abs.twimg.com/images/themes/theme1/bg.png</v>
      </c>
      <c r="AW310" t="b">
        <v>0</v>
      </c>
      <c r="AX310" t="s">
        <v>9303</v>
      </c>
      <c r="AY310" s="79" t="str">
        <f>HYPERLINK("https://twitter.com/gaynycdad")</f>
        <v>https://twitter.com/gaynycdad</v>
      </c>
      <c r="AZ310" t="s">
        <v>66</v>
      </c>
      <c r="BA310" s="2"/>
    </row>
    <row r="311" spans="1:53" x14ac:dyDescent="0.45">
      <c r="A311" s="62" t="s">
        <v>1180</v>
      </c>
      <c r="B311" s="63"/>
      <c r="C311" s="63"/>
      <c r="D311" s="64"/>
      <c r="E311" s="66"/>
      <c r="F311" s="98" t="str">
        <f>HYPERLINK("https://pbs.twimg.com/profile_images/1138805217103888384/i_ygYPr4_normal.png")</f>
        <v>https://pbs.twimg.com/profile_images/1138805217103888384/i_ygYPr4_normal.png</v>
      </c>
      <c r="G311" s="63"/>
      <c r="H311" s="67"/>
      <c r="I311" s="68"/>
      <c r="J311" s="68"/>
      <c r="K311" s="67" t="s">
        <v>9463</v>
      </c>
      <c r="L311" s="71"/>
      <c r="M311" s="72"/>
      <c r="N311" s="72"/>
      <c r="O311" s="73"/>
      <c r="P311" s="74"/>
      <c r="Q311" s="74"/>
      <c r="R311" s="81"/>
      <c r="S311" s="81"/>
      <c r="T311" s="81"/>
      <c r="U311" s="81"/>
      <c r="V311" s="48"/>
      <c r="W311" s="48"/>
      <c r="X311" s="48"/>
      <c r="Y311" s="48"/>
      <c r="Z311" s="47"/>
      <c r="AA311" s="69"/>
      <c r="AB311" s="69"/>
      <c r="AC311" s="70"/>
      <c r="AD311" t="s">
        <v>5157</v>
      </c>
      <c r="AE311" s="78" t="s">
        <v>6458</v>
      </c>
      <c r="AF311">
        <v>1612</v>
      </c>
      <c r="AG311">
        <v>44348</v>
      </c>
      <c r="AH311">
        <v>18308</v>
      </c>
      <c r="AI311">
        <v>2543</v>
      </c>
      <c r="AK311" t="s">
        <v>7629</v>
      </c>
      <c r="AL311" t="s">
        <v>8766</v>
      </c>
      <c r="AM311" s="79" t="str">
        <f>HYPERLINK("http://t.co/JtI8QTKdhm")</f>
        <v>http://t.co/JtI8QTKdhm</v>
      </c>
      <c r="AO311" s="76">
        <v>39760.368356481478</v>
      </c>
      <c r="AP311" s="79" t="str">
        <f>HYPERLINK("https://pbs.twimg.com/profile_banners/17248079/1619194106")</f>
        <v>https://pbs.twimg.com/profile_banners/17248079/1619194106</v>
      </c>
      <c r="AQ311" t="b">
        <v>0</v>
      </c>
      <c r="AR311" t="b">
        <v>0</v>
      </c>
      <c r="AS311" t="b">
        <v>1</v>
      </c>
      <c r="AU311">
        <v>826</v>
      </c>
      <c r="AV311" s="79" t="str">
        <f>HYPERLINK("https://abs.twimg.com/images/themes/theme1/bg.png")</f>
        <v>https://abs.twimg.com/images/themes/theme1/bg.png</v>
      </c>
      <c r="AW311" t="b">
        <v>1</v>
      </c>
      <c r="AX311" t="s">
        <v>9303</v>
      </c>
      <c r="AY311" s="79" t="str">
        <f>HYPERLINK("https://twitter.com/booksamillion")</f>
        <v>https://twitter.com/booksamillion</v>
      </c>
      <c r="AZ311" t="s">
        <v>65</v>
      </c>
      <c r="BA311" s="2"/>
    </row>
    <row r="312" spans="1:53" x14ac:dyDescent="0.45">
      <c r="A312" s="62" t="s">
        <v>1106</v>
      </c>
      <c r="B312" s="63"/>
      <c r="C312" s="63"/>
      <c r="D312" s="64"/>
      <c r="E312" s="66"/>
      <c r="F312" s="98" t="str">
        <f>HYPERLINK("https://pbs.twimg.com/profile_images/1522244997394968576/TqY9R8l1_normal.jpg")</f>
        <v>https://pbs.twimg.com/profile_images/1522244997394968576/TqY9R8l1_normal.jpg</v>
      </c>
      <c r="G312" s="63"/>
      <c r="H312" s="67"/>
      <c r="I312" s="68"/>
      <c r="J312" s="68"/>
      <c r="K312" s="67" t="s">
        <v>9309</v>
      </c>
      <c r="L312" s="71"/>
      <c r="M312" s="72"/>
      <c r="N312" s="72"/>
      <c r="O312" s="73"/>
      <c r="P312" s="74"/>
      <c r="Q312" s="74"/>
      <c r="R312" s="81"/>
      <c r="S312" s="81"/>
      <c r="T312" s="81"/>
      <c r="U312" s="81"/>
      <c r="V312" s="48"/>
      <c r="W312" s="48"/>
      <c r="X312" s="48"/>
      <c r="Y312" s="48"/>
      <c r="Z312" s="47"/>
      <c r="AA312" s="69"/>
      <c r="AB312" s="69"/>
      <c r="AC312" s="70"/>
      <c r="AD312" t="s">
        <v>5005</v>
      </c>
      <c r="AE312" s="78" t="s">
        <v>6333</v>
      </c>
      <c r="AF312">
        <v>159</v>
      </c>
      <c r="AG312">
        <v>44106</v>
      </c>
      <c r="AH312">
        <v>4611</v>
      </c>
      <c r="AI312">
        <v>5327</v>
      </c>
      <c r="AK312" t="s">
        <v>7495</v>
      </c>
      <c r="AM312" s="79" t="str">
        <f>HYPERLINK("https://t.co/YKh6Tt2K05")</f>
        <v>https://t.co/YKh6Tt2K05</v>
      </c>
      <c r="AO312" s="76">
        <v>42249.015706018516</v>
      </c>
      <c r="AP312" s="79" t="str">
        <f>HYPERLINK("https://pbs.twimg.com/profile_banners/3420117072/1570129559")</f>
        <v>https://pbs.twimg.com/profile_banners/3420117072/1570129559</v>
      </c>
      <c r="AQ312" t="b">
        <v>0</v>
      </c>
      <c r="AR312" t="b">
        <v>0</v>
      </c>
      <c r="AS312" t="b">
        <v>1</v>
      </c>
      <c r="AU312">
        <v>41</v>
      </c>
      <c r="AV312" s="79" t="str">
        <f>HYPERLINK("https://abs.twimg.com/images/themes/theme1/bg.png")</f>
        <v>https://abs.twimg.com/images/themes/theme1/bg.png</v>
      </c>
      <c r="AW312" t="b">
        <v>0</v>
      </c>
      <c r="AX312" t="s">
        <v>9303</v>
      </c>
      <c r="AY312" s="79" t="str">
        <f>HYPERLINK("https://twitter.com/ghostlifestyle")</f>
        <v>https://twitter.com/ghostlifestyle</v>
      </c>
      <c r="AZ312" t="s">
        <v>65</v>
      </c>
      <c r="BA312" s="2"/>
    </row>
    <row r="313" spans="1:53" x14ac:dyDescent="0.45">
      <c r="A313" s="62" t="s">
        <v>1510</v>
      </c>
      <c r="B313" s="63"/>
      <c r="C313" s="63"/>
      <c r="D313" s="64"/>
      <c r="E313" s="66"/>
      <c r="F313" s="98" t="str">
        <f>HYPERLINK("https://pbs.twimg.com/profile_images/1323219890220658688/8-bf9D-r_normal.jpg")</f>
        <v>https://pbs.twimg.com/profile_images/1323219890220658688/8-bf9D-r_normal.jpg</v>
      </c>
      <c r="G313" s="63"/>
      <c r="H313" s="67"/>
      <c r="I313" s="68"/>
      <c r="J313" s="68"/>
      <c r="K313" s="67" t="s">
        <v>10529</v>
      </c>
      <c r="L313" s="71"/>
      <c r="M313" s="72"/>
      <c r="N313" s="72"/>
      <c r="O313" s="73"/>
      <c r="P313" s="74"/>
      <c r="Q313" s="74"/>
      <c r="R313" s="81"/>
      <c r="S313" s="81"/>
      <c r="T313" s="81"/>
      <c r="U313" s="81"/>
      <c r="V313" s="48"/>
      <c r="W313" s="48"/>
      <c r="X313" s="48"/>
      <c r="Y313" s="48"/>
      <c r="Z313" s="47"/>
      <c r="AA313" s="69"/>
      <c r="AB313" s="69"/>
      <c r="AC313" s="70"/>
      <c r="AD313" t="s">
        <v>6207</v>
      </c>
      <c r="AE313" s="78" t="s">
        <v>7388</v>
      </c>
      <c r="AF313">
        <v>58</v>
      </c>
      <c r="AG313">
        <v>43559</v>
      </c>
      <c r="AH313">
        <v>90</v>
      </c>
      <c r="AI313">
        <v>7</v>
      </c>
      <c r="AK313" t="s">
        <v>8559</v>
      </c>
      <c r="AL313" t="s">
        <v>8783</v>
      </c>
      <c r="AM313" s="79" t="str">
        <f>HYPERLINK("https://t.co/KhmUFL2jGG")</f>
        <v>https://t.co/KhmUFL2jGG</v>
      </c>
      <c r="AO313" s="76">
        <v>44116.750625000001</v>
      </c>
      <c r="AP313" s="79" t="str">
        <f>HYPERLINK("https://pbs.twimg.com/profile_banners/1315714001268080640/1602531889")</f>
        <v>https://pbs.twimg.com/profile_banners/1315714001268080640/1602531889</v>
      </c>
      <c r="AQ313" t="b">
        <v>1</v>
      </c>
      <c r="AR313" t="b">
        <v>0</v>
      </c>
      <c r="AS313" t="b">
        <v>0</v>
      </c>
      <c r="AU313">
        <v>41</v>
      </c>
      <c r="AW313" t="b">
        <v>1</v>
      </c>
      <c r="AX313" t="s">
        <v>9303</v>
      </c>
      <c r="AY313" s="79" t="str">
        <f>HYPERLINK("https://twitter.com/nmc_ind")</f>
        <v>https://twitter.com/nmc_ind</v>
      </c>
      <c r="AZ313" t="s">
        <v>65</v>
      </c>
      <c r="BA313" s="2"/>
    </row>
    <row r="314" spans="1:53" x14ac:dyDescent="0.45">
      <c r="A314" s="62" t="s">
        <v>1410</v>
      </c>
      <c r="B314" s="63"/>
      <c r="C314" s="63"/>
      <c r="D314" s="64"/>
      <c r="E314" s="66"/>
      <c r="F314" s="98" t="str">
        <f>HYPERLINK("https://pbs.twimg.com/profile_images/1304174977298595840/tTtHRm7x_normal.jpg")</f>
        <v>https://pbs.twimg.com/profile_images/1304174977298595840/tTtHRm7x_normal.jpg</v>
      </c>
      <c r="G314" s="63"/>
      <c r="H314" s="67"/>
      <c r="I314" s="68"/>
      <c r="J314" s="68"/>
      <c r="K314" s="67" t="s">
        <v>10283</v>
      </c>
      <c r="L314" s="71"/>
      <c r="M314" s="72"/>
      <c r="N314" s="72"/>
      <c r="O314" s="73"/>
      <c r="P314" s="74"/>
      <c r="Q314" s="74"/>
      <c r="R314" s="81"/>
      <c r="S314" s="81"/>
      <c r="T314" s="81"/>
      <c r="U314" s="81"/>
      <c r="V314" s="48"/>
      <c r="W314" s="48"/>
      <c r="X314" s="48"/>
      <c r="Y314" s="48"/>
      <c r="Z314" s="47"/>
      <c r="AA314" s="69"/>
      <c r="AB314" s="69"/>
      <c r="AC314" s="70"/>
      <c r="AD314" t="s">
        <v>5966</v>
      </c>
      <c r="AE314" s="78" t="s">
        <v>7178</v>
      </c>
      <c r="AF314">
        <v>5340</v>
      </c>
      <c r="AG314">
        <v>43090</v>
      </c>
      <c r="AH314">
        <v>17701</v>
      </c>
      <c r="AI314">
        <v>8376</v>
      </c>
      <c r="AK314" t="s">
        <v>8343</v>
      </c>
      <c r="AL314" t="s">
        <v>8800</v>
      </c>
      <c r="AM314" s="79" t="str">
        <f>HYPERLINK("https://t.co/Ur81zFuNUl")</f>
        <v>https://t.co/Ur81zFuNUl</v>
      </c>
      <c r="AO314" s="76">
        <v>39688.578298611108</v>
      </c>
      <c r="AP314" s="79" t="str">
        <f>HYPERLINK("https://pbs.twimg.com/profile_banners/16026940/1667769324")</f>
        <v>https://pbs.twimg.com/profile_banners/16026940/1667769324</v>
      </c>
      <c r="AQ314" t="b">
        <v>0</v>
      </c>
      <c r="AR314" t="b">
        <v>0</v>
      </c>
      <c r="AS314" t="b">
        <v>1</v>
      </c>
      <c r="AU314">
        <v>899</v>
      </c>
      <c r="AV314" s="79" t="str">
        <f>HYPERLINK("https://abs.twimg.com/images/themes/theme1/bg.png")</f>
        <v>https://abs.twimg.com/images/themes/theme1/bg.png</v>
      </c>
      <c r="AW314" t="b">
        <v>1</v>
      </c>
      <c r="AX314" t="s">
        <v>9303</v>
      </c>
      <c r="AY314" s="79" t="str">
        <f>HYPERLINK("https://twitter.com/aapd")</f>
        <v>https://twitter.com/aapd</v>
      </c>
      <c r="AZ314" t="s">
        <v>65</v>
      </c>
      <c r="BA314" s="2"/>
    </row>
    <row r="315" spans="1:53" x14ac:dyDescent="0.45">
      <c r="A315" s="62" t="s">
        <v>1016</v>
      </c>
      <c r="B315" s="63"/>
      <c r="C315" s="63"/>
      <c r="D315" s="64"/>
      <c r="E315" s="66"/>
      <c r="F315" s="98" t="str">
        <f>HYPERLINK("https://pbs.twimg.com/profile_images/1402343310627381249/A04IQG4__normal.jpg")</f>
        <v>https://pbs.twimg.com/profile_images/1402343310627381249/A04IQG4__normal.jpg</v>
      </c>
      <c r="G315" s="63"/>
      <c r="H315" s="67"/>
      <c r="I315" s="68"/>
      <c r="J315" s="68"/>
      <c r="K315" s="67" t="s">
        <v>9351</v>
      </c>
      <c r="L315" s="71"/>
      <c r="M315" s="72"/>
      <c r="N315" s="72"/>
      <c r="O315" s="73"/>
      <c r="P315" s="74"/>
      <c r="Q315" s="74"/>
      <c r="R315" s="81"/>
      <c r="S315" s="81"/>
      <c r="T315" s="81"/>
      <c r="U315" s="81"/>
      <c r="V315" s="48"/>
      <c r="W315" s="48"/>
      <c r="X315" s="48"/>
      <c r="Y315" s="48"/>
      <c r="Z315" s="47"/>
      <c r="AA315" s="69"/>
      <c r="AB315" s="69"/>
      <c r="AC315" s="70"/>
      <c r="AD315" t="s">
        <v>5047</v>
      </c>
      <c r="AE315" s="78" t="s">
        <v>6365</v>
      </c>
      <c r="AF315">
        <v>14531</v>
      </c>
      <c r="AG315">
        <v>42807</v>
      </c>
      <c r="AH315">
        <v>406200</v>
      </c>
      <c r="AI315">
        <v>174860</v>
      </c>
      <c r="AK315" t="s">
        <v>7535</v>
      </c>
      <c r="AL315" t="s">
        <v>8707</v>
      </c>
      <c r="AO315" s="76">
        <v>39717.972268518519</v>
      </c>
      <c r="AP315" s="79" t="str">
        <f>HYPERLINK("https://pbs.twimg.com/profile_banners/16476911/1567610785")</f>
        <v>https://pbs.twimg.com/profile_banners/16476911/1567610785</v>
      </c>
      <c r="AQ315" t="b">
        <v>0</v>
      </c>
      <c r="AR315" t="b">
        <v>0</v>
      </c>
      <c r="AS315" t="b">
        <v>0</v>
      </c>
      <c r="AU315">
        <v>2074</v>
      </c>
      <c r="AV315" s="79" t="str">
        <f>HYPERLINK("https://abs.twimg.com/images/themes/theme2/bg.gif")</f>
        <v>https://abs.twimg.com/images/themes/theme2/bg.gif</v>
      </c>
      <c r="AW315" t="b">
        <v>0</v>
      </c>
      <c r="AX315" t="s">
        <v>9303</v>
      </c>
      <c r="AY315" s="79" t="str">
        <f>HYPERLINK("https://twitter.com/shi4tech")</f>
        <v>https://twitter.com/shi4tech</v>
      </c>
      <c r="AZ315" t="s">
        <v>66</v>
      </c>
      <c r="BA315" s="2"/>
    </row>
    <row r="316" spans="1:53" x14ac:dyDescent="0.45">
      <c r="A316" s="62" t="s">
        <v>1549</v>
      </c>
      <c r="B316" s="63"/>
      <c r="C316" s="63"/>
      <c r="D316" s="64"/>
      <c r="E316" s="66"/>
      <c r="F316" s="98" t="str">
        <f>HYPERLINK("https://pbs.twimg.com/profile_images/1410726752486260738/zz49WNEC_normal.jpg")</f>
        <v>https://pbs.twimg.com/profile_images/1410726752486260738/zz49WNEC_normal.jpg</v>
      </c>
      <c r="G316" s="63"/>
      <c r="H316" s="67"/>
      <c r="I316" s="68"/>
      <c r="J316" s="68"/>
      <c r="K316" s="67" t="s">
        <v>10607</v>
      </c>
      <c r="L316" s="71"/>
      <c r="M316" s="72"/>
      <c r="N316" s="72"/>
      <c r="O316" s="73"/>
      <c r="P316" s="74"/>
      <c r="Q316" s="74"/>
      <c r="R316" s="81"/>
      <c r="S316" s="81"/>
      <c r="T316" s="81"/>
      <c r="U316" s="81"/>
      <c r="V316" s="48"/>
      <c r="W316" s="48"/>
      <c r="X316" s="48"/>
      <c r="Y316" s="48"/>
      <c r="Z316" s="47"/>
      <c r="AA316" s="69"/>
      <c r="AB316" s="69"/>
      <c r="AC316" s="70"/>
      <c r="AD316" t="s">
        <v>6283</v>
      </c>
      <c r="AE316" s="78" t="s">
        <v>4822</v>
      </c>
      <c r="AF316">
        <v>184</v>
      </c>
      <c r="AG316">
        <v>42787</v>
      </c>
      <c r="AH316">
        <v>6816</v>
      </c>
      <c r="AI316">
        <v>2075</v>
      </c>
      <c r="AK316" t="s">
        <v>8631</v>
      </c>
      <c r="AL316" t="s">
        <v>9277</v>
      </c>
      <c r="AM316" s="79" t="str">
        <f>HYPERLINK("https://t.co/ncGrP2B2Jo")</f>
        <v>https://t.co/ncGrP2B2Jo</v>
      </c>
      <c r="AO316" s="76">
        <v>41905.170868055553</v>
      </c>
      <c r="AP316" s="79" t="str">
        <f>HYPERLINK("https://pbs.twimg.com/profile_banners/2827342884/1670267234")</f>
        <v>https://pbs.twimg.com/profile_banners/2827342884/1670267234</v>
      </c>
      <c r="AQ316" t="b">
        <v>0</v>
      </c>
      <c r="AR316" t="b">
        <v>0</v>
      </c>
      <c r="AS316" t="b">
        <v>0</v>
      </c>
      <c r="AU316">
        <v>770</v>
      </c>
      <c r="AV316" s="79" t="str">
        <f>HYPERLINK("https://abs.twimg.com/images/themes/theme1/bg.png")</f>
        <v>https://abs.twimg.com/images/themes/theme1/bg.png</v>
      </c>
      <c r="AW316" t="b">
        <v>1</v>
      </c>
      <c r="AX316" t="s">
        <v>9303</v>
      </c>
      <c r="AY316" s="79" t="str">
        <f>HYPERLINK("https://twitter.com/confluentinc")</f>
        <v>https://twitter.com/confluentinc</v>
      </c>
      <c r="AZ316" t="s">
        <v>65</v>
      </c>
      <c r="BA316" s="2"/>
    </row>
    <row r="317" spans="1:53" x14ac:dyDescent="0.45">
      <c r="A317" s="62" t="s">
        <v>1545</v>
      </c>
      <c r="B317" s="63"/>
      <c r="C317" s="63"/>
      <c r="D317" s="64"/>
      <c r="E317" s="66"/>
      <c r="F317" s="98" t="str">
        <f>HYPERLINK("https://pbs.twimg.com/profile_images/1503671192082792452/7LjP-_lN_normal.jpg")</f>
        <v>https://pbs.twimg.com/profile_images/1503671192082792452/7LjP-_lN_normal.jpg</v>
      </c>
      <c r="G317" s="63"/>
      <c r="H317" s="67"/>
      <c r="I317" s="68"/>
      <c r="J317" s="68"/>
      <c r="K317" s="67" t="s">
        <v>10596</v>
      </c>
      <c r="L317" s="71"/>
      <c r="M317" s="72"/>
      <c r="N317" s="72"/>
      <c r="O317" s="73"/>
      <c r="P317" s="74"/>
      <c r="Q317" s="74"/>
      <c r="R317" s="81"/>
      <c r="S317" s="81"/>
      <c r="T317" s="81"/>
      <c r="U317" s="81"/>
      <c r="V317" s="48"/>
      <c r="W317" s="48"/>
      <c r="X317" s="48"/>
      <c r="Y317" s="48"/>
      <c r="Z317" s="47"/>
      <c r="AA317" s="69"/>
      <c r="AB317" s="69"/>
      <c r="AC317" s="70"/>
      <c r="AD317" t="s">
        <v>6273</v>
      </c>
      <c r="AE317" s="78" t="s">
        <v>7442</v>
      </c>
      <c r="AF317">
        <v>633</v>
      </c>
      <c r="AG317">
        <v>42443</v>
      </c>
      <c r="AH317">
        <v>3766</v>
      </c>
      <c r="AI317">
        <v>2833</v>
      </c>
      <c r="AK317" t="s">
        <v>8620</v>
      </c>
      <c r="AL317" t="s">
        <v>9280</v>
      </c>
      <c r="AM317" s="79" t="str">
        <f>HYPERLINK("https://t.co/Ni0NKUWu8l")</f>
        <v>https://t.co/Ni0NKUWu8l</v>
      </c>
      <c r="AO317" s="76">
        <v>41605.270324074074</v>
      </c>
      <c r="AP317" s="79" t="str">
        <f>HYPERLINK("https://pbs.twimg.com/profile_banners/2217277746/1667232088")</f>
        <v>https://pbs.twimg.com/profile_banners/2217277746/1667232088</v>
      </c>
      <c r="AQ317" t="b">
        <v>0</v>
      </c>
      <c r="AR317" t="b">
        <v>0</v>
      </c>
      <c r="AS317" t="b">
        <v>1</v>
      </c>
      <c r="AU317">
        <v>328</v>
      </c>
      <c r="AV317" s="79" t="str">
        <f>HYPERLINK("https://abs.twimg.com/images/themes/theme1/bg.png")</f>
        <v>https://abs.twimg.com/images/themes/theme1/bg.png</v>
      </c>
      <c r="AW317" t="b">
        <v>1</v>
      </c>
      <c r="AX317" t="s">
        <v>9303</v>
      </c>
      <c r="AY317" s="79" t="str">
        <f>HYPERLINK("https://twitter.com/accel_india")</f>
        <v>https://twitter.com/accel_india</v>
      </c>
      <c r="AZ317" t="s">
        <v>65</v>
      </c>
      <c r="BA317" s="2"/>
    </row>
    <row r="318" spans="1:53" x14ac:dyDescent="0.45">
      <c r="A318" s="62" t="s">
        <v>401</v>
      </c>
      <c r="B318" s="63"/>
      <c r="C318" s="63"/>
      <c r="D318" s="64"/>
      <c r="E318" s="66"/>
      <c r="F318" s="98" t="str">
        <f>HYPERLINK("https://pbs.twimg.com/profile_images/1493219873459159041/y1DYPGPD_normal.jpg")</f>
        <v>https://pbs.twimg.com/profile_images/1493219873459159041/y1DYPGPD_normal.jpg</v>
      </c>
      <c r="G318" s="63"/>
      <c r="H318" s="67"/>
      <c r="I318" s="68"/>
      <c r="J318" s="68"/>
      <c r="K318" s="67" t="s">
        <v>9651</v>
      </c>
      <c r="L318" s="71"/>
      <c r="M318" s="72"/>
      <c r="N318" s="72"/>
      <c r="O318" s="73"/>
      <c r="P318" s="74"/>
      <c r="Q318" s="74"/>
      <c r="R318" s="81"/>
      <c r="S318" s="81"/>
      <c r="T318" s="81"/>
      <c r="U318" s="81"/>
      <c r="V318" s="48"/>
      <c r="W318" s="48"/>
      <c r="X318" s="48"/>
      <c r="Y318" s="48"/>
      <c r="Z318" s="47"/>
      <c r="AA318" s="69"/>
      <c r="AB318" s="69"/>
      <c r="AC318" s="70"/>
      <c r="AD318" t="s">
        <v>5344</v>
      </c>
      <c r="AE318" s="78" t="s">
        <v>6619</v>
      </c>
      <c r="AF318">
        <v>3120</v>
      </c>
      <c r="AG318">
        <v>42363</v>
      </c>
      <c r="AH318">
        <v>37120</v>
      </c>
      <c r="AI318">
        <v>16799</v>
      </c>
      <c r="AK318" t="s">
        <v>7795</v>
      </c>
      <c r="AL318" t="s">
        <v>8719</v>
      </c>
      <c r="AM318" s="79" t="str">
        <f>HYPERLINK("https://t.co/fTwHFugHl3")</f>
        <v>https://t.co/fTwHFugHl3</v>
      </c>
      <c r="AO318" s="76">
        <v>40435.700995370367</v>
      </c>
      <c r="AP318" s="79" t="str">
        <f>HYPERLINK("https://pbs.twimg.com/profile_banners/190705586/1644846336")</f>
        <v>https://pbs.twimg.com/profile_banners/190705586/1644846336</v>
      </c>
      <c r="AQ318" t="b">
        <v>0</v>
      </c>
      <c r="AR318" t="b">
        <v>0</v>
      </c>
      <c r="AS318" t="b">
        <v>0</v>
      </c>
      <c r="AU318">
        <v>217</v>
      </c>
      <c r="AV318" s="79" t="str">
        <f>HYPERLINK("https://abs.twimg.com/images/themes/theme1/bg.png")</f>
        <v>https://abs.twimg.com/images/themes/theme1/bg.png</v>
      </c>
      <c r="AW318" t="b">
        <v>0</v>
      </c>
      <c r="AX318" t="s">
        <v>9303</v>
      </c>
      <c r="AY318" s="79" t="str">
        <f>HYPERLINK("https://twitter.com/thetoyinsider")</f>
        <v>https://twitter.com/thetoyinsider</v>
      </c>
      <c r="AZ318" t="s">
        <v>66</v>
      </c>
      <c r="BA318" s="2"/>
    </row>
    <row r="319" spans="1:53" x14ac:dyDescent="0.45">
      <c r="A319" s="62" t="s">
        <v>335</v>
      </c>
      <c r="B319" s="63"/>
      <c r="C319" s="63"/>
      <c r="D319" s="64"/>
      <c r="E319" s="66"/>
      <c r="F319" s="98" t="str">
        <f>HYPERLINK("https://pbs.twimg.com/profile_images/1524813643409498112/G6TOyL_e_normal.png")</f>
        <v>https://pbs.twimg.com/profile_images/1524813643409498112/G6TOyL_e_normal.png</v>
      </c>
      <c r="G319" s="63"/>
      <c r="H319" s="67"/>
      <c r="I319" s="68"/>
      <c r="J319" s="68"/>
      <c r="K319" s="67" t="s">
        <v>9553</v>
      </c>
      <c r="L319" s="71"/>
      <c r="M319" s="72"/>
      <c r="N319" s="72"/>
      <c r="O319" s="73"/>
      <c r="P319" s="74"/>
      <c r="Q319" s="74"/>
      <c r="R319" s="81"/>
      <c r="S319" s="81"/>
      <c r="T319" s="81"/>
      <c r="U319" s="81"/>
      <c r="V319" s="48"/>
      <c r="W319" s="48"/>
      <c r="X319" s="48"/>
      <c r="Y319" s="48"/>
      <c r="Z319" s="47"/>
      <c r="AA319" s="69"/>
      <c r="AB319" s="69"/>
      <c r="AC319" s="70"/>
      <c r="AD319" t="s">
        <v>5246</v>
      </c>
      <c r="AE319" s="78" t="s">
        <v>6529</v>
      </c>
      <c r="AF319">
        <v>7352</v>
      </c>
      <c r="AG319">
        <v>42092</v>
      </c>
      <c r="AH319">
        <v>14107</v>
      </c>
      <c r="AI319">
        <v>17602</v>
      </c>
      <c r="AK319" t="s">
        <v>7712</v>
      </c>
      <c r="AM319" s="79" t="str">
        <f>HYPERLINK("https://t.co/IuMnXgLrPY")</f>
        <v>https://t.co/IuMnXgLrPY</v>
      </c>
      <c r="AO319" s="76">
        <v>42085.832407407404</v>
      </c>
      <c r="AP319" s="79" t="str">
        <f>HYPERLINK("https://pbs.twimg.com/profile_banners/3105690532/1674073323")</f>
        <v>https://pbs.twimg.com/profile_banners/3105690532/1674073323</v>
      </c>
      <c r="AQ319" t="b">
        <v>0</v>
      </c>
      <c r="AR319" t="b">
        <v>0</v>
      </c>
      <c r="AS319" t="b">
        <v>1</v>
      </c>
      <c r="AU319">
        <v>154</v>
      </c>
      <c r="AV319" s="79" t="str">
        <f>HYPERLINK("https://abs.twimg.com/images/themes/theme1/bg.png")</f>
        <v>https://abs.twimg.com/images/themes/theme1/bg.png</v>
      </c>
      <c r="AW319" t="b">
        <v>0</v>
      </c>
      <c r="AX319" t="s">
        <v>9303</v>
      </c>
      <c r="AY319" s="79" t="str">
        <f>HYPERLINK("https://twitter.com/zearned")</f>
        <v>https://twitter.com/zearned</v>
      </c>
      <c r="AZ319" t="s">
        <v>66</v>
      </c>
      <c r="BA319" s="2"/>
    </row>
    <row r="320" spans="1:53" x14ac:dyDescent="0.45">
      <c r="A320" s="62" t="s">
        <v>1105</v>
      </c>
      <c r="B320" s="63"/>
      <c r="C320" s="63"/>
      <c r="D320" s="64"/>
      <c r="E320" s="66"/>
      <c r="F320" s="98" t="str">
        <f>HYPERLINK("https://pbs.twimg.com/profile_images/1374869472733884421/uBS0C4kB_normal.jpg")</f>
        <v>https://pbs.twimg.com/profile_images/1374869472733884421/uBS0C4kB_normal.jpg</v>
      </c>
      <c r="G320" s="63"/>
      <c r="H320" s="67"/>
      <c r="I320" s="68"/>
      <c r="J320" s="68"/>
      <c r="K320" s="67" t="s">
        <v>9307</v>
      </c>
      <c r="L320" s="71"/>
      <c r="M320" s="72"/>
      <c r="N320" s="72"/>
      <c r="O320" s="73"/>
      <c r="P320" s="74"/>
      <c r="Q320" s="74"/>
      <c r="R320" s="81"/>
      <c r="S320" s="81"/>
      <c r="T320" s="81"/>
      <c r="U320" s="81"/>
      <c r="V320" s="48"/>
      <c r="W320" s="48"/>
      <c r="X320" s="48"/>
      <c r="Y320" s="48"/>
      <c r="Z320" s="47"/>
      <c r="AA320" s="69"/>
      <c r="AB320" s="69"/>
      <c r="AC320" s="70"/>
      <c r="AD320" t="s">
        <v>5003</v>
      </c>
      <c r="AE320" s="78" t="s">
        <v>6331</v>
      </c>
      <c r="AF320">
        <v>298</v>
      </c>
      <c r="AG320">
        <v>41740</v>
      </c>
      <c r="AH320">
        <v>28251</v>
      </c>
      <c r="AI320">
        <v>3988</v>
      </c>
      <c r="AK320" t="s">
        <v>7493</v>
      </c>
      <c r="AL320" t="s">
        <v>8675</v>
      </c>
      <c r="AM320" s="79" t="str">
        <f>HYPERLINK("https://t.co/C3ghbt6fOC")</f>
        <v>https://t.co/C3ghbt6fOC</v>
      </c>
      <c r="AO320" s="76">
        <v>39827.318692129629</v>
      </c>
      <c r="AP320" s="79" t="str">
        <f>HYPERLINK("https://pbs.twimg.com/profile_banners/18970145/1650393192")</f>
        <v>https://pbs.twimg.com/profile_banners/18970145/1650393192</v>
      </c>
      <c r="AQ320" t="b">
        <v>0</v>
      </c>
      <c r="AR320" t="b">
        <v>0</v>
      </c>
      <c r="AS320" t="b">
        <v>0</v>
      </c>
      <c r="AU320">
        <v>447</v>
      </c>
      <c r="AV320" s="79" t="str">
        <f>HYPERLINK("https://abs.twimg.com/images/themes/theme1/bg.png")</f>
        <v>https://abs.twimg.com/images/themes/theme1/bg.png</v>
      </c>
      <c r="AW320" t="b">
        <v>1</v>
      </c>
      <c r="AX320" t="s">
        <v>9303</v>
      </c>
      <c r="AY320" s="79" t="str">
        <f>HYPERLINK("https://twitter.com/vizio")</f>
        <v>https://twitter.com/vizio</v>
      </c>
      <c r="AZ320" t="s">
        <v>65</v>
      </c>
      <c r="BA320" s="2"/>
    </row>
    <row r="321" spans="1:53" x14ac:dyDescent="0.45">
      <c r="A321" s="62" t="s">
        <v>1491</v>
      </c>
      <c r="B321" s="63"/>
      <c r="C321" s="63"/>
      <c r="D321" s="64"/>
      <c r="E321" s="66"/>
      <c r="F321" s="98" t="str">
        <f>HYPERLINK("https://pbs.twimg.com/profile_images/1555570445734350850/JgnV-rIj_normal.jpg")</f>
        <v>https://pbs.twimg.com/profile_images/1555570445734350850/JgnV-rIj_normal.jpg</v>
      </c>
      <c r="G321" s="63"/>
      <c r="H321" s="67"/>
      <c r="I321" s="68"/>
      <c r="J321" s="68"/>
      <c r="K321" s="67" t="s">
        <v>10490</v>
      </c>
      <c r="L321" s="71"/>
      <c r="M321" s="72"/>
      <c r="N321" s="72"/>
      <c r="O321" s="73"/>
      <c r="P321" s="74"/>
      <c r="Q321" s="74"/>
      <c r="R321" s="81"/>
      <c r="S321" s="81"/>
      <c r="T321" s="81"/>
      <c r="U321" s="81"/>
      <c r="V321" s="48"/>
      <c r="W321" s="48"/>
      <c r="X321" s="48"/>
      <c r="Y321" s="48"/>
      <c r="Z321" s="47"/>
      <c r="AA321" s="69"/>
      <c r="AB321" s="69"/>
      <c r="AC321" s="70"/>
      <c r="AD321" t="s">
        <v>6168</v>
      </c>
      <c r="AE321" s="78" t="s">
        <v>7355</v>
      </c>
      <c r="AF321">
        <v>331</v>
      </c>
      <c r="AG321">
        <v>40762</v>
      </c>
      <c r="AH321">
        <v>2486</v>
      </c>
      <c r="AI321">
        <v>12353</v>
      </c>
      <c r="AK321" t="s">
        <v>8526</v>
      </c>
      <c r="AL321" t="s">
        <v>9237</v>
      </c>
      <c r="AM321" s="79" t="str">
        <f>HYPERLINK("https://t.co/avKiwplFCZ")</f>
        <v>https://t.co/avKiwplFCZ</v>
      </c>
      <c r="AO321" s="76">
        <v>44692.778414351851</v>
      </c>
      <c r="AP321" s="79" t="str">
        <f>HYPERLINK("https://pbs.twimg.com/profile_banners/1524459506142527495/1659706042")</f>
        <v>https://pbs.twimg.com/profile_banners/1524459506142527495/1659706042</v>
      </c>
      <c r="AQ321" t="b">
        <v>1</v>
      </c>
      <c r="AR321" t="b">
        <v>0</v>
      </c>
      <c r="AS321" t="b">
        <v>1</v>
      </c>
      <c r="AU321">
        <v>28</v>
      </c>
      <c r="AW321" t="b">
        <v>0</v>
      </c>
      <c r="AX321" t="s">
        <v>9303</v>
      </c>
      <c r="AY321" s="79" t="str">
        <f>HYPERLINK("https://twitter.com/bugattigrp")</f>
        <v>https://twitter.com/bugattigrp</v>
      </c>
      <c r="AZ321" t="s">
        <v>65</v>
      </c>
      <c r="BA321" s="2"/>
    </row>
    <row r="322" spans="1:53" x14ac:dyDescent="0.45">
      <c r="A322" s="62" t="s">
        <v>1295</v>
      </c>
      <c r="B322" s="63"/>
      <c r="C322" s="63"/>
      <c r="D322" s="64"/>
      <c r="E322" s="66"/>
      <c r="F322" s="98" t="str">
        <f>HYPERLINK("https://pbs.twimg.com/profile_images/1484284503128485891/wAhP-rtP_normal.jpg")</f>
        <v>https://pbs.twimg.com/profile_images/1484284503128485891/wAhP-rtP_normal.jpg</v>
      </c>
      <c r="G322" s="63"/>
      <c r="H322" s="67"/>
      <c r="I322" s="68"/>
      <c r="J322" s="68"/>
      <c r="K322" s="67" t="s">
        <v>9813</v>
      </c>
      <c r="L322" s="71"/>
      <c r="M322" s="72"/>
      <c r="N322" s="72"/>
      <c r="O322" s="73"/>
      <c r="P322" s="74"/>
      <c r="Q322" s="74"/>
      <c r="R322" s="81"/>
      <c r="S322" s="81"/>
      <c r="T322" s="81"/>
      <c r="U322" s="81"/>
      <c r="V322" s="48"/>
      <c r="W322" s="48"/>
      <c r="X322" s="48"/>
      <c r="Y322" s="48"/>
      <c r="Z322" s="47"/>
      <c r="AA322" s="69"/>
      <c r="AB322" s="69"/>
      <c r="AC322" s="70"/>
      <c r="AD322" t="s">
        <v>5504</v>
      </c>
      <c r="AE322" s="78" t="s">
        <v>6758</v>
      </c>
      <c r="AF322">
        <v>1063</v>
      </c>
      <c r="AG322">
        <v>40556</v>
      </c>
      <c r="AH322">
        <v>9548</v>
      </c>
      <c r="AI322">
        <v>6569</v>
      </c>
      <c r="AK322" t="s">
        <v>7932</v>
      </c>
      <c r="AM322" s="79" t="str">
        <f>HYPERLINK("https://t.co/GT1UE3sqpu")</f>
        <v>https://t.co/GT1UE3sqpu</v>
      </c>
      <c r="AO322" s="76">
        <v>41808.984780092593</v>
      </c>
      <c r="AP322" s="79" t="str">
        <f>HYPERLINK("https://pbs.twimg.com/profile_banners/2575690472/1661536895")</f>
        <v>https://pbs.twimg.com/profile_banners/2575690472/1661536895</v>
      </c>
      <c r="AQ322" t="b">
        <v>0</v>
      </c>
      <c r="AR322" t="b">
        <v>0</v>
      </c>
      <c r="AS322" t="b">
        <v>0</v>
      </c>
      <c r="AU322">
        <v>102</v>
      </c>
      <c r="AV322" s="79" t="str">
        <f>HYPERLINK("https://abs.twimg.com/images/themes/theme1/bg.png")</f>
        <v>https://abs.twimg.com/images/themes/theme1/bg.png</v>
      </c>
      <c r="AW322" t="b">
        <v>1</v>
      </c>
      <c r="AX322" t="s">
        <v>9303</v>
      </c>
      <c r="AY322" s="79" t="str">
        <f>HYPERLINK("https://twitter.com/familymobile")</f>
        <v>https://twitter.com/familymobile</v>
      </c>
      <c r="AZ322" t="s">
        <v>65</v>
      </c>
      <c r="BA322" s="2"/>
    </row>
    <row r="323" spans="1:53" x14ac:dyDescent="0.45">
      <c r="A323" s="62" t="s">
        <v>1123</v>
      </c>
      <c r="B323" s="63"/>
      <c r="C323" s="63"/>
      <c r="D323" s="64"/>
      <c r="E323" s="66"/>
      <c r="F323" s="98" t="str">
        <f>HYPERLINK("https://pbs.twimg.com/profile_images/1430661185435754496/Tq0Bqq2u_normal.jpg")</f>
        <v>https://pbs.twimg.com/profile_images/1430661185435754496/Tq0Bqq2u_normal.jpg</v>
      </c>
      <c r="G323" s="63"/>
      <c r="H323" s="67"/>
      <c r="I323" s="68"/>
      <c r="J323" s="68"/>
      <c r="K323" s="67" t="s">
        <v>9339</v>
      </c>
      <c r="L323" s="71"/>
      <c r="M323" s="72"/>
      <c r="N323" s="72"/>
      <c r="O323" s="73"/>
      <c r="P323" s="74"/>
      <c r="Q323" s="74"/>
      <c r="R323" s="81"/>
      <c r="S323" s="81"/>
      <c r="T323" s="81"/>
      <c r="U323" s="81"/>
      <c r="V323" s="48"/>
      <c r="W323" s="48"/>
      <c r="X323" s="48"/>
      <c r="Y323" s="48"/>
      <c r="Z323" s="47"/>
      <c r="AA323" s="69"/>
      <c r="AB323" s="69"/>
      <c r="AC323" s="70"/>
      <c r="AD323" t="s">
        <v>5035</v>
      </c>
      <c r="AE323" s="78" t="s">
        <v>6353</v>
      </c>
      <c r="AF323">
        <v>35635</v>
      </c>
      <c r="AG323">
        <v>40424</v>
      </c>
      <c r="AH323">
        <v>378645</v>
      </c>
      <c r="AI323">
        <v>342864</v>
      </c>
      <c r="AK323" t="s">
        <v>7523</v>
      </c>
      <c r="AL323" t="s">
        <v>8697</v>
      </c>
      <c r="AO323" s="76">
        <v>40229.774548611109</v>
      </c>
      <c r="AP323" s="79" t="str">
        <f>HYPERLINK("https://pbs.twimg.com/profile_banners/115991458/1629931181")</f>
        <v>https://pbs.twimg.com/profile_banners/115991458/1629931181</v>
      </c>
      <c r="AQ323" t="b">
        <v>0</v>
      </c>
      <c r="AR323" t="b">
        <v>0</v>
      </c>
      <c r="AS323" t="b">
        <v>1</v>
      </c>
      <c r="AU323">
        <v>5007</v>
      </c>
      <c r="AV323" s="79" t="str">
        <f>HYPERLINK("https://abs.twimg.com/images/themes/theme19/bg.gif")</f>
        <v>https://abs.twimg.com/images/themes/theme19/bg.gif</v>
      </c>
      <c r="AW323" t="b">
        <v>0</v>
      </c>
      <c r="AX323" t="s">
        <v>9303</v>
      </c>
      <c r="AY323" s="79" t="str">
        <f>HYPERLINK("https://twitter.com/gvalan")</f>
        <v>https://twitter.com/gvalan</v>
      </c>
      <c r="AZ323" t="s">
        <v>65</v>
      </c>
      <c r="BA323" s="2"/>
    </row>
    <row r="324" spans="1:53" x14ac:dyDescent="0.45">
      <c r="A324" s="62" t="s">
        <v>1455</v>
      </c>
      <c r="B324" s="63"/>
      <c r="C324" s="63"/>
      <c r="D324" s="64"/>
      <c r="E324" s="66"/>
      <c r="F324" s="98" t="str">
        <f>HYPERLINK("https://pbs.twimg.com/profile_images/1296157241775656960/NMIPE3Lo_normal.jpg")</f>
        <v>https://pbs.twimg.com/profile_images/1296157241775656960/NMIPE3Lo_normal.jpg</v>
      </c>
      <c r="G324" s="63"/>
      <c r="H324" s="67"/>
      <c r="I324" s="68"/>
      <c r="J324" s="68"/>
      <c r="K324" s="67" t="s">
        <v>10392</v>
      </c>
      <c r="L324" s="71"/>
      <c r="M324" s="72"/>
      <c r="N324" s="72"/>
      <c r="O324" s="73"/>
      <c r="P324" s="74"/>
      <c r="Q324" s="74"/>
      <c r="R324" s="81"/>
      <c r="S324" s="81"/>
      <c r="T324" s="81"/>
      <c r="U324" s="81"/>
      <c r="V324" s="48"/>
      <c r="W324" s="48"/>
      <c r="X324" s="48"/>
      <c r="Y324" s="48"/>
      <c r="Z324" s="47"/>
      <c r="AA324" s="69"/>
      <c r="AB324" s="69"/>
      <c r="AC324" s="70"/>
      <c r="AD324" t="s">
        <v>6074</v>
      </c>
      <c r="AE324" s="78" t="s">
        <v>7276</v>
      </c>
      <c r="AF324">
        <v>832</v>
      </c>
      <c r="AG324">
        <v>39766</v>
      </c>
      <c r="AH324">
        <v>4100</v>
      </c>
      <c r="AI324">
        <v>6962</v>
      </c>
      <c r="AK324" t="s">
        <v>8438</v>
      </c>
      <c r="AL324" t="s">
        <v>9185</v>
      </c>
      <c r="AM324" s="79" t="str">
        <f>HYPERLINK("https://t.co/E1v8FCpaaV")</f>
        <v>https://t.co/E1v8FCpaaV</v>
      </c>
      <c r="AO324" s="76">
        <v>41029.65</v>
      </c>
      <c r="AP324" s="79" t="str">
        <f>HYPERLINK("https://pbs.twimg.com/profile_banners/567314680/1513213433")</f>
        <v>https://pbs.twimg.com/profile_banners/567314680/1513213433</v>
      </c>
      <c r="AQ324" t="b">
        <v>0</v>
      </c>
      <c r="AR324" t="b">
        <v>0</v>
      </c>
      <c r="AS324" t="b">
        <v>1</v>
      </c>
      <c r="AU324">
        <v>18</v>
      </c>
      <c r="AV324" s="79" t="str">
        <f>HYPERLINK("https://abs.twimg.com/images/themes/theme1/bg.png")</f>
        <v>https://abs.twimg.com/images/themes/theme1/bg.png</v>
      </c>
      <c r="AW324" t="b">
        <v>0</v>
      </c>
      <c r="AX324" t="s">
        <v>9303</v>
      </c>
      <c r="AY324" s="79" t="str">
        <f>HYPERLINK("https://twitter.com/battle")</f>
        <v>https://twitter.com/battle</v>
      </c>
      <c r="AZ324" t="s">
        <v>65</v>
      </c>
      <c r="BA324" s="2"/>
    </row>
    <row r="325" spans="1:53" x14ac:dyDescent="0.45">
      <c r="A325" s="62" t="s">
        <v>1178</v>
      </c>
      <c r="B325" s="63"/>
      <c r="C325" s="63"/>
      <c r="D325" s="64"/>
      <c r="E325" s="66"/>
      <c r="F325" s="98" t="str">
        <f>HYPERLINK("https://pbs.twimg.com/profile_images/1259980910105067520/uYtvb_b4_normal.jpg")</f>
        <v>https://pbs.twimg.com/profile_images/1259980910105067520/uYtvb_b4_normal.jpg</v>
      </c>
      <c r="G325" s="63"/>
      <c r="H325" s="67"/>
      <c r="I325" s="68"/>
      <c r="J325" s="68"/>
      <c r="K325" s="67" t="s">
        <v>9461</v>
      </c>
      <c r="L325" s="71"/>
      <c r="M325" s="72"/>
      <c r="N325" s="72"/>
      <c r="O325" s="73"/>
      <c r="P325" s="74"/>
      <c r="Q325" s="74"/>
      <c r="R325" s="81"/>
      <c r="S325" s="81"/>
      <c r="T325" s="81"/>
      <c r="U325" s="81"/>
      <c r="V325" s="48"/>
      <c r="W325" s="48"/>
      <c r="X325" s="48"/>
      <c r="Y325" s="48"/>
      <c r="Z325" s="47"/>
      <c r="AA325" s="69"/>
      <c r="AB325" s="69"/>
      <c r="AC325" s="70"/>
      <c r="AD325" t="s">
        <v>5155</v>
      </c>
      <c r="AE325" s="78" t="s">
        <v>6456</v>
      </c>
      <c r="AF325">
        <v>1436</v>
      </c>
      <c r="AG325">
        <v>39624</v>
      </c>
      <c r="AH325">
        <v>12381</v>
      </c>
      <c r="AI325">
        <v>27659</v>
      </c>
      <c r="AK325" t="s">
        <v>7627</v>
      </c>
      <c r="AM325" s="79" t="str">
        <f>HYPERLINK("https://t.co/UQ1bsMjs44")</f>
        <v>https://t.co/UQ1bsMjs44</v>
      </c>
      <c r="AO325" s="76">
        <v>40970.77175925926</v>
      </c>
      <c r="AP325" s="79" t="str">
        <f>HYPERLINK("https://pbs.twimg.com/profile_banners/512296241/1665606176")</f>
        <v>https://pbs.twimg.com/profile_banners/512296241/1665606176</v>
      </c>
      <c r="AQ325" t="b">
        <v>0</v>
      </c>
      <c r="AR325" t="b">
        <v>0</v>
      </c>
      <c r="AS325" t="b">
        <v>1</v>
      </c>
      <c r="AU325">
        <v>489</v>
      </c>
      <c r="AV325" s="79" t="str">
        <f>HYPERLINK("https://abs.twimg.com/images/themes/theme1/bg.png")</f>
        <v>https://abs.twimg.com/images/themes/theme1/bg.png</v>
      </c>
      <c r="AW325" t="b">
        <v>0</v>
      </c>
      <c r="AX325" t="s">
        <v>9303</v>
      </c>
      <c r="AY325" s="79" t="str">
        <f>HYPERLINK("https://twitter.com/indiebound")</f>
        <v>https://twitter.com/indiebound</v>
      </c>
      <c r="AZ325" t="s">
        <v>65</v>
      </c>
      <c r="BA325" s="2"/>
    </row>
    <row r="326" spans="1:53" x14ac:dyDescent="0.45">
      <c r="A326" s="62" t="s">
        <v>973</v>
      </c>
      <c r="B326" s="63"/>
      <c r="C326" s="63"/>
      <c r="D326" s="64"/>
      <c r="E326" s="66"/>
      <c r="F326" s="98" t="str">
        <f>HYPERLINK("https://pbs.twimg.com/profile_images/1612645656186982403/4I4DTDbm_normal.jpg")</f>
        <v>https://pbs.twimg.com/profile_images/1612645656186982403/4I4DTDbm_normal.jpg</v>
      </c>
      <c r="G326" s="63"/>
      <c r="H326" s="67"/>
      <c r="I326" s="68"/>
      <c r="J326" s="68"/>
      <c r="K326" s="67" t="s">
        <v>10436</v>
      </c>
      <c r="L326" s="71"/>
      <c r="M326" s="72"/>
      <c r="N326" s="72"/>
      <c r="O326" s="73"/>
      <c r="P326" s="74"/>
      <c r="Q326" s="74"/>
      <c r="R326" s="81"/>
      <c r="S326" s="81"/>
      <c r="T326" s="81"/>
      <c r="U326" s="81"/>
      <c r="V326" s="48"/>
      <c r="W326" s="48"/>
      <c r="X326" s="48"/>
      <c r="Y326" s="48"/>
      <c r="Z326" s="47"/>
      <c r="AA326" s="69"/>
      <c r="AB326" s="69"/>
      <c r="AC326" s="70"/>
      <c r="AD326" t="s">
        <v>6117</v>
      </c>
      <c r="AE326" s="78" t="s">
        <v>4784</v>
      </c>
      <c r="AF326">
        <v>1169</v>
      </c>
      <c r="AG326">
        <v>39547</v>
      </c>
      <c r="AH326">
        <v>26133</v>
      </c>
      <c r="AI326">
        <v>29915</v>
      </c>
      <c r="AK326" t="s">
        <v>8478</v>
      </c>
      <c r="AL326" t="s">
        <v>9214</v>
      </c>
      <c r="AM326" s="79" t="str">
        <f>HYPERLINK("https://t.co/gYuTDPn759")</f>
        <v>https://t.co/gYuTDPn759</v>
      </c>
      <c r="AO326" s="76">
        <v>39911.817881944444</v>
      </c>
      <c r="AP326" s="79" t="str">
        <f>HYPERLINK("https://pbs.twimg.com/profile_banners/29799187/1588486637")</f>
        <v>https://pbs.twimg.com/profile_banners/29799187/1588486637</v>
      </c>
      <c r="AQ326" t="b">
        <v>0</v>
      </c>
      <c r="AR326" t="b">
        <v>0</v>
      </c>
      <c r="AS326" t="b">
        <v>1</v>
      </c>
      <c r="AU326">
        <v>36</v>
      </c>
      <c r="AV326" s="79" t="str">
        <f>HYPERLINK("https://abs.twimg.com/images/themes/theme14/bg.gif")</f>
        <v>https://abs.twimg.com/images/themes/theme14/bg.gif</v>
      </c>
      <c r="AW326" t="b">
        <v>0</v>
      </c>
      <c r="AX326" t="s">
        <v>9303</v>
      </c>
      <c r="AY326" s="79" t="str">
        <f>HYPERLINK("https://twitter.com/monkeyflop")</f>
        <v>https://twitter.com/monkeyflop</v>
      </c>
      <c r="AZ326" t="s">
        <v>66</v>
      </c>
      <c r="BA326" s="2"/>
    </row>
    <row r="327" spans="1:53" x14ac:dyDescent="0.45">
      <c r="A327" s="62" t="s">
        <v>1287</v>
      </c>
      <c r="B327" s="63"/>
      <c r="C327" s="63"/>
      <c r="D327" s="64"/>
      <c r="E327" s="66"/>
      <c r="F327" s="98" t="str">
        <f>HYPERLINK("https://pbs.twimg.com/profile_images/1537856499942404097/bom2lXoN_normal.jpg")</f>
        <v>https://pbs.twimg.com/profile_images/1537856499942404097/bom2lXoN_normal.jpg</v>
      </c>
      <c r="G327" s="63"/>
      <c r="H327" s="67"/>
      <c r="I327" s="68"/>
      <c r="J327" s="68"/>
      <c r="K327" s="67" t="s">
        <v>9791</v>
      </c>
      <c r="L327" s="71"/>
      <c r="M327" s="72"/>
      <c r="N327" s="72"/>
      <c r="O327" s="73"/>
      <c r="P327" s="74"/>
      <c r="Q327" s="74"/>
      <c r="R327" s="81"/>
      <c r="S327" s="81"/>
      <c r="T327" s="81"/>
      <c r="U327" s="81"/>
      <c r="V327" s="48"/>
      <c r="W327" s="48"/>
      <c r="X327" s="48"/>
      <c r="Y327" s="48"/>
      <c r="Z327" s="47"/>
      <c r="AA327" s="69"/>
      <c r="AB327" s="69"/>
      <c r="AC327" s="70"/>
      <c r="AD327" t="s">
        <v>5483</v>
      </c>
      <c r="AE327" s="78" t="s">
        <v>6740</v>
      </c>
      <c r="AF327">
        <v>1392</v>
      </c>
      <c r="AG327">
        <v>39536</v>
      </c>
      <c r="AH327">
        <v>7853</v>
      </c>
      <c r="AI327">
        <v>2418</v>
      </c>
      <c r="AK327" t="s">
        <v>7912</v>
      </c>
      <c r="AL327" t="s">
        <v>8921</v>
      </c>
      <c r="AM327" s="79" t="str">
        <f>HYPERLINK("https://t.co/jWD1nG80Gy")</f>
        <v>https://t.co/jWD1nG80Gy</v>
      </c>
      <c r="AO327" s="76">
        <v>40008.910127314812</v>
      </c>
      <c r="AP327" s="79" t="str">
        <f>HYPERLINK("https://pbs.twimg.com/profile_banners/56828100/1430150829")</f>
        <v>https://pbs.twimg.com/profile_banners/56828100/1430150829</v>
      </c>
      <c r="AQ327" t="b">
        <v>0</v>
      </c>
      <c r="AR327" t="b">
        <v>0</v>
      </c>
      <c r="AS327" t="b">
        <v>1</v>
      </c>
      <c r="AU327">
        <v>417</v>
      </c>
      <c r="AV327" s="79" t="str">
        <f>HYPERLINK("https://abs.twimg.com/images/themes/theme1/bg.png")</f>
        <v>https://abs.twimg.com/images/themes/theme1/bg.png</v>
      </c>
      <c r="AW327" t="b">
        <v>1</v>
      </c>
      <c r="AX327" t="s">
        <v>9303</v>
      </c>
      <c r="AY327" s="79" t="str">
        <f>HYPERLINK("https://twitter.com/marcmorial")</f>
        <v>https://twitter.com/marcmorial</v>
      </c>
      <c r="AZ327" t="s">
        <v>65</v>
      </c>
      <c r="BA327" s="2"/>
    </row>
    <row r="328" spans="1:53" x14ac:dyDescent="0.45">
      <c r="A328" s="62" t="s">
        <v>1493</v>
      </c>
      <c r="B328" s="63"/>
      <c r="C328" s="63"/>
      <c r="D328" s="64"/>
      <c r="E328" s="66"/>
      <c r="F328" s="98" t="str">
        <f>HYPERLINK("https://pbs.twimg.com/profile_images/1098239264259821570/G34cTENE_normal.png")</f>
        <v>https://pbs.twimg.com/profile_images/1098239264259821570/G34cTENE_normal.png</v>
      </c>
      <c r="G328" s="63"/>
      <c r="H328" s="67"/>
      <c r="I328" s="68"/>
      <c r="J328" s="68"/>
      <c r="K328" s="67" t="s">
        <v>10494</v>
      </c>
      <c r="L328" s="71"/>
      <c r="M328" s="72"/>
      <c r="N328" s="72"/>
      <c r="O328" s="73"/>
      <c r="P328" s="74"/>
      <c r="Q328" s="74"/>
      <c r="R328" s="81"/>
      <c r="S328" s="81"/>
      <c r="T328" s="81"/>
      <c r="U328" s="81"/>
      <c r="V328" s="48"/>
      <c r="W328" s="48"/>
      <c r="X328" s="48"/>
      <c r="Y328" s="48"/>
      <c r="Z328" s="47"/>
      <c r="AA328" s="69"/>
      <c r="AB328" s="69"/>
      <c r="AC328" s="70"/>
      <c r="AD328" t="s">
        <v>6172</v>
      </c>
      <c r="AE328" s="78" t="s">
        <v>7358</v>
      </c>
      <c r="AF328">
        <v>444</v>
      </c>
      <c r="AG328">
        <v>38996</v>
      </c>
      <c r="AH328">
        <v>10358</v>
      </c>
      <c r="AI328">
        <v>3370</v>
      </c>
      <c r="AK328" t="s">
        <v>8530</v>
      </c>
      <c r="AM328" s="79" t="str">
        <f>HYPERLINK("https://t.co/1lISTgNh4w")</f>
        <v>https://t.co/1lISTgNh4w</v>
      </c>
      <c r="AO328" s="76">
        <v>39966.796550925923</v>
      </c>
      <c r="AP328" s="79" t="str">
        <f>HYPERLINK("https://pbs.twimg.com/profile_banners/44182242/1550559128")</f>
        <v>https://pbs.twimg.com/profile_banners/44182242/1550559128</v>
      </c>
      <c r="AQ328" t="b">
        <v>0</v>
      </c>
      <c r="AR328" t="b">
        <v>0</v>
      </c>
      <c r="AS328" t="b">
        <v>1</v>
      </c>
      <c r="AU328">
        <v>692</v>
      </c>
      <c r="AV328" s="79" t="str">
        <f>HYPERLINK("https://abs.twimg.com/images/themes/theme1/bg.png")</f>
        <v>https://abs.twimg.com/images/themes/theme1/bg.png</v>
      </c>
      <c r="AW328" t="b">
        <v>1</v>
      </c>
      <c r="AX328" t="s">
        <v>9303</v>
      </c>
      <c r="AY328" s="79" t="str">
        <f>HYPERLINK("https://twitter.com/centurylink")</f>
        <v>https://twitter.com/centurylink</v>
      </c>
      <c r="AZ328" t="s">
        <v>65</v>
      </c>
      <c r="BA328" s="2"/>
    </row>
    <row r="329" spans="1:53" x14ac:dyDescent="0.45">
      <c r="A329" s="62" t="s">
        <v>1334</v>
      </c>
      <c r="B329" s="63"/>
      <c r="C329" s="63"/>
      <c r="D329" s="64"/>
      <c r="E329" s="66"/>
      <c r="F329" s="98" t="str">
        <f>HYPERLINK("https://pbs.twimg.com/profile_images/1526651153206743040/4uljnhjl_normal.jpg")</f>
        <v>https://pbs.twimg.com/profile_images/1526651153206743040/4uljnhjl_normal.jpg</v>
      </c>
      <c r="G329" s="63"/>
      <c r="H329" s="67"/>
      <c r="I329" s="68"/>
      <c r="J329" s="68"/>
      <c r="K329" s="67" t="s">
        <v>10014</v>
      </c>
      <c r="L329" s="71"/>
      <c r="M329" s="72"/>
      <c r="N329" s="72"/>
      <c r="O329" s="73"/>
      <c r="P329" s="74"/>
      <c r="Q329" s="74"/>
      <c r="R329" s="81"/>
      <c r="S329" s="81"/>
      <c r="T329" s="81"/>
      <c r="U329" s="81"/>
      <c r="V329" s="48"/>
      <c r="W329" s="48"/>
      <c r="X329" s="48"/>
      <c r="Y329" s="48"/>
      <c r="Z329" s="47"/>
      <c r="AA329" s="69"/>
      <c r="AB329" s="69"/>
      <c r="AC329" s="70"/>
      <c r="AD329" t="s">
        <v>5704</v>
      </c>
      <c r="AE329" s="78" t="s">
        <v>6945</v>
      </c>
      <c r="AF329">
        <v>479</v>
      </c>
      <c r="AG329">
        <v>37690</v>
      </c>
      <c r="AH329">
        <v>2542</v>
      </c>
      <c r="AI329">
        <v>4677</v>
      </c>
      <c r="AK329" t="s">
        <v>8108</v>
      </c>
      <c r="AL329" t="s">
        <v>9040</v>
      </c>
      <c r="AM329" s="79" t="str">
        <f>HYPERLINK("https://t.co/ElT8D7gI6m")</f>
        <v>https://t.co/ElT8D7gI6m</v>
      </c>
      <c r="AO329" s="76">
        <v>41463.870104166665</v>
      </c>
      <c r="AP329" s="79" t="str">
        <f>HYPERLINK("https://pbs.twimg.com/profile_banners/1578583062/1652817025")</f>
        <v>https://pbs.twimg.com/profile_banners/1578583062/1652817025</v>
      </c>
      <c r="AQ329" t="b">
        <v>1</v>
      </c>
      <c r="AR329" t="b">
        <v>0</v>
      </c>
      <c r="AS329" t="b">
        <v>1</v>
      </c>
      <c r="AU329">
        <v>287</v>
      </c>
      <c r="AV329" s="79" t="str">
        <f>HYPERLINK("https://abs.twimg.com/images/themes/theme1/bg.png")</f>
        <v>https://abs.twimg.com/images/themes/theme1/bg.png</v>
      </c>
      <c r="AW329" t="b">
        <v>1</v>
      </c>
      <c r="AX329" t="s">
        <v>9303</v>
      </c>
      <c r="AY329" s="79" t="str">
        <f>HYPERLINK("https://twitter.com/goodyear")</f>
        <v>https://twitter.com/goodyear</v>
      </c>
      <c r="AZ329" t="s">
        <v>65</v>
      </c>
      <c r="BA329" s="2"/>
    </row>
    <row r="330" spans="1:53" x14ac:dyDescent="0.45">
      <c r="A330" s="62" t="s">
        <v>1170</v>
      </c>
      <c r="B330" s="63"/>
      <c r="C330" s="63"/>
      <c r="D330" s="64"/>
      <c r="E330" s="66"/>
      <c r="F330" s="98" t="str">
        <f>HYPERLINK("https://pbs.twimg.com/profile_images/1514055610915983360/2LMZ2_HB_normal.jpg")</f>
        <v>https://pbs.twimg.com/profile_images/1514055610915983360/2LMZ2_HB_normal.jpg</v>
      </c>
      <c r="G330" s="63"/>
      <c r="H330" s="67"/>
      <c r="I330" s="68"/>
      <c r="J330" s="68"/>
      <c r="K330" s="67" t="s">
        <v>9449</v>
      </c>
      <c r="L330" s="71"/>
      <c r="M330" s="72"/>
      <c r="N330" s="72"/>
      <c r="O330" s="73"/>
      <c r="P330" s="74"/>
      <c r="Q330" s="74"/>
      <c r="R330" s="81"/>
      <c r="S330" s="81"/>
      <c r="T330" s="81"/>
      <c r="U330" s="81"/>
      <c r="V330" s="48"/>
      <c r="W330" s="48"/>
      <c r="X330" s="48"/>
      <c r="Y330" s="48"/>
      <c r="Z330" s="47"/>
      <c r="AA330" s="69"/>
      <c r="AB330" s="69"/>
      <c r="AC330" s="70"/>
      <c r="AD330" t="s">
        <v>5143</v>
      </c>
      <c r="AE330" s="78" t="s">
        <v>6446</v>
      </c>
      <c r="AF330">
        <v>207</v>
      </c>
      <c r="AG330">
        <v>37465</v>
      </c>
      <c r="AH330">
        <v>14374</v>
      </c>
      <c r="AI330">
        <v>4071</v>
      </c>
      <c r="AK330" t="s">
        <v>7616</v>
      </c>
      <c r="AL330" t="s">
        <v>8759</v>
      </c>
      <c r="AM330" s="79" t="str">
        <f>HYPERLINK("https://t.co/lfidOCQTB7")</f>
        <v>https://t.co/lfidOCQTB7</v>
      </c>
      <c r="AO330" s="76">
        <v>41757.962025462963</v>
      </c>
      <c r="AP330" s="79" t="str">
        <f>HYPERLINK("https://pbs.twimg.com/profile_banners/2468378420/1671750002")</f>
        <v>https://pbs.twimg.com/profile_banners/2468378420/1671750002</v>
      </c>
      <c r="AQ330" t="b">
        <v>0</v>
      </c>
      <c r="AR330" t="b">
        <v>0</v>
      </c>
      <c r="AS330" t="b">
        <v>1</v>
      </c>
      <c r="AU330">
        <v>99</v>
      </c>
      <c r="AV330" s="79" t="str">
        <f>HYPERLINK("https://abs.twimg.com/images/themes/theme1/bg.png")</f>
        <v>https://abs.twimg.com/images/themes/theme1/bg.png</v>
      </c>
      <c r="AW330" t="b">
        <v>1</v>
      </c>
      <c r="AX330" t="s">
        <v>9303</v>
      </c>
      <c r="AY330" s="79" t="str">
        <f>HYPERLINK("https://twitter.com/mercari_app")</f>
        <v>https://twitter.com/mercari_app</v>
      </c>
      <c r="AZ330" t="s">
        <v>65</v>
      </c>
      <c r="BA330" s="2"/>
    </row>
    <row r="331" spans="1:53" x14ac:dyDescent="0.45">
      <c r="A331" s="62" t="s">
        <v>1317</v>
      </c>
      <c r="B331" s="63"/>
      <c r="C331" s="63"/>
      <c r="D331" s="64"/>
      <c r="E331" s="66"/>
      <c r="F331" s="98" t="str">
        <f>HYPERLINK("https://pbs.twimg.com/profile_images/1620431432119357440/BwCWH8Eu_normal.jpg")</f>
        <v>https://pbs.twimg.com/profile_images/1620431432119357440/BwCWH8Eu_normal.jpg</v>
      </c>
      <c r="G331" s="63"/>
      <c r="H331" s="67"/>
      <c r="I331" s="68"/>
      <c r="J331" s="68"/>
      <c r="K331" s="67" t="s">
        <v>9967</v>
      </c>
      <c r="L331" s="71"/>
      <c r="M331" s="72"/>
      <c r="N331" s="72"/>
      <c r="O331" s="73"/>
      <c r="P331" s="74"/>
      <c r="Q331" s="74"/>
      <c r="R331" s="81"/>
      <c r="S331" s="81"/>
      <c r="T331" s="81"/>
      <c r="U331" s="81"/>
      <c r="V331" s="48"/>
      <c r="W331" s="48"/>
      <c r="X331" s="48"/>
      <c r="Y331" s="48"/>
      <c r="Z331" s="47"/>
      <c r="AA331" s="69"/>
      <c r="AB331" s="69"/>
      <c r="AC331" s="70"/>
      <c r="AD331" t="s">
        <v>5658</v>
      </c>
      <c r="AE331" s="78" t="s">
        <v>6900</v>
      </c>
      <c r="AF331">
        <v>6909</v>
      </c>
      <c r="AG331">
        <v>35676</v>
      </c>
      <c r="AH331">
        <v>58102</v>
      </c>
      <c r="AI331">
        <v>26191</v>
      </c>
      <c r="AK331" t="s">
        <v>8067</v>
      </c>
      <c r="AL331" t="s">
        <v>8708</v>
      </c>
      <c r="AM331" s="79" t="str">
        <f>HYPERLINK("https://t.co/VNRkU2NNyL")</f>
        <v>https://t.co/VNRkU2NNyL</v>
      </c>
      <c r="AO331" s="76">
        <v>39860.698113425926</v>
      </c>
      <c r="AP331" s="79" t="str">
        <f>HYPERLINK("https://pbs.twimg.com/profile_banners/21001013/1675175935")</f>
        <v>https://pbs.twimg.com/profile_banners/21001013/1675175935</v>
      </c>
      <c r="AQ331" t="b">
        <v>0</v>
      </c>
      <c r="AR331" t="b">
        <v>0</v>
      </c>
      <c r="AS331" t="b">
        <v>1</v>
      </c>
      <c r="AU331">
        <v>549</v>
      </c>
      <c r="AV331" s="79" t="str">
        <f>HYPERLINK("https://abs.twimg.com/images/themes/theme1/bg.png")</f>
        <v>https://abs.twimg.com/images/themes/theme1/bg.png</v>
      </c>
      <c r="AW331" t="b">
        <v>0</v>
      </c>
      <c r="AX331" t="s">
        <v>9303</v>
      </c>
      <c r="AY331" s="79" t="str">
        <f>HYPERLINK("https://twitter.com/gobankingrates")</f>
        <v>https://twitter.com/gobankingrates</v>
      </c>
      <c r="AZ331" t="s">
        <v>65</v>
      </c>
      <c r="BA331" s="2"/>
    </row>
    <row r="332" spans="1:53" x14ac:dyDescent="0.45">
      <c r="A332" s="62" t="s">
        <v>1500</v>
      </c>
      <c r="B332" s="63"/>
      <c r="C332" s="63"/>
      <c r="D332" s="64"/>
      <c r="E332" s="66"/>
      <c r="F332" s="98" t="str">
        <f>HYPERLINK("https://pbs.twimg.com/profile_images/1486454322963488771/HimRbyKr_normal.jpg")</f>
        <v>https://pbs.twimg.com/profile_images/1486454322963488771/HimRbyKr_normal.jpg</v>
      </c>
      <c r="G332" s="63"/>
      <c r="H332" s="67"/>
      <c r="I332" s="68"/>
      <c r="J332" s="68"/>
      <c r="K332" s="67" t="s">
        <v>10509</v>
      </c>
      <c r="L332" s="71"/>
      <c r="M332" s="72"/>
      <c r="N332" s="72"/>
      <c r="O332" s="73"/>
      <c r="P332" s="74"/>
      <c r="Q332" s="74"/>
      <c r="R332" s="81"/>
      <c r="S332" s="81"/>
      <c r="T332" s="81"/>
      <c r="U332" s="81"/>
      <c r="V332" s="48"/>
      <c r="W332" s="48"/>
      <c r="X332" s="48"/>
      <c r="Y332" s="48"/>
      <c r="Z332" s="47"/>
      <c r="AA332" s="69"/>
      <c r="AB332" s="69"/>
      <c r="AC332" s="70"/>
      <c r="AD332" t="s">
        <v>6187</v>
      </c>
      <c r="AE332" s="78" t="s">
        <v>4799</v>
      </c>
      <c r="AF332">
        <v>416</v>
      </c>
      <c r="AG332">
        <v>34876</v>
      </c>
      <c r="AH332">
        <v>9486</v>
      </c>
      <c r="AI332">
        <v>22569</v>
      </c>
      <c r="AK332" t="s">
        <v>8542</v>
      </c>
      <c r="AO332" s="76">
        <v>42508.697314814817</v>
      </c>
      <c r="AP332" s="79" t="str">
        <f>HYPERLINK("https://pbs.twimg.com/profile_banners/732975066703626240/1465242591")</f>
        <v>https://pbs.twimg.com/profile_banners/732975066703626240/1465242591</v>
      </c>
      <c r="AQ332" t="b">
        <v>1</v>
      </c>
      <c r="AR332" t="b">
        <v>0</v>
      </c>
      <c r="AS332" t="b">
        <v>0</v>
      </c>
      <c r="AU332">
        <v>251</v>
      </c>
      <c r="AW332" t="b">
        <v>1</v>
      </c>
      <c r="AX332" t="s">
        <v>9303</v>
      </c>
      <c r="AY332" s="79" t="str">
        <f>HYPERLINK("https://twitter.com/bstokley14")</f>
        <v>https://twitter.com/bstokley14</v>
      </c>
      <c r="AZ332" t="s">
        <v>65</v>
      </c>
      <c r="BA332" s="2"/>
    </row>
    <row r="333" spans="1:53" x14ac:dyDescent="0.45">
      <c r="A333" s="62" t="s">
        <v>1177</v>
      </c>
      <c r="B333" s="63"/>
      <c r="C333" s="63"/>
      <c r="D333" s="64"/>
      <c r="E333" s="66"/>
      <c r="F333" s="98" t="str">
        <f>HYPERLINK("https://pbs.twimg.com/profile_images/1349083710398881793/tTap6KYu_normal.jpg")</f>
        <v>https://pbs.twimg.com/profile_images/1349083710398881793/tTap6KYu_normal.jpg</v>
      </c>
      <c r="G333" s="63"/>
      <c r="H333" s="67"/>
      <c r="I333" s="68"/>
      <c r="J333" s="68"/>
      <c r="K333" s="67" t="s">
        <v>9460</v>
      </c>
      <c r="L333" s="71"/>
      <c r="M333" s="72"/>
      <c r="N333" s="72"/>
      <c r="O333" s="73"/>
      <c r="P333" s="74"/>
      <c r="Q333" s="74"/>
      <c r="R333" s="81"/>
      <c r="S333" s="81"/>
      <c r="T333" s="81"/>
      <c r="U333" s="81"/>
      <c r="V333" s="48"/>
      <c r="W333" s="48"/>
      <c r="X333" s="48"/>
      <c r="Y333" s="48"/>
      <c r="Z333" s="47"/>
      <c r="AA333" s="69"/>
      <c r="AB333" s="69"/>
      <c r="AC333" s="70"/>
      <c r="AD333" t="s">
        <v>5154</v>
      </c>
      <c r="AE333" s="78" t="s">
        <v>6455</v>
      </c>
      <c r="AF333">
        <v>749</v>
      </c>
      <c r="AG333">
        <v>34017</v>
      </c>
      <c r="AH333">
        <v>6784</v>
      </c>
      <c r="AI333">
        <v>10039</v>
      </c>
      <c r="AK333" t="s">
        <v>7626</v>
      </c>
      <c r="AL333" t="s">
        <v>4899</v>
      </c>
      <c r="AM333" s="79" t="str">
        <f>HYPERLINK("https://t.co/3oPaDCCX5G")</f>
        <v>https://t.co/3oPaDCCX5G</v>
      </c>
      <c r="AO333" s="76">
        <v>43697.643831018519</v>
      </c>
      <c r="AP333" s="79" t="str">
        <f>HYPERLINK("https://pbs.twimg.com/profile_banners/1163834708104556544/1611855852")</f>
        <v>https://pbs.twimg.com/profile_banners/1163834708104556544/1611855852</v>
      </c>
      <c r="AQ333" t="b">
        <v>1</v>
      </c>
      <c r="AR333" t="b">
        <v>0</v>
      </c>
      <c r="AS333" t="b">
        <v>1</v>
      </c>
      <c r="AU333">
        <v>361</v>
      </c>
      <c r="AW333" t="b">
        <v>0</v>
      </c>
      <c r="AX333" t="s">
        <v>9303</v>
      </c>
      <c r="AY333" s="79" t="str">
        <f>HYPERLINK("https://twitter.com/bookshop_org")</f>
        <v>https://twitter.com/bookshop_org</v>
      </c>
      <c r="AZ333" t="s">
        <v>65</v>
      </c>
      <c r="BA333" s="2"/>
    </row>
    <row r="334" spans="1:53" x14ac:dyDescent="0.45">
      <c r="A334" s="62" t="s">
        <v>718</v>
      </c>
      <c r="B334" s="63"/>
      <c r="C334" s="63"/>
      <c r="D334" s="64"/>
      <c r="E334" s="66"/>
      <c r="F334" s="98" t="str">
        <f>HYPERLINK("https://pbs.twimg.com/profile_images/1023979713646092294/MKmuqnvm_normal.jpg")</f>
        <v>https://pbs.twimg.com/profile_images/1023979713646092294/MKmuqnvm_normal.jpg</v>
      </c>
      <c r="G334" s="63"/>
      <c r="H334" s="67"/>
      <c r="I334" s="68"/>
      <c r="J334" s="68"/>
      <c r="K334" s="67" t="s">
        <v>10061</v>
      </c>
      <c r="L334" s="71"/>
      <c r="M334" s="72"/>
      <c r="N334" s="72"/>
      <c r="O334" s="73"/>
      <c r="P334" s="74"/>
      <c r="Q334" s="74"/>
      <c r="R334" s="81"/>
      <c r="S334" s="81"/>
      <c r="T334" s="81"/>
      <c r="U334" s="81"/>
      <c r="V334" s="48"/>
      <c r="W334" s="48"/>
      <c r="X334" s="48"/>
      <c r="Y334" s="48"/>
      <c r="Z334" s="47"/>
      <c r="AA334" s="69"/>
      <c r="AB334" s="69"/>
      <c r="AC334" s="70"/>
      <c r="AD334" t="s">
        <v>5750</v>
      </c>
      <c r="AE334" s="78" t="s">
        <v>6986</v>
      </c>
      <c r="AF334">
        <v>5592</v>
      </c>
      <c r="AG334">
        <v>33620</v>
      </c>
      <c r="AH334">
        <v>20013</v>
      </c>
      <c r="AI334">
        <v>5442</v>
      </c>
      <c r="AK334" t="s">
        <v>8148</v>
      </c>
      <c r="AL334" t="s">
        <v>4899</v>
      </c>
      <c r="AM334" s="79" t="str">
        <f>HYPERLINK("https://t.co/uAEdMzCxnh")</f>
        <v>https://t.co/uAEdMzCxnh</v>
      </c>
      <c r="AO334" s="76">
        <v>39734.617696759262</v>
      </c>
      <c r="AP334" s="79" t="str">
        <f>HYPERLINK("https://pbs.twimg.com/profile_banners/16721621/1532970801")</f>
        <v>https://pbs.twimg.com/profile_banners/16721621/1532970801</v>
      </c>
      <c r="AQ334" t="b">
        <v>0</v>
      </c>
      <c r="AR334" t="b">
        <v>0</v>
      </c>
      <c r="AS334" t="b">
        <v>0</v>
      </c>
      <c r="AU334">
        <v>1074</v>
      </c>
      <c r="AV334" s="79" t="str">
        <f>HYPERLINK("https://abs.twimg.com/images/themes/theme1/bg.png")</f>
        <v>https://abs.twimg.com/images/themes/theme1/bg.png</v>
      </c>
      <c r="AW334" t="b">
        <v>1</v>
      </c>
      <c r="AX334" t="s">
        <v>9303</v>
      </c>
      <c r="AY334" s="79" t="str">
        <f>HYPERLINK("https://twitter.com/envam")</f>
        <v>https://twitter.com/envam</v>
      </c>
      <c r="AZ334" t="s">
        <v>66</v>
      </c>
      <c r="BA334" s="2"/>
    </row>
    <row r="335" spans="1:53" x14ac:dyDescent="0.45">
      <c r="A335" s="62" t="s">
        <v>1128</v>
      </c>
      <c r="B335" s="63"/>
      <c r="C335" s="63"/>
      <c r="D335" s="64"/>
      <c r="E335" s="66"/>
      <c r="F335" s="98" t="str">
        <f>HYPERLINK("https://pbs.twimg.com/profile_images/1116880324414148608/0u0PyyA3_normal.jpg")</f>
        <v>https://pbs.twimg.com/profile_images/1116880324414148608/0u0PyyA3_normal.jpg</v>
      </c>
      <c r="G335" s="63"/>
      <c r="H335" s="67"/>
      <c r="I335" s="68"/>
      <c r="J335" s="68"/>
      <c r="K335" s="67" t="s">
        <v>9345</v>
      </c>
      <c r="L335" s="71"/>
      <c r="M335" s="72"/>
      <c r="N335" s="72"/>
      <c r="O335" s="73"/>
      <c r="P335" s="74"/>
      <c r="Q335" s="74"/>
      <c r="R335" s="81"/>
      <c r="S335" s="81"/>
      <c r="T335" s="81"/>
      <c r="U335" s="81"/>
      <c r="V335" s="48"/>
      <c r="W335" s="48"/>
      <c r="X335" s="48"/>
      <c r="Y335" s="48"/>
      <c r="Z335" s="47"/>
      <c r="AA335" s="69"/>
      <c r="AB335" s="69"/>
      <c r="AC335" s="70"/>
      <c r="AD335" t="s">
        <v>5041</v>
      </c>
      <c r="AE335" s="78" t="s">
        <v>6359</v>
      </c>
      <c r="AF335">
        <v>2107</v>
      </c>
      <c r="AG335">
        <v>33446</v>
      </c>
      <c r="AH335">
        <v>33993</v>
      </c>
      <c r="AI335">
        <v>77499</v>
      </c>
      <c r="AK335" t="s">
        <v>7529</v>
      </c>
      <c r="AL335" t="s">
        <v>8702</v>
      </c>
      <c r="AM335" s="79" t="str">
        <f>HYPERLINK("https://t.co/6FYmEfrMBj")</f>
        <v>https://t.co/6FYmEfrMBj</v>
      </c>
      <c r="AO335" s="76">
        <v>42517.555046296293</v>
      </c>
      <c r="AP335" s="79" t="str">
        <f>HYPERLINK("https://pbs.twimg.com/profile_banners/736185001457287169/1539735091")</f>
        <v>https://pbs.twimg.com/profile_banners/736185001457287169/1539735091</v>
      </c>
      <c r="AQ335" t="b">
        <v>1</v>
      </c>
      <c r="AR335" t="b">
        <v>0</v>
      </c>
      <c r="AS335" t="b">
        <v>1</v>
      </c>
      <c r="AU335">
        <v>776</v>
      </c>
      <c r="AW335" t="b">
        <v>0</v>
      </c>
      <c r="AX335" t="s">
        <v>9303</v>
      </c>
      <c r="AY335" s="79" t="str">
        <f>HYPERLINK("https://twitter.com/helene_wpli")</f>
        <v>https://twitter.com/helene_wpli</v>
      </c>
      <c r="AZ335" t="s">
        <v>65</v>
      </c>
      <c r="BA335" s="2"/>
    </row>
    <row r="336" spans="1:53" x14ac:dyDescent="0.45">
      <c r="A336" s="62" t="s">
        <v>400</v>
      </c>
      <c r="B336" s="63"/>
      <c r="C336" s="63"/>
      <c r="D336" s="64"/>
      <c r="E336" s="66"/>
      <c r="F336" s="98" t="str">
        <f>HYPERLINK("https://pbs.twimg.com/profile_images/1212795037442084870/5WHSnvI4_normal.jpg")</f>
        <v>https://pbs.twimg.com/profile_images/1212795037442084870/5WHSnvI4_normal.jpg</v>
      </c>
      <c r="G336" s="63"/>
      <c r="H336" s="67"/>
      <c r="I336" s="68"/>
      <c r="J336" s="68"/>
      <c r="K336" s="67" t="s">
        <v>9650</v>
      </c>
      <c r="L336" s="71"/>
      <c r="M336" s="72"/>
      <c r="N336" s="72"/>
      <c r="O336" s="73"/>
      <c r="P336" s="74"/>
      <c r="Q336" s="74"/>
      <c r="R336" s="81"/>
      <c r="S336" s="81"/>
      <c r="T336" s="81"/>
      <c r="U336" s="81"/>
      <c r="V336" s="48"/>
      <c r="W336" s="48"/>
      <c r="X336" s="48"/>
      <c r="Y336" s="48"/>
      <c r="Z336" s="47"/>
      <c r="AA336" s="69"/>
      <c r="AB336" s="69"/>
      <c r="AC336" s="70"/>
      <c r="AD336" t="s">
        <v>5343</v>
      </c>
      <c r="AE336" s="78" t="s">
        <v>6618</v>
      </c>
      <c r="AF336">
        <v>2598</v>
      </c>
      <c r="AG336">
        <v>33243</v>
      </c>
      <c r="AH336">
        <v>14128</v>
      </c>
      <c r="AI336">
        <v>4658</v>
      </c>
      <c r="AK336" t="s">
        <v>7794</v>
      </c>
      <c r="AL336" t="s">
        <v>8856</v>
      </c>
      <c r="AM336" s="79" t="str">
        <f>HYPERLINK("https://t.co/KYlqt1pNZe")</f>
        <v>https://t.co/KYlqt1pNZe</v>
      </c>
      <c r="AO336" s="76">
        <v>39867.944722222222</v>
      </c>
      <c r="AP336" s="79" t="str">
        <f>HYPERLINK("https://pbs.twimg.com/profile_banners/21702940/1672455406")</f>
        <v>https://pbs.twimg.com/profile_banners/21702940/1672455406</v>
      </c>
      <c r="AQ336" t="b">
        <v>0</v>
      </c>
      <c r="AR336" t="b">
        <v>0</v>
      </c>
      <c r="AS336" t="b">
        <v>0</v>
      </c>
      <c r="AU336">
        <v>383</v>
      </c>
      <c r="AV336" s="79" t="str">
        <f>HYPERLINK("https://abs.twimg.com/images/themes/theme1/bg.png")</f>
        <v>https://abs.twimg.com/images/themes/theme1/bg.png</v>
      </c>
      <c r="AW336" t="b">
        <v>1</v>
      </c>
      <c r="AX336" t="s">
        <v>9303</v>
      </c>
      <c r="AY336" s="79" t="str">
        <f>HYPERLINK("https://twitter.com/vtechtoys")</f>
        <v>https://twitter.com/vtechtoys</v>
      </c>
      <c r="AZ336" t="s">
        <v>66</v>
      </c>
      <c r="BA336" s="2"/>
    </row>
    <row r="337" spans="1:53" x14ac:dyDescent="0.45">
      <c r="A337" s="62" t="s">
        <v>1358</v>
      </c>
      <c r="B337" s="63"/>
      <c r="C337" s="63"/>
      <c r="D337" s="64"/>
      <c r="E337" s="66"/>
      <c r="F337" s="98" t="str">
        <f>HYPERLINK("https://pbs.twimg.com/profile_images/1608544625186177027/TGBTAsvy_normal.jpg")</f>
        <v>https://pbs.twimg.com/profile_images/1608544625186177027/TGBTAsvy_normal.jpg</v>
      </c>
      <c r="G337" s="63"/>
      <c r="H337" s="67"/>
      <c r="I337" s="68"/>
      <c r="J337" s="68"/>
      <c r="K337" s="67" t="s">
        <v>10113</v>
      </c>
      <c r="L337" s="71"/>
      <c r="M337" s="72"/>
      <c r="N337" s="72"/>
      <c r="O337" s="73"/>
      <c r="P337" s="74"/>
      <c r="Q337" s="74"/>
      <c r="R337" s="81"/>
      <c r="S337" s="81"/>
      <c r="T337" s="81"/>
      <c r="U337" s="81"/>
      <c r="V337" s="48"/>
      <c r="W337" s="48"/>
      <c r="X337" s="48"/>
      <c r="Y337" s="48"/>
      <c r="Z337" s="47"/>
      <c r="AA337" s="69"/>
      <c r="AB337" s="69"/>
      <c r="AC337" s="70"/>
      <c r="AD337" t="s">
        <v>5801</v>
      </c>
      <c r="AE337" s="78" t="s">
        <v>4739</v>
      </c>
      <c r="AF337">
        <v>543</v>
      </c>
      <c r="AG337">
        <v>33003</v>
      </c>
      <c r="AH337">
        <v>66809</v>
      </c>
      <c r="AI337">
        <v>80339</v>
      </c>
      <c r="AK337" t="s">
        <v>8196</v>
      </c>
      <c r="AM337" s="79" t="str">
        <f>HYPERLINK("https://t.co/zKE3czbmYd")</f>
        <v>https://t.co/zKE3czbmYd</v>
      </c>
      <c r="AO337" s="76">
        <v>44050.091377314813</v>
      </c>
      <c r="AP337" s="79" t="str">
        <f>HYPERLINK("https://pbs.twimg.com/profile_banners/1291557521023471616/1596768852")</f>
        <v>https://pbs.twimg.com/profile_banners/1291557521023471616/1596768852</v>
      </c>
      <c r="AQ337" t="b">
        <v>1</v>
      </c>
      <c r="AR337" t="b">
        <v>0</v>
      </c>
      <c r="AS337" t="b">
        <v>0</v>
      </c>
      <c r="AU337">
        <v>425</v>
      </c>
      <c r="AW337" t="b">
        <v>0</v>
      </c>
      <c r="AX337" t="s">
        <v>9303</v>
      </c>
      <c r="AY337" s="79" t="str">
        <f>HYPERLINK("https://twitter.com/managertactical")</f>
        <v>https://twitter.com/managertactical</v>
      </c>
      <c r="AZ337" t="s">
        <v>65</v>
      </c>
      <c r="BA337" s="2"/>
    </row>
    <row r="338" spans="1:53" x14ac:dyDescent="0.45">
      <c r="A338" s="62" t="s">
        <v>1399</v>
      </c>
      <c r="B338" s="63"/>
      <c r="C338" s="63"/>
      <c r="D338" s="64"/>
      <c r="E338" s="66"/>
      <c r="F338" s="98" t="str">
        <f>HYPERLINK("https://pbs.twimg.com/profile_images/1034456580094349312/u6oAwa-K_normal.jpg")</f>
        <v>https://pbs.twimg.com/profile_images/1034456580094349312/u6oAwa-K_normal.jpg</v>
      </c>
      <c r="G338" s="63"/>
      <c r="H338" s="67"/>
      <c r="I338" s="68"/>
      <c r="J338" s="68"/>
      <c r="K338" s="67" t="s">
        <v>10220</v>
      </c>
      <c r="L338" s="71"/>
      <c r="M338" s="72"/>
      <c r="N338" s="72"/>
      <c r="O338" s="73"/>
      <c r="P338" s="74"/>
      <c r="Q338" s="74"/>
      <c r="R338" s="81"/>
      <c r="S338" s="81"/>
      <c r="T338" s="81"/>
      <c r="U338" s="81"/>
      <c r="V338" s="48"/>
      <c r="W338" s="48"/>
      <c r="X338" s="48"/>
      <c r="Y338" s="48"/>
      <c r="Z338" s="47"/>
      <c r="AA338" s="69"/>
      <c r="AB338" s="69"/>
      <c r="AC338" s="70"/>
      <c r="AD338" t="s">
        <v>5904</v>
      </c>
      <c r="AE338" s="78" t="s">
        <v>4756</v>
      </c>
      <c r="AF338">
        <v>235</v>
      </c>
      <c r="AG338">
        <v>32384</v>
      </c>
      <c r="AH338">
        <v>24790</v>
      </c>
      <c r="AI338">
        <v>6760</v>
      </c>
      <c r="AK338" t="s">
        <v>8287</v>
      </c>
      <c r="AL338" t="s">
        <v>4899</v>
      </c>
      <c r="AM338" s="79" t="str">
        <f>HYPERLINK("https://t.co/ZqVm9nCmPX")</f>
        <v>https://t.co/ZqVm9nCmPX</v>
      </c>
      <c r="AO338" s="76">
        <v>43335.761550925927</v>
      </c>
      <c r="AP338" s="79" t="str">
        <f>HYPERLINK("https://pbs.twimg.com/profile_banners/1032693107115130881/1535468644")</f>
        <v>https://pbs.twimg.com/profile_banners/1032693107115130881/1535468644</v>
      </c>
      <c r="AQ338" t="b">
        <v>1</v>
      </c>
      <c r="AR338" t="b">
        <v>0</v>
      </c>
      <c r="AS338" t="b">
        <v>1</v>
      </c>
      <c r="AU338">
        <v>78</v>
      </c>
      <c r="AW338" t="b">
        <v>0</v>
      </c>
      <c r="AX338" t="s">
        <v>9303</v>
      </c>
      <c r="AY338" s="79" t="str">
        <f>HYPERLINK("https://twitter.com/majorwfpod")</f>
        <v>https://twitter.com/majorwfpod</v>
      </c>
      <c r="AZ338" t="s">
        <v>65</v>
      </c>
      <c r="BA338" s="2"/>
    </row>
    <row r="339" spans="1:53" x14ac:dyDescent="0.45">
      <c r="A339" s="62" t="s">
        <v>1198</v>
      </c>
      <c r="B339" s="63"/>
      <c r="C339" s="63"/>
      <c r="D339" s="64"/>
      <c r="E339" s="66"/>
      <c r="F339" s="98" t="str">
        <f>HYPERLINK("https://pbs.twimg.com/profile_images/1323697744049926144/BVrLYPYt_normal.jpg")</f>
        <v>https://pbs.twimg.com/profile_images/1323697744049926144/BVrLYPYt_normal.jpg</v>
      </c>
      <c r="G339" s="63"/>
      <c r="H339" s="67"/>
      <c r="I339" s="68"/>
      <c r="J339" s="68"/>
      <c r="K339" s="67" t="s">
        <v>9490</v>
      </c>
      <c r="L339" s="71"/>
      <c r="M339" s="72"/>
      <c r="N339" s="72"/>
      <c r="O339" s="73"/>
      <c r="P339" s="74"/>
      <c r="Q339" s="74"/>
      <c r="R339" s="81"/>
      <c r="S339" s="81"/>
      <c r="T339" s="81"/>
      <c r="U339" s="81"/>
      <c r="V339" s="48"/>
      <c r="W339" s="48"/>
      <c r="X339" s="48"/>
      <c r="Y339" s="48"/>
      <c r="Z339" s="47"/>
      <c r="AA339" s="69"/>
      <c r="AB339" s="69"/>
      <c r="AC339" s="70"/>
      <c r="AD339" t="s">
        <v>5184</v>
      </c>
      <c r="AE339" s="78" t="s">
        <v>6480</v>
      </c>
      <c r="AF339">
        <v>1375</v>
      </c>
      <c r="AG339">
        <v>31913</v>
      </c>
      <c r="AH339">
        <v>20820</v>
      </c>
      <c r="AI339">
        <v>16772</v>
      </c>
      <c r="AK339" t="s">
        <v>7655</v>
      </c>
      <c r="AL339" t="s">
        <v>4914</v>
      </c>
      <c r="AM339" s="79" t="str">
        <f>HYPERLINK("https://t.co/DVE6lrTUeU")</f>
        <v>https://t.co/DVE6lrTUeU</v>
      </c>
      <c r="AO339" s="76">
        <v>39880.751215277778</v>
      </c>
      <c r="AP339" s="79" t="str">
        <f>HYPERLINK("https://pbs.twimg.com/profile_banners/23333355/1642089634")</f>
        <v>https://pbs.twimg.com/profile_banners/23333355/1642089634</v>
      </c>
      <c r="AQ339" t="b">
        <v>0</v>
      </c>
      <c r="AR339" t="b">
        <v>0</v>
      </c>
      <c r="AS339" t="b">
        <v>1</v>
      </c>
      <c r="AU339">
        <v>420</v>
      </c>
      <c r="AV339" s="79" t="str">
        <f>HYPERLINK("https://abs.twimg.com/images/themes/theme1/bg.png")</f>
        <v>https://abs.twimg.com/images/themes/theme1/bg.png</v>
      </c>
      <c r="AW339" t="b">
        <v>1</v>
      </c>
      <c r="AX339" t="s">
        <v>9303</v>
      </c>
      <c r="AY339" s="79" t="str">
        <f>HYPERLINK("https://twitter.com/sproutsfm")</f>
        <v>https://twitter.com/sproutsfm</v>
      </c>
      <c r="AZ339" t="s">
        <v>65</v>
      </c>
      <c r="BA339" s="2"/>
    </row>
    <row r="340" spans="1:53" x14ac:dyDescent="0.45">
      <c r="A340" s="62" t="s">
        <v>1275</v>
      </c>
      <c r="B340" s="63"/>
      <c r="C340" s="63"/>
      <c r="D340" s="64"/>
      <c r="E340" s="66"/>
      <c r="F340" s="98" t="str">
        <f>HYPERLINK("https://pbs.twimg.com/profile_images/1521882878598131713/2BRExh6R_normal.jpg")</f>
        <v>https://pbs.twimg.com/profile_images/1521882878598131713/2BRExh6R_normal.jpg</v>
      </c>
      <c r="G340" s="63"/>
      <c r="H340" s="67"/>
      <c r="I340" s="68"/>
      <c r="J340" s="68"/>
      <c r="K340" s="67" t="s">
        <v>9743</v>
      </c>
      <c r="L340" s="71"/>
      <c r="M340" s="72"/>
      <c r="N340" s="72"/>
      <c r="O340" s="73"/>
      <c r="P340" s="74"/>
      <c r="Q340" s="74"/>
      <c r="R340" s="81"/>
      <c r="S340" s="81"/>
      <c r="T340" s="81"/>
      <c r="U340" s="81"/>
      <c r="V340" s="48"/>
      <c r="W340" s="48"/>
      <c r="X340" s="48"/>
      <c r="Y340" s="48"/>
      <c r="Z340" s="47"/>
      <c r="AA340" s="69"/>
      <c r="AB340" s="69"/>
      <c r="AC340" s="70"/>
      <c r="AD340" t="s">
        <v>5435</v>
      </c>
      <c r="AE340" s="78" t="s">
        <v>4783</v>
      </c>
      <c r="AF340">
        <v>616</v>
      </c>
      <c r="AG340">
        <v>31754</v>
      </c>
      <c r="AH340">
        <v>60708</v>
      </c>
      <c r="AI340">
        <v>38635</v>
      </c>
      <c r="AK340" t="s">
        <v>7873</v>
      </c>
      <c r="AL340" t="s">
        <v>8895</v>
      </c>
      <c r="AM340" s="79" t="str">
        <f>HYPERLINK("https://t.co/WTCXWb5tNO")</f>
        <v>https://t.co/WTCXWb5tNO</v>
      </c>
      <c r="AO340" s="76">
        <v>40870.16034722222</v>
      </c>
      <c r="AP340" s="79" t="str">
        <f>HYPERLINK("https://pbs.twimg.com/profile_banners/419239307/1460038336")</f>
        <v>https://pbs.twimg.com/profile_banners/419239307/1460038336</v>
      </c>
      <c r="AQ340" t="b">
        <v>0</v>
      </c>
      <c r="AR340" t="b">
        <v>0</v>
      </c>
      <c r="AS340" t="b">
        <v>1</v>
      </c>
      <c r="AU340">
        <v>179</v>
      </c>
      <c r="AV340" s="79" t="str">
        <f>HYPERLINK("https://abs.twimg.com/images/themes/theme1/bg.png")</f>
        <v>https://abs.twimg.com/images/themes/theme1/bg.png</v>
      </c>
      <c r="AW340" t="b">
        <v>0</v>
      </c>
      <c r="AX340" t="s">
        <v>9303</v>
      </c>
      <c r="AY340" s="79" t="str">
        <f>HYPERLINK("https://twitter.com/preterniadotcom")</f>
        <v>https://twitter.com/preterniadotcom</v>
      </c>
      <c r="AZ340" t="s">
        <v>65</v>
      </c>
      <c r="BA340" s="2"/>
    </row>
    <row r="341" spans="1:53" x14ac:dyDescent="0.45">
      <c r="A341" s="62" t="s">
        <v>1020</v>
      </c>
      <c r="B341" s="63"/>
      <c r="C341" s="63"/>
      <c r="D341" s="64"/>
      <c r="E341" s="66"/>
      <c r="F341" s="98" t="str">
        <f>HYPERLINK("https://pbs.twimg.com/profile_images/1574718284406005760/EM3QNSbK_normal.jpg")</f>
        <v>https://pbs.twimg.com/profile_images/1574718284406005760/EM3QNSbK_normal.jpg</v>
      </c>
      <c r="G341" s="63"/>
      <c r="H341" s="67"/>
      <c r="I341" s="68"/>
      <c r="J341" s="68"/>
      <c r="K341" s="67" t="s">
        <v>10502</v>
      </c>
      <c r="L341" s="71"/>
      <c r="M341" s="72"/>
      <c r="N341" s="72"/>
      <c r="O341" s="73"/>
      <c r="P341" s="74"/>
      <c r="Q341" s="74"/>
      <c r="R341" s="81"/>
      <c r="S341" s="81"/>
      <c r="T341" s="81"/>
      <c r="U341" s="81"/>
      <c r="V341" s="48"/>
      <c r="W341" s="48"/>
      <c r="X341" s="48"/>
      <c r="Y341" s="48"/>
      <c r="Z341" s="47"/>
      <c r="AA341" s="69"/>
      <c r="AB341" s="69"/>
      <c r="AC341" s="70"/>
      <c r="AD341" t="s">
        <v>6180</v>
      </c>
      <c r="AE341" s="78" t="s">
        <v>4798</v>
      </c>
      <c r="AF341">
        <v>25923</v>
      </c>
      <c r="AG341">
        <v>31727</v>
      </c>
      <c r="AH341">
        <v>15190</v>
      </c>
      <c r="AI341">
        <v>1304</v>
      </c>
      <c r="AK341" t="s">
        <v>8536</v>
      </c>
      <c r="AL341" t="s">
        <v>9241</v>
      </c>
      <c r="AM341" s="79" t="str">
        <f>HYPERLINK("https://t.co/S10V6wxPig")</f>
        <v>https://t.co/S10V6wxPig</v>
      </c>
      <c r="AO341" s="76">
        <v>39910.125057870369</v>
      </c>
      <c r="AP341" s="79" t="str">
        <f>HYPERLINK("https://pbs.twimg.com/profile_banners/29363964/1401689908")</f>
        <v>https://pbs.twimg.com/profile_banners/29363964/1401689908</v>
      </c>
      <c r="AQ341" t="b">
        <v>0</v>
      </c>
      <c r="AR341" t="b">
        <v>0</v>
      </c>
      <c r="AS341" t="b">
        <v>0</v>
      </c>
      <c r="AU341">
        <v>83</v>
      </c>
      <c r="AV341" s="79" t="str">
        <f>HYPERLINK("https://abs.twimg.com/images/themes/theme11/bg.gif")</f>
        <v>https://abs.twimg.com/images/themes/theme11/bg.gif</v>
      </c>
      <c r="AW341" t="b">
        <v>0</v>
      </c>
      <c r="AX341" t="s">
        <v>9303</v>
      </c>
      <c r="AY341" s="79" t="str">
        <f>HYPERLINK("https://twitter.com/queenie4ever")</f>
        <v>https://twitter.com/queenie4ever</v>
      </c>
      <c r="AZ341" t="s">
        <v>66</v>
      </c>
      <c r="BA341" s="2"/>
    </row>
    <row r="342" spans="1:53" x14ac:dyDescent="0.45">
      <c r="A342" s="62" t="s">
        <v>1199</v>
      </c>
      <c r="B342" s="63"/>
      <c r="C342" s="63"/>
      <c r="D342" s="64"/>
      <c r="E342" s="66"/>
      <c r="F342" s="98" t="str">
        <f>HYPERLINK("https://pbs.twimg.com/profile_images/1438219839877771267/9m5JZ4wv_normal.jpg")</f>
        <v>https://pbs.twimg.com/profile_images/1438219839877771267/9m5JZ4wv_normal.jpg</v>
      </c>
      <c r="G342" s="63"/>
      <c r="H342" s="67"/>
      <c r="I342" s="68"/>
      <c r="J342" s="68"/>
      <c r="K342" s="67" t="s">
        <v>9491</v>
      </c>
      <c r="L342" s="71"/>
      <c r="M342" s="72"/>
      <c r="N342" s="72"/>
      <c r="O342" s="73"/>
      <c r="P342" s="74"/>
      <c r="Q342" s="74"/>
      <c r="R342" s="81"/>
      <c r="S342" s="81"/>
      <c r="T342" s="81"/>
      <c r="U342" s="81"/>
      <c r="V342" s="48"/>
      <c r="W342" s="48"/>
      <c r="X342" s="48"/>
      <c r="Y342" s="48"/>
      <c r="Z342" s="47"/>
      <c r="AA342" s="69"/>
      <c r="AB342" s="69"/>
      <c r="AC342" s="70"/>
      <c r="AD342" t="s">
        <v>5185</v>
      </c>
      <c r="AE342" s="78" t="s">
        <v>6481</v>
      </c>
      <c r="AF342">
        <v>1251</v>
      </c>
      <c r="AG342">
        <v>31689</v>
      </c>
      <c r="AH342">
        <v>15923</v>
      </c>
      <c r="AI342">
        <v>3659</v>
      </c>
      <c r="AK342" t="s">
        <v>7656</v>
      </c>
      <c r="AL342" t="s">
        <v>8779</v>
      </c>
      <c r="AM342" s="79" t="str">
        <f>HYPERLINK("https://t.co/iDQ7tEm2UA")</f>
        <v>https://t.co/iDQ7tEm2UA</v>
      </c>
      <c r="AO342" s="76">
        <v>40290.652650462966</v>
      </c>
      <c r="AP342" s="79" t="str">
        <f>HYPERLINK("https://pbs.twimg.com/profile_banners/135932373/1642010702")</f>
        <v>https://pbs.twimg.com/profile_banners/135932373/1642010702</v>
      </c>
      <c r="AQ342" t="b">
        <v>0</v>
      </c>
      <c r="AR342" t="b">
        <v>0</v>
      </c>
      <c r="AS342" t="b">
        <v>1</v>
      </c>
      <c r="AU342">
        <v>313</v>
      </c>
      <c r="AV342" s="79" t="str">
        <f>HYPERLINK("https://abs.twimg.com/images/themes/theme1/bg.png")</f>
        <v>https://abs.twimg.com/images/themes/theme1/bg.png</v>
      </c>
      <c r="AW342" t="b">
        <v>1</v>
      </c>
      <c r="AX342" t="s">
        <v>9303</v>
      </c>
      <c r="AY342" s="79" t="str">
        <f>HYPERLINK("https://twitter.com/albertsons")</f>
        <v>https://twitter.com/albertsons</v>
      </c>
      <c r="AZ342" t="s">
        <v>65</v>
      </c>
      <c r="BA342" s="2"/>
    </row>
    <row r="343" spans="1:53" x14ac:dyDescent="0.45">
      <c r="A343" s="62" t="s">
        <v>1116</v>
      </c>
      <c r="B343" s="63"/>
      <c r="C343" s="63"/>
      <c r="D343" s="64"/>
      <c r="E343" s="66"/>
      <c r="F343" s="98" t="str">
        <f>HYPERLINK("https://pbs.twimg.com/profile_images/1362820856632676352/WgeVjwUW_normal.jpg")</f>
        <v>https://pbs.twimg.com/profile_images/1362820856632676352/WgeVjwUW_normal.jpg</v>
      </c>
      <c r="G343" s="63"/>
      <c r="H343" s="67"/>
      <c r="I343" s="68"/>
      <c r="J343" s="68"/>
      <c r="K343" s="67" t="s">
        <v>9325</v>
      </c>
      <c r="L343" s="71"/>
      <c r="M343" s="72"/>
      <c r="N343" s="72"/>
      <c r="O343" s="73"/>
      <c r="P343" s="74"/>
      <c r="Q343" s="74"/>
      <c r="R343" s="81"/>
      <c r="S343" s="81"/>
      <c r="T343" s="81"/>
      <c r="U343" s="81"/>
      <c r="V343" s="48"/>
      <c r="W343" s="48"/>
      <c r="X343" s="48"/>
      <c r="Y343" s="48"/>
      <c r="Z343" s="47"/>
      <c r="AA343" s="69"/>
      <c r="AB343" s="69"/>
      <c r="AC343" s="70"/>
      <c r="AD343" t="s">
        <v>5021</v>
      </c>
      <c r="AE343" s="78" t="s">
        <v>4645</v>
      </c>
      <c r="AF343">
        <v>964</v>
      </c>
      <c r="AG343">
        <v>31626</v>
      </c>
      <c r="AH343">
        <v>9067</v>
      </c>
      <c r="AI343">
        <v>20734</v>
      </c>
      <c r="AK343" t="s">
        <v>7510</v>
      </c>
      <c r="AL343" t="s">
        <v>8685</v>
      </c>
      <c r="AM343" s="79" t="str">
        <f>HYPERLINK("https://t.co/bhOS1G9YlM")</f>
        <v>https://t.co/bhOS1G9YlM</v>
      </c>
      <c r="AO343" s="76">
        <v>40296.095034722224</v>
      </c>
      <c r="AP343" s="79" t="str">
        <f>HYPERLINK("https://pbs.twimg.com/profile_banners/137894529/1590124922")</f>
        <v>https://pbs.twimg.com/profile_banners/137894529/1590124922</v>
      </c>
      <c r="AQ343" t="b">
        <v>0</v>
      </c>
      <c r="AR343" t="b">
        <v>0</v>
      </c>
      <c r="AS343" t="b">
        <v>1</v>
      </c>
      <c r="AU343">
        <v>72</v>
      </c>
      <c r="AV343" s="79" t="str">
        <f>HYPERLINK("https://abs.twimg.com/images/themes/theme9/bg.gif")</f>
        <v>https://abs.twimg.com/images/themes/theme9/bg.gif</v>
      </c>
      <c r="AW343" t="b">
        <v>1</v>
      </c>
      <c r="AX343" t="s">
        <v>9303</v>
      </c>
      <c r="AY343" s="79" t="str">
        <f>HYPERLINK("https://twitter.com/branmci")</f>
        <v>https://twitter.com/branmci</v>
      </c>
      <c r="AZ343" t="s">
        <v>65</v>
      </c>
      <c r="BA343" s="2"/>
    </row>
    <row r="344" spans="1:53" x14ac:dyDescent="0.45">
      <c r="A344" s="62" t="s">
        <v>507</v>
      </c>
      <c r="B344" s="63"/>
      <c r="C344" s="63"/>
      <c r="D344" s="64"/>
      <c r="E344" s="66"/>
      <c r="F344" s="98" t="str">
        <f>HYPERLINK("https://pbs.twimg.com/profile_images/1597620384441982976/-qOy21dq_normal.jpg")</f>
        <v>https://pbs.twimg.com/profile_images/1597620384441982976/-qOy21dq_normal.jpg</v>
      </c>
      <c r="G344" s="63"/>
      <c r="H344" s="67"/>
      <c r="I344" s="68"/>
      <c r="J344" s="68"/>
      <c r="K344" s="67" t="s">
        <v>9785</v>
      </c>
      <c r="L344" s="71"/>
      <c r="M344" s="72"/>
      <c r="N344" s="72"/>
      <c r="O344" s="73"/>
      <c r="P344" s="74"/>
      <c r="Q344" s="74"/>
      <c r="R344" s="81"/>
      <c r="S344" s="81"/>
      <c r="T344" s="81"/>
      <c r="U344" s="81"/>
      <c r="V344" s="48"/>
      <c r="W344" s="48"/>
      <c r="X344" s="48"/>
      <c r="Y344" s="48"/>
      <c r="Z344" s="47"/>
      <c r="AA344" s="69"/>
      <c r="AB344" s="69"/>
      <c r="AC344" s="70"/>
      <c r="AD344" t="s">
        <v>5477</v>
      </c>
      <c r="AE344" s="78" t="s">
        <v>6734</v>
      </c>
      <c r="AF344">
        <v>466</v>
      </c>
      <c r="AG344">
        <v>30864</v>
      </c>
      <c r="AH344">
        <v>8143</v>
      </c>
      <c r="AI344">
        <v>2631</v>
      </c>
      <c r="AK344" t="s">
        <v>7906</v>
      </c>
      <c r="AL344" t="s">
        <v>4920</v>
      </c>
      <c r="AM344" s="79" t="str">
        <f>HYPERLINK("https://t.co/Jjs6diPvr9")</f>
        <v>https://t.co/Jjs6diPvr9</v>
      </c>
      <c r="AO344" s="76">
        <v>40798.65929398148</v>
      </c>
      <c r="AP344" s="79" t="str">
        <f>HYPERLINK("https://pbs.twimg.com/profile_banners/372334970/1669737336")</f>
        <v>https://pbs.twimg.com/profile_banners/372334970/1669737336</v>
      </c>
      <c r="AQ344" t="b">
        <v>0</v>
      </c>
      <c r="AR344" t="b">
        <v>0</v>
      </c>
      <c r="AS344" t="b">
        <v>1</v>
      </c>
      <c r="AU344">
        <v>107</v>
      </c>
      <c r="AV344" s="79" t="str">
        <f>HYPERLINK("https://abs.twimg.com/images/themes/theme9/bg.gif")</f>
        <v>https://abs.twimg.com/images/themes/theme9/bg.gif</v>
      </c>
      <c r="AW344" t="b">
        <v>0</v>
      </c>
      <c r="AX344" t="s">
        <v>9303</v>
      </c>
      <c r="AY344" s="79" t="str">
        <f>HYPERLINK("https://twitter.com/thestellars")</f>
        <v>https://twitter.com/thestellars</v>
      </c>
      <c r="AZ344" t="s">
        <v>66</v>
      </c>
      <c r="BA344" s="2"/>
    </row>
    <row r="345" spans="1:53" x14ac:dyDescent="0.45">
      <c r="A345" s="62" t="s">
        <v>1469</v>
      </c>
      <c r="B345" s="63"/>
      <c r="C345" s="63"/>
      <c r="D345" s="64"/>
      <c r="E345" s="66"/>
      <c r="F345" s="98" t="str">
        <f>HYPERLINK("https://pbs.twimg.com/profile_images/1506291709348564997/Gc8ChIgK_normal.jpg")</f>
        <v>https://pbs.twimg.com/profile_images/1506291709348564997/Gc8ChIgK_normal.jpg</v>
      </c>
      <c r="G345" s="63"/>
      <c r="H345" s="67"/>
      <c r="I345" s="68"/>
      <c r="J345" s="68"/>
      <c r="K345" s="67" t="s">
        <v>10420</v>
      </c>
      <c r="L345" s="71"/>
      <c r="M345" s="72"/>
      <c r="N345" s="72"/>
      <c r="O345" s="73"/>
      <c r="P345" s="74"/>
      <c r="Q345" s="74"/>
      <c r="R345" s="81"/>
      <c r="S345" s="81"/>
      <c r="T345" s="81"/>
      <c r="U345" s="81"/>
      <c r="V345" s="48"/>
      <c r="W345" s="48"/>
      <c r="X345" s="48"/>
      <c r="Y345" s="48"/>
      <c r="Z345" s="47"/>
      <c r="AA345" s="69"/>
      <c r="AB345" s="69"/>
      <c r="AC345" s="70"/>
      <c r="AD345" t="s">
        <v>6102</v>
      </c>
      <c r="AE345" s="78" t="s">
        <v>7300</v>
      </c>
      <c r="AF345">
        <v>225</v>
      </c>
      <c r="AG345">
        <v>30464</v>
      </c>
      <c r="AH345">
        <v>24381</v>
      </c>
      <c r="AI345">
        <v>6349</v>
      </c>
      <c r="AK345" t="s">
        <v>8463</v>
      </c>
      <c r="AL345" t="s">
        <v>8740</v>
      </c>
      <c r="AM345" s="79" t="str">
        <f>HYPERLINK("https://t.co/rufw7iM6lU")</f>
        <v>https://t.co/rufw7iM6lU</v>
      </c>
      <c r="AO345" s="76">
        <v>39870.669432870367</v>
      </c>
      <c r="AP345" s="79" t="str">
        <f>HYPERLINK("https://pbs.twimg.com/profile_banners/22025083/1647962906")</f>
        <v>https://pbs.twimg.com/profile_banners/22025083/1647962906</v>
      </c>
      <c r="AQ345" t="b">
        <v>0</v>
      </c>
      <c r="AR345" t="b">
        <v>0</v>
      </c>
      <c r="AS345" t="b">
        <v>1</v>
      </c>
      <c r="AU345">
        <v>472</v>
      </c>
      <c r="AV345" s="79" t="str">
        <f>HYPERLINK("https://abs.twimg.com/images/themes/theme1/bg.png")</f>
        <v>https://abs.twimg.com/images/themes/theme1/bg.png</v>
      </c>
      <c r="AW345" t="b">
        <v>1</v>
      </c>
      <c r="AX345" t="s">
        <v>9303</v>
      </c>
      <c r="AY345" s="79" t="str">
        <f>HYPERLINK("https://twitter.com/vandymbb")</f>
        <v>https://twitter.com/vandymbb</v>
      </c>
      <c r="AZ345" t="s">
        <v>65</v>
      </c>
      <c r="BA345" s="2"/>
    </row>
    <row r="346" spans="1:53" x14ac:dyDescent="0.45">
      <c r="A346" s="62" t="s">
        <v>1191</v>
      </c>
      <c r="B346" s="63"/>
      <c r="C346" s="63"/>
      <c r="D346" s="64"/>
      <c r="E346" s="66"/>
      <c r="F346" s="98" t="str">
        <f>HYPERLINK("https://pbs.twimg.com/profile_images/1542622029291069441/V9Zq2BqG_normal.jpg")</f>
        <v>https://pbs.twimg.com/profile_images/1542622029291069441/V9Zq2BqG_normal.jpg</v>
      </c>
      <c r="G346" s="63"/>
      <c r="H346" s="67"/>
      <c r="I346" s="68"/>
      <c r="J346" s="68"/>
      <c r="K346" s="67" t="s">
        <v>9482</v>
      </c>
      <c r="L346" s="71"/>
      <c r="M346" s="72"/>
      <c r="N346" s="72"/>
      <c r="O346" s="73"/>
      <c r="P346" s="74"/>
      <c r="Q346" s="74"/>
      <c r="R346" s="81"/>
      <c r="S346" s="81"/>
      <c r="T346" s="81"/>
      <c r="U346" s="81"/>
      <c r="V346" s="48"/>
      <c r="W346" s="48"/>
      <c r="X346" s="48"/>
      <c r="Y346" s="48"/>
      <c r="Z346" s="47"/>
      <c r="AA346" s="69"/>
      <c r="AB346" s="69"/>
      <c r="AC346" s="70"/>
      <c r="AD346" t="s">
        <v>5176</v>
      </c>
      <c r="AE346" s="78" t="s">
        <v>6472</v>
      </c>
      <c r="AF346">
        <v>316</v>
      </c>
      <c r="AG346">
        <v>29682</v>
      </c>
      <c r="AH346">
        <v>16536</v>
      </c>
      <c r="AI346">
        <v>297</v>
      </c>
      <c r="AK346" t="s">
        <v>7647</v>
      </c>
      <c r="AL346" t="s">
        <v>4920</v>
      </c>
      <c r="AM346" s="79" t="str">
        <f>HYPERLINK("https://t.co/zBOBCGpWZ6")</f>
        <v>https://t.co/zBOBCGpWZ6</v>
      </c>
      <c r="AO346" s="76">
        <v>39923.628611111111</v>
      </c>
      <c r="AP346" s="79" t="str">
        <f>HYPERLINK("https://pbs.twimg.com/profile_banners/33539627/1518186501")</f>
        <v>https://pbs.twimg.com/profile_banners/33539627/1518186501</v>
      </c>
      <c r="AQ346" t="b">
        <v>0</v>
      </c>
      <c r="AR346" t="b">
        <v>0</v>
      </c>
      <c r="AS346" t="b">
        <v>0</v>
      </c>
      <c r="AU346">
        <v>322</v>
      </c>
      <c r="AV346" s="79" t="str">
        <f>HYPERLINK("https://abs.twimg.com/images/themes/theme1/bg.png")</f>
        <v>https://abs.twimg.com/images/themes/theme1/bg.png</v>
      </c>
      <c r="AW346" t="b">
        <v>1</v>
      </c>
      <c r="AX346" t="s">
        <v>9303</v>
      </c>
      <c r="AY346" s="79" t="str">
        <f>HYPERLINK("https://twitter.com/nuveeninv")</f>
        <v>https://twitter.com/nuveeninv</v>
      </c>
      <c r="AZ346" t="s">
        <v>65</v>
      </c>
      <c r="BA346" s="2"/>
    </row>
    <row r="347" spans="1:53" x14ac:dyDescent="0.45">
      <c r="A347" s="62" t="s">
        <v>916</v>
      </c>
      <c r="B347" s="63"/>
      <c r="C347" s="63"/>
      <c r="D347" s="64"/>
      <c r="E347" s="66"/>
      <c r="F347" s="98" t="str">
        <f>HYPERLINK("https://pbs.twimg.com/profile_images/1526723012896096257/vPfv_ew2_normal.jpg")</f>
        <v>https://pbs.twimg.com/profile_images/1526723012896096257/vPfv_ew2_normal.jpg</v>
      </c>
      <c r="G347" s="63"/>
      <c r="H347" s="67"/>
      <c r="I347" s="68"/>
      <c r="J347" s="68"/>
      <c r="K347" s="67" t="s">
        <v>10347</v>
      </c>
      <c r="L347" s="71"/>
      <c r="M347" s="72"/>
      <c r="N347" s="72"/>
      <c r="O347" s="73"/>
      <c r="P347" s="74"/>
      <c r="Q347" s="74"/>
      <c r="R347" s="81"/>
      <c r="S347" s="81"/>
      <c r="T347" s="81"/>
      <c r="U347" s="81"/>
      <c r="V347" s="48"/>
      <c r="W347" s="48"/>
      <c r="X347" s="48"/>
      <c r="Y347" s="48"/>
      <c r="Z347" s="47"/>
      <c r="AA347" s="69"/>
      <c r="AB347" s="69"/>
      <c r="AC347" s="70"/>
      <c r="AD347" t="s">
        <v>6030</v>
      </c>
      <c r="AE347" s="78" t="s">
        <v>7237</v>
      </c>
      <c r="AF347">
        <v>26893</v>
      </c>
      <c r="AG347">
        <v>29366</v>
      </c>
      <c r="AH347">
        <v>76768</v>
      </c>
      <c r="AI347">
        <v>106472</v>
      </c>
      <c r="AK347" t="s">
        <v>8399</v>
      </c>
      <c r="AL347" t="s">
        <v>9183</v>
      </c>
      <c r="AM347" s="79" t="str">
        <f>HYPERLINK("https://t.co/Xa386xYVuG")</f>
        <v>https://t.co/Xa386xYVuG</v>
      </c>
      <c r="AO347" s="76">
        <v>41686.78833333333</v>
      </c>
      <c r="AP347" s="79" t="str">
        <f>HYPERLINK("https://pbs.twimg.com/profile_banners/2347292334/1443477416")</f>
        <v>https://pbs.twimg.com/profile_banners/2347292334/1443477416</v>
      </c>
      <c r="AQ347" t="b">
        <v>0</v>
      </c>
      <c r="AR347" t="b">
        <v>0</v>
      </c>
      <c r="AS347" t="b">
        <v>0</v>
      </c>
      <c r="AU347">
        <v>372</v>
      </c>
      <c r="AV347" s="79" t="str">
        <f>HYPERLINK("https://abs.twimg.com/images/themes/theme15/bg.png")</f>
        <v>https://abs.twimg.com/images/themes/theme15/bg.png</v>
      </c>
      <c r="AW347" t="b">
        <v>0</v>
      </c>
      <c r="AX347" t="s">
        <v>9303</v>
      </c>
      <c r="AY347" s="79" t="str">
        <f>HYPERLINK("https://twitter.com/goodadvicepub")</f>
        <v>https://twitter.com/goodadvicepub</v>
      </c>
      <c r="AZ347" t="s">
        <v>66</v>
      </c>
      <c r="BA347" s="2"/>
    </row>
    <row r="348" spans="1:53" x14ac:dyDescent="0.45">
      <c r="A348" s="62" t="s">
        <v>1126</v>
      </c>
      <c r="B348" s="63"/>
      <c r="C348" s="63"/>
      <c r="D348" s="64"/>
      <c r="E348" s="66"/>
      <c r="F348" s="98" t="str">
        <f>HYPERLINK("https://pbs.twimg.com/profile_images/1249602178206982144/5ckWlUbM_normal.jpg")</f>
        <v>https://pbs.twimg.com/profile_images/1249602178206982144/5ckWlUbM_normal.jpg</v>
      </c>
      <c r="G348" s="63"/>
      <c r="H348" s="67"/>
      <c r="I348" s="68"/>
      <c r="J348" s="68"/>
      <c r="K348" s="67" t="s">
        <v>9343</v>
      </c>
      <c r="L348" s="71"/>
      <c r="M348" s="72"/>
      <c r="N348" s="72"/>
      <c r="O348" s="73"/>
      <c r="P348" s="74"/>
      <c r="Q348" s="74"/>
      <c r="R348" s="81"/>
      <c r="S348" s="81"/>
      <c r="T348" s="81"/>
      <c r="U348" s="81"/>
      <c r="V348" s="48"/>
      <c r="W348" s="48"/>
      <c r="X348" s="48"/>
      <c r="Y348" s="48"/>
      <c r="Z348" s="47"/>
      <c r="AA348" s="69"/>
      <c r="AB348" s="69"/>
      <c r="AC348" s="70"/>
      <c r="AD348" t="s">
        <v>5039</v>
      </c>
      <c r="AE348" s="78" t="s">
        <v>6357</v>
      </c>
      <c r="AF348">
        <v>7974</v>
      </c>
      <c r="AG348">
        <v>29004</v>
      </c>
      <c r="AH348">
        <v>84673</v>
      </c>
      <c r="AI348">
        <v>168724</v>
      </c>
      <c r="AK348" t="s">
        <v>7527</v>
      </c>
      <c r="AL348" t="s">
        <v>8700</v>
      </c>
      <c r="AM348" s="79" t="str">
        <f>HYPERLINK("https://t.co/Cr8j7QSc1A")</f>
        <v>https://t.co/Cr8j7QSc1A</v>
      </c>
      <c r="AO348" s="76">
        <v>43934.313715277778</v>
      </c>
      <c r="AP348" s="79" t="str">
        <f>HYPERLINK("https://pbs.twimg.com/profile_banners/1249601030502756353/1661589248")</f>
        <v>https://pbs.twimg.com/profile_banners/1249601030502756353/1661589248</v>
      </c>
      <c r="AQ348" t="b">
        <v>1</v>
      </c>
      <c r="AR348" t="b">
        <v>0</v>
      </c>
      <c r="AS348" t="b">
        <v>1</v>
      </c>
      <c r="AU348">
        <v>291</v>
      </c>
      <c r="AW348" t="b">
        <v>0</v>
      </c>
      <c r="AX348" t="s">
        <v>9303</v>
      </c>
      <c r="AY348" s="79" t="str">
        <f>HYPERLINK("https://twitter.com/curieuxexplorer")</f>
        <v>https://twitter.com/curieuxexplorer</v>
      </c>
      <c r="AZ348" t="s">
        <v>65</v>
      </c>
      <c r="BA348" s="2"/>
    </row>
    <row r="349" spans="1:53" x14ac:dyDescent="0.45">
      <c r="A349" s="62" t="s">
        <v>1203</v>
      </c>
      <c r="B349" s="63"/>
      <c r="C349" s="63"/>
      <c r="D349" s="64"/>
      <c r="E349" s="66"/>
      <c r="F349" s="98" t="str">
        <f>HYPERLINK("https://pbs.twimg.com/profile_images/465967718357680128/FegaArZv_normal.png")</f>
        <v>https://pbs.twimg.com/profile_images/465967718357680128/FegaArZv_normal.png</v>
      </c>
      <c r="G349" s="63"/>
      <c r="H349" s="67"/>
      <c r="I349" s="68"/>
      <c r="J349" s="68"/>
      <c r="K349" s="67" t="s">
        <v>9500</v>
      </c>
      <c r="L349" s="71"/>
      <c r="M349" s="72"/>
      <c r="N349" s="72"/>
      <c r="O349" s="73"/>
      <c r="P349" s="74"/>
      <c r="Q349" s="74"/>
      <c r="R349" s="81"/>
      <c r="S349" s="81"/>
      <c r="T349" s="81"/>
      <c r="U349" s="81"/>
      <c r="V349" s="48"/>
      <c r="W349" s="48"/>
      <c r="X349" s="48"/>
      <c r="Y349" s="48"/>
      <c r="Z349" s="47"/>
      <c r="AA349" s="69"/>
      <c r="AB349" s="69"/>
      <c r="AC349" s="70"/>
      <c r="AD349" t="s">
        <v>5194</v>
      </c>
      <c r="AE349" s="78" t="s">
        <v>4803</v>
      </c>
      <c r="AF349">
        <v>2809</v>
      </c>
      <c r="AG349">
        <v>28933</v>
      </c>
      <c r="AH349">
        <v>8096</v>
      </c>
      <c r="AI349">
        <v>6095</v>
      </c>
      <c r="AK349" t="s">
        <v>7664</v>
      </c>
      <c r="AL349" t="s">
        <v>8673</v>
      </c>
      <c r="AM349" s="79" t="str">
        <f>HYPERLINK("http://t.co/aMgmhne30G")</f>
        <v>http://t.co/aMgmhne30G</v>
      </c>
      <c r="AO349" s="76">
        <v>39959.616990740738</v>
      </c>
      <c r="AP349" s="79" t="str">
        <f>HYPERLINK("https://pbs.twimg.com/profile_banners/42638402/1443555392")</f>
        <v>https://pbs.twimg.com/profile_banners/42638402/1443555392</v>
      </c>
      <c r="AQ349" t="b">
        <v>0</v>
      </c>
      <c r="AR349" t="b">
        <v>0</v>
      </c>
      <c r="AS349" t="b">
        <v>1</v>
      </c>
      <c r="AU349">
        <v>342</v>
      </c>
      <c r="AV349" s="79" t="str">
        <f>HYPERLINK("https://abs.twimg.com/images/themes/theme1/bg.png")</f>
        <v>https://abs.twimg.com/images/themes/theme1/bg.png</v>
      </c>
      <c r="AW349" t="b">
        <v>1</v>
      </c>
      <c r="AX349" t="s">
        <v>9303</v>
      </c>
      <c r="AY349" s="79" t="str">
        <f>HYPERLINK("https://twitter.com/walmartaction")</f>
        <v>https://twitter.com/walmartaction</v>
      </c>
      <c r="AZ349" t="s">
        <v>65</v>
      </c>
      <c r="BA349" s="2"/>
    </row>
    <row r="350" spans="1:53" x14ac:dyDescent="0.45">
      <c r="A350" s="62" t="s">
        <v>1049</v>
      </c>
      <c r="B350" s="63"/>
      <c r="C350" s="63"/>
      <c r="D350" s="64"/>
      <c r="E350" s="66"/>
      <c r="F350" s="98" t="str">
        <f>HYPERLINK("https://pbs.twimg.com/profile_images/1599994133577437184/gRDr6ZVj_normal.jpg")</f>
        <v>https://pbs.twimg.com/profile_images/1599994133577437184/gRDr6ZVj_normal.jpg</v>
      </c>
      <c r="G350" s="63"/>
      <c r="H350" s="67"/>
      <c r="I350" s="68"/>
      <c r="J350" s="68"/>
      <c r="K350" s="67" t="s">
        <v>10562</v>
      </c>
      <c r="L350" s="71"/>
      <c r="M350" s="72"/>
      <c r="N350" s="72"/>
      <c r="O350" s="73"/>
      <c r="P350" s="74"/>
      <c r="Q350" s="74"/>
      <c r="R350" s="81"/>
      <c r="S350" s="81"/>
      <c r="T350" s="81"/>
      <c r="U350" s="81"/>
      <c r="V350" s="48"/>
      <c r="W350" s="48"/>
      <c r="X350" s="48"/>
      <c r="Y350" s="48"/>
      <c r="Z350" s="47"/>
      <c r="AA350" s="69"/>
      <c r="AB350" s="69"/>
      <c r="AC350" s="70"/>
      <c r="AD350" t="s">
        <v>6240</v>
      </c>
      <c r="AE350" s="78" t="s">
        <v>4809</v>
      </c>
      <c r="AF350">
        <v>31565</v>
      </c>
      <c r="AG350">
        <v>28700</v>
      </c>
      <c r="AH350">
        <v>136947</v>
      </c>
      <c r="AI350">
        <v>112456</v>
      </c>
      <c r="AK350" t="s">
        <v>8588</v>
      </c>
      <c r="AL350" t="s">
        <v>8676</v>
      </c>
      <c r="AM350" s="79" t="str">
        <f>HYPERLINK("https://t.co/YKczhE4Hok")</f>
        <v>https://t.co/YKczhE4Hok</v>
      </c>
      <c r="AO350" s="76">
        <v>42653.163217592592</v>
      </c>
      <c r="AP350" s="79" t="str">
        <f>HYPERLINK("https://pbs.twimg.com/profile_banners/785327755214725120/1476380530")</f>
        <v>https://pbs.twimg.com/profile_banners/785327755214725120/1476380530</v>
      </c>
      <c r="AQ350" t="b">
        <v>0</v>
      </c>
      <c r="AR350" t="b">
        <v>0</v>
      </c>
      <c r="AS350" t="b">
        <v>1</v>
      </c>
      <c r="AU350">
        <v>59</v>
      </c>
      <c r="AV350" s="79" t="str">
        <f>HYPERLINK("https://abs.twimg.com/images/themes/theme1/bg.png")</f>
        <v>https://abs.twimg.com/images/themes/theme1/bg.png</v>
      </c>
      <c r="AW350" t="b">
        <v>0</v>
      </c>
      <c r="AX350" t="s">
        <v>9303</v>
      </c>
      <c r="AY350" s="79" t="str">
        <f>HYPERLINK("https://twitter.com/lrbitisnot")</f>
        <v>https://twitter.com/lrbitisnot</v>
      </c>
      <c r="AZ350" t="s">
        <v>66</v>
      </c>
      <c r="BA350" s="2"/>
    </row>
    <row r="351" spans="1:53" x14ac:dyDescent="0.45">
      <c r="A351" s="62" t="s">
        <v>809</v>
      </c>
      <c r="B351" s="63"/>
      <c r="C351" s="63"/>
      <c r="D351" s="64"/>
      <c r="E351" s="66"/>
      <c r="F351" s="98" t="str">
        <f>HYPERLINK("https://pbs.twimg.com/profile_images/1404350433032871940/3zssWYdu_normal.jpg")</f>
        <v>https://pbs.twimg.com/profile_images/1404350433032871940/3zssWYdu_normal.jpg</v>
      </c>
      <c r="G351" s="63"/>
      <c r="H351" s="67"/>
      <c r="I351" s="68"/>
      <c r="J351" s="68"/>
      <c r="K351" s="67" t="s">
        <v>10190</v>
      </c>
      <c r="L351" s="71"/>
      <c r="M351" s="72"/>
      <c r="N351" s="72"/>
      <c r="O351" s="73"/>
      <c r="P351" s="74"/>
      <c r="Q351" s="74"/>
      <c r="R351" s="81"/>
      <c r="S351" s="81"/>
      <c r="T351" s="81"/>
      <c r="U351" s="81"/>
      <c r="V351" s="48"/>
      <c r="W351" s="48"/>
      <c r="X351" s="48"/>
      <c r="Y351" s="48"/>
      <c r="Z351" s="47"/>
      <c r="AA351" s="69"/>
      <c r="AB351" s="69"/>
      <c r="AC351" s="70"/>
      <c r="AD351" t="s">
        <v>5874</v>
      </c>
      <c r="AE351" s="78" t="s">
        <v>7096</v>
      </c>
      <c r="AF351">
        <v>21340</v>
      </c>
      <c r="AG351">
        <v>28517</v>
      </c>
      <c r="AH351">
        <v>135815</v>
      </c>
      <c r="AI351">
        <v>23117</v>
      </c>
      <c r="AK351" t="s">
        <v>8262</v>
      </c>
      <c r="AL351" t="s">
        <v>8738</v>
      </c>
      <c r="AM351" s="79" t="str">
        <f>HYPERLINK("https://t.co/227As2B7qS")</f>
        <v>https://t.co/227As2B7qS</v>
      </c>
      <c r="AO351" s="76">
        <v>39819.741412037038</v>
      </c>
      <c r="AP351" s="79" t="str">
        <f>HYPERLINK("https://pbs.twimg.com/profile_banners/18686148/1598460800")</f>
        <v>https://pbs.twimg.com/profile_banners/18686148/1598460800</v>
      </c>
      <c r="AQ351" t="b">
        <v>0</v>
      </c>
      <c r="AR351" t="b">
        <v>0</v>
      </c>
      <c r="AS351" t="b">
        <v>1</v>
      </c>
      <c r="AU351">
        <v>267</v>
      </c>
      <c r="AV351" s="79" t="str">
        <f>HYPERLINK("https://abs.twimg.com/images/themes/theme4/bg.gif")</f>
        <v>https://abs.twimg.com/images/themes/theme4/bg.gif</v>
      </c>
      <c r="AW351" t="b">
        <v>0</v>
      </c>
      <c r="AX351" t="s">
        <v>9303</v>
      </c>
      <c r="AY351" s="79" t="str">
        <f>HYPERLINK("https://twitter.com/keyannasposts")</f>
        <v>https://twitter.com/keyannasposts</v>
      </c>
      <c r="AZ351" t="s">
        <v>66</v>
      </c>
      <c r="BA351" s="2"/>
    </row>
    <row r="352" spans="1:53" x14ac:dyDescent="0.45">
      <c r="A352" s="62" t="s">
        <v>1161</v>
      </c>
      <c r="B352" s="63"/>
      <c r="C352" s="63"/>
      <c r="D352" s="64"/>
      <c r="E352" s="66"/>
      <c r="F352" s="98" t="str">
        <f>HYPERLINK("https://pbs.twimg.com/profile_images/443379763747368960/WZPiSCcA_normal.jpeg")</f>
        <v>https://pbs.twimg.com/profile_images/443379763747368960/WZPiSCcA_normal.jpeg</v>
      </c>
      <c r="G352" s="63"/>
      <c r="H352" s="67"/>
      <c r="I352" s="68"/>
      <c r="J352" s="68"/>
      <c r="K352" s="67" t="s">
        <v>9423</v>
      </c>
      <c r="L352" s="71"/>
      <c r="M352" s="72"/>
      <c r="N352" s="72"/>
      <c r="O352" s="73"/>
      <c r="P352" s="74"/>
      <c r="Q352" s="74"/>
      <c r="R352" s="81"/>
      <c r="S352" s="81"/>
      <c r="T352" s="81"/>
      <c r="U352" s="81"/>
      <c r="V352" s="48"/>
      <c r="W352" s="48"/>
      <c r="X352" s="48"/>
      <c r="Y352" s="48"/>
      <c r="Z352" s="47"/>
      <c r="AA352" s="69"/>
      <c r="AB352" s="69"/>
      <c r="AC352" s="70"/>
      <c r="AD352" t="s">
        <v>5117</v>
      </c>
      <c r="AE352" s="78" t="s">
        <v>6425</v>
      </c>
      <c r="AF352">
        <v>4591</v>
      </c>
      <c r="AG352">
        <v>27746</v>
      </c>
      <c r="AH352">
        <v>6933</v>
      </c>
      <c r="AI352">
        <v>3365</v>
      </c>
      <c r="AK352" t="s">
        <v>7596</v>
      </c>
      <c r="AL352" t="s">
        <v>8743</v>
      </c>
      <c r="AM352" s="79" t="str">
        <f>HYPERLINK("https://t.co/qH0sb4RtJR")</f>
        <v>https://t.co/qH0sb4RtJR</v>
      </c>
      <c r="AO352" s="76">
        <v>39938.591608796298</v>
      </c>
      <c r="AP352" s="79" t="str">
        <f>HYPERLINK("https://pbs.twimg.com/profile_banners/37930797/1666988606")</f>
        <v>https://pbs.twimg.com/profile_banners/37930797/1666988606</v>
      </c>
      <c r="AQ352" t="b">
        <v>0</v>
      </c>
      <c r="AR352" t="b">
        <v>0</v>
      </c>
      <c r="AS352" t="b">
        <v>1</v>
      </c>
      <c r="AU352">
        <v>645</v>
      </c>
      <c r="AV352" s="79" t="str">
        <f>HYPERLINK("https://abs.twimg.com/images/themes/theme1/bg.png")</f>
        <v>https://abs.twimg.com/images/themes/theme1/bg.png</v>
      </c>
      <c r="AW352" t="b">
        <v>1</v>
      </c>
      <c r="AX352" t="s">
        <v>9303</v>
      </c>
      <c r="AY352" s="79" t="str">
        <f>HYPERLINK("https://twitter.com/fanucamerica")</f>
        <v>https://twitter.com/fanucamerica</v>
      </c>
      <c r="AZ352" t="s">
        <v>65</v>
      </c>
      <c r="BA352" s="2"/>
    </row>
    <row r="353" spans="1:53" x14ac:dyDescent="0.45">
      <c r="A353" s="62" t="s">
        <v>309</v>
      </c>
      <c r="B353" s="63"/>
      <c r="C353" s="63"/>
      <c r="D353" s="64"/>
      <c r="E353" s="66"/>
      <c r="F353" s="98" t="str">
        <f>HYPERLINK("https://pbs.twimg.com/profile_images/1482154111818682368/pjWBAPDf_normal.jpg")</f>
        <v>https://pbs.twimg.com/profile_images/1482154111818682368/pjWBAPDf_normal.jpg</v>
      </c>
      <c r="G353" s="63"/>
      <c r="H353" s="67"/>
      <c r="I353" s="68"/>
      <c r="J353" s="68"/>
      <c r="K353" s="67" t="s">
        <v>9505</v>
      </c>
      <c r="L353" s="71"/>
      <c r="M353" s="72"/>
      <c r="N353" s="72"/>
      <c r="O353" s="73"/>
      <c r="P353" s="74"/>
      <c r="Q353" s="74"/>
      <c r="R353" s="81"/>
      <c r="S353" s="81"/>
      <c r="T353" s="81"/>
      <c r="U353" s="81"/>
      <c r="V353" s="48"/>
      <c r="W353" s="48"/>
      <c r="X353" s="48"/>
      <c r="Y353" s="48"/>
      <c r="Z353" s="47"/>
      <c r="AA353" s="69"/>
      <c r="AB353" s="69"/>
      <c r="AC353" s="70"/>
      <c r="AD353" t="s">
        <v>5199</v>
      </c>
      <c r="AE353" s="78" t="s">
        <v>6490</v>
      </c>
      <c r="AF353">
        <v>859</v>
      </c>
      <c r="AG353">
        <v>26699</v>
      </c>
      <c r="AH353">
        <v>13504</v>
      </c>
      <c r="AI353">
        <v>23257</v>
      </c>
      <c r="AK353" t="s">
        <v>7669</v>
      </c>
      <c r="AL353" t="s">
        <v>8787</v>
      </c>
      <c r="AM353" s="79" t="str">
        <f>HYPERLINK("https://t.co/yA6L71D4gP")</f>
        <v>https://t.co/yA6L71D4gP</v>
      </c>
      <c r="AO353" s="76">
        <v>40688.969166666669</v>
      </c>
      <c r="AP353" s="79" t="str">
        <f>HYPERLINK("https://pbs.twimg.com/profile_banners/305279650/1654177136")</f>
        <v>https://pbs.twimg.com/profile_banners/305279650/1654177136</v>
      </c>
      <c r="AQ353" t="b">
        <v>0</v>
      </c>
      <c r="AR353" t="b">
        <v>0</v>
      </c>
      <c r="AS353" t="b">
        <v>0</v>
      </c>
      <c r="AU353">
        <v>119</v>
      </c>
      <c r="AV353" s="79" t="str">
        <f>HYPERLINK("https://abs.twimg.com/images/themes/theme1/bg.png")</f>
        <v>https://abs.twimg.com/images/themes/theme1/bg.png</v>
      </c>
      <c r="AW353" t="b">
        <v>1</v>
      </c>
      <c r="AX353" t="s">
        <v>9303</v>
      </c>
      <c r="AY353" s="79" t="str">
        <f>HYPERLINK("https://twitter.com/brianjcano")</f>
        <v>https://twitter.com/brianjcano</v>
      </c>
      <c r="AZ353" t="s">
        <v>66</v>
      </c>
      <c r="BA353" s="2"/>
    </row>
    <row r="354" spans="1:53" x14ac:dyDescent="0.45">
      <c r="A354" s="62" t="s">
        <v>865</v>
      </c>
      <c r="B354" s="63"/>
      <c r="C354" s="63"/>
      <c r="D354" s="64"/>
      <c r="E354" s="66"/>
      <c r="F354" s="98" t="str">
        <f>HYPERLINK("https://pbs.twimg.com/profile_images/1267894614981095424/9iFpoTkL_normal.jpg")</f>
        <v>https://pbs.twimg.com/profile_images/1267894614981095424/9iFpoTkL_normal.jpg</v>
      </c>
      <c r="G354" s="63"/>
      <c r="H354" s="67"/>
      <c r="I354" s="68"/>
      <c r="J354" s="68"/>
      <c r="K354" s="67" t="s">
        <v>10266</v>
      </c>
      <c r="L354" s="71"/>
      <c r="M354" s="72"/>
      <c r="N354" s="72"/>
      <c r="O354" s="73"/>
      <c r="P354" s="74"/>
      <c r="Q354" s="74"/>
      <c r="R354" s="81"/>
      <c r="S354" s="81"/>
      <c r="T354" s="81"/>
      <c r="U354" s="81"/>
      <c r="V354" s="48"/>
      <c r="W354" s="48"/>
      <c r="X354" s="48"/>
      <c r="Y354" s="48"/>
      <c r="Z354" s="47"/>
      <c r="AA354" s="69"/>
      <c r="AB354" s="69"/>
      <c r="AC354" s="70"/>
      <c r="AD354" t="s">
        <v>5949</v>
      </c>
      <c r="AE354" s="78" t="s">
        <v>7162</v>
      </c>
      <c r="AF354">
        <v>2333</v>
      </c>
      <c r="AG354">
        <v>26575</v>
      </c>
      <c r="AH354">
        <v>267670</v>
      </c>
      <c r="AI354">
        <v>174420</v>
      </c>
      <c r="AK354" t="s">
        <v>8327</v>
      </c>
      <c r="AL354" t="s">
        <v>9145</v>
      </c>
      <c r="AM354" s="79" t="str">
        <f>HYPERLINK("https://t.co/CB0qfjzrzx")</f>
        <v>https://t.co/CB0qfjzrzx</v>
      </c>
      <c r="AO354" s="76">
        <v>39674.72928240741</v>
      </c>
      <c r="AP354" s="79" t="str">
        <f>HYPERLINK("https://pbs.twimg.com/profile_banners/15853073/1668026846")</f>
        <v>https://pbs.twimg.com/profile_banners/15853073/1668026846</v>
      </c>
      <c r="AQ354" t="b">
        <v>0</v>
      </c>
      <c r="AR354" t="b">
        <v>0</v>
      </c>
      <c r="AS354" t="b">
        <v>0</v>
      </c>
      <c r="AU354">
        <v>1065</v>
      </c>
      <c r="AV354" s="79" t="str">
        <f>HYPERLINK("https://abs.twimg.com/images/themes/theme9/bg.gif")</f>
        <v>https://abs.twimg.com/images/themes/theme9/bg.gif</v>
      </c>
      <c r="AW354" t="b">
        <v>1</v>
      </c>
      <c r="AX354" t="s">
        <v>9303</v>
      </c>
      <c r="AY354" s="79" t="str">
        <f>HYPERLINK("https://twitter.com/geekgirldiva")</f>
        <v>https://twitter.com/geekgirldiva</v>
      </c>
      <c r="AZ354" t="s">
        <v>66</v>
      </c>
      <c r="BA354" s="2"/>
    </row>
    <row r="355" spans="1:53" x14ac:dyDescent="0.45">
      <c r="A355" s="62" t="s">
        <v>1119</v>
      </c>
      <c r="B355" s="63"/>
      <c r="C355" s="63"/>
      <c r="D355" s="64"/>
      <c r="E355" s="66"/>
      <c r="F355" s="98" t="str">
        <f>HYPERLINK("https://pbs.twimg.com/profile_images/905491857886429184/94JMStbn_normal.jpg")</f>
        <v>https://pbs.twimg.com/profile_images/905491857886429184/94JMStbn_normal.jpg</v>
      </c>
      <c r="G355" s="63"/>
      <c r="H355" s="67"/>
      <c r="I355" s="68"/>
      <c r="J355" s="68"/>
      <c r="K355" s="67" t="s">
        <v>9332</v>
      </c>
      <c r="L355" s="71"/>
      <c r="M355" s="72"/>
      <c r="N355" s="72"/>
      <c r="O355" s="73"/>
      <c r="P355" s="74"/>
      <c r="Q355" s="74"/>
      <c r="R355" s="81"/>
      <c r="S355" s="81"/>
      <c r="T355" s="81"/>
      <c r="U355" s="81"/>
      <c r="V355" s="48"/>
      <c r="W355" s="48"/>
      <c r="X355" s="48"/>
      <c r="Y355" s="48"/>
      <c r="Z355" s="47"/>
      <c r="AA355" s="69"/>
      <c r="AB355" s="69"/>
      <c r="AC355" s="70"/>
      <c r="AD355" t="s">
        <v>5028</v>
      </c>
      <c r="AE355" s="78" t="s">
        <v>6346</v>
      </c>
      <c r="AF355">
        <v>3820</v>
      </c>
      <c r="AG355">
        <v>25961</v>
      </c>
      <c r="AH355">
        <v>7354</v>
      </c>
      <c r="AI355">
        <v>45567</v>
      </c>
      <c r="AK355" t="s">
        <v>7516</v>
      </c>
      <c r="AL355" t="s">
        <v>8690</v>
      </c>
      <c r="AM355" s="79" t="str">
        <f>HYPERLINK("https://t.co/bco9neWW5h")</f>
        <v>https://t.co/bco9neWW5h</v>
      </c>
      <c r="AO355" s="76">
        <v>40123.803391203706</v>
      </c>
      <c r="AP355" s="79" t="str">
        <f>HYPERLINK("https://pbs.twimg.com/profile_banners/88011228/1644257424")</f>
        <v>https://pbs.twimg.com/profile_banners/88011228/1644257424</v>
      </c>
      <c r="AQ355" t="b">
        <v>0</v>
      </c>
      <c r="AR355" t="b">
        <v>0</v>
      </c>
      <c r="AS355" t="b">
        <v>1</v>
      </c>
      <c r="AU355">
        <v>164</v>
      </c>
      <c r="AV355" s="79" t="str">
        <f>HYPERLINK("https://abs.twimg.com/images/themes/theme1/bg.png")</f>
        <v>https://abs.twimg.com/images/themes/theme1/bg.png</v>
      </c>
      <c r="AW355" t="b">
        <v>0</v>
      </c>
      <c r="AX355" t="s">
        <v>9303</v>
      </c>
      <c r="AY355" s="79" t="str">
        <f>HYPERLINK("https://twitter.com/socialnature")</f>
        <v>https://twitter.com/socialnature</v>
      </c>
      <c r="AZ355" t="s">
        <v>65</v>
      </c>
      <c r="BA355" s="2"/>
    </row>
    <row r="356" spans="1:53" x14ac:dyDescent="0.45">
      <c r="A356" s="62" t="s">
        <v>456</v>
      </c>
      <c r="B356" s="63"/>
      <c r="C356" s="63"/>
      <c r="D356" s="64"/>
      <c r="E356" s="66"/>
      <c r="F356" s="98" t="str">
        <f>HYPERLINK("https://pbs.twimg.com/profile_images/873217753103998976/fKScTPiU_normal.jpg")</f>
        <v>https://pbs.twimg.com/profile_images/873217753103998976/fKScTPiU_normal.jpg</v>
      </c>
      <c r="G356" s="63"/>
      <c r="H356" s="67"/>
      <c r="I356" s="68"/>
      <c r="J356" s="68"/>
      <c r="K356" s="67" t="s">
        <v>9722</v>
      </c>
      <c r="L356" s="71"/>
      <c r="M356" s="72"/>
      <c r="N356" s="72"/>
      <c r="O356" s="73"/>
      <c r="P356" s="74"/>
      <c r="Q356" s="74"/>
      <c r="R356" s="81"/>
      <c r="S356" s="81"/>
      <c r="T356" s="81"/>
      <c r="U356" s="81"/>
      <c r="V356" s="48"/>
      <c r="W356" s="48"/>
      <c r="X356" s="48"/>
      <c r="Y356" s="48"/>
      <c r="Z356" s="47"/>
      <c r="AA356" s="69"/>
      <c r="AB356" s="69"/>
      <c r="AC356" s="70"/>
      <c r="AD356" t="s">
        <v>5414</v>
      </c>
      <c r="AE356" s="78" t="s">
        <v>6686</v>
      </c>
      <c r="AF356">
        <v>1115</v>
      </c>
      <c r="AG356">
        <v>25857</v>
      </c>
      <c r="AH356">
        <v>18700</v>
      </c>
      <c r="AI356">
        <v>5610</v>
      </c>
      <c r="AK356" t="s">
        <v>7854</v>
      </c>
      <c r="AL356" t="s">
        <v>8886</v>
      </c>
      <c r="AM356" s="79" t="str">
        <f>HYPERLINK("https://t.co/0awNSuAmX6")</f>
        <v>https://t.co/0awNSuAmX6</v>
      </c>
      <c r="AO356" s="76">
        <v>39923.885104166664</v>
      </c>
      <c r="AP356" s="79" t="str">
        <f>HYPERLINK("https://pbs.twimg.com/profile_banners/33666177/1673042305")</f>
        <v>https://pbs.twimg.com/profile_banners/33666177/1673042305</v>
      </c>
      <c r="AQ356" t="b">
        <v>0</v>
      </c>
      <c r="AR356" t="b">
        <v>0</v>
      </c>
      <c r="AS356" t="b">
        <v>1</v>
      </c>
      <c r="AU356">
        <v>173</v>
      </c>
      <c r="AV356" s="79" t="str">
        <f>HYPERLINK("https://abs.twimg.com/images/themes/theme14/bg.gif")</f>
        <v>https://abs.twimg.com/images/themes/theme14/bg.gif</v>
      </c>
      <c r="AW356" t="b">
        <v>1</v>
      </c>
      <c r="AX356" t="s">
        <v>9303</v>
      </c>
      <c r="AY356" s="79" t="str">
        <f>HYPERLINK("https://twitter.com/5hourenergy")</f>
        <v>https://twitter.com/5hourenergy</v>
      </c>
      <c r="AZ356" t="s">
        <v>66</v>
      </c>
      <c r="BA356" s="2"/>
    </row>
    <row r="357" spans="1:53" x14ac:dyDescent="0.45">
      <c r="A357" s="62" t="s">
        <v>920</v>
      </c>
      <c r="B357" s="63"/>
      <c r="C357" s="63"/>
      <c r="D357" s="64"/>
      <c r="E357" s="66"/>
      <c r="F357" s="98" t="str">
        <f>HYPERLINK("https://pbs.twimg.com/profile_images/1615802373762387999/mpJER13M_normal.jpg")</f>
        <v>https://pbs.twimg.com/profile_images/1615802373762387999/mpJER13M_normal.jpg</v>
      </c>
      <c r="G357" s="63"/>
      <c r="H357" s="67"/>
      <c r="I357" s="68"/>
      <c r="J357" s="68"/>
      <c r="K357" s="67" t="s">
        <v>10353</v>
      </c>
      <c r="L357" s="71"/>
      <c r="M357" s="72"/>
      <c r="N357" s="72"/>
      <c r="O357" s="73"/>
      <c r="P357" s="74"/>
      <c r="Q357" s="74"/>
      <c r="R357" s="81"/>
      <c r="S357" s="81"/>
      <c r="T357" s="81"/>
      <c r="U357" s="81"/>
      <c r="V357" s="48"/>
      <c r="W357" s="48"/>
      <c r="X357" s="48"/>
      <c r="Y357" s="48"/>
      <c r="Z357" s="47"/>
      <c r="AA357" s="69"/>
      <c r="AB357" s="69"/>
      <c r="AC357" s="70"/>
      <c r="AD357" t="s">
        <v>6036</v>
      </c>
      <c r="AE357" s="78" t="s">
        <v>4770</v>
      </c>
      <c r="AF357">
        <v>18574</v>
      </c>
      <c r="AG357">
        <v>25099</v>
      </c>
      <c r="AH357">
        <v>86571</v>
      </c>
      <c r="AI357">
        <v>100561</v>
      </c>
      <c r="AK357" t="s">
        <v>8405</v>
      </c>
      <c r="AO357" s="76">
        <v>43886.653136574074</v>
      </c>
      <c r="AP357" s="79" t="str">
        <f>HYPERLINK("https://pbs.twimg.com/profile_banners/1232329389205065728/1653152664")</f>
        <v>https://pbs.twimg.com/profile_banners/1232329389205065728/1653152664</v>
      </c>
      <c r="AQ357" t="b">
        <v>1</v>
      </c>
      <c r="AR357" t="b">
        <v>0</v>
      </c>
      <c r="AS357" t="b">
        <v>0</v>
      </c>
      <c r="AU357">
        <v>80</v>
      </c>
      <c r="AW357" t="b">
        <v>0</v>
      </c>
      <c r="AX357" t="s">
        <v>9303</v>
      </c>
      <c r="AY357" s="79" t="str">
        <f>HYPERLINK("https://twitter.com/frank_butterfly")</f>
        <v>https://twitter.com/frank_butterfly</v>
      </c>
      <c r="AZ357" t="s">
        <v>66</v>
      </c>
      <c r="BA357" s="2"/>
    </row>
    <row r="358" spans="1:53" x14ac:dyDescent="0.45">
      <c r="A358" s="62" t="s">
        <v>420</v>
      </c>
      <c r="B358" s="63"/>
      <c r="C358" s="63"/>
      <c r="D358" s="64"/>
      <c r="E358" s="66"/>
      <c r="F358" s="98" t="str">
        <f>HYPERLINK("https://pbs.twimg.com/profile_images/1620565548663709696/IsBwVuIR_normal.jpg")</f>
        <v>https://pbs.twimg.com/profile_images/1620565548663709696/IsBwVuIR_normal.jpg</v>
      </c>
      <c r="G358" s="63"/>
      <c r="H358" s="67"/>
      <c r="I358" s="68"/>
      <c r="J358" s="68"/>
      <c r="K358" s="67" t="s">
        <v>9671</v>
      </c>
      <c r="L358" s="71"/>
      <c r="M358" s="72"/>
      <c r="N358" s="72"/>
      <c r="O358" s="73"/>
      <c r="P358" s="74"/>
      <c r="Q358" s="74"/>
      <c r="R358" s="81"/>
      <c r="S358" s="81"/>
      <c r="T358" s="81"/>
      <c r="U358" s="81"/>
      <c r="V358" s="48"/>
      <c r="W358" s="48"/>
      <c r="X358" s="48"/>
      <c r="Y358" s="48"/>
      <c r="Z358" s="47"/>
      <c r="AA358" s="69"/>
      <c r="AB358" s="69"/>
      <c r="AC358" s="70"/>
      <c r="AD358" t="s">
        <v>5364</v>
      </c>
      <c r="AE358" s="78" t="s">
        <v>6638</v>
      </c>
      <c r="AF358">
        <v>281</v>
      </c>
      <c r="AG358">
        <v>24916</v>
      </c>
      <c r="AH358">
        <v>148902</v>
      </c>
      <c r="AI358">
        <v>13047</v>
      </c>
      <c r="AK358" t="s">
        <v>7814</v>
      </c>
      <c r="AO358" s="76">
        <v>41099.928935185184</v>
      </c>
      <c r="AP358" s="79" t="str">
        <f>HYPERLINK("https://pbs.twimg.com/profile_banners/631469053/1675207938")</f>
        <v>https://pbs.twimg.com/profile_banners/631469053/1675207938</v>
      </c>
      <c r="AQ358" t="b">
        <v>1</v>
      </c>
      <c r="AR358" t="b">
        <v>0</v>
      </c>
      <c r="AS358" t="b">
        <v>0</v>
      </c>
      <c r="AU358">
        <v>3</v>
      </c>
      <c r="AV358" s="79" t="str">
        <f>HYPERLINK("https://abs.twimg.com/images/themes/theme1/bg.png")</f>
        <v>https://abs.twimg.com/images/themes/theme1/bg.png</v>
      </c>
      <c r="AW358" t="b">
        <v>0</v>
      </c>
      <c r="AX358" t="s">
        <v>9303</v>
      </c>
      <c r="AY358" s="79" t="str">
        <f>HYPERLINK("https://twitter.com/mileypersona")</f>
        <v>https://twitter.com/mileypersona</v>
      </c>
      <c r="AZ358" t="s">
        <v>66</v>
      </c>
      <c r="BA358" s="2"/>
    </row>
    <row r="359" spans="1:53" x14ac:dyDescent="0.45">
      <c r="A359" s="62" t="s">
        <v>1131</v>
      </c>
      <c r="B359" s="63"/>
      <c r="C359" s="63"/>
      <c r="D359" s="64"/>
      <c r="E359" s="66"/>
      <c r="F359" s="98" t="str">
        <f>HYPERLINK("https://pbs.twimg.com/profile_images/1135171816597725185/CX0mmH2t_normal.jpg")</f>
        <v>https://pbs.twimg.com/profile_images/1135171816597725185/CX0mmH2t_normal.jpg</v>
      </c>
      <c r="G359" s="63"/>
      <c r="H359" s="67"/>
      <c r="I359" s="68"/>
      <c r="J359" s="68"/>
      <c r="K359" s="67" t="s">
        <v>9348</v>
      </c>
      <c r="L359" s="71"/>
      <c r="M359" s="72"/>
      <c r="N359" s="72"/>
      <c r="O359" s="73"/>
      <c r="P359" s="74"/>
      <c r="Q359" s="74"/>
      <c r="R359" s="81"/>
      <c r="S359" s="81"/>
      <c r="T359" s="81"/>
      <c r="U359" s="81"/>
      <c r="V359" s="48"/>
      <c r="W359" s="48"/>
      <c r="X359" s="48"/>
      <c r="Y359" s="48"/>
      <c r="Z359" s="47"/>
      <c r="AA359" s="69"/>
      <c r="AB359" s="69"/>
      <c r="AC359" s="70"/>
      <c r="AD359" t="s">
        <v>5044</v>
      </c>
      <c r="AE359" s="78" t="s">
        <v>6362</v>
      </c>
      <c r="AF359">
        <v>5003</v>
      </c>
      <c r="AG359">
        <v>24851</v>
      </c>
      <c r="AH359">
        <v>52103</v>
      </c>
      <c r="AI359">
        <v>46613</v>
      </c>
      <c r="AK359" t="s">
        <v>7532</v>
      </c>
      <c r="AL359" t="s">
        <v>8705</v>
      </c>
      <c r="AO359" s="76">
        <v>40551.875138888892</v>
      </c>
      <c r="AP359" s="79" t="str">
        <f>HYPERLINK("https://pbs.twimg.com/profile_banners/235684766/1559481028")</f>
        <v>https://pbs.twimg.com/profile_banners/235684766/1559481028</v>
      </c>
      <c r="AQ359" t="b">
        <v>1</v>
      </c>
      <c r="AR359" t="b">
        <v>0</v>
      </c>
      <c r="AS359" t="b">
        <v>1</v>
      </c>
      <c r="AU359">
        <v>1395</v>
      </c>
      <c r="AV359" s="79" t="str">
        <f>HYPERLINK("https://abs.twimg.com/images/themes/theme1/bg.png")</f>
        <v>https://abs.twimg.com/images/themes/theme1/bg.png</v>
      </c>
      <c r="AW359" t="b">
        <v>0</v>
      </c>
      <c r="AX359" t="s">
        <v>9303</v>
      </c>
      <c r="AY359" s="79" t="str">
        <f>HYPERLINK("https://twitter.com/xbond49")</f>
        <v>https://twitter.com/xbond49</v>
      </c>
      <c r="AZ359" t="s">
        <v>65</v>
      </c>
      <c r="BA359" s="2"/>
    </row>
    <row r="360" spans="1:53" x14ac:dyDescent="0.45">
      <c r="A360" s="62" t="s">
        <v>226</v>
      </c>
      <c r="B360" s="63"/>
      <c r="C360" s="63"/>
      <c r="D360" s="64"/>
      <c r="E360" s="66"/>
      <c r="F360" s="98" t="str">
        <f>HYPERLINK("https://pbs.twimg.com/profile_images/1600579551347752960/nZYegcvh_normal.jpg")</f>
        <v>https://pbs.twimg.com/profile_images/1600579551347752960/nZYegcvh_normal.jpg</v>
      </c>
      <c r="G360" s="63"/>
      <c r="H360" s="67"/>
      <c r="I360" s="68"/>
      <c r="J360" s="68"/>
      <c r="K360" s="67" t="s">
        <v>9327</v>
      </c>
      <c r="L360" s="71"/>
      <c r="M360" s="72"/>
      <c r="N360" s="72"/>
      <c r="O360" s="73"/>
      <c r="P360" s="74"/>
      <c r="Q360" s="74"/>
      <c r="R360" s="81"/>
      <c r="S360" s="81"/>
      <c r="T360" s="81"/>
      <c r="U360" s="81"/>
      <c r="V360" s="48"/>
      <c r="W360" s="48"/>
      <c r="X360" s="48"/>
      <c r="Y360" s="48"/>
      <c r="Z360" s="47"/>
      <c r="AA360" s="69"/>
      <c r="AB360" s="69"/>
      <c r="AC360" s="70"/>
      <c r="AD360" t="s">
        <v>5023</v>
      </c>
      <c r="AE360" s="78" t="s">
        <v>6343</v>
      </c>
      <c r="AF360">
        <v>996</v>
      </c>
      <c r="AG360">
        <v>24733</v>
      </c>
      <c r="AH360">
        <v>81174</v>
      </c>
      <c r="AI360">
        <v>153028</v>
      </c>
      <c r="AK360" t="s">
        <v>7512</v>
      </c>
      <c r="AL360" t="s">
        <v>8687</v>
      </c>
      <c r="AM360" s="79" t="str">
        <f>HYPERLINK("https://t.co/Taec6euJCv")</f>
        <v>https://t.co/Taec6euJCv</v>
      </c>
      <c r="AO360" s="76">
        <v>39799.820150462961</v>
      </c>
      <c r="AP360" s="79" t="str">
        <f>HYPERLINK("https://pbs.twimg.com/profile_banners/18197399/1481820813")</f>
        <v>https://pbs.twimg.com/profile_banners/18197399/1481820813</v>
      </c>
      <c r="AQ360" t="b">
        <v>0</v>
      </c>
      <c r="AR360" t="b">
        <v>0</v>
      </c>
      <c r="AS360" t="b">
        <v>1</v>
      </c>
      <c r="AU360">
        <v>254</v>
      </c>
      <c r="AV360" s="79" t="str">
        <f>HYPERLINK("https://abs.twimg.com/images/themes/theme12/bg.gif")</f>
        <v>https://abs.twimg.com/images/themes/theme12/bg.gif</v>
      </c>
      <c r="AW360" t="b">
        <v>0</v>
      </c>
      <c r="AX360" t="s">
        <v>9303</v>
      </c>
      <c r="AY360" s="79" t="str">
        <f>HYPERLINK("https://twitter.com/mechamelissa")</f>
        <v>https://twitter.com/mechamelissa</v>
      </c>
      <c r="AZ360" t="s">
        <v>66</v>
      </c>
      <c r="BA360" s="2"/>
    </row>
    <row r="361" spans="1:53" x14ac:dyDescent="0.45">
      <c r="A361" s="62" t="s">
        <v>258</v>
      </c>
      <c r="B361" s="63"/>
      <c r="C361" s="63"/>
      <c r="D361" s="64"/>
      <c r="E361" s="66"/>
      <c r="F361" s="98" t="str">
        <f>HYPERLINK("https://pbs.twimg.com/profile_images/1316726699778879489/gUAIbZwh_normal.jpg")</f>
        <v>https://pbs.twimg.com/profile_images/1316726699778879489/gUAIbZwh_normal.jpg</v>
      </c>
      <c r="G361" s="63"/>
      <c r="H361" s="67"/>
      <c r="I361" s="68"/>
      <c r="J361" s="68"/>
      <c r="K361" s="67" t="s">
        <v>9401</v>
      </c>
      <c r="L361" s="71"/>
      <c r="M361" s="72"/>
      <c r="N361" s="72"/>
      <c r="O361" s="73"/>
      <c r="P361" s="74"/>
      <c r="Q361" s="74"/>
      <c r="R361" s="81"/>
      <c r="S361" s="81"/>
      <c r="T361" s="81"/>
      <c r="U361" s="81"/>
      <c r="V361" s="48"/>
      <c r="W361" s="48"/>
      <c r="X361" s="48"/>
      <c r="Y361" s="48"/>
      <c r="Z361" s="47"/>
      <c r="AA361" s="69"/>
      <c r="AB361" s="69"/>
      <c r="AC361" s="70"/>
      <c r="AD361" t="s">
        <v>5096</v>
      </c>
      <c r="AE361" s="78" t="s">
        <v>6406</v>
      </c>
      <c r="AF361">
        <v>7</v>
      </c>
      <c r="AG361">
        <v>24309</v>
      </c>
      <c r="AH361">
        <v>1455</v>
      </c>
      <c r="AI361">
        <v>3443</v>
      </c>
      <c r="AK361" t="s">
        <v>7580</v>
      </c>
      <c r="AL361" t="s">
        <v>8733</v>
      </c>
      <c r="AM361" s="79" t="str">
        <f>HYPERLINK("https://t.co/6ZG7qtA5Fn")</f>
        <v>https://t.co/6ZG7qtA5Fn</v>
      </c>
      <c r="AO361" s="76">
        <v>43326.848738425928</v>
      </c>
      <c r="AP361" s="79" t="str">
        <f>HYPERLINK("https://pbs.twimg.com/profile_banners/1029463214088744961/1602767821")</f>
        <v>https://pbs.twimg.com/profile_banners/1029463214088744961/1602767821</v>
      </c>
      <c r="AQ361" t="b">
        <v>0</v>
      </c>
      <c r="AR361" t="b">
        <v>0</v>
      </c>
      <c r="AS361" t="b">
        <v>1</v>
      </c>
      <c r="AU361">
        <v>35</v>
      </c>
      <c r="AV361" s="79" t="str">
        <f>HYPERLINK("https://abs.twimg.com/images/themes/theme1/bg.png")</f>
        <v>https://abs.twimg.com/images/themes/theme1/bg.png</v>
      </c>
      <c r="AW361" t="b">
        <v>0</v>
      </c>
      <c r="AX361" t="s">
        <v>9303</v>
      </c>
      <c r="AY361" s="79" t="str">
        <f>HYPERLINK("https://twitter.com/realqaiqai")</f>
        <v>https://twitter.com/realqaiqai</v>
      </c>
      <c r="AZ361" t="s">
        <v>66</v>
      </c>
      <c r="BA361" s="2"/>
    </row>
    <row r="362" spans="1:53" x14ac:dyDescent="0.45">
      <c r="A362" s="62" t="s">
        <v>581</v>
      </c>
      <c r="B362" s="63"/>
      <c r="C362" s="63"/>
      <c r="D362" s="64"/>
      <c r="E362" s="66"/>
      <c r="F362" s="98" t="str">
        <f>HYPERLINK("https://pbs.twimg.com/profile_images/1523774946173984777/cRAjtyya_normal.png")</f>
        <v>https://pbs.twimg.com/profile_images/1523774946173984777/cRAjtyya_normal.png</v>
      </c>
      <c r="G362" s="63"/>
      <c r="H362" s="67"/>
      <c r="I362" s="68"/>
      <c r="J362" s="68"/>
      <c r="K362" s="67" t="s">
        <v>9879</v>
      </c>
      <c r="L362" s="71"/>
      <c r="M362" s="72"/>
      <c r="N362" s="72"/>
      <c r="O362" s="73"/>
      <c r="P362" s="74"/>
      <c r="Q362" s="74"/>
      <c r="R362" s="81"/>
      <c r="S362" s="81"/>
      <c r="T362" s="81"/>
      <c r="U362" s="81"/>
      <c r="V362" s="48"/>
      <c r="W362" s="48"/>
      <c r="X362" s="48"/>
      <c r="Y362" s="48"/>
      <c r="Z362" s="47"/>
      <c r="AA362" s="69"/>
      <c r="AB362" s="69"/>
      <c r="AC362" s="70"/>
      <c r="AD362" t="s">
        <v>5570</v>
      </c>
      <c r="AE362" s="78" t="s">
        <v>6818</v>
      </c>
      <c r="AF362">
        <v>1066</v>
      </c>
      <c r="AG362">
        <v>24130</v>
      </c>
      <c r="AH362">
        <v>86781</v>
      </c>
      <c r="AI362">
        <v>915</v>
      </c>
      <c r="AK362" t="s">
        <v>7993</v>
      </c>
      <c r="AL362" t="s">
        <v>8969</v>
      </c>
      <c r="AM362" s="79" t="str">
        <f>HYPERLINK("https://t.co/5sL5Mh8QNo")</f>
        <v>https://t.co/5sL5Mh8QNo</v>
      </c>
      <c r="AO362" s="76">
        <v>39786.296180555553</v>
      </c>
      <c r="AP362" s="79" t="str">
        <f>HYPERLINK("https://pbs.twimg.com/profile_banners/17862527/1655934164")</f>
        <v>https://pbs.twimg.com/profile_banners/17862527/1655934164</v>
      </c>
      <c r="AQ362" t="b">
        <v>0</v>
      </c>
      <c r="AR362" t="b">
        <v>0</v>
      </c>
      <c r="AS362" t="b">
        <v>1</v>
      </c>
      <c r="AU362">
        <v>541</v>
      </c>
      <c r="AV362" s="79" t="str">
        <f>HYPERLINK("https://abs.twimg.com/images/themes/theme1/bg.png")</f>
        <v>https://abs.twimg.com/images/themes/theme1/bg.png</v>
      </c>
      <c r="AW362" t="b">
        <v>1</v>
      </c>
      <c r="AX362" t="s">
        <v>9303</v>
      </c>
      <c r="AY362" s="79" t="str">
        <f>HYPERLINK("https://twitter.com/weareiowa5news")</f>
        <v>https://twitter.com/weareiowa5news</v>
      </c>
      <c r="AZ362" t="s">
        <v>66</v>
      </c>
      <c r="BA362" s="2"/>
    </row>
    <row r="363" spans="1:53" x14ac:dyDescent="0.45">
      <c r="A363" s="62" t="s">
        <v>1377</v>
      </c>
      <c r="B363" s="63"/>
      <c r="C363" s="63"/>
      <c r="D363" s="64"/>
      <c r="E363" s="66"/>
      <c r="F363" s="98" t="str">
        <f>HYPERLINK("https://pbs.twimg.com/profile_images/1139204762333777925/HLosnQtd_normal.jpg")</f>
        <v>https://pbs.twimg.com/profile_images/1139204762333777925/HLosnQtd_normal.jpg</v>
      </c>
      <c r="G363" s="63"/>
      <c r="H363" s="67"/>
      <c r="I363" s="68"/>
      <c r="J363" s="68"/>
      <c r="K363" s="67" t="s">
        <v>10170</v>
      </c>
      <c r="L363" s="71"/>
      <c r="M363" s="72"/>
      <c r="N363" s="72"/>
      <c r="O363" s="73"/>
      <c r="P363" s="74"/>
      <c r="Q363" s="74"/>
      <c r="R363" s="81"/>
      <c r="S363" s="81"/>
      <c r="T363" s="81"/>
      <c r="U363" s="81"/>
      <c r="V363" s="48"/>
      <c r="W363" s="48"/>
      <c r="X363" s="48"/>
      <c r="Y363" s="48"/>
      <c r="Z363" s="47"/>
      <c r="AA363" s="69"/>
      <c r="AB363" s="69"/>
      <c r="AC363" s="70"/>
      <c r="AD363" t="s">
        <v>5856</v>
      </c>
      <c r="AE363" s="78" t="s">
        <v>7079</v>
      </c>
      <c r="AF363">
        <v>18068</v>
      </c>
      <c r="AG363">
        <v>23874</v>
      </c>
      <c r="AH363">
        <v>78303</v>
      </c>
      <c r="AI363">
        <v>35564</v>
      </c>
      <c r="AK363" t="s">
        <v>8243</v>
      </c>
      <c r="AL363" t="s">
        <v>9104</v>
      </c>
      <c r="AM363" s="79" t="str">
        <f>HYPERLINK("https://t.co/cKDIQkn0DC")</f>
        <v>https://t.co/cKDIQkn0DC</v>
      </c>
      <c r="AO363" s="76">
        <v>39961.832499999997</v>
      </c>
      <c r="AP363" s="79" t="str">
        <f>HYPERLINK("https://pbs.twimg.com/profile_banners/43183310/1393452310")</f>
        <v>https://pbs.twimg.com/profile_banners/43183310/1393452310</v>
      </c>
      <c r="AQ363" t="b">
        <v>0</v>
      </c>
      <c r="AR363" t="b">
        <v>0</v>
      </c>
      <c r="AS363" t="b">
        <v>1</v>
      </c>
      <c r="AU363">
        <v>406</v>
      </c>
      <c r="AV363" s="79" t="str">
        <f>HYPERLINK("https://abs.twimg.com/images/themes/theme2/bg.gif")</f>
        <v>https://abs.twimg.com/images/themes/theme2/bg.gif</v>
      </c>
      <c r="AW363" t="b">
        <v>1</v>
      </c>
      <c r="AX363" t="s">
        <v>9303</v>
      </c>
      <c r="AY363" s="79" t="str">
        <f>HYPERLINK("https://twitter.com/dbanksy")</f>
        <v>https://twitter.com/dbanksy</v>
      </c>
      <c r="AZ363" t="s">
        <v>65</v>
      </c>
      <c r="BA363" s="2"/>
    </row>
    <row r="364" spans="1:53" x14ac:dyDescent="0.45">
      <c r="A364" s="62" t="s">
        <v>1318</v>
      </c>
      <c r="B364" s="63"/>
      <c r="C364" s="63"/>
      <c r="D364" s="64"/>
      <c r="E364" s="66"/>
      <c r="F364" s="98" t="str">
        <f>HYPERLINK("https://pbs.twimg.com/profile_images/966435394525933568/2VsmIG_t_normal.jpg")</f>
        <v>https://pbs.twimg.com/profile_images/966435394525933568/2VsmIG_t_normal.jpg</v>
      </c>
      <c r="G364" s="63"/>
      <c r="H364" s="67"/>
      <c r="I364" s="68"/>
      <c r="J364" s="68"/>
      <c r="K364" s="67" t="s">
        <v>9971</v>
      </c>
      <c r="L364" s="71"/>
      <c r="M364" s="72"/>
      <c r="N364" s="72"/>
      <c r="O364" s="73"/>
      <c r="P364" s="74"/>
      <c r="Q364" s="74"/>
      <c r="R364" s="81"/>
      <c r="S364" s="81"/>
      <c r="T364" s="81"/>
      <c r="U364" s="81"/>
      <c r="V364" s="48"/>
      <c r="W364" s="48"/>
      <c r="X364" s="48"/>
      <c r="Y364" s="48"/>
      <c r="Z364" s="47"/>
      <c r="AA364" s="69"/>
      <c r="AB364" s="69"/>
      <c r="AC364" s="70"/>
      <c r="AD364" t="s">
        <v>5662</v>
      </c>
      <c r="AE364" s="78" t="s">
        <v>6904</v>
      </c>
      <c r="AF364">
        <v>1734</v>
      </c>
      <c r="AG364">
        <v>23253</v>
      </c>
      <c r="AH364">
        <v>17287</v>
      </c>
      <c r="AI364">
        <v>4534</v>
      </c>
      <c r="AK364" t="s">
        <v>8071</v>
      </c>
      <c r="AL364" t="s">
        <v>9020</v>
      </c>
      <c r="AM364" s="79" t="str">
        <f>HYPERLINK("https://t.co/2w1DBNMYE0")</f>
        <v>https://t.co/2w1DBNMYE0</v>
      </c>
      <c r="AO364" s="76">
        <v>39843.784930555557</v>
      </c>
      <c r="AP364" s="79" t="str">
        <f>HYPERLINK("https://pbs.twimg.com/profile_banners/19781414/1520381734")</f>
        <v>https://pbs.twimg.com/profile_banners/19781414/1520381734</v>
      </c>
      <c r="AQ364" t="b">
        <v>0</v>
      </c>
      <c r="AR364" t="b">
        <v>0</v>
      </c>
      <c r="AS364" t="b">
        <v>1</v>
      </c>
      <c r="AU364">
        <v>687</v>
      </c>
      <c r="AV364" s="79" t="str">
        <f>HYPERLINK("https://abs.twimg.com/images/themes/theme1/bg.png")</f>
        <v>https://abs.twimg.com/images/themes/theme1/bg.png</v>
      </c>
      <c r="AW364" t="b">
        <v>1</v>
      </c>
      <c r="AX364" t="s">
        <v>9303</v>
      </c>
      <c r="AY364" s="79" t="str">
        <f>HYPERLINK("https://twitter.com/abebooks")</f>
        <v>https://twitter.com/abebooks</v>
      </c>
      <c r="AZ364" t="s">
        <v>65</v>
      </c>
      <c r="BA364" s="2"/>
    </row>
    <row r="365" spans="1:53" x14ac:dyDescent="0.45">
      <c r="A365" s="62" t="s">
        <v>1135</v>
      </c>
      <c r="B365" s="63"/>
      <c r="C365" s="63"/>
      <c r="D365" s="64"/>
      <c r="E365" s="66"/>
      <c r="F365" s="98" t="str">
        <f>HYPERLINK("https://pbs.twimg.com/profile_images/1556955577015828481/2P5_Bv-M_normal.jpg")</f>
        <v>https://pbs.twimg.com/profile_images/1556955577015828481/2P5_Bv-M_normal.jpg</v>
      </c>
      <c r="G365" s="63"/>
      <c r="H365" s="67"/>
      <c r="I365" s="68"/>
      <c r="J365" s="68"/>
      <c r="K365" s="67" t="s">
        <v>9360</v>
      </c>
      <c r="L365" s="71"/>
      <c r="M365" s="72"/>
      <c r="N365" s="72"/>
      <c r="O365" s="73"/>
      <c r="P365" s="74"/>
      <c r="Q365" s="74"/>
      <c r="R365" s="81"/>
      <c r="S365" s="81"/>
      <c r="T365" s="81"/>
      <c r="U365" s="81"/>
      <c r="V365" s="48"/>
      <c r="W365" s="48"/>
      <c r="X365" s="48"/>
      <c r="Y365" s="48"/>
      <c r="Z365" s="47"/>
      <c r="AA365" s="69"/>
      <c r="AB365" s="69"/>
      <c r="AC365" s="70"/>
      <c r="AD365" t="s">
        <v>5056</v>
      </c>
      <c r="AE365" s="78" t="s">
        <v>6371</v>
      </c>
      <c r="AF365">
        <v>2283</v>
      </c>
      <c r="AG365">
        <v>23010</v>
      </c>
      <c r="AH365">
        <v>14190</v>
      </c>
      <c r="AI365">
        <v>34992</v>
      </c>
      <c r="AK365" t="s">
        <v>7542</v>
      </c>
      <c r="AL365" t="s">
        <v>8705</v>
      </c>
      <c r="AM365" s="79" t="str">
        <f>HYPERLINK("https://t.co/tgcw4uV9WB")</f>
        <v>https://t.co/tgcw4uV9WB</v>
      </c>
      <c r="AO365" s="76">
        <v>40418.577199074076</v>
      </c>
      <c r="AP365" s="79" t="str">
        <f>HYPERLINK("https://pbs.twimg.com/profile_banners/184020744/1671303583")</f>
        <v>https://pbs.twimg.com/profile_banners/184020744/1671303583</v>
      </c>
      <c r="AQ365" t="b">
        <v>0</v>
      </c>
      <c r="AR365" t="b">
        <v>0</v>
      </c>
      <c r="AS365" t="b">
        <v>1</v>
      </c>
      <c r="AU365">
        <v>355</v>
      </c>
      <c r="AV365" s="79" t="str">
        <f>HYPERLINK("https://abs.twimg.com/images/themes/theme1/bg.png")</f>
        <v>https://abs.twimg.com/images/themes/theme1/bg.png</v>
      </c>
      <c r="AW365" t="b">
        <v>0</v>
      </c>
      <c r="AX365" t="s">
        <v>9303</v>
      </c>
      <c r="AY365" s="79" t="str">
        <f>HYPERLINK("https://twitter.com/mikeflache")</f>
        <v>https://twitter.com/mikeflache</v>
      </c>
      <c r="AZ365" t="s">
        <v>65</v>
      </c>
      <c r="BA365" s="2"/>
    </row>
    <row r="366" spans="1:53" x14ac:dyDescent="0.45">
      <c r="A366" s="62" t="s">
        <v>1501</v>
      </c>
      <c r="B366" s="63"/>
      <c r="C366" s="63"/>
      <c r="D366" s="64"/>
      <c r="E366" s="66"/>
      <c r="F366" s="98" t="str">
        <f>HYPERLINK("https://pbs.twimg.com/profile_images/1422999307213582337/NR7B5VB0_normal.jpg")</f>
        <v>https://pbs.twimg.com/profile_images/1422999307213582337/NR7B5VB0_normal.jpg</v>
      </c>
      <c r="G366" s="63"/>
      <c r="H366" s="67"/>
      <c r="I366" s="68"/>
      <c r="J366" s="68"/>
      <c r="K366" s="67" t="s">
        <v>10513</v>
      </c>
      <c r="L366" s="71"/>
      <c r="M366" s="72"/>
      <c r="N366" s="72"/>
      <c r="O366" s="73"/>
      <c r="P366" s="74"/>
      <c r="Q366" s="74"/>
      <c r="R366" s="81"/>
      <c r="S366" s="81"/>
      <c r="T366" s="81"/>
      <c r="U366" s="81"/>
      <c r="V366" s="48"/>
      <c r="W366" s="48"/>
      <c r="X366" s="48"/>
      <c r="Y366" s="48"/>
      <c r="Z366" s="47"/>
      <c r="AA366" s="69"/>
      <c r="AB366" s="69"/>
      <c r="AC366" s="70"/>
      <c r="AD366" t="s">
        <v>6191</v>
      </c>
      <c r="AE366" s="78" t="s">
        <v>4800</v>
      </c>
      <c r="AF366">
        <v>867</v>
      </c>
      <c r="AG366">
        <v>22998</v>
      </c>
      <c r="AH366">
        <v>19928</v>
      </c>
      <c r="AI366">
        <v>14654</v>
      </c>
      <c r="AK366" t="s">
        <v>8545</v>
      </c>
      <c r="AL366" t="s">
        <v>8847</v>
      </c>
      <c r="AM366" s="79" t="str">
        <f>HYPERLINK("https://t.co/v83jMxO2N5")</f>
        <v>https://t.co/v83jMxO2N5</v>
      </c>
      <c r="AO366" s="76">
        <v>39959.762789351851</v>
      </c>
      <c r="AP366" s="79" t="str">
        <f>HYPERLINK("https://pbs.twimg.com/profile_banners/42682694/1628104448")</f>
        <v>https://pbs.twimg.com/profile_banners/42682694/1628104448</v>
      </c>
      <c r="AQ366" t="b">
        <v>0</v>
      </c>
      <c r="AR366" t="b">
        <v>0</v>
      </c>
      <c r="AS366" t="b">
        <v>1</v>
      </c>
      <c r="AU366">
        <v>140</v>
      </c>
      <c r="AV366" s="79" t="str">
        <f>HYPERLINK("https://abs.twimg.com/images/themes/theme16/bg.gif")</f>
        <v>https://abs.twimg.com/images/themes/theme16/bg.gif</v>
      </c>
      <c r="AW366" t="b">
        <v>1</v>
      </c>
      <c r="AX366" t="s">
        <v>9303</v>
      </c>
      <c r="AY366" s="79" t="str">
        <f>HYPERLINK("https://twitter.com/jazwares")</f>
        <v>https://twitter.com/jazwares</v>
      </c>
      <c r="AZ366" t="s">
        <v>65</v>
      </c>
      <c r="BA366" s="2"/>
    </row>
    <row r="367" spans="1:53" x14ac:dyDescent="0.45">
      <c r="A367" s="62" t="s">
        <v>1209</v>
      </c>
      <c r="B367" s="63"/>
      <c r="C367" s="63"/>
      <c r="D367" s="64"/>
      <c r="E367" s="66"/>
      <c r="F367" s="98" t="str">
        <f>HYPERLINK("https://pbs.twimg.com/profile_images/1184569110115573761/2TjIIn8g_normal.jpg")</f>
        <v>https://pbs.twimg.com/profile_images/1184569110115573761/2TjIIn8g_normal.jpg</v>
      </c>
      <c r="G367" s="63"/>
      <c r="H367" s="67"/>
      <c r="I367" s="68"/>
      <c r="J367" s="68"/>
      <c r="K367" s="67" t="s">
        <v>9518</v>
      </c>
      <c r="L367" s="71"/>
      <c r="M367" s="72"/>
      <c r="N367" s="72"/>
      <c r="O367" s="73"/>
      <c r="P367" s="74"/>
      <c r="Q367" s="74"/>
      <c r="R367" s="81"/>
      <c r="S367" s="81"/>
      <c r="T367" s="81"/>
      <c r="U367" s="81"/>
      <c r="V367" s="48"/>
      <c r="W367" s="48"/>
      <c r="X367" s="48"/>
      <c r="Y367" s="48"/>
      <c r="Z367" s="47"/>
      <c r="AA367" s="69"/>
      <c r="AB367" s="69"/>
      <c r="AC367" s="70"/>
      <c r="AD367" t="s">
        <v>5212</v>
      </c>
      <c r="AE367" s="78" t="s">
        <v>6502</v>
      </c>
      <c r="AF367">
        <v>171</v>
      </c>
      <c r="AG367">
        <v>22987</v>
      </c>
      <c r="AH367">
        <v>15084</v>
      </c>
      <c r="AI367">
        <v>3913</v>
      </c>
      <c r="AK367" t="s">
        <v>7682</v>
      </c>
      <c r="AL367" t="s">
        <v>8795</v>
      </c>
      <c r="AM367" s="79" t="str">
        <f>HYPERLINK("https://t.co/KcLhNVBDCG")</f>
        <v>https://t.co/KcLhNVBDCG</v>
      </c>
      <c r="AO367" s="76">
        <v>41064.825046296297</v>
      </c>
      <c r="AP367" s="79" t="str">
        <f>HYPERLINK("https://pbs.twimg.com/profile_banners/599512903/1578419998")</f>
        <v>https://pbs.twimg.com/profile_banners/599512903/1578419998</v>
      </c>
      <c r="AQ367" t="b">
        <v>0</v>
      </c>
      <c r="AR367" t="b">
        <v>0</v>
      </c>
      <c r="AS367" t="b">
        <v>1</v>
      </c>
      <c r="AU367">
        <v>179</v>
      </c>
      <c r="AV367" s="79" t="str">
        <f>HYPERLINK("https://abs.twimg.com/images/themes/theme1/bg.png")</f>
        <v>https://abs.twimg.com/images/themes/theme1/bg.png</v>
      </c>
      <c r="AW367" t="b">
        <v>1</v>
      </c>
      <c r="AX367" t="s">
        <v>9303</v>
      </c>
      <c r="AY367" s="79" t="str">
        <f>HYPERLINK("https://twitter.com/loblawson")</f>
        <v>https://twitter.com/loblawson</v>
      </c>
      <c r="AZ367" t="s">
        <v>65</v>
      </c>
      <c r="BA367" s="2"/>
    </row>
    <row r="368" spans="1:53" x14ac:dyDescent="0.45">
      <c r="A368" s="62" t="s">
        <v>1536</v>
      </c>
      <c r="B368" s="63"/>
      <c r="C368" s="63"/>
      <c r="D368" s="64"/>
      <c r="E368" s="66"/>
      <c r="F368" s="98" t="str">
        <f>HYPERLINK("https://pbs.twimg.com/profile_images/682612492011487232/i54NaYlD_normal.jpg")</f>
        <v>https://pbs.twimg.com/profile_images/682612492011487232/i54NaYlD_normal.jpg</v>
      </c>
      <c r="G368" s="63"/>
      <c r="H368" s="67"/>
      <c r="I368" s="68"/>
      <c r="J368" s="68"/>
      <c r="K368" s="67" t="s">
        <v>10579</v>
      </c>
      <c r="L368" s="71"/>
      <c r="M368" s="72"/>
      <c r="N368" s="72"/>
      <c r="O368" s="73"/>
      <c r="P368" s="74"/>
      <c r="Q368" s="74"/>
      <c r="R368" s="81"/>
      <c r="S368" s="81"/>
      <c r="T368" s="81"/>
      <c r="U368" s="81"/>
      <c r="V368" s="48"/>
      <c r="W368" s="48"/>
      <c r="X368" s="48"/>
      <c r="Y368" s="48"/>
      <c r="Z368" s="47"/>
      <c r="AA368" s="69"/>
      <c r="AB368" s="69"/>
      <c r="AC368" s="70"/>
      <c r="AD368" t="s">
        <v>6257</v>
      </c>
      <c r="AE368" s="78" t="s">
        <v>7430</v>
      </c>
      <c r="AF368">
        <v>908</v>
      </c>
      <c r="AG368">
        <v>22858</v>
      </c>
      <c r="AH368">
        <v>17240</v>
      </c>
      <c r="AI368">
        <v>2440</v>
      </c>
      <c r="AK368" t="s">
        <v>8604</v>
      </c>
      <c r="AL368" t="s">
        <v>8766</v>
      </c>
      <c r="AM368" s="79" t="str">
        <f>HYPERLINK("https://t.co/wZ4vluYtdD")</f>
        <v>https://t.co/wZ4vluYtdD</v>
      </c>
      <c r="AO368" s="76">
        <v>39562.887766203705</v>
      </c>
      <c r="AP368" s="79" t="str">
        <f>HYPERLINK("https://pbs.twimg.com/profile_banners/14517981/1658761309")</f>
        <v>https://pbs.twimg.com/profile_banners/14517981/1658761309</v>
      </c>
      <c r="AQ368" t="b">
        <v>0</v>
      </c>
      <c r="AR368" t="b">
        <v>0</v>
      </c>
      <c r="AS368" t="b">
        <v>0</v>
      </c>
      <c r="AU368">
        <v>108</v>
      </c>
      <c r="AV368" s="79" t="str">
        <f>HYPERLINK("https://abs.twimg.com/images/themes/theme9/bg.gif")</f>
        <v>https://abs.twimg.com/images/themes/theme9/bg.gif</v>
      </c>
      <c r="AW368" t="b">
        <v>0</v>
      </c>
      <c r="AX368" t="s">
        <v>9303</v>
      </c>
      <c r="AY368" s="79" t="str">
        <f>HYPERLINK("https://twitter.com/moultrie")</f>
        <v>https://twitter.com/moultrie</v>
      </c>
      <c r="AZ368" t="s">
        <v>65</v>
      </c>
      <c r="BA368" s="2"/>
    </row>
    <row r="369" spans="1:53" x14ac:dyDescent="0.45">
      <c r="A369" s="62" t="s">
        <v>469</v>
      </c>
      <c r="B369" s="63"/>
      <c r="C369" s="63"/>
      <c r="D369" s="64"/>
      <c r="E369" s="66"/>
      <c r="F369" s="98" t="str">
        <f>HYPERLINK("https://pbs.twimg.com/profile_images/1541651073810649088/KW4pJW1V_normal.jpg")</f>
        <v>https://pbs.twimg.com/profile_images/1541651073810649088/KW4pJW1V_normal.jpg</v>
      </c>
      <c r="G369" s="63"/>
      <c r="H369" s="67"/>
      <c r="I369" s="68"/>
      <c r="J369" s="68"/>
      <c r="K369" s="67" t="s">
        <v>9740</v>
      </c>
      <c r="L369" s="71"/>
      <c r="M369" s="72"/>
      <c r="N369" s="72"/>
      <c r="O369" s="73"/>
      <c r="P369" s="74"/>
      <c r="Q369" s="74"/>
      <c r="R369" s="81"/>
      <c r="S369" s="81"/>
      <c r="T369" s="81"/>
      <c r="U369" s="81"/>
      <c r="V369" s="48"/>
      <c r="W369" s="48"/>
      <c r="X369" s="48"/>
      <c r="Y369" s="48"/>
      <c r="Z369" s="47"/>
      <c r="AA369" s="69"/>
      <c r="AB369" s="69"/>
      <c r="AC369" s="70"/>
      <c r="AD369" t="s">
        <v>5432</v>
      </c>
      <c r="AE369" s="78" t="s">
        <v>4697</v>
      </c>
      <c r="AF369">
        <v>691</v>
      </c>
      <c r="AG369">
        <v>22801</v>
      </c>
      <c r="AH369">
        <v>13486</v>
      </c>
      <c r="AI369">
        <v>18670</v>
      </c>
      <c r="AK369" t="s">
        <v>7870</v>
      </c>
      <c r="AL369" t="s">
        <v>8893</v>
      </c>
      <c r="AM369" s="79" t="str">
        <f>HYPERLINK("https://t.co/nI6OHcMMFY")</f>
        <v>https://t.co/nI6OHcMMFY</v>
      </c>
      <c r="AO369" s="76">
        <v>41024.703333333331</v>
      </c>
      <c r="AP369" s="79" t="str">
        <f>HYPERLINK("https://pbs.twimg.com/profile_banners/563110056/1665889374")</f>
        <v>https://pbs.twimg.com/profile_banners/563110056/1665889374</v>
      </c>
      <c r="AQ369" t="b">
        <v>0</v>
      </c>
      <c r="AR369" t="b">
        <v>0</v>
      </c>
      <c r="AS369" t="b">
        <v>1</v>
      </c>
      <c r="AU369">
        <v>385</v>
      </c>
      <c r="AV369" s="79" t="str">
        <f>HYPERLINK("https://abs.twimg.com/images/themes/theme1/bg.png")</f>
        <v>https://abs.twimg.com/images/themes/theme1/bg.png</v>
      </c>
      <c r="AW369" t="b">
        <v>0</v>
      </c>
      <c r="AX369" t="s">
        <v>9303</v>
      </c>
      <c r="AY369" s="79" t="str">
        <f>HYPERLINK("https://twitter.com/orenmeetsworld")</f>
        <v>https://twitter.com/orenmeetsworld</v>
      </c>
      <c r="AZ369" t="s">
        <v>66</v>
      </c>
      <c r="BA369" s="2"/>
    </row>
    <row r="370" spans="1:53" x14ac:dyDescent="0.45">
      <c r="A370" s="62" t="s">
        <v>1415</v>
      </c>
      <c r="B370" s="63"/>
      <c r="C370" s="63"/>
      <c r="D370" s="64"/>
      <c r="E370" s="66"/>
      <c r="F370" s="98" t="str">
        <f>HYPERLINK("https://pbs.twimg.com/profile_images/1553522610020958212/LRE9XK7Y_normal.jpg")</f>
        <v>https://pbs.twimg.com/profile_images/1553522610020958212/LRE9XK7Y_normal.jpg</v>
      </c>
      <c r="G370" s="63"/>
      <c r="H370" s="67"/>
      <c r="I370" s="68"/>
      <c r="J370" s="68"/>
      <c r="K370" s="67" t="s">
        <v>10292</v>
      </c>
      <c r="L370" s="71"/>
      <c r="M370" s="72"/>
      <c r="N370" s="72"/>
      <c r="O370" s="73"/>
      <c r="P370" s="74"/>
      <c r="Q370" s="74"/>
      <c r="R370" s="81"/>
      <c r="S370" s="81"/>
      <c r="T370" s="81"/>
      <c r="U370" s="81"/>
      <c r="V370" s="48"/>
      <c r="W370" s="48"/>
      <c r="X370" s="48"/>
      <c r="Y370" s="48"/>
      <c r="Z370" s="47"/>
      <c r="AA370" s="69"/>
      <c r="AB370" s="69"/>
      <c r="AC370" s="70"/>
      <c r="AD370" t="s">
        <v>5975</v>
      </c>
      <c r="AE370" s="78" t="s">
        <v>7187</v>
      </c>
      <c r="AF370">
        <v>1001</v>
      </c>
      <c r="AG370">
        <v>22715</v>
      </c>
      <c r="AH370">
        <v>9453</v>
      </c>
      <c r="AI370">
        <v>11803</v>
      </c>
      <c r="AK370" t="s">
        <v>8352</v>
      </c>
      <c r="AM370" s="79" t="str">
        <f>HYPERLINK("https://t.co/TCfxsO9pee")</f>
        <v>https://t.co/TCfxsO9pee</v>
      </c>
      <c r="AO370" s="76">
        <v>42452.009953703702</v>
      </c>
      <c r="AP370" s="79" t="str">
        <f>HYPERLINK("https://pbs.twimg.com/profile_banners/712432254987976706/1675183865")</f>
        <v>https://pbs.twimg.com/profile_banners/712432254987976706/1675183865</v>
      </c>
      <c r="AQ370" t="b">
        <v>0</v>
      </c>
      <c r="AR370" t="b">
        <v>0</v>
      </c>
      <c r="AS370" t="b">
        <v>1</v>
      </c>
      <c r="AU370">
        <v>153</v>
      </c>
      <c r="AV370" s="79" t="str">
        <f>HYPERLINK("https://abs.twimg.com/images/themes/theme1/bg.png")</f>
        <v>https://abs.twimg.com/images/themes/theme1/bg.png</v>
      </c>
      <c r="AW370" t="b">
        <v>0</v>
      </c>
      <c r="AX370" t="s">
        <v>9303</v>
      </c>
      <c r="AY370" s="79" t="str">
        <f>HYPERLINK("https://twitter.com/nikiasmolina")</f>
        <v>https://twitter.com/nikiasmolina</v>
      </c>
      <c r="AZ370" t="s">
        <v>65</v>
      </c>
      <c r="BA370" s="2"/>
    </row>
    <row r="371" spans="1:53" x14ac:dyDescent="0.45">
      <c r="A371" s="62" t="s">
        <v>1200</v>
      </c>
      <c r="B371" s="63"/>
      <c r="C371" s="63"/>
      <c r="D371" s="64"/>
      <c r="E371" s="66"/>
      <c r="F371" s="98" t="str">
        <f>HYPERLINK("https://pbs.twimg.com/profile_images/847082534999474177/Z_RkJn8X_normal.jpg")</f>
        <v>https://pbs.twimg.com/profile_images/847082534999474177/Z_RkJn8X_normal.jpg</v>
      </c>
      <c r="G371" s="63"/>
      <c r="H371" s="67"/>
      <c r="I371" s="68"/>
      <c r="J371" s="68"/>
      <c r="K371" s="67" t="s">
        <v>9496</v>
      </c>
      <c r="L371" s="71"/>
      <c r="M371" s="72"/>
      <c r="N371" s="72"/>
      <c r="O371" s="73"/>
      <c r="P371" s="74"/>
      <c r="Q371" s="74"/>
      <c r="R371" s="81"/>
      <c r="S371" s="81"/>
      <c r="T371" s="81"/>
      <c r="U371" s="81"/>
      <c r="V371" s="48"/>
      <c r="W371" s="48"/>
      <c r="X371" s="48"/>
      <c r="Y371" s="48"/>
      <c r="Z371" s="47"/>
      <c r="AA371" s="69"/>
      <c r="AB371" s="69"/>
      <c r="AC371" s="70"/>
      <c r="AD371" t="s">
        <v>5190</v>
      </c>
      <c r="AE371" s="78" t="s">
        <v>4671</v>
      </c>
      <c r="AF371">
        <v>729</v>
      </c>
      <c r="AG371">
        <v>22406</v>
      </c>
      <c r="AH371">
        <v>217291</v>
      </c>
      <c r="AI371">
        <v>166</v>
      </c>
      <c r="AK371" t="s">
        <v>7661</v>
      </c>
      <c r="AM371" s="79" t="str">
        <f>HYPERLINK("https://t.co/8VJ0n5Evel")</f>
        <v>https://t.co/8VJ0n5Evel</v>
      </c>
      <c r="AO371" s="76">
        <v>42822.541770833333</v>
      </c>
      <c r="AP371" s="79" t="str">
        <f>HYPERLINK("https://pbs.twimg.com/profile_banners/846708486570479622/1490735998")</f>
        <v>https://pbs.twimg.com/profile_banners/846708486570479622/1490735998</v>
      </c>
      <c r="AQ371" t="b">
        <v>0</v>
      </c>
      <c r="AR371" t="b">
        <v>0</v>
      </c>
      <c r="AS371" t="b">
        <v>0</v>
      </c>
      <c r="AU371">
        <v>61</v>
      </c>
      <c r="AV371" s="79" t="str">
        <f>HYPERLINK("https://abs.twimg.com/images/themes/theme1/bg.png")</f>
        <v>https://abs.twimg.com/images/themes/theme1/bg.png</v>
      </c>
      <c r="AW371" t="b">
        <v>1</v>
      </c>
      <c r="AX371" t="s">
        <v>9303</v>
      </c>
      <c r="AY371" s="79" t="str">
        <f>HYPERLINK("https://twitter.com/walmarthelp")</f>
        <v>https://twitter.com/walmarthelp</v>
      </c>
      <c r="AZ371" t="s">
        <v>65</v>
      </c>
      <c r="BA371" s="2"/>
    </row>
    <row r="372" spans="1:53" x14ac:dyDescent="0.45">
      <c r="A372" s="62" t="s">
        <v>1130</v>
      </c>
      <c r="B372" s="63"/>
      <c r="C372" s="63"/>
      <c r="D372" s="64"/>
      <c r="E372" s="66"/>
      <c r="F372" s="98" t="str">
        <f>HYPERLINK("https://pbs.twimg.com/profile_images/1375411586316316677/heZj98hJ_normal.jpg")</f>
        <v>https://pbs.twimg.com/profile_images/1375411586316316677/heZj98hJ_normal.jpg</v>
      </c>
      <c r="G372" s="63"/>
      <c r="H372" s="67"/>
      <c r="I372" s="68"/>
      <c r="J372" s="68"/>
      <c r="K372" s="67" t="s">
        <v>9347</v>
      </c>
      <c r="L372" s="71"/>
      <c r="M372" s="72"/>
      <c r="N372" s="72"/>
      <c r="O372" s="73"/>
      <c r="P372" s="74"/>
      <c r="Q372" s="74"/>
      <c r="R372" s="81"/>
      <c r="S372" s="81"/>
      <c r="T372" s="81"/>
      <c r="U372" s="81"/>
      <c r="V372" s="48"/>
      <c r="W372" s="48"/>
      <c r="X372" s="48"/>
      <c r="Y372" s="48"/>
      <c r="Z372" s="47"/>
      <c r="AA372" s="69"/>
      <c r="AB372" s="69"/>
      <c r="AC372" s="70"/>
      <c r="AD372" t="s">
        <v>5043</v>
      </c>
      <c r="AE372" s="78" t="s">
        <v>6361</v>
      </c>
      <c r="AF372">
        <v>9458</v>
      </c>
      <c r="AG372">
        <v>20979</v>
      </c>
      <c r="AH372">
        <v>42658</v>
      </c>
      <c r="AI372">
        <v>26616</v>
      </c>
      <c r="AK372" t="s">
        <v>7531</v>
      </c>
      <c r="AL372" t="s">
        <v>8704</v>
      </c>
      <c r="AM372" s="79" t="str">
        <f>HYPERLINK("https://t.co/mcvLlgxT89")</f>
        <v>https://t.co/mcvLlgxT89</v>
      </c>
      <c r="AO372" s="76">
        <v>40235.663715277777</v>
      </c>
      <c r="AP372" s="79" t="str">
        <f>HYPERLINK("https://pbs.twimg.com/profile_banners/117780256/1648836420")</f>
        <v>https://pbs.twimg.com/profile_banners/117780256/1648836420</v>
      </c>
      <c r="AQ372" t="b">
        <v>0</v>
      </c>
      <c r="AR372" t="b">
        <v>0</v>
      </c>
      <c r="AS372" t="b">
        <v>1</v>
      </c>
      <c r="AU372">
        <v>792</v>
      </c>
      <c r="AV372" s="79" t="str">
        <f>HYPERLINK("https://abs.twimg.com/images/themes/theme8/bg.gif")</f>
        <v>https://abs.twimg.com/images/themes/theme8/bg.gif</v>
      </c>
      <c r="AW372" t="b">
        <v>0</v>
      </c>
      <c r="AX372" t="s">
        <v>9303</v>
      </c>
      <c r="AY372" s="79" t="str">
        <f>HYPERLINK("https://twitter.com/efipm")</f>
        <v>https://twitter.com/efipm</v>
      </c>
      <c r="AZ372" t="s">
        <v>65</v>
      </c>
      <c r="BA372" s="2"/>
    </row>
    <row r="373" spans="1:53" x14ac:dyDescent="0.45">
      <c r="A373" s="62" t="s">
        <v>646</v>
      </c>
      <c r="B373" s="63"/>
      <c r="C373" s="63"/>
      <c r="D373" s="64"/>
      <c r="E373" s="66"/>
      <c r="F373" s="98" t="str">
        <f>HYPERLINK("https://pbs.twimg.com/profile_images/1613540392661647361/t8sSCyeR_normal.jpg")</f>
        <v>https://pbs.twimg.com/profile_images/1613540392661647361/t8sSCyeR_normal.jpg</v>
      </c>
      <c r="G373" s="63"/>
      <c r="H373" s="67"/>
      <c r="I373" s="68"/>
      <c r="J373" s="68"/>
      <c r="K373" s="67" t="s">
        <v>9956</v>
      </c>
      <c r="L373" s="71"/>
      <c r="M373" s="72"/>
      <c r="N373" s="72"/>
      <c r="O373" s="73"/>
      <c r="P373" s="74"/>
      <c r="Q373" s="74"/>
      <c r="R373" s="81"/>
      <c r="S373" s="81"/>
      <c r="T373" s="81"/>
      <c r="U373" s="81"/>
      <c r="V373" s="48"/>
      <c r="W373" s="48"/>
      <c r="X373" s="48"/>
      <c r="Y373" s="48"/>
      <c r="Z373" s="47"/>
      <c r="AA373" s="69"/>
      <c r="AB373" s="69"/>
      <c r="AC373" s="70"/>
      <c r="AD373" t="s">
        <v>5647</v>
      </c>
      <c r="AE373" s="78" t="s">
        <v>6889</v>
      </c>
      <c r="AF373">
        <v>21330</v>
      </c>
      <c r="AG373">
        <v>20967</v>
      </c>
      <c r="AH373">
        <v>47270</v>
      </c>
      <c r="AI373">
        <v>9765</v>
      </c>
      <c r="AK373" t="s">
        <v>8058</v>
      </c>
      <c r="AL373" t="s">
        <v>9014</v>
      </c>
      <c r="AO373" s="76">
        <v>40948.036226851851</v>
      </c>
      <c r="AP373" s="79" t="str">
        <f>HYPERLINK("https://pbs.twimg.com/profile_banners/487108289/1672081058")</f>
        <v>https://pbs.twimg.com/profile_banners/487108289/1672081058</v>
      </c>
      <c r="AQ373" t="b">
        <v>0</v>
      </c>
      <c r="AR373" t="b">
        <v>0</v>
      </c>
      <c r="AS373" t="b">
        <v>1</v>
      </c>
      <c r="AU373">
        <v>15</v>
      </c>
      <c r="AV373" s="79" t="str">
        <f>HYPERLINK("https://abs.twimg.com/images/themes/theme4/bg.gif")</f>
        <v>https://abs.twimg.com/images/themes/theme4/bg.gif</v>
      </c>
      <c r="AW373" t="b">
        <v>0</v>
      </c>
      <c r="AX373" t="s">
        <v>9303</v>
      </c>
      <c r="AY373" s="79" t="str">
        <f>HYPERLINK("https://twitter.com/iedsonsmile")</f>
        <v>https://twitter.com/iedsonsmile</v>
      </c>
      <c r="AZ373" t="s">
        <v>66</v>
      </c>
      <c r="BA373" s="2"/>
    </row>
    <row r="374" spans="1:53" x14ac:dyDescent="0.45">
      <c r="A374" s="62" t="s">
        <v>379</v>
      </c>
      <c r="B374" s="63"/>
      <c r="C374" s="63"/>
      <c r="D374" s="64"/>
      <c r="E374" s="66"/>
      <c r="F374" s="98" t="str">
        <f>HYPERLINK("https://pbs.twimg.com/profile_images/1525158976240902146/uJv1fZch_normal.jpg")</f>
        <v>https://pbs.twimg.com/profile_images/1525158976240902146/uJv1fZch_normal.jpg</v>
      </c>
      <c r="G374" s="63"/>
      <c r="H374" s="67"/>
      <c r="I374" s="68"/>
      <c r="J374" s="68"/>
      <c r="K374" s="67" t="s">
        <v>9492</v>
      </c>
      <c r="L374" s="71"/>
      <c r="M374" s="72"/>
      <c r="N374" s="72"/>
      <c r="O374" s="73"/>
      <c r="P374" s="74"/>
      <c r="Q374" s="74"/>
      <c r="R374" s="81"/>
      <c r="S374" s="81"/>
      <c r="T374" s="81"/>
      <c r="U374" s="81"/>
      <c r="V374" s="48"/>
      <c r="W374" s="48"/>
      <c r="X374" s="48"/>
      <c r="Y374" s="48"/>
      <c r="Z374" s="47"/>
      <c r="AA374" s="69"/>
      <c r="AB374" s="69"/>
      <c r="AC374" s="70"/>
      <c r="AD374" t="s">
        <v>5186</v>
      </c>
      <c r="AE374" s="78" t="s">
        <v>4673</v>
      </c>
      <c r="AF374">
        <v>1723</v>
      </c>
      <c r="AG374">
        <v>20943</v>
      </c>
      <c r="AH374">
        <v>83377</v>
      </c>
      <c r="AI374">
        <v>208355</v>
      </c>
      <c r="AK374" t="s">
        <v>7657</v>
      </c>
      <c r="AL374" t="s">
        <v>8780</v>
      </c>
      <c r="AM374" s="79" t="str">
        <f>HYPERLINK("https://t.co/E7QqY2Enxu")</f>
        <v>https://t.co/E7QqY2Enxu</v>
      </c>
      <c r="AO374" s="76">
        <v>40996.733854166669</v>
      </c>
      <c r="AP374" s="79" t="str">
        <f>HYPERLINK("https://pbs.twimg.com/profile_banners/539234194/1669774210")</f>
        <v>https://pbs.twimg.com/profile_banners/539234194/1669774210</v>
      </c>
      <c r="AQ374" t="b">
        <v>0</v>
      </c>
      <c r="AR374" t="b">
        <v>0</v>
      </c>
      <c r="AS374" t="b">
        <v>1</v>
      </c>
      <c r="AU374">
        <v>538</v>
      </c>
      <c r="AV374" s="79" t="str">
        <f>HYPERLINK("https://abs.twimg.com/images/themes/theme1/bg.png")</f>
        <v>https://abs.twimg.com/images/themes/theme1/bg.png</v>
      </c>
      <c r="AW374" t="b">
        <v>0</v>
      </c>
      <c r="AX374" t="s">
        <v>9303</v>
      </c>
      <c r="AY374" s="79" t="str">
        <f>HYPERLINK("https://twitter.com/iiiitsandrea")</f>
        <v>https://twitter.com/iiiitsandrea</v>
      </c>
      <c r="AZ374" t="s">
        <v>66</v>
      </c>
      <c r="BA374" s="2"/>
    </row>
    <row r="375" spans="1:53" x14ac:dyDescent="0.45">
      <c r="A375" s="62" t="s">
        <v>477</v>
      </c>
      <c r="B375" s="63"/>
      <c r="C375" s="63"/>
      <c r="D375" s="64"/>
      <c r="E375" s="66"/>
      <c r="F375" s="98" t="str">
        <f>HYPERLINK("https://pbs.twimg.com/profile_images/1619026972553916416/n2UZjgCE_normal.jpg")</f>
        <v>https://pbs.twimg.com/profile_images/1619026972553916416/n2UZjgCE_normal.jpg</v>
      </c>
      <c r="G375" s="63"/>
      <c r="H375" s="67"/>
      <c r="I375" s="68"/>
      <c r="J375" s="68"/>
      <c r="K375" s="67" t="s">
        <v>9749</v>
      </c>
      <c r="L375" s="71"/>
      <c r="M375" s="72"/>
      <c r="N375" s="72"/>
      <c r="O375" s="73"/>
      <c r="P375" s="74"/>
      <c r="Q375" s="74"/>
      <c r="R375" s="81"/>
      <c r="S375" s="81"/>
      <c r="T375" s="81"/>
      <c r="U375" s="81"/>
      <c r="V375" s="48"/>
      <c r="W375" s="48"/>
      <c r="X375" s="48"/>
      <c r="Y375" s="48"/>
      <c r="Z375" s="47"/>
      <c r="AA375" s="69"/>
      <c r="AB375" s="69"/>
      <c r="AC375" s="70"/>
      <c r="AD375" t="s">
        <v>5441</v>
      </c>
      <c r="AE375" s="78" t="s">
        <v>6706</v>
      </c>
      <c r="AF375">
        <v>1065</v>
      </c>
      <c r="AG375">
        <v>20692</v>
      </c>
      <c r="AH375">
        <v>69237</v>
      </c>
      <c r="AI375">
        <v>20122</v>
      </c>
      <c r="AK375" t="s">
        <v>7878</v>
      </c>
      <c r="AL375" t="s">
        <v>8899</v>
      </c>
      <c r="AO375" s="76">
        <v>40849.942986111113</v>
      </c>
      <c r="AP375" s="79" t="str">
        <f>HYPERLINK("https://pbs.twimg.com/profile_banners/403730198/1672593645")</f>
        <v>https://pbs.twimg.com/profile_banners/403730198/1672593645</v>
      </c>
      <c r="AQ375" t="b">
        <v>0</v>
      </c>
      <c r="AR375" t="b">
        <v>0</v>
      </c>
      <c r="AS375" t="b">
        <v>1</v>
      </c>
      <c r="AU375">
        <v>52</v>
      </c>
      <c r="AV375" s="79" t="str">
        <f>HYPERLINK("https://abs.twimg.com/images/themes/theme1/bg.png")</f>
        <v>https://abs.twimg.com/images/themes/theme1/bg.png</v>
      </c>
      <c r="AW375" t="b">
        <v>0</v>
      </c>
      <c r="AX375" t="s">
        <v>9303</v>
      </c>
      <c r="AY375" s="79" t="str">
        <f>HYPERLINK("https://twitter.com/ukmileycyrusfan")</f>
        <v>https://twitter.com/ukmileycyrusfan</v>
      </c>
      <c r="AZ375" t="s">
        <v>66</v>
      </c>
      <c r="BA375" s="2"/>
    </row>
    <row r="376" spans="1:53" x14ac:dyDescent="0.45">
      <c r="A376" s="62" t="s">
        <v>1323</v>
      </c>
      <c r="B376" s="63"/>
      <c r="C376" s="63"/>
      <c r="D376" s="64"/>
      <c r="E376" s="66"/>
      <c r="F376" s="98" t="str">
        <f>HYPERLINK("https://pbs.twimg.com/profile_images/1531888573988843521/Nmn0Q7FC_normal.jpg")</f>
        <v>https://pbs.twimg.com/profile_images/1531888573988843521/Nmn0Q7FC_normal.jpg</v>
      </c>
      <c r="G376" s="63"/>
      <c r="H376" s="67"/>
      <c r="I376" s="68"/>
      <c r="J376" s="68"/>
      <c r="K376" s="67" t="s">
        <v>9977</v>
      </c>
      <c r="L376" s="71"/>
      <c r="M376" s="72"/>
      <c r="N376" s="72"/>
      <c r="O376" s="73"/>
      <c r="P376" s="74"/>
      <c r="Q376" s="74"/>
      <c r="R376" s="81"/>
      <c r="S376" s="81"/>
      <c r="T376" s="81"/>
      <c r="U376" s="81"/>
      <c r="V376" s="48"/>
      <c r="W376" s="48"/>
      <c r="X376" s="48"/>
      <c r="Y376" s="48"/>
      <c r="Z376" s="47"/>
      <c r="AA376" s="69"/>
      <c r="AB376" s="69"/>
      <c r="AC376" s="70"/>
      <c r="AD376" t="s">
        <v>5668</v>
      </c>
      <c r="AE376" s="78" t="s">
        <v>6910</v>
      </c>
      <c r="AF376">
        <v>4346</v>
      </c>
      <c r="AG376">
        <v>20583</v>
      </c>
      <c r="AH376">
        <v>43680</v>
      </c>
      <c r="AI376">
        <v>7938</v>
      </c>
      <c r="AK376" t="s">
        <v>8077</v>
      </c>
      <c r="AL376" t="s">
        <v>9022</v>
      </c>
      <c r="AM376" s="79" t="str">
        <f>HYPERLINK("https://t.co/BGJJamu8iv")</f>
        <v>https://t.co/BGJJamu8iv</v>
      </c>
      <c r="AO376" s="76">
        <v>39715.25640046296</v>
      </c>
      <c r="AP376" s="79" t="str">
        <f>HYPERLINK("https://pbs.twimg.com/profile_banners/16431335/1654065672")</f>
        <v>https://pbs.twimg.com/profile_banners/16431335/1654065672</v>
      </c>
      <c r="AQ376" t="b">
        <v>0</v>
      </c>
      <c r="AR376" t="b">
        <v>0</v>
      </c>
      <c r="AS376" t="b">
        <v>1</v>
      </c>
      <c r="AU376">
        <v>446</v>
      </c>
      <c r="AV376" s="79" t="str">
        <f>HYPERLINK("https://abs.twimg.com/images/themes/theme5/bg.gif")</f>
        <v>https://abs.twimg.com/images/themes/theme5/bg.gif</v>
      </c>
      <c r="AW376" t="b">
        <v>1</v>
      </c>
      <c r="AX376" t="s">
        <v>9303</v>
      </c>
      <c r="AY376" s="79" t="str">
        <f>HYPERLINK("https://twitter.com/booktopia")</f>
        <v>https://twitter.com/booktopia</v>
      </c>
      <c r="AZ376" t="s">
        <v>65</v>
      </c>
      <c r="BA376" s="2"/>
    </row>
    <row r="377" spans="1:53" x14ac:dyDescent="0.45">
      <c r="A377" s="62" t="s">
        <v>1337</v>
      </c>
      <c r="B377" s="63"/>
      <c r="C377" s="63"/>
      <c r="D377" s="64"/>
      <c r="E377" s="66"/>
      <c r="F377" s="98" t="str">
        <f>HYPERLINK("https://pbs.twimg.com/profile_images/518026784747438080/-AmcmSGT_normal.png")</f>
        <v>https://pbs.twimg.com/profile_images/518026784747438080/-AmcmSGT_normal.png</v>
      </c>
      <c r="G377" s="63"/>
      <c r="H377" s="67"/>
      <c r="I377" s="68"/>
      <c r="J377" s="68"/>
      <c r="K377" s="67" t="s">
        <v>10022</v>
      </c>
      <c r="L377" s="71"/>
      <c r="M377" s="72"/>
      <c r="N377" s="72"/>
      <c r="O377" s="73"/>
      <c r="P377" s="74"/>
      <c r="Q377" s="74"/>
      <c r="R377" s="81"/>
      <c r="S377" s="81"/>
      <c r="T377" s="81"/>
      <c r="U377" s="81"/>
      <c r="V377" s="48"/>
      <c r="W377" s="48"/>
      <c r="X377" s="48"/>
      <c r="Y377" s="48"/>
      <c r="Z377" s="47"/>
      <c r="AA377" s="69"/>
      <c r="AB377" s="69"/>
      <c r="AC377" s="70"/>
      <c r="AD377" t="s">
        <v>5712</v>
      </c>
      <c r="AE377" s="78" t="s">
        <v>4729</v>
      </c>
      <c r="AF377">
        <v>174</v>
      </c>
      <c r="AG377">
        <v>20128</v>
      </c>
      <c r="AH377">
        <v>13238</v>
      </c>
      <c r="AI377">
        <v>11163</v>
      </c>
      <c r="AK377" t="s">
        <v>8115</v>
      </c>
      <c r="AL377" t="s">
        <v>9043</v>
      </c>
      <c r="AO377" s="76">
        <v>41915.547847222224</v>
      </c>
      <c r="AP377" s="79" t="str">
        <f>HYPERLINK("https://pbs.twimg.com/profile_banners/2839061990/1412342295")</f>
        <v>https://pbs.twimg.com/profile_banners/2839061990/1412342295</v>
      </c>
      <c r="AQ377" t="b">
        <v>1</v>
      </c>
      <c r="AR377" t="b">
        <v>0</v>
      </c>
      <c r="AS377" t="b">
        <v>1</v>
      </c>
      <c r="AU377">
        <v>137</v>
      </c>
      <c r="AV377" s="79" t="str">
        <f>HYPERLINK("https://abs.twimg.com/images/themes/theme1/bg.png")</f>
        <v>https://abs.twimg.com/images/themes/theme1/bg.png</v>
      </c>
      <c r="AW377" t="b">
        <v>0</v>
      </c>
      <c r="AX377" t="s">
        <v>9303</v>
      </c>
      <c r="AY377" s="79" t="str">
        <f>HYPERLINK("https://twitter.com/tomlin_sense")</f>
        <v>https://twitter.com/tomlin_sense</v>
      </c>
      <c r="AZ377" t="s">
        <v>65</v>
      </c>
      <c r="BA377" s="2"/>
    </row>
    <row r="378" spans="1:53" x14ac:dyDescent="0.45">
      <c r="A378" s="62" t="s">
        <v>701</v>
      </c>
      <c r="B378" s="63"/>
      <c r="C378" s="63"/>
      <c r="D378" s="64"/>
      <c r="E378" s="66"/>
      <c r="F378" s="98" t="str">
        <f>HYPERLINK("https://pbs.twimg.com/profile_images/1136052494490931200/ABT0qpIr_normal.jpg")</f>
        <v>https://pbs.twimg.com/profile_images/1136052494490931200/ABT0qpIr_normal.jpg</v>
      </c>
      <c r="G378" s="63"/>
      <c r="H378" s="67"/>
      <c r="I378" s="68"/>
      <c r="J378" s="68"/>
      <c r="K378" s="67" t="s">
        <v>10035</v>
      </c>
      <c r="L378" s="71"/>
      <c r="M378" s="72"/>
      <c r="N378" s="72"/>
      <c r="O378" s="73"/>
      <c r="P378" s="74"/>
      <c r="Q378" s="74"/>
      <c r="R378" s="81"/>
      <c r="S378" s="81"/>
      <c r="T378" s="81"/>
      <c r="U378" s="81"/>
      <c r="V378" s="48"/>
      <c r="W378" s="48"/>
      <c r="X378" s="48"/>
      <c r="Y378" s="48"/>
      <c r="Z378" s="47"/>
      <c r="AA378" s="69"/>
      <c r="AB378" s="69"/>
      <c r="AC378" s="70"/>
      <c r="AD378" t="s">
        <v>5725</v>
      </c>
      <c r="AE378" s="78" t="s">
        <v>6962</v>
      </c>
      <c r="AF378">
        <v>4694</v>
      </c>
      <c r="AG378">
        <v>20108</v>
      </c>
      <c r="AH378">
        <v>25708</v>
      </c>
      <c r="AI378">
        <v>43428</v>
      </c>
      <c r="AK378" t="s">
        <v>8124</v>
      </c>
      <c r="AL378" t="s">
        <v>4924</v>
      </c>
      <c r="AM378" s="79" t="str">
        <f>HYPERLINK("https://t.co/Z1Ar4HxkUd")</f>
        <v>https://t.co/Z1Ar4HxkUd</v>
      </c>
      <c r="AO378" s="76">
        <v>39660.021608796298</v>
      </c>
      <c r="AP378" s="79" t="str">
        <f>HYPERLINK("https://pbs.twimg.com/profile_banners/15668539/1658969543")</f>
        <v>https://pbs.twimg.com/profile_banners/15668539/1658969543</v>
      </c>
      <c r="AQ378" t="b">
        <v>0</v>
      </c>
      <c r="AR378" t="b">
        <v>0</v>
      </c>
      <c r="AS378" t="b">
        <v>1</v>
      </c>
      <c r="AU378">
        <v>500</v>
      </c>
      <c r="AV378" s="79" t="str">
        <f>HYPERLINK("https://abs.twimg.com/images/themes/theme1/bg.png")</f>
        <v>https://abs.twimg.com/images/themes/theme1/bg.png</v>
      </c>
      <c r="AW378" t="b">
        <v>1</v>
      </c>
      <c r="AX378" t="s">
        <v>9303</v>
      </c>
      <c r="AY378" s="79" t="str">
        <f>HYPERLINK("https://twitter.com/uclaanderson")</f>
        <v>https://twitter.com/uclaanderson</v>
      </c>
      <c r="AZ378" t="s">
        <v>66</v>
      </c>
      <c r="BA378" s="2"/>
    </row>
    <row r="379" spans="1:53" x14ac:dyDescent="0.45">
      <c r="A379" s="62" t="s">
        <v>1513</v>
      </c>
      <c r="B379" s="63"/>
      <c r="C379" s="63"/>
      <c r="D379" s="64"/>
      <c r="E379" s="66"/>
      <c r="F379" s="98" t="str">
        <f>HYPERLINK("https://pbs.twimg.com/profile_images/1573272674985705472/K1kaIFBL_normal.jpg")</f>
        <v>https://pbs.twimg.com/profile_images/1573272674985705472/K1kaIFBL_normal.jpg</v>
      </c>
      <c r="G379" s="63"/>
      <c r="H379" s="67"/>
      <c r="I379" s="68"/>
      <c r="J379" s="68"/>
      <c r="K379" s="67" t="s">
        <v>10532</v>
      </c>
      <c r="L379" s="71"/>
      <c r="M379" s="72"/>
      <c r="N379" s="72"/>
      <c r="O379" s="73"/>
      <c r="P379" s="74"/>
      <c r="Q379" s="74"/>
      <c r="R379" s="81"/>
      <c r="S379" s="81"/>
      <c r="T379" s="81"/>
      <c r="U379" s="81"/>
      <c r="V379" s="48"/>
      <c r="W379" s="48"/>
      <c r="X379" s="48"/>
      <c r="Y379" s="48"/>
      <c r="Z379" s="47"/>
      <c r="AA379" s="69"/>
      <c r="AB379" s="69"/>
      <c r="AC379" s="70"/>
      <c r="AD379" t="s">
        <v>6210</v>
      </c>
      <c r="AE379" s="78" t="s">
        <v>7391</v>
      </c>
      <c r="AF379">
        <v>55</v>
      </c>
      <c r="AG379">
        <v>20016</v>
      </c>
      <c r="AH379">
        <v>1327</v>
      </c>
      <c r="AI379">
        <v>37</v>
      </c>
      <c r="AK379" t="s">
        <v>8562</v>
      </c>
      <c r="AL379" t="s">
        <v>9252</v>
      </c>
      <c r="AM379" s="79" t="str">
        <f>HYPERLINK("https://t.co/2G0GYfq1OV")</f>
        <v>https://t.co/2G0GYfq1OV</v>
      </c>
      <c r="AO379" s="76">
        <v>42109.302465277775</v>
      </c>
      <c r="AP379" s="79" t="str">
        <f>HYPERLINK("https://pbs.twimg.com/profile_banners/3168915814/1670997973")</f>
        <v>https://pbs.twimg.com/profile_banners/3168915814/1670997973</v>
      </c>
      <c r="AQ379" t="b">
        <v>1</v>
      </c>
      <c r="AR379" t="b">
        <v>0</v>
      </c>
      <c r="AS379" t="b">
        <v>0</v>
      </c>
      <c r="AU379">
        <v>110</v>
      </c>
      <c r="AV379" s="79" t="str">
        <f>HYPERLINK("https://abs.twimg.com/images/themes/theme1/bg.png")</f>
        <v>https://abs.twimg.com/images/themes/theme1/bg.png</v>
      </c>
      <c r="AW379" t="b">
        <v>1</v>
      </c>
      <c r="AX379" t="s">
        <v>9303</v>
      </c>
      <c r="AY379" s="79" t="str">
        <f>HYPERLINK("https://twitter.com/cci_india")</f>
        <v>https://twitter.com/cci_india</v>
      </c>
      <c r="AZ379" t="s">
        <v>65</v>
      </c>
      <c r="BA379" s="2"/>
    </row>
    <row r="380" spans="1:53" x14ac:dyDescent="0.45">
      <c r="A380" s="62" t="s">
        <v>1432</v>
      </c>
      <c r="B380" s="63"/>
      <c r="C380" s="63"/>
      <c r="D380" s="64"/>
      <c r="E380" s="66"/>
      <c r="F380" s="98" t="str">
        <f>HYPERLINK("https://pbs.twimg.com/profile_images/1617010853768986625/jWNyHMFw_normal.jpg")</f>
        <v>https://pbs.twimg.com/profile_images/1617010853768986625/jWNyHMFw_normal.jpg</v>
      </c>
      <c r="G380" s="63"/>
      <c r="H380" s="67"/>
      <c r="I380" s="68"/>
      <c r="J380" s="68"/>
      <c r="K380" s="67" t="s">
        <v>10339</v>
      </c>
      <c r="L380" s="71"/>
      <c r="M380" s="72"/>
      <c r="N380" s="72"/>
      <c r="O380" s="73"/>
      <c r="P380" s="74"/>
      <c r="Q380" s="74"/>
      <c r="R380" s="81"/>
      <c r="S380" s="81"/>
      <c r="T380" s="81"/>
      <c r="U380" s="81"/>
      <c r="V380" s="48"/>
      <c r="W380" s="48"/>
      <c r="X380" s="48"/>
      <c r="Y380" s="48"/>
      <c r="Z380" s="47"/>
      <c r="AA380" s="69"/>
      <c r="AB380" s="69"/>
      <c r="AC380" s="70"/>
      <c r="AD380" t="s">
        <v>6022</v>
      </c>
      <c r="AE380" s="78" t="s">
        <v>7230</v>
      </c>
      <c r="AF380">
        <v>90</v>
      </c>
      <c r="AG380">
        <v>19388</v>
      </c>
      <c r="AH380">
        <v>2448</v>
      </c>
      <c r="AI380">
        <v>3038</v>
      </c>
      <c r="AK380" t="s">
        <v>8392</v>
      </c>
      <c r="AL380" t="s">
        <v>8783</v>
      </c>
      <c r="AM380" s="79" t="str">
        <f>HYPERLINK("https://t.co/DMadWPCDKE")</f>
        <v>https://t.co/DMadWPCDKE</v>
      </c>
      <c r="AO380" s="76">
        <v>39909.641736111109</v>
      </c>
      <c r="AP380" s="79" t="str">
        <f>HYPERLINK("https://pbs.twimg.com/profile_banners/29221432/1674360314")</f>
        <v>https://pbs.twimg.com/profile_banners/29221432/1674360314</v>
      </c>
      <c r="AQ380" t="b">
        <v>1</v>
      </c>
      <c r="AR380" t="b">
        <v>0</v>
      </c>
      <c r="AS380" t="b">
        <v>1</v>
      </c>
      <c r="AU380">
        <v>24</v>
      </c>
      <c r="AV380" s="79" t="str">
        <f>HYPERLINK("https://abs.twimg.com/images/themes/theme1/bg.png")</f>
        <v>https://abs.twimg.com/images/themes/theme1/bg.png</v>
      </c>
      <c r="AW380" t="b">
        <v>1</v>
      </c>
      <c r="AX380" t="s">
        <v>9303</v>
      </c>
      <c r="AY380" s="79" t="str">
        <f>HYPERLINK("https://twitter.com/rohitksingh")</f>
        <v>https://twitter.com/rohitksingh</v>
      </c>
      <c r="AZ380" t="s">
        <v>65</v>
      </c>
      <c r="BA380" s="2"/>
    </row>
    <row r="381" spans="1:53" x14ac:dyDescent="0.45">
      <c r="A381" s="62" t="s">
        <v>556</v>
      </c>
      <c r="B381" s="63"/>
      <c r="C381" s="63"/>
      <c r="D381" s="64"/>
      <c r="E381" s="66"/>
      <c r="F381" s="98" t="str">
        <f>HYPERLINK("https://pbs.twimg.com/profile_images/1303056176091983872/4sSltjm-_normal.jpg")</f>
        <v>https://pbs.twimg.com/profile_images/1303056176091983872/4sSltjm-_normal.jpg</v>
      </c>
      <c r="G381" s="63"/>
      <c r="H381" s="67"/>
      <c r="I381" s="68"/>
      <c r="J381" s="68"/>
      <c r="K381" s="67" t="s">
        <v>9853</v>
      </c>
      <c r="L381" s="71"/>
      <c r="M381" s="72"/>
      <c r="N381" s="72"/>
      <c r="O381" s="73"/>
      <c r="P381" s="74"/>
      <c r="Q381" s="74"/>
      <c r="R381" s="81"/>
      <c r="S381" s="81"/>
      <c r="T381" s="81"/>
      <c r="U381" s="81"/>
      <c r="V381" s="48"/>
      <c r="W381" s="48"/>
      <c r="X381" s="48"/>
      <c r="Y381" s="48"/>
      <c r="Z381" s="47"/>
      <c r="AA381" s="69"/>
      <c r="AB381" s="69"/>
      <c r="AC381" s="70"/>
      <c r="AD381" t="s">
        <v>5544</v>
      </c>
      <c r="AE381" s="78" t="s">
        <v>6793</v>
      </c>
      <c r="AF381">
        <v>178</v>
      </c>
      <c r="AG381">
        <v>19091</v>
      </c>
      <c r="AH381">
        <v>114568</v>
      </c>
      <c r="AI381">
        <v>2941</v>
      </c>
      <c r="AK381" t="s">
        <v>7967</v>
      </c>
      <c r="AL381" t="s">
        <v>8947</v>
      </c>
      <c r="AM381" s="79" t="str">
        <f>HYPERLINK("https://t.co/koxFNZEpcV")</f>
        <v>https://t.co/koxFNZEpcV</v>
      </c>
      <c r="AO381" s="76">
        <v>39776.31690972222</v>
      </c>
      <c r="AP381" s="79" t="str">
        <f>HYPERLINK("https://pbs.twimg.com/profile_banners/17588130/1603891333")</f>
        <v>https://pbs.twimg.com/profile_banners/17588130/1603891333</v>
      </c>
      <c r="AQ381" t="b">
        <v>0</v>
      </c>
      <c r="AR381" t="b">
        <v>0</v>
      </c>
      <c r="AS381" t="b">
        <v>1</v>
      </c>
      <c r="AU381">
        <v>392</v>
      </c>
      <c r="AV381" s="79" t="str">
        <f>HYPERLINK("https://abs.twimg.com/images/themes/theme1/bg.png")</f>
        <v>https://abs.twimg.com/images/themes/theme1/bg.png</v>
      </c>
      <c r="AW381" t="b">
        <v>1</v>
      </c>
      <c r="AX381" t="s">
        <v>9303</v>
      </c>
      <c r="AY381" s="79" t="str">
        <f>HYPERLINK("https://twitter.com/newswest9")</f>
        <v>https://twitter.com/newswest9</v>
      </c>
      <c r="AZ381" t="s">
        <v>66</v>
      </c>
      <c r="BA381" s="2"/>
    </row>
    <row r="382" spans="1:53" x14ac:dyDescent="0.45">
      <c r="A382" s="62" t="s">
        <v>1031</v>
      </c>
      <c r="B382" s="63"/>
      <c r="C382" s="63"/>
      <c r="D382" s="64"/>
      <c r="E382" s="66"/>
      <c r="F382" s="98" t="str">
        <f>HYPERLINK("https://pbs.twimg.com/profile_images/1601109073226711041/s7ytUwoo_normal.jpg")</f>
        <v>https://pbs.twimg.com/profile_images/1601109073226711041/s7ytUwoo_normal.jpg</v>
      </c>
      <c r="G382" s="63"/>
      <c r="H382" s="67"/>
      <c r="I382" s="68"/>
      <c r="J382" s="68"/>
      <c r="K382" s="67" t="s">
        <v>10521</v>
      </c>
      <c r="L382" s="71"/>
      <c r="M382" s="72"/>
      <c r="N382" s="72"/>
      <c r="O382" s="73"/>
      <c r="P382" s="74"/>
      <c r="Q382" s="74"/>
      <c r="R382" s="81"/>
      <c r="S382" s="81"/>
      <c r="T382" s="81"/>
      <c r="U382" s="81"/>
      <c r="V382" s="48"/>
      <c r="W382" s="48"/>
      <c r="X382" s="48"/>
      <c r="Y382" s="48"/>
      <c r="Z382" s="47"/>
      <c r="AA382" s="69"/>
      <c r="AB382" s="69"/>
      <c r="AC382" s="70"/>
      <c r="AD382" t="s">
        <v>6199</v>
      </c>
      <c r="AE382" s="78" t="s">
        <v>7380</v>
      </c>
      <c r="AF382">
        <v>1</v>
      </c>
      <c r="AG382">
        <v>18684</v>
      </c>
      <c r="AH382">
        <v>186561</v>
      </c>
      <c r="AI382">
        <v>158532</v>
      </c>
      <c r="AK382" t="s">
        <v>8552</v>
      </c>
      <c r="AL382" t="s">
        <v>8678</v>
      </c>
      <c r="AM382" s="79" t="str">
        <f>HYPERLINK("https://t.co/Ht1qI8NBNh")</f>
        <v>https://t.co/Ht1qI8NBNh</v>
      </c>
      <c r="AO382" s="76">
        <v>43125.152372685188</v>
      </c>
      <c r="AP382" s="79" t="str">
        <f>HYPERLINK("https://pbs.twimg.com/profile_banners/956370899753566209/1670525670")</f>
        <v>https://pbs.twimg.com/profile_banners/956370899753566209/1670525670</v>
      </c>
      <c r="AQ382" t="b">
        <v>1</v>
      </c>
      <c r="AR382" t="b">
        <v>0</v>
      </c>
      <c r="AS382" t="b">
        <v>1</v>
      </c>
      <c r="AU382">
        <v>5</v>
      </c>
      <c r="AW382" t="b">
        <v>0</v>
      </c>
      <c r="AX382" t="s">
        <v>9303</v>
      </c>
      <c r="AY382" s="79" t="str">
        <f>HYPERLINK("https://twitter.com/bandbajaateraho")</f>
        <v>https://twitter.com/bandbajaateraho</v>
      </c>
      <c r="AZ382" t="s">
        <v>66</v>
      </c>
      <c r="BA382" s="2"/>
    </row>
    <row r="383" spans="1:53" x14ac:dyDescent="0.45">
      <c r="A383" s="62" t="s">
        <v>1276</v>
      </c>
      <c r="B383" s="63"/>
      <c r="C383" s="63"/>
      <c r="D383" s="64"/>
      <c r="E383" s="66"/>
      <c r="F383" s="98" t="str">
        <f>HYPERLINK("https://pbs.twimg.com/profile_images/1296821336237649927/Mz0uEP2O_normal.jpg")</f>
        <v>https://pbs.twimg.com/profile_images/1296821336237649927/Mz0uEP2O_normal.jpg</v>
      </c>
      <c r="G383" s="63"/>
      <c r="H383" s="67"/>
      <c r="I383" s="68"/>
      <c r="J383" s="68"/>
      <c r="K383" s="67" t="s">
        <v>9756</v>
      </c>
      <c r="L383" s="71"/>
      <c r="M383" s="72"/>
      <c r="N383" s="72"/>
      <c r="O383" s="73"/>
      <c r="P383" s="74"/>
      <c r="Q383" s="74"/>
      <c r="R383" s="81"/>
      <c r="S383" s="81"/>
      <c r="T383" s="81"/>
      <c r="U383" s="81"/>
      <c r="V383" s="48"/>
      <c r="W383" s="48"/>
      <c r="X383" s="48"/>
      <c r="Y383" s="48"/>
      <c r="Z383" s="47"/>
      <c r="AA383" s="69"/>
      <c r="AB383" s="69"/>
      <c r="AC383" s="70"/>
      <c r="AD383" t="s">
        <v>5448</v>
      </c>
      <c r="AE383" s="78" t="s">
        <v>4700</v>
      </c>
      <c r="AF383">
        <v>1167</v>
      </c>
      <c r="AG383">
        <v>18558</v>
      </c>
      <c r="AH383">
        <v>13508</v>
      </c>
      <c r="AI383">
        <v>1472</v>
      </c>
      <c r="AK383" t="s">
        <v>7883</v>
      </c>
      <c r="AL383" t="s">
        <v>8904</v>
      </c>
      <c r="AM383" s="79" t="str">
        <f>HYPERLINK("https://t.co/c16ZbkdvQC")</f>
        <v>https://t.co/c16ZbkdvQC</v>
      </c>
      <c r="AO383" s="76">
        <v>41155.877268518518</v>
      </c>
      <c r="AP383" s="79" t="str">
        <f>HYPERLINK("https://pbs.twimg.com/profile_banners/801209988/1598021755")</f>
        <v>https://pbs.twimg.com/profile_banners/801209988/1598021755</v>
      </c>
      <c r="AQ383" t="b">
        <v>0</v>
      </c>
      <c r="AR383" t="b">
        <v>0</v>
      </c>
      <c r="AS383" t="b">
        <v>1</v>
      </c>
      <c r="AU383">
        <v>397</v>
      </c>
      <c r="AV383" s="79" t="str">
        <f>HYPERLINK("https://abs.twimg.com/images/themes/theme1/bg.png")</f>
        <v>https://abs.twimg.com/images/themes/theme1/bg.png</v>
      </c>
      <c r="AW383" t="b">
        <v>1</v>
      </c>
      <c r="AX383" t="s">
        <v>9303</v>
      </c>
      <c r="AY383" s="79" t="str">
        <f>HYPERLINK("https://twitter.com/pft_live")</f>
        <v>https://twitter.com/pft_live</v>
      </c>
      <c r="AZ383" t="s">
        <v>65</v>
      </c>
      <c r="BA383" s="2"/>
    </row>
    <row r="384" spans="1:53" x14ac:dyDescent="0.45">
      <c r="A384" s="62" t="s">
        <v>1505</v>
      </c>
      <c r="B384" s="63"/>
      <c r="C384" s="63"/>
      <c r="D384" s="64"/>
      <c r="E384" s="66"/>
      <c r="F384" s="98" t="str">
        <f>HYPERLINK("https://pbs.twimg.com/profile_images/914469494646480896/3e9yVJzp_normal.jpg")</f>
        <v>https://pbs.twimg.com/profile_images/914469494646480896/3e9yVJzp_normal.jpg</v>
      </c>
      <c r="G384" s="63"/>
      <c r="H384" s="67"/>
      <c r="I384" s="68"/>
      <c r="J384" s="68"/>
      <c r="K384" s="67" t="s">
        <v>10523</v>
      </c>
      <c r="L384" s="71"/>
      <c r="M384" s="72"/>
      <c r="N384" s="72"/>
      <c r="O384" s="73"/>
      <c r="P384" s="74"/>
      <c r="Q384" s="74"/>
      <c r="R384" s="81"/>
      <c r="S384" s="81"/>
      <c r="T384" s="81"/>
      <c r="U384" s="81"/>
      <c r="V384" s="48"/>
      <c r="W384" s="48"/>
      <c r="X384" s="48"/>
      <c r="Y384" s="48"/>
      <c r="Z384" s="47"/>
      <c r="AA384" s="69"/>
      <c r="AB384" s="69"/>
      <c r="AC384" s="70"/>
      <c r="AD384" t="s">
        <v>6201</v>
      </c>
      <c r="AE384" s="78" t="s">
        <v>7382</v>
      </c>
      <c r="AF384">
        <v>2</v>
      </c>
      <c r="AG384">
        <v>18172</v>
      </c>
      <c r="AH384">
        <v>0</v>
      </c>
      <c r="AI384">
        <v>0</v>
      </c>
      <c r="AK384" t="s">
        <v>8554</v>
      </c>
      <c r="AO384" s="76">
        <v>43009.521412037036</v>
      </c>
      <c r="AQ384" t="b">
        <v>1</v>
      </c>
      <c r="AR384" t="b">
        <v>0</v>
      </c>
      <c r="AS384" t="b">
        <v>0</v>
      </c>
      <c r="AU384">
        <v>23</v>
      </c>
      <c r="AW384" t="b">
        <v>0</v>
      </c>
      <c r="AX384" t="s">
        <v>9303</v>
      </c>
      <c r="AY384" s="79" t="str">
        <f>HYPERLINK("https://twitter.com/barcouncilindia")</f>
        <v>https://twitter.com/barcouncilindia</v>
      </c>
      <c r="AZ384" t="s">
        <v>65</v>
      </c>
      <c r="BA384" s="2"/>
    </row>
    <row r="385" spans="1:53" x14ac:dyDescent="0.45">
      <c r="A385" s="62" t="s">
        <v>1528</v>
      </c>
      <c r="B385" s="63"/>
      <c r="C385" s="63"/>
      <c r="D385" s="64"/>
      <c r="E385" s="66"/>
      <c r="F385" s="98" t="str">
        <f>HYPERLINK("https://pbs.twimg.com/profile_images/527600183652012032/U9skRzi__normal.jpeg")</f>
        <v>https://pbs.twimg.com/profile_images/527600183652012032/U9skRzi__normal.jpeg</v>
      </c>
      <c r="G385" s="63"/>
      <c r="H385" s="67"/>
      <c r="I385" s="68"/>
      <c r="J385" s="68"/>
      <c r="K385" s="67" t="s">
        <v>10561</v>
      </c>
      <c r="L385" s="71"/>
      <c r="M385" s="72"/>
      <c r="N385" s="72"/>
      <c r="O385" s="73"/>
      <c r="P385" s="74"/>
      <c r="Q385" s="74"/>
      <c r="R385" s="81"/>
      <c r="S385" s="81"/>
      <c r="T385" s="81"/>
      <c r="U385" s="81"/>
      <c r="V385" s="48"/>
      <c r="W385" s="48"/>
      <c r="X385" s="48"/>
      <c r="Y385" s="48"/>
      <c r="Z385" s="47"/>
      <c r="AA385" s="69"/>
      <c r="AB385" s="69"/>
      <c r="AC385" s="70"/>
      <c r="AD385" t="s">
        <v>6239</v>
      </c>
      <c r="AE385" s="78" t="s">
        <v>7415</v>
      </c>
      <c r="AF385">
        <v>374</v>
      </c>
      <c r="AG385">
        <v>18021</v>
      </c>
      <c r="AH385">
        <v>48454</v>
      </c>
      <c r="AI385">
        <v>161</v>
      </c>
      <c r="AK385" t="s">
        <v>8587</v>
      </c>
      <c r="AL385" t="s">
        <v>9260</v>
      </c>
      <c r="AM385" s="79" t="str">
        <f>HYPERLINK("http://t.co/uRsYn5HKkP")</f>
        <v>http://t.co/uRsYn5HKkP</v>
      </c>
      <c r="AO385" s="76">
        <v>39744.767858796295</v>
      </c>
      <c r="AP385" s="79" t="str">
        <f>HYPERLINK("https://pbs.twimg.com/profile_banners/16932240/1426300011")</f>
        <v>https://pbs.twimg.com/profile_banners/16932240/1426300011</v>
      </c>
      <c r="AQ385" t="b">
        <v>0</v>
      </c>
      <c r="AR385" t="b">
        <v>0</v>
      </c>
      <c r="AS385" t="b">
        <v>0</v>
      </c>
      <c r="AU385">
        <v>276</v>
      </c>
      <c r="AV385" s="79" t="str">
        <f>HYPERLINK("https://abs.twimg.com/images/themes/theme17/bg.gif")</f>
        <v>https://abs.twimg.com/images/themes/theme17/bg.gif</v>
      </c>
      <c r="AW385" t="b">
        <v>1</v>
      </c>
      <c r="AX385" t="s">
        <v>9303</v>
      </c>
      <c r="AY385" s="79" t="str">
        <f>HYPERLINK("https://twitter.com/wthitv")</f>
        <v>https://twitter.com/wthitv</v>
      </c>
      <c r="AZ385" t="s">
        <v>65</v>
      </c>
      <c r="BA385" s="2"/>
    </row>
    <row r="386" spans="1:53" x14ac:dyDescent="0.45">
      <c r="A386" s="62" t="s">
        <v>551</v>
      </c>
      <c r="B386" s="63"/>
      <c r="C386" s="63"/>
      <c r="D386" s="64"/>
      <c r="E386" s="66"/>
      <c r="F386" s="98" t="str">
        <f>HYPERLINK("https://pbs.twimg.com/profile_images/1263482455924903937/xbI7DJGA_normal.jpg")</f>
        <v>https://pbs.twimg.com/profile_images/1263482455924903937/xbI7DJGA_normal.jpg</v>
      </c>
      <c r="G386" s="63"/>
      <c r="H386" s="67"/>
      <c r="I386" s="68"/>
      <c r="J386" s="68"/>
      <c r="K386" s="67" t="s">
        <v>9848</v>
      </c>
      <c r="L386" s="71"/>
      <c r="M386" s="72"/>
      <c r="N386" s="72"/>
      <c r="O386" s="73"/>
      <c r="P386" s="74"/>
      <c r="Q386" s="74"/>
      <c r="R386" s="81"/>
      <c r="S386" s="81"/>
      <c r="T386" s="81"/>
      <c r="U386" s="81"/>
      <c r="V386" s="48"/>
      <c r="W386" s="48"/>
      <c r="X386" s="48"/>
      <c r="Y386" s="48"/>
      <c r="Z386" s="47"/>
      <c r="AA386" s="69"/>
      <c r="AB386" s="69"/>
      <c r="AC386" s="70"/>
      <c r="AD386" t="s">
        <v>5539</v>
      </c>
      <c r="AE386" s="78" t="s">
        <v>6788</v>
      </c>
      <c r="AF386">
        <v>2624</v>
      </c>
      <c r="AG386">
        <v>17613</v>
      </c>
      <c r="AH386">
        <v>63724</v>
      </c>
      <c r="AI386">
        <v>37993</v>
      </c>
      <c r="AK386" t="s">
        <v>7962</v>
      </c>
      <c r="AL386" t="s">
        <v>8944</v>
      </c>
      <c r="AO386" s="76">
        <v>40042.019270833334</v>
      </c>
      <c r="AP386" s="79" t="str">
        <f>HYPERLINK("https://pbs.twimg.com/profile_banners/66229463/1648348569")</f>
        <v>https://pbs.twimg.com/profile_banners/66229463/1648348569</v>
      </c>
      <c r="AQ386" t="b">
        <v>0</v>
      </c>
      <c r="AR386" t="b">
        <v>0</v>
      </c>
      <c r="AS386" t="b">
        <v>1</v>
      </c>
      <c r="AU386">
        <v>20</v>
      </c>
      <c r="AV386" s="79" t="str">
        <f>HYPERLINK("https://abs.twimg.com/images/themes/theme6/bg.gif")</f>
        <v>https://abs.twimg.com/images/themes/theme6/bg.gif</v>
      </c>
      <c r="AW386" t="b">
        <v>0</v>
      </c>
      <c r="AX386" t="s">
        <v>9303</v>
      </c>
      <c r="AY386" s="79" t="str">
        <f>HYPERLINK("https://twitter.com/space_dude93")</f>
        <v>https://twitter.com/space_dude93</v>
      </c>
      <c r="AZ386" t="s">
        <v>66</v>
      </c>
      <c r="BA386" s="2"/>
    </row>
    <row r="387" spans="1:53" x14ac:dyDescent="0.45">
      <c r="A387" s="62" t="s">
        <v>1142</v>
      </c>
      <c r="B387" s="63"/>
      <c r="C387" s="63"/>
      <c r="D387" s="64"/>
      <c r="E387" s="66"/>
      <c r="F387" s="98" t="str">
        <f>HYPERLINK("https://pbs.twimg.com/profile_images/689615073162190848/xbSgx_Xk_normal.jpg")</f>
        <v>https://pbs.twimg.com/profile_images/689615073162190848/xbSgx_Xk_normal.jpg</v>
      </c>
      <c r="G387" s="63"/>
      <c r="H387" s="67"/>
      <c r="I387" s="68"/>
      <c r="J387" s="68"/>
      <c r="K387" s="67" t="s">
        <v>9367</v>
      </c>
      <c r="L387" s="71"/>
      <c r="M387" s="72"/>
      <c r="N387" s="72"/>
      <c r="O387" s="73"/>
      <c r="P387" s="74"/>
      <c r="Q387" s="74"/>
      <c r="R387" s="81"/>
      <c r="S387" s="81"/>
      <c r="T387" s="81"/>
      <c r="U387" s="81"/>
      <c r="V387" s="48"/>
      <c r="W387" s="48"/>
      <c r="X387" s="48"/>
      <c r="Y387" s="48"/>
      <c r="Z387" s="47"/>
      <c r="AA387" s="69"/>
      <c r="AB387" s="69"/>
      <c r="AC387" s="70"/>
      <c r="AD387" t="s">
        <v>5063</v>
      </c>
      <c r="AE387" s="78" t="s">
        <v>6378</v>
      </c>
      <c r="AF387">
        <v>2553</v>
      </c>
      <c r="AG387">
        <v>16973</v>
      </c>
      <c r="AH387">
        <v>18617</v>
      </c>
      <c r="AI387">
        <v>21799</v>
      </c>
      <c r="AK387" t="s">
        <v>7549</v>
      </c>
      <c r="AL387" t="s">
        <v>8718</v>
      </c>
      <c r="AO387" s="76">
        <v>40003.549895833334</v>
      </c>
      <c r="AP387" s="79" t="str">
        <f>HYPERLINK("https://pbs.twimg.com/profile_banners/55230288/1593158652")</f>
        <v>https://pbs.twimg.com/profile_banners/55230288/1593158652</v>
      </c>
      <c r="AQ387" t="b">
        <v>0</v>
      </c>
      <c r="AR387" t="b">
        <v>0</v>
      </c>
      <c r="AS387" t="b">
        <v>1</v>
      </c>
      <c r="AU387">
        <v>521</v>
      </c>
      <c r="AV387" s="79" t="str">
        <f>HYPERLINK("https://abs.twimg.com/images/themes/theme4/bg.gif")</f>
        <v>https://abs.twimg.com/images/themes/theme4/bg.gif</v>
      </c>
      <c r="AW387" t="b">
        <v>0</v>
      </c>
      <c r="AX387" t="s">
        <v>9303</v>
      </c>
      <c r="AY387" s="79" t="str">
        <f>HYPERLINK("https://twitter.com/ianljones98")</f>
        <v>https://twitter.com/ianljones98</v>
      </c>
      <c r="AZ387" t="s">
        <v>65</v>
      </c>
      <c r="BA387" s="2"/>
    </row>
    <row r="388" spans="1:53" x14ac:dyDescent="0.45">
      <c r="A388" s="62" t="s">
        <v>319</v>
      </c>
      <c r="B388" s="63"/>
      <c r="C388" s="63"/>
      <c r="D388" s="64"/>
      <c r="E388" s="66"/>
      <c r="F388" s="98" t="str">
        <f>HYPERLINK("https://pbs.twimg.com/profile_images/1606115837122863105/YzOR8VLj_normal.jpg")</f>
        <v>https://pbs.twimg.com/profile_images/1606115837122863105/YzOR8VLj_normal.jpg</v>
      </c>
      <c r="G388" s="63"/>
      <c r="H388" s="67"/>
      <c r="I388" s="68"/>
      <c r="J388" s="68"/>
      <c r="K388" s="67" t="s">
        <v>9520</v>
      </c>
      <c r="L388" s="71"/>
      <c r="M388" s="72"/>
      <c r="N388" s="72"/>
      <c r="O388" s="73"/>
      <c r="P388" s="74"/>
      <c r="Q388" s="74"/>
      <c r="R388" s="81"/>
      <c r="S388" s="81"/>
      <c r="T388" s="81"/>
      <c r="U388" s="81"/>
      <c r="V388" s="48"/>
      <c r="W388" s="48"/>
      <c r="X388" s="48"/>
      <c r="Y388" s="48"/>
      <c r="Z388" s="47"/>
      <c r="AA388" s="69"/>
      <c r="AB388" s="69"/>
      <c r="AC388" s="70"/>
      <c r="AD388" t="s">
        <v>5214</v>
      </c>
      <c r="AE388" s="78" t="s">
        <v>6503</v>
      </c>
      <c r="AF388">
        <v>18018</v>
      </c>
      <c r="AG388">
        <v>16703</v>
      </c>
      <c r="AH388">
        <v>17800</v>
      </c>
      <c r="AI388">
        <v>52605</v>
      </c>
      <c r="AK388" t="s">
        <v>7684</v>
      </c>
      <c r="AL388" t="s">
        <v>8796</v>
      </c>
      <c r="AM388" s="79" t="str">
        <f>HYPERLINK("https://t.co/M9UaQ3l7Ym")</f>
        <v>https://t.co/M9UaQ3l7Ym</v>
      </c>
      <c r="AO388" s="76">
        <v>44650.126770833333</v>
      </c>
      <c r="AP388" s="79" t="str">
        <f>HYPERLINK("https://pbs.twimg.com/profile_banners/1509003032662626305/1662766532")</f>
        <v>https://pbs.twimg.com/profile_banners/1509003032662626305/1662766532</v>
      </c>
      <c r="AQ388" t="b">
        <v>1</v>
      </c>
      <c r="AR388" t="b">
        <v>0</v>
      </c>
      <c r="AS388" t="b">
        <v>0</v>
      </c>
      <c r="AU388">
        <v>4</v>
      </c>
      <c r="AW388" t="b">
        <v>0</v>
      </c>
      <c r="AX388" t="s">
        <v>9303</v>
      </c>
      <c r="AY388" s="79" t="str">
        <f>HYPERLINK("https://twitter.com/godlovesohio")</f>
        <v>https://twitter.com/godlovesohio</v>
      </c>
      <c r="AZ388" t="s">
        <v>66</v>
      </c>
      <c r="BA388" s="2"/>
    </row>
    <row r="389" spans="1:53" x14ac:dyDescent="0.45">
      <c r="A389" s="62" t="s">
        <v>660</v>
      </c>
      <c r="B389" s="63"/>
      <c r="C389" s="63"/>
      <c r="D389" s="64"/>
      <c r="E389" s="66"/>
      <c r="F389" s="98" t="str">
        <f>HYPERLINK("https://pbs.twimg.com/profile_images/1645676940/gr8mvBandW_-_Copy_normal.jpg")</f>
        <v>https://pbs.twimg.com/profile_images/1645676940/gr8mvBandW_-_Copy_normal.jpg</v>
      </c>
      <c r="G389" s="63"/>
      <c r="H389" s="67"/>
      <c r="I389" s="68"/>
      <c r="J389" s="68"/>
      <c r="K389" s="67" t="s">
        <v>9980</v>
      </c>
      <c r="L389" s="71"/>
      <c r="M389" s="72"/>
      <c r="N389" s="72"/>
      <c r="O389" s="73"/>
      <c r="P389" s="74"/>
      <c r="Q389" s="74"/>
      <c r="R389" s="81"/>
      <c r="S389" s="81"/>
      <c r="T389" s="81"/>
      <c r="U389" s="81"/>
      <c r="V389" s="48"/>
      <c r="W389" s="48"/>
      <c r="X389" s="48"/>
      <c r="Y389" s="48"/>
      <c r="Z389" s="47"/>
      <c r="AA389" s="69"/>
      <c r="AB389" s="69"/>
      <c r="AC389" s="70"/>
      <c r="AD389" t="s">
        <v>5671</v>
      </c>
      <c r="AE389" s="78" t="s">
        <v>6913</v>
      </c>
      <c r="AF389">
        <v>10839</v>
      </c>
      <c r="AG389">
        <v>16271</v>
      </c>
      <c r="AH389">
        <v>981339</v>
      </c>
      <c r="AI389">
        <v>101656</v>
      </c>
      <c r="AK389" t="s">
        <v>8080</v>
      </c>
      <c r="AL389" t="s">
        <v>4917</v>
      </c>
      <c r="AM389" s="79" t="str">
        <f>HYPERLINK("https://t.co/6CQGG2x3Ed")</f>
        <v>https://t.co/6CQGG2x3Ed</v>
      </c>
      <c r="AO389" s="76">
        <v>40096.164282407408</v>
      </c>
      <c r="AP389" s="79" t="str">
        <f>HYPERLINK("https://pbs.twimg.com/profile_banners/81275526/1353187139")</f>
        <v>https://pbs.twimg.com/profile_banners/81275526/1353187139</v>
      </c>
      <c r="AQ389" t="b">
        <v>0</v>
      </c>
      <c r="AR389" t="b">
        <v>0</v>
      </c>
      <c r="AS389" t="b">
        <v>1</v>
      </c>
      <c r="AU389">
        <v>1045</v>
      </c>
      <c r="AV389" s="79" t="str">
        <f>HYPERLINK("https://abs.twimg.com/images/themes/theme10/bg.gif")</f>
        <v>https://abs.twimg.com/images/themes/theme10/bg.gif</v>
      </c>
      <c r="AW389" t="b">
        <v>0</v>
      </c>
      <c r="AX389" t="s">
        <v>9303</v>
      </c>
      <c r="AY389" s="79" t="str">
        <f>HYPERLINK("https://twitter.com/gr8musicvenues")</f>
        <v>https://twitter.com/gr8musicvenues</v>
      </c>
      <c r="AZ389" t="s">
        <v>66</v>
      </c>
      <c r="BA389" s="2"/>
    </row>
    <row r="390" spans="1:53" x14ac:dyDescent="0.45">
      <c r="A390" s="62" t="s">
        <v>1164</v>
      </c>
      <c r="B390" s="63"/>
      <c r="C390" s="63"/>
      <c r="D390" s="64"/>
      <c r="E390" s="66"/>
      <c r="F390" s="98" t="str">
        <f>HYPERLINK("https://pbs.twimg.com/profile_images/2311901903/image_normal.jpg")</f>
        <v>https://pbs.twimg.com/profile_images/2311901903/image_normal.jpg</v>
      </c>
      <c r="G390" s="63"/>
      <c r="H390" s="67"/>
      <c r="I390" s="68"/>
      <c r="J390" s="68"/>
      <c r="K390" s="67" t="s">
        <v>9431</v>
      </c>
      <c r="L390" s="71"/>
      <c r="M390" s="72"/>
      <c r="N390" s="72"/>
      <c r="O390" s="73"/>
      <c r="P390" s="74"/>
      <c r="Q390" s="74"/>
      <c r="R390" s="81"/>
      <c r="S390" s="81"/>
      <c r="T390" s="81"/>
      <c r="U390" s="81"/>
      <c r="V390" s="48"/>
      <c r="W390" s="48"/>
      <c r="X390" s="48"/>
      <c r="Y390" s="48"/>
      <c r="Z390" s="47"/>
      <c r="AA390" s="69"/>
      <c r="AB390" s="69"/>
      <c r="AC390" s="70"/>
      <c r="AD390" t="s">
        <v>5125</v>
      </c>
      <c r="AE390" s="78" t="s">
        <v>6432</v>
      </c>
      <c r="AF390">
        <v>658</v>
      </c>
      <c r="AG390">
        <v>16141</v>
      </c>
      <c r="AH390">
        <v>18203</v>
      </c>
      <c r="AI390">
        <v>10514</v>
      </c>
      <c r="AK390" t="s">
        <v>7603</v>
      </c>
      <c r="AL390" t="s">
        <v>8748</v>
      </c>
      <c r="AM390" s="79" t="str">
        <f>HYPERLINK("https://t.co/iCTctfVZ3b")</f>
        <v>https://t.co/iCTctfVZ3b</v>
      </c>
      <c r="AO390" s="76">
        <v>39577.241249999999</v>
      </c>
      <c r="AP390" s="79" t="str">
        <f>HYPERLINK("https://pbs.twimg.com/profile_banners/14710300/1452227668")</f>
        <v>https://pbs.twimg.com/profile_banners/14710300/1452227668</v>
      </c>
      <c r="AQ390" t="b">
        <v>0</v>
      </c>
      <c r="AR390" t="b">
        <v>0</v>
      </c>
      <c r="AS390" t="b">
        <v>1</v>
      </c>
      <c r="AU390">
        <v>340</v>
      </c>
      <c r="AV390" s="79" t="str">
        <f>HYPERLINK("https://abs.twimg.com/images/themes/theme14/bg.gif")</f>
        <v>https://abs.twimg.com/images/themes/theme14/bg.gif</v>
      </c>
      <c r="AW390" t="b">
        <v>1</v>
      </c>
      <c r="AX390" t="s">
        <v>9303</v>
      </c>
      <c r="AY390" s="79" t="str">
        <f>HYPERLINK("https://twitter.com/btoddrichards")</f>
        <v>https://twitter.com/btoddrichards</v>
      </c>
      <c r="AZ390" t="s">
        <v>65</v>
      </c>
      <c r="BA390" s="2"/>
    </row>
    <row r="391" spans="1:53" x14ac:dyDescent="0.45">
      <c r="A391" s="62" t="s">
        <v>1467</v>
      </c>
      <c r="B391" s="63"/>
      <c r="C391" s="63"/>
      <c r="D391" s="64"/>
      <c r="E391" s="66"/>
      <c r="F391" s="98" t="str">
        <f>HYPERLINK("https://pbs.twimg.com/profile_images/1619066778058952704/tPbfLL74_normal.jpg")</f>
        <v>https://pbs.twimg.com/profile_images/1619066778058952704/tPbfLL74_normal.jpg</v>
      </c>
      <c r="G391" s="63"/>
      <c r="H391" s="67"/>
      <c r="I391" s="68"/>
      <c r="J391" s="68"/>
      <c r="K391" s="67" t="s">
        <v>10415</v>
      </c>
      <c r="L391" s="71"/>
      <c r="M391" s="72"/>
      <c r="N391" s="72"/>
      <c r="O391" s="73"/>
      <c r="P391" s="74"/>
      <c r="Q391" s="74"/>
      <c r="R391" s="81"/>
      <c r="S391" s="81"/>
      <c r="T391" s="81"/>
      <c r="U391" s="81"/>
      <c r="V391" s="48"/>
      <c r="W391" s="48"/>
      <c r="X391" s="48"/>
      <c r="Y391" s="48"/>
      <c r="Z391" s="47"/>
      <c r="AA391" s="69"/>
      <c r="AB391" s="69"/>
      <c r="AC391" s="70"/>
      <c r="AD391" t="s">
        <v>6097</v>
      </c>
      <c r="AE391" s="78" t="s">
        <v>7295</v>
      </c>
      <c r="AF391">
        <v>15487</v>
      </c>
      <c r="AG391">
        <v>16092</v>
      </c>
      <c r="AH391">
        <v>819408</v>
      </c>
      <c r="AI391">
        <v>255811</v>
      </c>
      <c r="AK391" t="s">
        <v>8459</v>
      </c>
      <c r="AL391" t="s">
        <v>9206</v>
      </c>
      <c r="AM391" s="79" t="str">
        <f>HYPERLINK("https://t.co/crZtjTYcvF")</f>
        <v>https://t.co/crZtjTYcvF</v>
      </c>
      <c r="AO391" s="76">
        <v>40871.02716435185</v>
      </c>
      <c r="AP391" s="79" t="str">
        <f>HYPERLINK("https://pbs.twimg.com/profile_banners/419951447/1674850521")</f>
        <v>https://pbs.twimg.com/profile_banners/419951447/1674850521</v>
      </c>
      <c r="AQ391" t="b">
        <v>0</v>
      </c>
      <c r="AR391" t="b">
        <v>0</v>
      </c>
      <c r="AS391" t="b">
        <v>1</v>
      </c>
      <c r="AU391">
        <v>769</v>
      </c>
      <c r="AV391" s="79" t="str">
        <f>HYPERLINK("https://abs.twimg.com/images/themes/theme1/bg.png")</f>
        <v>https://abs.twimg.com/images/themes/theme1/bg.png</v>
      </c>
      <c r="AW391" t="b">
        <v>0</v>
      </c>
      <c r="AX391" t="s">
        <v>9303</v>
      </c>
      <c r="AY391" s="79" t="str">
        <f>HYPERLINK("https://twitter.com/aldoceccarelli")</f>
        <v>https://twitter.com/aldoceccarelli</v>
      </c>
      <c r="AZ391" t="s">
        <v>65</v>
      </c>
      <c r="BA391" s="2"/>
    </row>
    <row r="392" spans="1:53" x14ac:dyDescent="0.45">
      <c r="A392" s="62" t="s">
        <v>640</v>
      </c>
      <c r="B392" s="63"/>
      <c r="C392" s="63"/>
      <c r="D392" s="64"/>
      <c r="E392" s="66"/>
      <c r="F392" s="98" t="str">
        <f>HYPERLINK("https://pbs.twimg.com/profile_images/1415113114589171713/dnuzzeA0_normal.jpg")</f>
        <v>https://pbs.twimg.com/profile_images/1415113114589171713/dnuzzeA0_normal.jpg</v>
      </c>
      <c r="G392" s="63"/>
      <c r="H392" s="67"/>
      <c r="I392" s="68"/>
      <c r="J392" s="68"/>
      <c r="K392" s="67" t="s">
        <v>9644</v>
      </c>
      <c r="L392" s="71"/>
      <c r="M392" s="72"/>
      <c r="N392" s="72"/>
      <c r="O392" s="73"/>
      <c r="P392" s="74"/>
      <c r="Q392" s="74"/>
      <c r="R392" s="81"/>
      <c r="S392" s="81"/>
      <c r="T392" s="81"/>
      <c r="U392" s="81"/>
      <c r="V392" s="48"/>
      <c r="W392" s="48"/>
      <c r="X392" s="48"/>
      <c r="Y392" s="48"/>
      <c r="Z392" s="47"/>
      <c r="AA392" s="69"/>
      <c r="AB392" s="69"/>
      <c r="AC392" s="70"/>
      <c r="AD392" t="s">
        <v>5337</v>
      </c>
      <c r="AE392" s="78" t="s">
        <v>6612</v>
      </c>
      <c r="AF392">
        <v>31</v>
      </c>
      <c r="AG392">
        <v>15963</v>
      </c>
      <c r="AH392">
        <v>1427</v>
      </c>
      <c r="AI392">
        <v>1757</v>
      </c>
      <c r="AK392" t="s">
        <v>7789</v>
      </c>
      <c r="AL392" t="s">
        <v>8853</v>
      </c>
      <c r="AM392" s="79" t="str">
        <f>HYPERLINK("https://t.co/JIxSnXcwMr")</f>
        <v>https://t.co/JIxSnXcwMr</v>
      </c>
      <c r="AO392" s="76">
        <v>43323.042719907404</v>
      </c>
      <c r="AP392" s="79" t="str">
        <f>HYPERLINK("https://pbs.twimg.com/profile_banners/1028083959190585345/1626224233")</f>
        <v>https://pbs.twimg.com/profile_banners/1028083959190585345/1626224233</v>
      </c>
      <c r="AQ392" t="b">
        <v>1</v>
      </c>
      <c r="AR392" t="b">
        <v>0</v>
      </c>
      <c r="AS392" t="b">
        <v>1</v>
      </c>
      <c r="AU392">
        <v>81</v>
      </c>
      <c r="AW392" t="b">
        <v>0</v>
      </c>
      <c r="AX392" t="s">
        <v>9303</v>
      </c>
      <c r="AY392" s="79" t="str">
        <f>HYPERLINK("https://twitter.com/inndstock")</f>
        <v>https://twitter.com/inndstock</v>
      </c>
      <c r="AZ392" t="s">
        <v>66</v>
      </c>
      <c r="BA392" s="2"/>
    </row>
    <row r="393" spans="1:53" x14ac:dyDescent="0.45">
      <c r="A393" s="62" t="s">
        <v>1319</v>
      </c>
      <c r="B393" s="63"/>
      <c r="C393" s="63"/>
      <c r="D393" s="64"/>
      <c r="E393" s="66"/>
      <c r="F393" s="98" t="str">
        <f>HYPERLINK("https://pbs.twimg.com/profile_images/1338600004328456192/lJiKKFii_normal.jpg")</f>
        <v>https://pbs.twimg.com/profile_images/1338600004328456192/lJiKKFii_normal.jpg</v>
      </c>
      <c r="G393" s="63"/>
      <c r="H393" s="67"/>
      <c r="I393" s="68"/>
      <c r="J393" s="68"/>
      <c r="K393" s="67" t="s">
        <v>9973</v>
      </c>
      <c r="L393" s="71"/>
      <c r="M393" s="72"/>
      <c r="N393" s="72"/>
      <c r="O393" s="73"/>
      <c r="P393" s="74"/>
      <c r="Q393" s="74"/>
      <c r="R393" s="81"/>
      <c r="S393" s="81"/>
      <c r="T393" s="81"/>
      <c r="U393" s="81"/>
      <c r="V393" s="48"/>
      <c r="W393" s="48"/>
      <c r="X393" s="48"/>
      <c r="Y393" s="48"/>
      <c r="Z393" s="47"/>
      <c r="AA393" s="69"/>
      <c r="AB393" s="69"/>
      <c r="AC393" s="70"/>
      <c r="AD393" t="s">
        <v>5664</v>
      </c>
      <c r="AE393" s="78" t="s">
        <v>6906</v>
      </c>
      <c r="AF393">
        <v>35</v>
      </c>
      <c r="AG393">
        <v>15611</v>
      </c>
      <c r="AH393">
        <v>680</v>
      </c>
      <c r="AI393">
        <v>1125</v>
      </c>
      <c r="AK393" t="s">
        <v>8073</v>
      </c>
      <c r="AL393" t="s">
        <v>9021</v>
      </c>
      <c r="AM393" s="79" t="str">
        <f>HYPERLINK("https://t.co/AKV7lAXRf1")</f>
        <v>https://t.co/AKV7lAXRf1</v>
      </c>
      <c r="AO393" s="76">
        <v>39672.92150462963</v>
      </c>
      <c r="AP393" s="79" t="str">
        <f>HYPERLINK("https://pbs.twimg.com/profile_banners/15828966/1641143959")</f>
        <v>https://pbs.twimg.com/profile_banners/15828966/1641143959</v>
      </c>
      <c r="AQ393" t="b">
        <v>0</v>
      </c>
      <c r="AR393" t="b">
        <v>0</v>
      </c>
      <c r="AS393" t="b">
        <v>0</v>
      </c>
      <c r="AU393">
        <v>487</v>
      </c>
      <c r="AV393" s="79" t="str">
        <f>HYPERLINK("https://abs.twimg.com/images/themes/theme1/bg.png")</f>
        <v>https://abs.twimg.com/images/themes/theme1/bg.png</v>
      </c>
      <c r="AW393" t="b">
        <v>0</v>
      </c>
      <c r="AX393" t="s">
        <v>9303</v>
      </c>
      <c r="AY393" s="79" t="str">
        <f>HYPERLINK("https://twitter.com/smashwords")</f>
        <v>https://twitter.com/smashwords</v>
      </c>
      <c r="AZ393" t="s">
        <v>65</v>
      </c>
      <c r="BA393" s="2"/>
    </row>
    <row r="394" spans="1:53" x14ac:dyDescent="0.45">
      <c r="A394" s="62" t="s">
        <v>1495</v>
      </c>
      <c r="B394" s="63"/>
      <c r="C394" s="63"/>
      <c r="D394" s="64"/>
      <c r="E394" s="66"/>
      <c r="F394" s="98" t="str">
        <f>HYPERLINK("https://pbs.twimg.com/profile_images/1455986687549460482/S88-aJDy_normal.jpg")</f>
        <v>https://pbs.twimg.com/profile_images/1455986687549460482/S88-aJDy_normal.jpg</v>
      </c>
      <c r="G394" s="63"/>
      <c r="H394" s="67"/>
      <c r="I394" s="68"/>
      <c r="J394" s="68"/>
      <c r="K394" s="67" t="s">
        <v>10496</v>
      </c>
      <c r="L394" s="71"/>
      <c r="M394" s="72"/>
      <c r="N394" s="72"/>
      <c r="O394" s="73"/>
      <c r="P394" s="74"/>
      <c r="Q394" s="74"/>
      <c r="R394" s="81"/>
      <c r="S394" s="81"/>
      <c r="T394" s="81"/>
      <c r="U394" s="81"/>
      <c r="V394" s="48"/>
      <c r="W394" s="48"/>
      <c r="X394" s="48"/>
      <c r="Y394" s="48"/>
      <c r="Z394" s="47"/>
      <c r="AA394" s="69"/>
      <c r="AB394" s="69"/>
      <c r="AC394" s="70"/>
      <c r="AD394" t="s">
        <v>6174</v>
      </c>
      <c r="AE394" s="78" t="s">
        <v>4797</v>
      </c>
      <c r="AF394">
        <v>552</v>
      </c>
      <c r="AG394">
        <v>15459</v>
      </c>
      <c r="AH394">
        <v>3405</v>
      </c>
      <c r="AI394">
        <v>7815</v>
      </c>
      <c r="AK394" t="s">
        <v>8532</v>
      </c>
      <c r="AL394" t="s">
        <v>9239</v>
      </c>
      <c r="AM394" s="79" t="str">
        <f>HYPERLINK("https://t.co/NeH4HHxIcz")</f>
        <v>https://t.co/NeH4HHxIcz</v>
      </c>
      <c r="AO394" s="76">
        <v>39905.082615740743</v>
      </c>
      <c r="AP394" s="79" t="str">
        <f>HYPERLINK("https://pbs.twimg.com/profile_banners/28254911/1647552866")</f>
        <v>https://pbs.twimg.com/profile_banners/28254911/1647552866</v>
      </c>
      <c r="AQ394" t="b">
        <v>0</v>
      </c>
      <c r="AR394" t="b">
        <v>0</v>
      </c>
      <c r="AS394" t="b">
        <v>1</v>
      </c>
      <c r="AU394">
        <v>82</v>
      </c>
      <c r="AV394" s="79" t="str">
        <f>HYPERLINK("https://abs.twimg.com/images/themes/theme1/bg.png")</f>
        <v>https://abs.twimg.com/images/themes/theme1/bg.png</v>
      </c>
      <c r="AW394" t="b">
        <v>1</v>
      </c>
      <c r="AX394" t="s">
        <v>9303</v>
      </c>
      <c r="AY394" s="79" t="str">
        <f>HYPERLINK("https://twitter.com/janicekapner")</f>
        <v>https://twitter.com/janicekapner</v>
      </c>
      <c r="AZ394" t="s">
        <v>65</v>
      </c>
      <c r="BA394" s="2"/>
    </row>
    <row r="395" spans="1:53" x14ac:dyDescent="0.45">
      <c r="A395" s="62" t="s">
        <v>237</v>
      </c>
      <c r="B395" s="63"/>
      <c r="C395" s="63"/>
      <c r="D395" s="64"/>
      <c r="E395" s="66"/>
      <c r="F395" s="98" t="str">
        <f>HYPERLINK("https://pbs.twimg.com/profile_images/1617517881356611585/HmeUSkCE_normal.jpg")</f>
        <v>https://pbs.twimg.com/profile_images/1617517881356611585/HmeUSkCE_normal.jpg</v>
      </c>
      <c r="G395" s="63"/>
      <c r="H395" s="67"/>
      <c r="I395" s="68"/>
      <c r="J395" s="68"/>
      <c r="K395" s="67" t="s">
        <v>9358</v>
      </c>
      <c r="L395" s="71"/>
      <c r="M395" s="72"/>
      <c r="N395" s="72"/>
      <c r="O395" s="73"/>
      <c r="P395" s="74"/>
      <c r="Q395" s="74"/>
      <c r="R395" s="81"/>
      <c r="S395" s="81"/>
      <c r="T395" s="81"/>
      <c r="U395" s="81"/>
      <c r="V395" s="48"/>
      <c r="W395" s="48"/>
      <c r="X395" s="48"/>
      <c r="Y395" s="48"/>
      <c r="Z395" s="47"/>
      <c r="AA395" s="69"/>
      <c r="AB395" s="69"/>
      <c r="AC395" s="70"/>
      <c r="AD395" t="s">
        <v>5054</v>
      </c>
      <c r="AE395" s="78" t="s">
        <v>6369</v>
      </c>
      <c r="AF395">
        <v>12169</v>
      </c>
      <c r="AG395">
        <v>15150</v>
      </c>
      <c r="AH395">
        <v>24415</v>
      </c>
      <c r="AI395">
        <v>25655</v>
      </c>
      <c r="AK395" t="s">
        <v>7540</v>
      </c>
      <c r="AL395" t="s">
        <v>8711</v>
      </c>
      <c r="AM395" s="79" t="str">
        <f>HYPERLINK("https://t.co/quVHzAJqUX")</f>
        <v>https://t.co/quVHzAJqUX</v>
      </c>
      <c r="AO395" s="76">
        <v>43316.295416666668</v>
      </c>
      <c r="AP395" s="79" t="str">
        <f>HYPERLINK("https://pbs.twimg.com/profile_banners/1025638818068590592/1651214919")</f>
        <v>https://pbs.twimg.com/profile_banners/1025638818068590592/1651214919</v>
      </c>
      <c r="AQ395" t="b">
        <v>0</v>
      </c>
      <c r="AR395" t="b">
        <v>0</v>
      </c>
      <c r="AS395" t="b">
        <v>0</v>
      </c>
      <c r="AU395">
        <v>72</v>
      </c>
      <c r="AV395" s="79" t="str">
        <f>HYPERLINK("https://abs.twimg.com/images/themes/theme1/bg.png")</f>
        <v>https://abs.twimg.com/images/themes/theme1/bg.png</v>
      </c>
      <c r="AW395" t="b">
        <v>0</v>
      </c>
      <c r="AX395" t="s">
        <v>9303</v>
      </c>
      <c r="AY395" s="79" t="str">
        <f>HYPERLINK("https://twitter.com/sonu_monika")</f>
        <v>https://twitter.com/sonu_monika</v>
      </c>
      <c r="AZ395" t="s">
        <v>66</v>
      </c>
      <c r="BA395" s="2"/>
    </row>
    <row r="396" spans="1:53" x14ac:dyDescent="0.45">
      <c r="A396" s="62" t="s">
        <v>1478</v>
      </c>
      <c r="B396" s="63"/>
      <c r="C396" s="63"/>
      <c r="D396" s="64"/>
      <c r="E396" s="66"/>
      <c r="F396" s="98" t="str">
        <f>HYPERLINK("https://pbs.twimg.com/profile_images/1554376507728044033/27Bd8vGv_normal.jpg")</f>
        <v>https://pbs.twimg.com/profile_images/1554376507728044033/27Bd8vGv_normal.jpg</v>
      </c>
      <c r="G396" s="63"/>
      <c r="H396" s="67"/>
      <c r="I396" s="68"/>
      <c r="J396" s="68"/>
      <c r="K396" s="67" t="s">
        <v>10464</v>
      </c>
      <c r="L396" s="71"/>
      <c r="M396" s="72"/>
      <c r="N396" s="72"/>
      <c r="O396" s="73"/>
      <c r="P396" s="74"/>
      <c r="Q396" s="74"/>
      <c r="R396" s="81"/>
      <c r="S396" s="81"/>
      <c r="T396" s="81"/>
      <c r="U396" s="81"/>
      <c r="V396" s="48"/>
      <c r="W396" s="48"/>
      <c r="X396" s="48"/>
      <c r="Y396" s="48"/>
      <c r="Z396" s="47"/>
      <c r="AA396" s="69"/>
      <c r="AB396" s="69"/>
      <c r="AC396" s="70"/>
      <c r="AD396" t="s">
        <v>6145</v>
      </c>
      <c r="AE396" s="78" t="s">
        <v>7332</v>
      </c>
      <c r="AF396">
        <v>283</v>
      </c>
      <c r="AG396">
        <v>15029</v>
      </c>
      <c r="AH396">
        <v>7532</v>
      </c>
      <c r="AI396">
        <v>4449</v>
      </c>
      <c r="AK396" t="s">
        <v>8503</v>
      </c>
      <c r="AL396" t="s">
        <v>9227</v>
      </c>
      <c r="AM396" s="79" t="str">
        <f>HYPERLINK("https://t.co/qzrVkphEgm")</f>
        <v>https://t.co/qzrVkphEgm</v>
      </c>
      <c r="AO396" s="76">
        <v>42095.934988425928</v>
      </c>
      <c r="AP396" s="79" t="str">
        <f>HYPERLINK("https://pbs.twimg.com/profile_banners/3128208109/1631061059")</f>
        <v>https://pbs.twimg.com/profile_banners/3128208109/1631061059</v>
      </c>
      <c r="AQ396" t="b">
        <v>0</v>
      </c>
      <c r="AR396" t="b">
        <v>0</v>
      </c>
      <c r="AS396" t="b">
        <v>1</v>
      </c>
      <c r="AU396">
        <v>89</v>
      </c>
      <c r="AV396" s="79" t="str">
        <f>HYPERLINK("https://abs.twimg.com/images/themes/theme1/bg.png")</f>
        <v>https://abs.twimg.com/images/themes/theme1/bg.png</v>
      </c>
      <c r="AW396" t="b">
        <v>1</v>
      </c>
      <c r="AX396" t="s">
        <v>9303</v>
      </c>
      <c r="AY396" s="79" t="str">
        <f>HYPERLINK("https://twitter.com/indembmexico")</f>
        <v>https://twitter.com/indembmexico</v>
      </c>
      <c r="AZ396" t="s">
        <v>65</v>
      </c>
      <c r="BA396" s="2"/>
    </row>
    <row r="397" spans="1:53" x14ac:dyDescent="0.45">
      <c r="A397" s="62" t="s">
        <v>901</v>
      </c>
      <c r="B397" s="63"/>
      <c r="C397" s="63"/>
      <c r="D397" s="64"/>
      <c r="E397" s="66"/>
      <c r="F397" s="98" t="str">
        <f>HYPERLINK("https://pbs.twimg.com/profile_images/842745783187374080/icEMAqhS_normal.jpg")</f>
        <v>https://pbs.twimg.com/profile_images/842745783187374080/icEMAqhS_normal.jpg</v>
      </c>
      <c r="G397" s="63"/>
      <c r="H397" s="67"/>
      <c r="I397" s="68"/>
      <c r="J397" s="68"/>
      <c r="K397" s="67" t="s">
        <v>9519</v>
      </c>
      <c r="L397" s="71"/>
      <c r="M397" s="72"/>
      <c r="N397" s="72"/>
      <c r="O397" s="73"/>
      <c r="P397" s="74"/>
      <c r="Q397" s="74"/>
      <c r="R397" s="81"/>
      <c r="S397" s="81"/>
      <c r="T397" s="81"/>
      <c r="U397" s="81"/>
      <c r="V397" s="48"/>
      <c r="W397" s="48"/>
      <c r="X397" s="48"/>
      <c r="Y397" s="48"/>
      <c r="Z397" s="47"/>
      <c r="AA397" s="69"/>
      <c r="AB397" s="69"/>
      <c r="AC397" s="70"/>
      <c r="AD397" t="s">
        <v>5213</v>
      </c>
      <c r="AE397" s="78" t="s">
        <v>4767</v>
      </c>
      <c r="AF397">
        <v>13358</v>
      </c>
      <c r="AG397">
        <v>15025</v>
      </c>
      <c r="AH397">
        <v>175377</v>
      </c>
      <c r="AI397">
        <v>191666</v>
      </c>
      <c r="AK397" t="s">
        <v>7683</v>
      </c>
      <c r="AL397" t="s">
        <v>8709</v>
      </c>
      <c r="AM397" s="79" t="str">
        <f>HYPERLINK("https://t.co/aatAAstNsK")</f>
        <v>https://t.co/aatAAstNsK</v>
      </c>
      <c r="AO397" s="76">
        <v>39847.545983796299</v>
      </c>
      <c r="AP397" s="79" t="str">
        <f>HYPERLINK("https://pbs.twimg.com/profile_banners/19969078/1489761064")</f>
        <v>https://pbs.twimg.com/profile_banners/19969078/1489761064</v>
      </c>
      <c r="AQ397" t="b">
        <v>0</v>
      </c>
      <c r="AR397" t="b">
        <v>0</v>
      </c>
      <c r="AS397" t="b">
        <v>1</v>
      </c>
      <c r="AU397">
        <v>853</v>
      </c>
      <c r="AV397" s="79" t="str">
        <f>HYPERLINK("https://abs.twimg.com/images/themes/theme15/bg.png")</f>
        <v>https://abs.twimg.com/images/themes/theme15/bg.png</v>
      </c>
      <c r="AW397" t="b">
        <v>1</v>
      </c>
      <c r="AX397" t="s">
        <v>9303</v>
      </c>
      <c r="AY397" s="79" t="str">
        <f>HYPERLINK("https://twitter.com/samkj27")</f>
        <v>https://twitter.com/samkj27</v>
      </c>
      <c r="AZ397" t="s">
        <v>66</v>
      </c>
      <c r="BA397" s="2"/>
    </row>
    <row r="398" spans="1:53" x14ac:dyDescent="0.45">
      <c r="A398" s="62" t="s">
        <v>696</v>
      </c>
      <c r="B398" s="63"/>
      <c r="C398" s="63"/>
      <c r="D398" s="64"/>
      <c r="E398" s="66"/>
      <c r="F398" s="98" t="str">
        <f>HYPERLINK("https://pbs.twimg.com/profile_images/1579489474769309696/faJaThnM_normal.jpg")</f>
        <v>https://pbs.twimg.com/profile_images/1579489474769309696/faJaThnM_normal.jpg</v>
      </c>
      <c r="G398" s="63"/>
      <c r="H398" s="67"/>
      <c r="I398" s="68"/>
      <c r="J398" s="68"/>
      <c r="K398" s="67" t="s">
        <v>9675</v>
      </c>
      <c r="L398" s="71"/>
      <c r="M398" s="72"/>
      <c r="N398" s="72"/>
      <c r="O398" s="73"/>
      <c r="P398" s="74"/>
      <c r="Q398" s="74"/>
      <c r="R398" s="81"/>
      <c r="S398" s="81"/>
      <c r="T398" s="81"/>
      <c r="U398" s="81"/>
      <c r="V398" s="48"/>
      <c r="W398" s="48"/>
      <c r="X398" s="48"/>
      <c r="Y398" s="48"/>
      <c r="Z398" s="47"/>
      <c r="AA398" s="69"/>
      <c r="AB398" s="69"/>
      <c r="AC398" s="70"/>
      <c r="AD398" t="s">
        <v>5368</v>
      </c>
      <c r="AE398" s="78" t="s">
        <v>4690</v>
      </c>
      <c r="AF398">
        <v>562</v>
      </c>
      <c r="AG398">
        <v>14960</v>
      </c>
      <c r="AH398">
        <v>137735</v>
      </c>
      <c r="AI398">
        <v>52729</v>
      </c>
      <c r="AK398" t="s">
        <v>7817</v>
      </c>
      <c r="AO398" s="76">
        <v>40220.305914351855</v>
      </c>
      <c r="AP398" s="79" t="str">
        <f>HYPERLINK("https://pbs.twimg.com/profile_banners/113274131/1666007314")</f>
        <v>https://pbs.twimg.com/profile_banners/113274131/1666007314</v>
      </c>
      <c r="AQ398" t="b">
        <v>0</v>
      </c>
      <c r="AR398" t="b">
        <v>0</v>
      </c>
      <c r="AS398" t="b">
        <v>0</v>
      </c>
      <c r="AU398">
        <v>74</v>
      </c>
      <c r="AV398" s="79" t="str">
        <f>HYPERLINK("https://abs.twimg.com/images/themes/theme14/bg.gif")</f>
        <v>https://abs.twimg.com/images/themes/theme14/bg.gif</v>
      </c>
      <c r="AW398" t="b">
        <v>0</v>
      </c>
      <c r="AX398" t="s">
        <v>9303</v>
      </c>
      <c r="AY398" s="79" t="str">
        <f>HYPERLINK("https://twitter.com/istanmileycyrus")</f>
        <v>https://twitter.com/istanmileycyrus</v>
      </c>
      <c r="AZ398" t="s">
        <v>66</v>
      </c>
      <c r="BA398" s="2"/>
    </row>
    <row r="399" spans="1:53" x14ac:dyDescent="0.45">
      <c r="A399" s="62" t="s">
        <v>1412</v>
      </c>
      <c r="B399" s="63"/>
      <c r="C399" s="63"/>
      <c r="D399" s="64"/>
      <c r="E399" s="66"/>
      <c r="F399" s="98" t="str">
        <f>HYPERLINK("https://pbs.twimg.com/profile_images/755771573513048064/jLYSv0op_normal.jpg")</f>
        <v>https://pbs.twimg.com/profile_images/755771573513048064/jLYSv0op_normal.jpg</v>
      </c>
      <c r="G399" s="63"/>
      <c r="H399" s="67"/>
      <c r="I399" s="68"/>
      <c r="J399" s="68"/>
      <c r="K399" s="67" t="s">
        <v>10289</v>
      </c>
      <c r="L399" s="71"/>
      <c r="M399" s="72"/>
      <c r="N399" s="72"/>
      <c r="O399" s="73"/>
      <c r="P399" s="74"/>
      <c r="Q399" s="74"/>
      <c r="R399" s="81"/>
      <c r="S399" s="81"/>
      <c r="T399" s="81"/>
      <c r="U399" s="81"/>
      <c r="V399" s="48"/>
      <c r="W399" s="48"/>
      <c r="X399" s="48"/>
      <c r="Y399" s="48"/>
      <c r="Z399" s="47"/>
      <c r="AA399" s="69"/>
      <c r="AB399" s="69"/>
      <c r="AC399" s="70"/>
      <c r="AD399" t="s">
        <v>5972</v>
      </c>
      <c r="AE399" s="78" t="s">
        <v>7184</v>
      </c>
      <c r="AF399">
        <v>4673</v>
      </c>
      <c r="AG399">
        <v>14442</v>
      </c>
      <c r="AH399">
        <v>18794</v>
      </c>
      <c r="AI399">
        <v>5997</v>
      </c>
      <c r="AK399" t="s">
        <v>8349</v>
      </c>
      <c r="AL399" t="s">
        <v>9155</v>
      </c>
      <c r="AM399" s="79" t="str">
        <f>HYPERLINK("http://t.co/nJPJ1DsJUe")</f>
        <v>http://t.co/nJPJ1DsJUe</v>
      </c>
      <c r="AO399" s="76">
        <v>39996.961504629631</v>
      </c>
      <c r="AP399" s="79" t="str">
        <f>HYPERLINK("https://pbs.twimg.com/profile_banners/53218512/1412361208")</f>
        <v>https://pbs.twimg.com/profile_banners/53218512/1412361208</v>
      </c>
      <c r="AQ399" t="b">
        <v>0</v>
      </c>
      <c r="AR399" t="b">
        <v>0</v>
      </c>
      <c r="AS399" t="b">
        <v>0</v>
      </c>
      <c r="AU399">
        <v>261</v>
      </c>
      <c r="AV399" s="79" t="str">
        <f>HYPERLINK("https://abs.twimg.com/images/themes/theme1/bg.png")</f>
        <v>https://abs.twimg.com/images/themes/theme1/bg.png</v>
      </c>
      <c r="AW399" t="b">
        <v>1</v>
      </c>
      <c r="AX399" t="s">
        <v>9303</v>
      </c>
      <c r="AY399" s="79" t="str">
        <f>HYPERLINK("https://twitter.com/wincofoods")</f>
        <v>https://twitter.com/wincofoods</v>
      </c>
      <c r="AZ399" t="s">
        <v>65</v>
      </c>
      <c r="BA399" s="2"/>
    </row>
    <row r="400" spans="1:53" x14ac:dyDescent="0.45">
      <c r="A400" s="62" t="s">
        <v>799</v>
      </c>
      <c r="B400" s="63"/>
      <c r="C400" s="63"/>
      <c r="D400" s="64"/>
      <c r="E400" s="66"/>
      <c r="F400" s="98" t="str">
        <f>HYPERLINK("https://pbs.twimg.com/profile_images/1331936506324406279/n9oc0HI5_normal.jpg")</f>
        <v>https://pbs.twimg.com/profile_images/1331936506324406279/n9oc0HI5_normal.jpg</v>
      </c>
      <c r="G400" s="63"/>
      <c r="H400" s="67"/>
      <c r="I400" s="68"/>
      <c r="J400" s="68"/>
      <c r="K400" s="67" t="s">
        <v>10178</v>
      </c>
      <c r="L400" s="71"/>
      <c r="M400" s="72"/>
      <c r="N400" s="72"/>
      <c r="O400" s="73"/>
      <c r="P400" s="74"/>
      <c r="Q400" s="74"/>
      <c r="R400" s="81"/>
      <c r="S400" s="81"/>
      <c r="T400" s="81"/>
      <c r="U400" s="81"/>
      <c r="V400" s="48"/>
      <c r="W400" s="48"/>
      <c r="X400" s="48"/>
      <c r="Y400" s="48"/>
      <c r="Z400" s="47"/>
      <c r="AA400" s="69"/>
      <c r="AB400" s="69"/>
      <c r="AC400" s="70"/>
      <c r="AD400" t="s">
        <v>5218</v>
      </c>
      <c r="AE400" s="78" t="s">
        <v>7086</v>
      </c>
      <c r="AF400">
        <v>10987</v>
      </c>
      <c r="AG400">
        <v>14122</v>
      </c>
      <c r="AH400">
        <v>70874</v>
      </c>
      <c r="AI400">
        <v>91067</v>
      </c>
      <c r="AK400" t="s">
        <v>8251</v>
      </c>
      <c r="AM400" s="79" t="str">
        <f>HYPERLINK("https://t.co/ZQ5pj7r3jL")</f>
        <v>https://t.co/ZQ5pj7r3jL</v>
      </c>
      <c r="AO400" s="76">
        <v>41043.628078703703</v>
      </c>
      <c r="AP400" s="79" t="str">
        <f>HYPERLINK("https://pbs.twimg.com/profile_banners/580034856/1607876595")</f>
        <v>https://pbs.twimg.com/profile_banners/580034856/1607876595</v>
      </c>
      <c r="AQ400" t="b">
        <v>0</v>
      </c>
      <c r="AR400" t="b">
        <v>0</v>
      </c>
      <c r="AS400" t="b">
        <v>0</v>
      </c>
      <c r="AU400">
        <v>11</v>
      </c>
      <c r="AV400" s="79" t="str">
        <f>HYPERLINK("https://abs.twimg.com/images/themes/theme14/bg.gif")</f>
        <v>https://abs.twimg.com/images/themes/theme14/bg.gif</v>
      </c>
      <c r="AW400" t="b">
        <v>0</v>
      </c>
      <c r="AX400" t="s">
        <v>9303</v>
      </c>
      <c r="AY400" s="79" t="str">
        <f>HYPERLINK("https://twitter.com/mileymorphia")</f>
        <v>https://twitter.com/mileymorphia</v>
      </c>
      <c r="AZ400" t="s">
        <v>66</v>
      </c>
      <c r="BA400" s="2"/>
    </row>
    <row r="401" spans="1:53" x14ac:dyDescent="0.45">
      <c r="A401" s="62" t="s">
        <v>1189</v>
      </c>
      <c r="B401" s="63"/>
      <c r="C401" s="63"/>
      <c r="D401" s="64"/>
      <c r="E401" s="66"/>
      <c r="F401" s="98" t="str">
        <f>HYPERLINK("https://pbs.twimg.com/profile_images/1410432503115096066/bmTXOIu9_normal.jpg")</f>
        <v>https://pbs.twimg.com/profile_images/1410432503115096066/bmTXOIu9_normal.jpg</v>
      </c>
      <c r="G401" s="63"/>
      <c r="H401" s="67"/>
      <c r="I401" s="68"/>
      <c r="J401" s="68"/>
      <c r="K401" s="67" t="s">
        <v>9480</v>
      </c>
      <c r="L401" s="71"/>
      <c r="M401" s="72"/>
      <c r="N401" s="72"/>
      <c r="O401" s="73"/>
      <c r="P401" s="74"/>
      <c r="Q401" s="74"/>
      <c r="R401" s="81"/>
      <c r="S401" s="81"/>
      <c r="T401" s="81"/>
      <c r="U401" s="81"/>
      <c r="V401" s="48"/>
      <c r="W401" s="48"/>
      <c r="X401" s="48"/>
      <c r="Y401" s="48"/>
      <c r="Z401" s="47"/>
      <c r="AA401" s="69"/>
      <c r="AB401" s="69"/>
      <c r="AC401" s="70"/>
      <c r="AD401" t="s">
        <v>5174</v>
      </c>
      <c r="AE401" s="78" t="s">
        <v>6470</v>
      </c>
      <c r="AF401">
        <v>485</v>
      </c>
      <c r="AG401">
        <v>14070</v>
      </c>
      <c r="AH401">
        <v>4997</v>
      </c>
      <c r="AI401">
        <v>1262</v>
      </c>
      <c r="AK401" t="s">
        <v>7645</v>
      </c>
      <c r="AL401" t="s">
        <v>4899</v>
      </c>
      <c r="AM401" s="79" t="str">
        <f>HYPERLINK("https://t.co/q6i8Mgjk97")</f>
        <v>https://t.co/q6i8Mgjk97</v>
      </c>
      <c r="AO401" s="76">
        <v>39710.728877314818</v>
      </c>
      <c r="AP401" s="79" t="str">
        <f>HYPERLINK("https://pbs.twimg.com/profile_banners/16366375/1649178569")</f>
        <v>https://pbs.twimg.com/profile_banners/16366375/1649178569</v>
      </c>
      <c r="AQ401" t="b">
        <v>0</v>
      </c>
      <c r="AR401" t="b">
        <v>0</v>
      </c>
      <c r="AS401" t="b">
        <v>1</v>
      </c>
      <c r="AU401">
        <v>246</v>
      </c>
      <c r="AV401" s="79" t="str">
        <f>HYPERLINK("https://abs.twimg.com/images/themes/theme7/bg.gif")</f>
        <v>https://abs.twimg.com/images/themes/theme7/bg.gif</v>
      </c>
      <c r="AW401" t="b">
        <v>1</v>
      </c>
      <c r="AX401" t="s">
        <v>9303</v>
      </c>
      <c r="AY401" s="79" t="str">
        <f>HYPERLINK("https://twitter.com/synchrony")</f>
        <v>https://twitter.com/synchrony</v>
      </c>
      <c r="AZ401" t="s">
        <v>65</v>
      </c>
      <c r="BA401" s="2"/>
    </row>
    <row r="402" spans="1:53" x14ac:dyDescent="0.45">
      <c r="A402" s="62" t="s">
        <v>1006</v>
      </c>
      <c r="B402" s="63"/>
      <c r="C402" s="63"/>
      <c r="D402" s="64"/>
      <c r="E402" s="66"/>
      <c r="F402" s="98" t="str">
        <f>HYPERLINK("https://pbs.twimg.com/profile_images/1378066197929988101/LSM1tFKD_normal.png")</f>
        <v>https://pbs.twimg.com/profile_images/1378066197929988101/LSM1tFKD_normal.png</v>
      </c>
      <c r="G402" s="63"/>
      <c r="H402" s="67"/>
      <c r="I402" s="68"/>
      <c r="J402" s="68"/>
      <c r="K402" s="67" t="s">
        <v>9854</v>
      </c>
      <c r="L402" s="71"/>
      <c r="M402" s="72"/>
      <c r="N402" s="72"/>
      <c r="O402" s="73"/>
      <c r="P402" s="74"/>
      <c r="Q402" s="74"/>
      <c r="R402" s="81"/>
      <c r="S402" s="81"/>
      <c r="T402" s="81"/>
      <c r="U402" s="81"/>
      <c r="V402" s="48"/>
      <c r="W402" s="48"/>
      <c r="X402" s="48"/>
      <c r="Y402" s="48"/>
      <c r="Z402" s="47"/>
      <c r="AA402" s="69"/>
      <c r="AB402" s="69"/>
      <c r="AC402" s="70"/>
      <c r="AD402" t="s">
        <v>5545</v>
      </c>
      <c r="AE402" s="78" t="s">
        <v>4720</v>
      </c>
      <c r="AF402">
        <v>156</v>
      </c>
      <c r="AG402">
        <v>13731</v>
      </c>
      <c r="AH402">
        <v>6730</v>
      </c>
      <c r="AI402">
        <v>320</v>
      </c>
      <c r="AK402" t="s">
        <v>7968</v>
      </c>
      <c r="AM402" s="79" t="str">
        <f>HYPERLINK("https://t.co/jVt4b2bXVU")</f>
        <v>https://t.co/jVt4b2bXVU</v>
      </c>
      <c r="AO402" s="76">
        <v>44151.821284722224</v>
      </c>
      <c r="AP402" s="79" t="str">
        <f>HYPERLINK("https://pbs.twimg.com/profile_banners/1328423212041052164/1617391595")</f>
        <v>https://pbs.twimg.com/profile_banners/1328423212041052164/1617391595</v>
      </c>
      <c r="AQ402" t="b">
        <v>1</v>
      </c>
      <c r="AR402" t="b">
        <v>0</v>
      </c>
      <c r="AS402" t="b">
        <v>0</v>
      </c>
      <c r="AU402">
        <v>184</v>
      </c>
      <c r="AW402" t="b">
        <v>1</v>
      </c>
      <c r="AX402" t="s">
        <v>9303</v>
      </c>
      <c r="AY402" s="79" t="str">
        <f>HYPERLINK("https://twitter.com/verifythis")</f>
        <v>https://twitter.com/verifythis</v>
      </c>
      <c r="AZ402" t="s">
        <v>66</v>
      </c>
      <c r="BA402" s="2"/>
    </row>
    <row r="403" spans="1:53" x14ac:dyDescent="0.45">
      <c r="A403" s="62" t="s">
        <v>1188</v>
      </c>
      <c r="B403" s="63"/>
      <c r="C403" s="63"/>
      <c r="D403" s="64"/>
      <c r="E403" s="66"/>
      <c r="F403" s="98" t="str">
        <f>HYPERLINK("https://pbs.twimg.com/profile_images/1542857877404241921/STIw2pQQ_normal.jpg")</f>
        <v>https://pbs.twimg.com/profile_images/1542857877404241921/STIw2pQQ_normal.jpg</v>
      </c>
      <c r="G403" s="63"/>
      <c r="H403" s="67"/>
      <c r="I403" s="68"/>
      <c r="J403" s="68"/>
      <c r="K403" s="67" t="s">
        <v>9479</v>
      </c>
      <c r="L403" s="71"/>
      <c r="M403" s="72"/>
      <c r="N403" s="72"/>
      <c r="O403" s="73"/>
      <c r="P403" s="74"/>
      <c r="Q403" s="74"/>
      <c r="R403" s="81"/>
      <c r="S403" s="81"/>
      <c r="T403" s="81"/>
      <c r="U403" s="81"/>
      <c r="V403" s="48"/>
      <c r="W403" s="48"/>
      <c r="X403" s="48"/>
      <c r="Y403" s="48"/>
      <c r="Z403" s="47"/>
      <c r="AA403" s="69"/>
      <c r="AB403" s="69"/>
      <c r="AC403" s="70"/>
      <c r="AD403" t="s">
        <v>5173</v>
      </c>
      <c r="AE403" s="78" t="s">
        <v>6469</v>
      </c>
      <c r="AF403">
        <v>12</v>
      </c>
      <c r="AG403">
        <v>13726</v>
      </c>
      <c r="AH403">
        <v>10522</v>
      </c>
      <c r="AI403">
        <v>1269</v>
      </c>
      <c r="AK403" t="s">
        <v>7644</v>
      </c>
      <c r="AL403" t="s">
        <v>8771</v>
      </c>
      <c r="AM403" s="79" t="str">
        <f>HYPERLINK("https://t.co/PkizlMtRfe")</f>
        <v>https://t.co/PkizlMtRfe</v>
      </c>
      <c r="AO403" s="76">
        <v>43627.648402777777</v>
      </c>
      <c r="AP403" s="79" t="str">
        <f>HYPERLINK("https://pbs.twimg.com/profile_banners/1138469361944014850/1634155414")</f>
        <v>https://pbs.twimg.com/profile_banners/1138469361944014850/1634155414</v>
      </c>
      <c r="AQ403" t="b">
        <v>1</v>
      </c>
      <c r="AR403" t="b">
        <v>0</v>
      </c>
      <c r="AS403" t="b">
        <v>0</v>
      </c>
      <c r="AU403">
        <v>77</v>
      </c>
      <c r="AW403" t="b">
        <v>1</v>
      </c>
      <c r="AX403" t="s">
        <v>9303</v>
      </c>
      <c r="AY403" s="79" t="str">
        <f>HYPERLINK("https://twitter.com/truistnews")</f>
        <v>https://twitter.com/truistnews</v>
      </c>
      <c r="AZ403" t="s">
        <v>65</v>
      </c>
      <c r="BA403" s="2"/>
    </row>
    <row r="404" spans="1:53" x14ac:dyDescent="0.45">
      <c r="A404" s="62" t="s">
        <v>627</v>
      </c>
      <c r="B404" s="63"/>
      <c r="C404" s="63"/>
      <c r="D404" s="64"/>
      <c r="E404" s="66"/>
      <c r="F404" s="98" t="str">
        <f>HYPERLINK("https://pbs.twimg.com/profile_images/758000747569033216/NPde0HFX_normal.jpg")</f>
        <v>https://pbs.twimg.com/profile_images/758000747569033216/NPde0HFX_normal.jpg</v>
      </c>
      <c r="G404" s="63"/>
      <c r="H404" s="67"/>
      <c r="I404" s="68"/>
      <c r="J404" s="68"/>
      <c r="K404" s="67" t="s">
        <v>9687</v>
      </c>
      <c r="L404" s="71"/>
      <c r="M404" s="72"/>
      <c r="N404" s="72"/>
      <c r="O404" s="73"/>
      <c r="P404" s="74"/>
      <c r="Q404" s="74"/>
      <c r="R404" s="81"/>
      <c r="S404" s="81"/>
      <c r="T404" s="81"/>
      <c r="U404" s="81"/>
      <c r="V404" s="48"/>
      <c r="W404" s="48"/>
      <c r="X404" s="48"/>
      <c r="Y404" s="48"/>
      <c r="Z404" s="47"/>
      <c r="AA404" s="69"/>
      <c r="AB404" s="69"/>
      <c r="AC404" s="70"/>
      <c r="AD404" t="s">
        <v>5380</v>
      </c>
      <c r="AE404" s="78" t="s">
        <v>6653</v>
      </c>
      <c r="AF404">
        <v>0</v>
      </c>
      <c r="AG404">
        <v>13663</v>
      </c>
      <c r="AH404">
        <v>5851</v>
      </c>
      <c r="AI404">
        <v>1180</v>
      </c>
      <c r="AK404" t="s">
        <v>7826</v>
      </c>
      <c r="AL404" t="s">
        <v>8872</v>
      </c>
      <c r="AM404" s="79" t="str">
        <f>HYPERLINK("http://t.co/wrcLyT1PFv")</f>
        <v>http://t.co/wrcLyT1PFv</v>
      </c>
      <c r="AO404" s="76">
        <v>40304.651365740741</v>
      </c>
      <c r="AP404" s="79" t="str">
        <f>HYPERLINK("https://pbs.twimg.com/profile_banners/140871379/1469556422")</f>
        <v>https://pbs.twimg.com/profile_banners/140871379/1469556422</v>
      </c>
      <c r="AQ404" t="b">
        <v>0</v>
      </c>
      <c r="AR404" t="b">
        <v>0</v>
      </c>
      <c r="AS404" t="b">
        <v>0</v>
      </c>
      <c r="AU404">
        <v>46</v>
      </c>
      <c r="AV404" s="79" t="str">
        <f>HYPERLINK("https://abs.twimg.com/images/themes/theme1/bg.png")</f>
        <v>https://abs.twimg.com/images/themes/theme1/bg.png</v>
      </c>
      <c r="AW404" t="b">
        <v>0</v>
      </c>
      <c r="AX404" t="s">
        <v>9303</v>
      </c>
      <c r="AY404" s="79" t="str">
        <f>HYPERLINK("https://twitter.com/lacolorsusa")</f>
        <v>https://twitter.com/lacolorsusa</v>
      </c>
      <c r="AZ404" t="s">
        <v>66</v>
      </c>
      <c r="BA404" s="2"/>
    </row>
    <row r="405" spans="1:53" x14ac:dyDescent="0.45">
      <c r="A405" s="62" t="s">
        <v>1342</v>
      </c>
      <c r="B405" s="63"/>
      <c r="C405" s="63"/>
      <c r="D405" s="64"/>
      <c r="E405" s="66"/>
      <c r="F405" s="98" t="str">
        <f>HYPERLINK("https://pbs.twimg.com/profile_images/1068600601804648448/rZFBSB2v_normal.jpg")</f>
        <v>https://pbs.twimg.com/profile_images/1068600601804648448/rZFBSB2v_normal.jpg</v>
      </c>
      <c r="G405" s="63"/>
      <c r="H405" s="67"/>
      <c r="I405" s="68"/>
      <c r="J405" s="68"/>
      <c r="K405" s="67" t="s">
        <v>10038</v>
      </c>
      <c r="L405" s="71"/>
      <c r="M405" s="72"/>
      <c r="N405" s="72"/>
      <c r="O405" s="73"/>
      <c r="P405" s="74"/>
      <c r="Q405" s="74"/>
      <c r="R405" s="81"/>
      <c r="S405" s="81"/>
      <c r="T405" s="81"/>
      <c r="U405" s="81"/>
      <c r="V405" s="48"/>
      <c r="W405" s="48"/>
      <c r="X405" s="48"/>
      <c r="Y405" s="48"/>
      <c r="Z405" s="47"/>
      <c r="AA405" s="69"/>
      <c r="AB405" s="69"/>
      <c r="AC405" s="70"/>
      <c r="AD405" t="s">
        <v>5728</v>
      </c>
      <c r="AE405" s="78" t="s">
        <v>6965</v>
      </c>
      <c r="AF405">
        <v>1956</v>
      </c>
      <c r="AG405">
        <v>13582</v>
      </c>
      <c r="AH405">
        <v>52235</v>
      </c>
      <c r="AI405">
        <v>52412</v>
      </c>
      <c r="AK405" t="s">
        <v>8127</v>
      </c>
      <c r="AL405" t="s">
        <v>9051</v>
      </c>
      <c r="AM405" s="79" t="str">
        <f>HYPERLINK("https://t.co/EP9TitrdH2")</f>
        <v>https://t.co/EP9TitrdH2</v>
      </c>
      <c r="AO405" s="76">
        <v>40238.923796296294</v>
      </c>
      <c r="AP405" s="79" t="str">
        <f>HYPERLINK("https://pbs.twimg.com/profile_banners/118837238/1671061608")</f>
        <v>https://pbs.twimg.com/profile_banners/118837238/1671061608</v>
      </c>
      <c r="AQ405" t="b">
        <v>0</v>
      </c>
      <c r="AR405" t="b">
        <v>0</v>
      </c>
      <c r="AS405" t="b">
        <v>1</v>
      </c>
      <c r="AU405">
        <v>221</v>
      </c>
      <c r="AV405" s="79" t="str">
        <f>HYPERLINK("https://abs.twimg.com/images/themes/theme1/bg.png")</f>
        <v>https://abs.twimg.com/images/themes/theme1/bg.png</v>
      </c>
      <c r="AW405" t="b">
        <v>1</v>
      </c>
      <c r="AX405" t="s">
        <v>9303</v>
      </c>
      <c r="AY405" s="79" t="str">
        <f>HYPERLINK("https://twitter.com/ucla_alumni")</f>
        <v>https://twitter.com/ucla_alumni</v>
      </c>
      <c r="AZ405" t="s">
        <v>65</v>
      </c>
      <c r="BA405" s="2"/>
    </row>
    <row r="406" spans="1:53" x14ac:dyDescent="0.45">
      <c r="A406" s="62" t="s">
        <v>981</v>
      </c>
      <c r="B406" s="63"/>
      <c r="C406" s="63"/>
      <c r="D406" s="64"/>
      <c r="E406" s="66"/>
      <c r="F406" s="98" t="str">
        <f>HYPERLINK("https://pbs.twimg.com/profile_images/1617327843221934080/a0DaYGaI_normal.jpg")</f>
        <v>https://pbs.twimg.com/profile_images/1617327843221934080/a0DaYGaI_normal.jpg</v>
      </c>
      <c r="G406" s="63"/>
      <c r="H406" s="67"/>
      <c r="I406" s="68"/>
      <c r="J406" s="68"/>
      <c r="K406" s="67" t="s">
        <v>10446</v>
      </c>
      <c r="L406" s="71"/>
      <c r="M406" s="72"/>
      <c r="N406" s="72"/>
      <c r="O406" s="73"/>
      <c r="P406" s="74"/>
      <c r="Q406" s="74"/>
      <c r="R406" s="81"/>
      <c r="S406" s="81"/>
      <c r="T406" s="81"/>
      <c r="U406" s="81"/>
      <c r="V406" s="48"/>
      <c r="W406" s="48"/>
      <c r="X406" s="48"/>
      <c r="Y406" s="48"/>
      <c r="Z406" s="47"/>
      <c r="AA406" s="69"/>
      <c r="AB406" s="69"/>
      <c r="AC406" s="70"/>
      <c r="AD406" t="s">
        <v>6127</v>
      </c>
      <c r="AE406" s="78" t="s">
        <v>4787</v>
      </c>
      <c r="AF406">
        <v>11268</v>
      </c>
      <c r="AG406">
        <v>13550</v>
      </c>
      <c r="AH406">
        <v>7581</v>
      </c>
      <c r="AI406">
        <v>10125</v>
      </c>
      <c r="AK406" t="s">
        <v>8486</v>
      </c>
      <c r="AL406" t="s">
        <v>9029</v>
      </c>
      <c r="AO406" s="76">
        <v>43859.761597222219</v>
      </c>
      <c r="AP406" s="79" t="str">
        <f>HYPERLINK("https://pbs.twimg.com/profile_banners/1222584333803950080/1652363827")</f>
        <v>https://pbs.twimg.com/profile_banners/1222584333803950080/1652363827</v>
      </c>
      <c r="AQ406" t="b">
        <v>1</v>
      </c>
      <c r="AR406" t="b">
        <v>0</v>
      </c>
      <c r="AS406" t="b">
        <v>0</v>
      </c>
      <c r="AU406">
        <v>6</v>
      </c>
      <c r="AW406" t="b">
        <v>0</v>
      </c>
      <c r="AX406" t="s">
        <v>9303</v>
      </c>
      <c r="AY406" s="79" t="str">
        <f>HYPERLINK("https://twitter.com/seleena6166")</f>
        <v>https://twitter.com/seleena6166</v>
      </c>
      <c r="AZ406" t="s">
        <v>66</v>
      </c>
      <c r="BA406" s="2"/>
    </row>
    <row r="407" spans="1:53" x14ac:dyDescent="0.45">
      <c r="A407" s="62" t="s">
        <v>836</v>
      </c>
      <c r="B407" s="63"/>
      <c r="C407" s="63"/>
      <c r="D407" s="64"/>
      <c r="E407" s="66"/>
      <c r="F407" s="98" t="str">
        <f>HYPERLINK("https://pbs.twimg.com/profile_images/1618408202596491264/G3hzrb_e_normal.jpg")</f>
        <v>https://pbs.twimg.com/profile_images/1618408202596491264/G3hzrb_e_normal.jpg</v>
      </c>
      <c r="G407" s="63"/>
      <c r="H407" s="67"/>
      <c r="I407" s="68"/>
      <c r="J407" s="68"/>
      <c r="K407" s="67" t="s">
        <v>10229</v>
      </c>
      <c r="L407" s="71"/>
      <c r="M407" s="72"/>
      <c r="N407" s="72"/>
      <c r="O407" s="73"/>
      <c r="P407" s="74"/>
      <c r="Q407" s="74"/>
      <c r="R407" s="81"/>
      <c r="S407" s="81"/>
      <c r="T407" s="81"/>
      <c r="U407" s="81"/>
      <c r="V407" s="48"/>
      <c r="W407" s="48"/>
      <c r="X407" s="48"/>
      <c r="Y407" s="48"/>
      <c r="Z407" s="47"/>
      <c r="AA407" s="69"/>
      <c r="AB407" s="69"/>
      <c r="AC407" s="70"/>
      <c r="AD407" t="s">
        <v>5913</v>
      </c>
      <c r="AE407" s="78" t="s">
        <v>7130</v>
      </c>
      <c r="AF407">
        <v>2751</v>
      </c>
      <c r="AG407">
        <v>13304</v>
      </c>
      <c r="AH407">
        <v>25360</v>
      </c>
      <c r="AI407">
        <v>38843</v>
      </c>
      <c r="AK407" t="s">
        <v>8296</v>
      </c>
      <c r="AL407" t="s">
        <v>4920</v>
      </c>
      <c r="AM407" s="79" t="str">
        <f>HYPERLINK("https://t.co/W4FT1EBPOx")</f>
        <v>https://t.co/W4FT1EBPOx</v>
      </c>
      <c r="AO407" s="76">
        <v>42545.154178240744</v>
      </c>
      <c r="AP407" s="79" t="str">
        <f>HYPERLINK("https://pbs.twimg.com/profile_banners/746186591039688706/1673593160")</f>
        <v>https://pbs.twimg.com/profile_banners/746186591039688706/1673593160</v>
      </c>
      <c r="AQ407" t="b">
        <v>0</v>
      </c>
      <c r="AR407" t="b">
        <v>0</v>
      </c>
      <c r="AS407" t="b">
        <v>1</v>
      </c>
      <c r="AU407">
        <v>6</v>
      </c>
      <c r="AV407" s="79" t="str">
        <f>HYPERLINK("https://abs.twimg.com/images/themes/theme1/bg.png")</f>
        <v>https://abs.twimg.com/images/themes/theme1/bg.png</v>
      </c>
      <c r="AW407" t="b">
        <v>0</v>
      </c>
      <c r="AX407" t="s">
        <v>9303</v>
      </c>
      <c r="AY407" s="79" t="str">
        <f>HYPERLINK("https://twitter.com/asmilersince06")</f>
        <v>https://twitter.com/asmilersince06</v>
      </c>
      <c r="AZ407" t="s">
        <v>66</v>
      </c>
      <c r="BA407" s="2"/>
    </row>
    <row r="408" spans="1:53" x14ac:dyDescent="0.45">
      <c r="A408" s="62" t="s">
        <v>1172</v>
      </c>
      <c r="B408" s="63"/>
      <c r="C408" s="63"/>
      <c r="D408" s="64"/>
      <c r="E408" s="66"/>
      <c r="F408" s="98" t="str">
        <f>HYPERLINK("https://pbs.twimg.com/profile_images/1544325168884903943/ESuICNAO_normal.jpg")</f>
        <v>https://pbs.twimg.com/profile_images/1544325168884903943/ESuICNAO_normal.jpg</v>
      </c>
      <c r="G408" s="63"/>
      <c r="H408" s="67"/>
      <c r="I408" s="68"/>
      <c r="J408" s="68"/>
      <c r="K408" s="67" t="s">
        <v>9451</v>
      </c>
      <c r="L408" s="71"/>
      <c r="M408" s="72"/>
      <c r="N408" s="72"/>
      <c r="O408" s="73"/>
      <c r="P408" s="74"/>
      <c r="Q408" s="74"/>
      <c r="R408" s="81"/>
      <c r="S408" s="81"/>
      <c r="T408" s="81"/>
      <c r="U408" s="81"/>
      <c r="V408" s="48"/>
      <c r="W408" s="48"/>
      <c r="X408" s="48"/>
      <c r="Y408" s="48"/>
      <c r="Z408" s="47"/>
      <c r="AA408" s="69"/>
      <c r="AB408" s="69"/>
      <c r="AC408" s="70"/>
      <c r="AD408" t="s">
        <v>5145</v>
      </c>
      <c r="AE408" s="78" t="s">
        <v>6448</v>
      </c>
      <c r="AF408">
        <v>579</v>
      </c>
      <c r="AG408">
        <v>12739</v>
      </c>
      <c r="AH408">
        <v>9810</v>
      </c>
      <c r="AI408">
        <v>592</v>
      </c>
      <c r="AK408" t="s">
        <v>7618</v>
      </c>
      <c r="AL408" t="s">
        <v>8705</v>
      </c>
      <c r="AM408" s="79" t="str">
        <f>HYPERLINK("https://t.co/0B91TYk681")</f>
        <v>https://t.co/0B91TYk681</v>
      </c>
      <c r="AO408" s="76">
        <v>39769.536585648151</v>
      </c>
      <c r="AP408" s="79" t="str">
        <f>HYPERLINK("https://pbs.twimg.com/profile_banners/17440782/1674961375")</f>
        <v>https://pbs.twimg.com/profile_banners/17440782/1674961375</v>
      </c>
      <c r="AQ408" t="b">
        <v>0</v>
      </c>
      <c r="AR408" t="b">
        <v>0</v>
      </c>
      <c r="AS408" t="b">
        <v>1</v>
      </c>
      <c r="AU408">
        <v>95</v>
      </c>
      <c r="AV408" s="79" t="str">
        <f>HYPERLINK("https://abs.twimg.com/images/themes/theme1/bg.png")</f>
        <v>https://abs.twimg.com/images/themes/theme1/bg.png</v>
      </c>
      <c r="AW408" t="b">
        <v>0</v>
      </c>
      <c r="AX408" t="s">
        <v>9303</v>
      </c>
      <c r="AY408" s="79" t="str">
        <f>HYPERLINK("https://twitter.com/dhgate")</f>
        <v>https://twitter.com/dhgate</v>
      </c>
      <c r="AZ408" t="s">
        <v>65</v>
      </c>
      <c r="BA408" s="2"/>
    </row>
    <row r="409" spans="1:53" x14ac:dyDescent="0.45">
      <c r="A409" s="62" t="s">
        <v>397</v>
      </c>
      <c r="B409" s="63"/>
      <c r="C409" s="63"/>
      <c r="D409" s="64"/>
      <c r="E409" s="66"/>
      <c r="F409" s="98" t="str">
        <f>HYPERLINK("https://pbs.twimg.com/profile_images/1613715347906994177/1KOzfKo0_normal.jpg")</f>
        <v>https://pbs.twimg.com/profile_images/1613715347906994177/1KOzfKo0_normal.jpg</v>
      </c>
      <c r="G409" s="63"/>
      <c r="H409" s="67"/>
      <c r="I409" s="68"/>
      <c r="J409" s="68"/>
      <c r="K409" s="67" t="s">
        <v>9647</v>
      </c>
      <c r="L409" s="71"/>
      <c r="M409" s="72"/>
      <c r="N409" s="72"/>
      <c r="O409" s="73"/>
      <c r="P409" s="74"/>
      <c r="Q409" s="74"/>
      <c r="R409" s="81"/>
      <c r="S409" s="81"/>
      <c r="T409" s="81"/>
      <c r="U409" s="81"/>
      <c r="V409" s="48"/>
      <c r="W409" s="48"/>
      <c r="X409" s="48"/>
      <c r="Y409" s="48"/>
      <c r="Z409" s="47"/>
      <c r="AA409" s="69"/>
      <c r="AB409" s="69"/>
      <c r="AC409" s="70"/>
      <c r="AD409" t="s">
        <v>5340</v>
      </c>
      <c r="AE409" s="78" t="s">
        <v>6615</v>
      </c>
      <c r="AF409">
        <v>12732</v>
      </c>
      <c r="AG409">
        <v>12539</v>
      </c>
      <c r="AH409">
        <v>93866</v>
      </c>
      <c r="AI409">
        <v>187335</v>
      </c>
      <c r="AK409" t="s">
        <v>7791</v>
      </c>
      <c r="AO409" s="76">
        <v>41832.573136574072</v>
      </c>
      <c r="AP409" s="79" t="str">
        <f>HYPERLINK("https://pbs.twimg.com/profile_banners/2625337434/1673008644")</f>
        <v>https://pbs.twimg.com/profile_banners/2625337434/1673008644</v>
      </c>
      <c r="AQ409" t="b">
        <v>1</v>
      </c>
      <c r="AR409" t="b">
        <v>0</v>
      </c>
      <c r="AS409" t="b">
        <v>0</v>
      </c>
      <c r="AU409">
        <v>23</v>
      </c>
      <c r="AV409" s="79" t="str">
        <f>HYPERLINK("https://abs.twimg.com/images/themes/theme1/bg.png")</f>
        <v>https://abs.twimg.com/images/themes/theme1/bg.png</v>
      </c>
      <c r="AW409" t="b">
        <v>0</v>
      </c>
      <c r="AX409" t="s">
        <v>9303</v>
      </c>
      <c r="AY409" s="79" t="str">
        <f>HYPERLINK("https://twitter.com/dem_mustangs16")</f>
        <v>https://twitter.com/dem_mustangs16</v>
      </c>
      <c r="AZ409" t="s">
        <v>66</v>
      </c>
      <c r="BA409" s="2"/>
    </row>
    <row r="410" spans="1:53" x14ac:dyDescent="0.45">
      <c r="A410" s="62" t="s">
        <v>1308</v>
      </c>
      <c r="B410" s="63"/>
      <c r="C410" s="63"/>
      <c r="D410" s="64"/>
      <c r="E410" s="66"/>
      <c r="F410" s="98" t="str">
        <f>HYPERLINK("https://pbs.twimg.com/profile_images/1352660025404227584/Gv4O_jgP_normal.jpg")</f>
        <v>https://pbs.twimg.com/profile_images/1352660025404227584/Gv4O_jgP_normal.jpg</v>
      </c>
      <c r="G410" s="63"/>
      <c r="H410" s="67"/>
      <c r="I410" s="68"/>
      <c r="J410" s="68"/>
      <c r="K410" s="67" t="s">
        <v>9925</v>
      </c>
      <c r="L410" s="71"/>
      <c r="M410" s="72"/>
      <c r="N410" s="72"/>
      <c r="O410" s="73"/>
      <c r="P410" s="74"/>
      <c r="Q410" s="74"/>
      <c r="R410" s="81"/>
      <c r="S410" s="81"/>
      <c r="T410" s="81"/>
      <c r="U410" s="81"/>
      <c r="V410" s="48"/>
      <c r="W410" s="48"/>
      <c r="X410" s="48"/>
      <c r="Y410" s="48"/>
      <c r="Z410" s="47"/>
      <c r="AA410" s="69"/>
      <c r="AB410" s="69"/>
      <c r="AC410" s="70"/>
      <c r="AD410" t="s">
        <v>5616</v>
      </c>
      <c r="AE410" s="78" t="s">
        <v>6860</v>
      </c>
      <c r="AF410">
        <v>14014</v>
      </c>
      <c r="AG410">
        <v>12486</v>
      </c>
      <c r="AH410">
        <v>98044</v>
      </c>
      <c r="AI410">
        <v>86728</v>
      </c>
      <c r="AK410" t="s">
        <v>8034</v>
      </c>
      <c r="AL410" t="s">
        <v>9000</v>
      </c>
      <c r="AO410" s="76">
        <v>39826.686678240738</v>
      </c>
      <c r="AP410" s="79" t="str">
        <f>HYPERLINK("https://pbs.twimg.com/profile_banners/18942944/1668611903")</f>
        <v>https://pbs.twimg.com/profile_banners/18942944/1668611903</v>
      </c>
      <c r="AQ410" t="b">
        <v>0</v>
      </c>
      <c r="AR410" t="b">
        <v>0</v>
      </c>
      <c r="AS410" t="b">
        <v>1</v>
      </c>
      <c r="AU410">
        <v>266</v>
      </c>
      <c r="AV410" s="79" t="str">
        <f>HYPERLINK("https://abs.twimg.com/images/themes/theme14/bg.gif")</f>
        <v>https://abs.twimg.com/images/themes/theme14/bg.gif</v>
      </c>
      <c r="AW410" t="b">
        <v>0</v>
      </c>
      <c r="AX410" t="s">
        <v>9303</v>
      </c>
      <c r="AY410" s="79" t="str">
        <f>HYPERLINK("https://twitter.com/sternfbsuperfan")</f>
        <v>https://twitter.com/sternfbsuperfan</v>
      </c>
      <c r="AZ410" t="s">
        <v>65</v>
      </c>
      <c r="BA410" s="2"/>
    </row>
    <row r="411" spans="1:53" x14ac:dyDescent="0.45">
      <c r="A411" s="62" t="s">
        <v>445</v>
      </c>
      <c r="B411" s="63"/>
      <c r="C411" s="63"/>
      <c r="D411" s="64"/>
      <c r="E411" s="66"/>
      <c r="F411" s="98" t="str">
        <f>HYPERLINK("https://pbs.twimg.com/profile_images/1620652585408696321/MTRzm-qP_normal.jpg")</f>
        <v>https://pbs.twimg.com/profile_images/1620652585408696321/MTRzm-qP_normal.jpg</v>
      </c>
      <c r="G411" s="63"/>
      <c r="H411" s="67"/>
      <c r="I411" s="68"/>
      <c r="J411" s="68"/>
      <c r="K411" s="67" t="s">
        <v>9704</v>
      </c>
      <c r="L411" s="71"/>
      <c r="M411" s="72"/>
      <c r="N411" s="72"/>
      <c r="O411" s="73"/>
      <c r="P411" s="74"/>
      <c r="Q411" s="74"/>
      <c r="R411" s="81"/>
      <c r="S411" s="81"/>
      <c r="T411" s="81"/>
      <c r="U411" s="81"/>
      <c r="V411" s="48"/>
      <c r="W411" s="48"/>
      <c r="X411" s="48"/>
      <c r="Y411" s="48"/>
      <c r="Z411" s="47"/>
      <c r="AA411" s="69"/>
      <c r="AB411" s="69"/>
      <c r="AC411" s="70"/>
      <c r="AD411" t="s">
        <v>5396</v>
      </c>
      <c r="AE411" s="78" t="s">
        <v>6669</v>
      </c>
      <c r="AF411">
        <v>1876</v>
      </c>
      <c r="AG411">
        <v>12427</v>
      </c>
      <c r="AH411">
        <v>1390</v>
      </c>
      <c r="AI411">
        <v>4746</v>
      </c>
      <c r="AK411" t="s">
        <v>7839</v>
      </c>
      <c r="AL411" t="s">
        <v>8878</v>
      </c>
      <c r="AM411" s="79" t="str">
        <f>HYPERLINK("https://t.co/qORVhjEhrE")</f>
        <v>https://t.co/qORVhjEhrE</v>
      </c>
      <c r="AO411" s="76">
        <v>42063.384594907409</v>
      </c>
      <c r="AP411" s="79" t="str">
        <f>HYPERLINK("https://pbs.twimg.com/profile_banners/3049240724/1654398196")</f>
        <v>https://pbs.twimg.com/profile_banners/3049240724/1654398196</v>
      </c>
      <c r="AQ411" t="b">
        <v>0</v>
      </c>
      <c r="AR411" t="b">
        <v>0</v>
      </c>
      <c r="AS411" t="b">
        <v>1</v>
      </c>
      <c r="AU411">
        <v>10</v>
      </c>
      <c r="AV411" s="79" t="str">
        <f>HYPERLINK("https://abs.twimg.com/images/themes/theme1/bg.png")</f>
        <v>https://abs.twimg.com/images/themes/theme1/bg.png</v>
      </c>
      <c r="AW411" t="b">
        <v>0</v>
      </c>
      <c r="AX411" t="s">
        <v>9303</v>
      </c>
      <c r="AY411" s="79" t="str">
        <f>HYPERLINK("https://twitter.com/deancentenotv")</f>
        <v>https://twitter.com/deancentenotv</v>
      </c>
      <c r="AZ411" t="s">
        <v>66</v>
      </c>
      <c r="BA411" s="2"/>
    </row>
    <row r="412" spans="1:53" x14ac:dyDescent="0.45">
      <c r="A412" s="62" t="s">
        <v>592</v>
      </c>
      <c r="B412" s="63"/>
      <c r="C412" s="63"/>
      <c r="D412" s="64"/>
      <c r="E412" s="66"/>
      <c r="F412" s="98" t="str">
        <f>HYPERLINK("https://pbs.twimg.com/profile_images/1607815719391043593/ovQEQTys_normal.jpg")</f>
        <v>https://pbs.twimg.com/profile_images/1607815719391043593/ovQEQTys_normal.jpg</v>
      </c>
      <c r="G412" s="63"/>
      <c r="H412" s="67"/>
      <c r="I412" s="68"/>
      <c r="J412" s="68"/>
      <c r="K412" s="67" t="s">
        <v>9890</v>
      </c>
      <c r="L412" s="71"/>
      <c r="M412" s="72"/>
      <c r="N412" s="72"/>
      <c r="O412" s="73"/>
      <c r="P412" s="74"/>
      <c r="Q412" s="74"/>
      <c r="R412" s="81"/>
      <c r="S412" s="81"/>
      <c r="T412" s="81"/>
      <c r="U412" s="81"/>
      <c r="V412" s="48"/>
      <c r="W412" s="48"/>
      <c r="X412" s="48"/>
      <c r="Y412" s="48"/>
      <c r="Z412" s="47"/>
      <c r="AA412" s="69"/>
      <c r="AB412" s="69"/>
      <c r="AC412" s="70"/>
      <c r="AD412" t="s">
        <v>5581</v>
      </c>
      <c r="AE412" s="78" t="s">
        <v>6829</v>
      </c>
      <c r="AF412">
        <v>423</v>
      </c>
      <c r="AG412">
        <v>12213</v>
      </c>
      <c r="AH412">
        <v>148636</v>
      </c>
      <c r="AI412">
        <v>3361</v>
      </c>
      <c r="AK412" t="s">
        <v>8004</v>
      </c>
      <c r="AL412" t="s">
        <v>8976</v>
      </c>
      <c r="AM412" s="79" t="str">
        <f>HYPERLINK("https://t.co/COJYlGvoh1")</f>
        <v>https://t.co/COJYlGvoh1</v>
      </c>
      <c r="AO412" s="76">
        <v>39912.637719907405</v>
      </c>
      <c r="AP412" s="79" t="str">
        <f>HYPERLINK("https://pbs.twimg.com/profile_banners/30002837/1672168114")</f>
        <v>https://pbs.twimg.com/profile_banners/30002837/1672168114</v>
      </c>
      <c r="AQ412" t="b">
        <v>0</v>
      </c>
      <c r="AR412" t="b">
        <v>0</v>
      </c>
      <c r="AS412" t="b">
        <v>1</v>
      </c>
      <c r="AU412">
        <v>310</v>
      </c>
      <c r="AV412" s="79" t="str">
        <f>HYPERLINK("https://abs.twimg.com/images/themes/theme1/bg.png")</f>
        <v>https://abs.twimg.com/images/themes/theme1/bg.png</v>
      </c>
      <c r="AW412" t="b">
        <v>1</v>
      </c>
      <c r="AX412" t="s">
        <v>9303</v>
      </c>
      <c r="AY412" s="79" t="str">
        <f>HYPERLINK("https://twitter.com/kytxcbs19")</f>
        <v>https://twitter.com/kytxcbs19</v>
      </c>
      <c r="AZ412" t="s">
        <v>66</v>
      </c>
      <c r="BA412" s="2"/>
    </row>
    <row r="413" spans="1:53" x14ac:dyDescent="0.45">
      <c r="A413" s="62" t="s">
        <v>1204</v>
      </c>
      <c r="B413" s="63"/>
      <c r="C413" s="63"/>
      <c r="D413" s="64"/>
      <c r="E413" s="66"/>
      <c r="F413" s="98" t="str">
        <f>HYPERLINK("https://pbs.twimg.com/profile_images/1122411637661736961/v6sHTlP__normal.png")</f>
        <v>https://pbs.twimg.com/profile_images/1122411637661736961/v6sHTlP__normal.png</v>
      </c>
      <c r="G413" s="63"/>
      <c r="H413" s="67"/>
      <c r="I413" s="68"/>
      <c r="J413" s="68"/>
      <c r="K413" s="67" t="s">
        <v>9501</v>
      </c>
      <c r="L413" s="71"/>
      <c r="M413" s="72"/>
      <c r="N413" s="72"/>
      <c r="O413" s="73"/>
      <c r="P413" s="74"/>
      <c r="Q413" s="74"/>
      <c r="R413" s="81"/>
      <c r="S413" s="81"/>
      <c r="T413" s="81"/>
      <c r="U413" s="81"/>
      <c r="V413" s="48"/>
      <c r="W413" s="48"/>
      <c r="X413" s="48"/>
      <c r="Y413" s="48"/>
      <c r="Z413" s="47"/>
      <c r="AA413" s="69"/>
      <c r="AB413" s="69"/>
      <c r="AC413" s="70"/>
      <c r="AD413" t="s">
        <v>5195</v>
      </c>
      <c r="AE413" s="78" t="s">
        <v>6487</v>
      </c>
      <c r="AF413">
        <v>76</v>
      </c>
      <c r="AG413">
        <v>12190</v>
      </c>
      <c r="AH413">
        <v>1994</v>
      </c>
      <c r="AI413">
        <v>1589</v>
      </c>
      <c r="AK413" t="s">
        <v>7665</v>
      </c>
      <c r="AL413" t="s">
        <v>4898</v>
      </c>
      <c r="AM413" s="79" t="str">
        <f>HYPERLINK("https://t.co/0ZIvhjUXoG")</f>
        <v>https://t.co/0ZIvhjUXoG</v>
      </c>
      <c r="AO413" s="76">
        <v>42414.261863425927</v>
      </c>
      <c r="AP413" s="79" t="str">
        <f>HYPERLINK("https://pbs.twimg.com/profile_banners/4905238458/1556438664")</f>
        <v>https://pbs.twimg.com/profile_banners/4905238458/1556438664</v>
      </c>
      <c r="AQ413" t="b">
        <v>1</v>
      </c>
      <c r="AR413" t="b">
        <v>0</v>
      </c>
      <c r="AS413" t="b">
        <v>0</v>
      </c>
      <c r="AU413">
        <v>62</v>
      </c>
      <c r="AW413" t="b">
        <v>1</v>
      </c>
      <c r="AX413" t="s">
        <v>9303</v>
      </c>
      <c r="AY413" s="79" t="str">
        <f>HYPERLINK("https://twitter.com/walmartindia")</f>
        <v>https://twitter.com/walmartindia</v>
      </c>
      <c r="AZ413" t="s">
        <v>65</v>
      </c>
      <c r="BA413" s="2"/>
    </row>
    <row r="414" spans="1:53" x14ac:dyDescent="0.45">
      <c r="A414" s="62" t="s">
        <v>1427</v>
      </c>
      <c r="B414" s="63"/>
      <c r="C414" s="63"/>
      <c r="D414" s="64"/>
      <c r="E414" s="66"/>
      <c r="F414" s="98" t="str">
        <f>HYPERLINK("https://pbs.twimg.com/profile_images/1562123249139564548/4gZBmrvh_normal.jpg")</f>
        <v>https://pbs.twimg.com/profile_images/1562123249139564548/4gZBmrvh_normal.jpg</v>
      </c>
      <c r="G414" s="63"/>
      <c r="H414" s="67"/>
      <c r="I414" s="68"/>
      <c r="J414" s="68"/>
      <c r="K414" s="67" t="s">
        <v>10326</v>
      </c>
      <c r="L414" s="71"/>
      <c r="M414" s="72"/>
      <c r="N414" s="72"/>
      <c r="O414" s="73"/>
      <c r="P414" s="74"/>
      <c r="Q414" s="74"/>
      <c r="R414" s="81"/>
      <c r="S414" s="81"/>
      <c r="T414" s="81"/>
      <c r="U414" s="81"/>
      <c r="V414" s="48"/>
      <c r="W414" s="48"/>
      <c r="X414" s="48"/>
      <c r="Y414" s="48"/>
      <c r="Z414" s="47"/>
      <c r="AA414" s="69"/>
      <c r="AB414" s="69"/>
      <c r="AC414" s="70"/>
      <c r="AD414" t="s">
        <v>6009</v>
      </c>
      <c r="AE414" s="78" t="s">
        <v>7217</v>
      </c>
      <c r="AF414">
        <v>1356</v>
      </c>
      <c r="AG414">
        <v>11801</v>
      </c>
      <c r="AH414">
        <v>9138</v>
      </c>
      <c r="AI414">
        <v>1333</v>
      </c>
      <c r="AK414" t="s">
        <v>8381</v>
      </c>
      <c r="AM414" s="79" t="str">
        <f>HYPERLINK("https://t.co/A9583COZXt")</f>
        <v>https://t.co/A9583COZXt</v>
      </c>
      <c r="AO414" s="76">
        <v>40073.702662037038</v>
      </c>
      <c r="AP414" s="79" t="str">
        <f>HYPERLINK("https://pbs.twimg.com/profile_banners/75056974/1626367268")</f>
        <v>https://pbs.twimg.com/profile_banners/75056974/1626367268</v>
      </c>
      <c r="AQ414" t="b">
        <v>0</v>
      </c>
      <c r="AR414" t="b">
        <v>0</v>
      </c>
      <c r="AS414" t="b">
        <v>0</v>
      </c>
      <c r="AU414">
        <v>53</v>
      </c>
      <c r="AV414" s="79" t="str">
        <f>HYPERLINK("https://abs.twimg.com/images/themes/theme1/bg.png")</f>
        <v>https://abs.twimg.com/images/themes/theme1/bg.png</v>
      </c>
      <c r="AW414" t="b">
        <v>1</v>
      </c>
      <c r="AX414" t="s">
        <v>9303</v>
      </c>
      <c r="AY414" s="79" t="str">
        <f>HYPERLINK("https://twitter.com/reallunchables")</f>
        <v>https://twitter.com/reallunchables</v>
      </c>
      <c r="AZ414" t="s">
        <v>65</v>
      </c>
      <c r="BA414" s="2"/>
    </row>
    <row r="415" spans="1:53" x14ac:dyDescent="0.45">
      <c r="A415" s="62" t="s">
        <v>1054</v>
      </c>
      <c r="B415" s="63"/>
      <c r="C415" s="63"/>
      <c r="D415" s="64"/>
      <c r="E415" s="66"/>
      <c r="F415" s="98" t="str">
        <f>HYPERLINK("https://pbs.twimg.com/profile_images/1620894590801772550/REyesA_g_normal.jpg")</f>
        <v>https://pbs.twimg.com/profile_images/1620894590801772550/REyesA_g_normal.jpg</v>
      </c>
      <c r="G415" s="63"/>
      <c r="H415" s="67"/>
      <c r="I415" s="68"/>
      <c r="J415" s="68"/>
      <c r="K415" s="67" t="s">
        <v>10570</v>
      </c>
      <c r="L415" s="71"/>
      <c r="M415" s="72"/>
      <c r="N415" s="72"/>
      <c r="O415" s="73"/>
      <c r="P415" s="74"/>
      <c r="Q415" s="74"/>
      <c r="R415" s="81"/>
      <c r="S415" s="81"/>
      <c r="T415" s="81"/>
      <c r="U415" s="81"/>
      <c r="V415" s="48"/>
      <c r="W415" s="48"/>
      <c r="X415" s="48"/>
      <c r="Y415" s="48"/>
      <c r="Z415" s="47"/>
      <c r="AA415" s="69"/>
      <c r="AB415" s="69"/>
      <c r="AC415" s="70"/>
      <c r="AD415" t="s">
        <v>6248</v>
      </c>
      <c r="AE415" s="78" t="s">
        <v>7421</v>
      </c>
      <c r="AF415">
        <v>12950</v>
      </c>
      <c r="AG415">
        <v>11771</v>
      </c>
      <c r="AH415">
        <v>26355</v>
      </c>
      <c r="AI415">
        <v>151810</v>
      </c>
      <c r="AK415" t="s">
        <v>8595</v>
      </c>
      <c r="AL415" t="s">
        <v>9265</v>
      </c>
      <c r="AO415" s="76">
        <v>44253.808807870373</v>
      </c>
      <c r="AP415" s="79" t="str">
        <f>HYPERLINK("https://pbs.twimg.com/profile_banners/1365382218680532993/1675286477")</f>
        <v>https://pbs.twimg.com/profile_banners/1365382218680532993/1675286477</v>
      </c>
      <c r="AQ415" t="b">
        <v>1</v>
      </c>
      <c r="AR415" t="b">
        <v>0</v>
      </c>
      <c r="AS415" t="b">
        <v>1</v>
      </c>
      <c r="AU415">
        <v>35</v>
      </c>
      <c r="AW415" t="b">
        <v>0</v>
      </c>
      <c r="AX415" t="s">
        <v>9303</v>
      </c>
      <c r="AY415" s="79" t="str">
        <f>HYPERLINK("https://twitter.com/niallhwalls")</f>
        <v>https://twitter.com/niallhwalls</v>
      </c>
      <c r="AZ415" t="s">
        <v>66</v>
      </c>
      <c r="BA415" s="2"/>
    </row>
    <row r="416" spans="1:53" x14ac:dyDescent="0.45">
      <c r="A416" s="62" t="s">
        <v>1165</v>
      </c>
      <c r="B416" s="63"/>
      <c r="C416" s="63"/>
      <c r="D416" s="64"/>
      <c r="E416" s="66"/>
      <c r="F416" s="98" t="str">
        <f>HYPERLINK("https://pbs.twimg.com/profile_images/447873823702913024/dm42foTX_normal.jpeg")</f>
        <v>https://pbs.twimg.com/profile_images/447873823702913024/dm42foTX_normal.jpeg</v>
      </c>
      <c r="G416" s="63"/>
      <c r="H416" s="67"/>
      <c r="I416" s="68"/>
      <c r="J416" s="68"/>
      <c r="K416" s="67" t="s">
        <v>9433</v>
      </c>
      <c r="L416" s="71"/>
      <c r="M416" s="72"/>
      <c r="N416" s="72"/>
      <c r="O416" s="73"/>
      <c r="P416" s="74"/>
      <c r="Q416" s="74"/>
      <c r="R416" s="81"/>
      <c r="S416" s="81"/>
      <c r="T416" s="81"/>
      <c r="U416" s="81"/>
      <c r="V416" s="48"/>
      <c r="W416" s="48"/>
      <c r="X416" s="48"/>
      <c r="Y416" s="48"/>
      <c r="Z416" s="47"/>
      <c r="AA416" s="69"/>
      <c r="AB416" s="69"/>
      <c r="AC416" s="70"/>
      <c r="AD416" t="s">
        <v>5127</v>
      </c>
      <c r="AE416" s="78" t="s">
        <v>4661</v>
      </c>
      <c r="AF416">
        <v>1005</v>
      </c>
      <c r="AG416">
        <v>11226</v>
      </c>
      <c r="AH416">
        <v>1455</v>
      </c>
      <c r="AI416">
        <v>2455</v>
      </c>
      <c r="AK416" t="s">
        <v>7604</v>
      </c>
      <c r="AL416" t="s">
        <v>8750</v>
      </c>
      <c r="AM416" s="79" t="str">
        <f>HYPERLINK("https://t.co/0qAbVxb4uh")</f>
        <v>https://t.co/0qAbVxb4uh</v>
      </c>
      <c r="AO416" s="76">
        <v>39962.937974537039</v>
      </c>
      <c r="AP416" s="79" t="str">
        <f>HYPERLINK("https://pbs.twimg.com/profile_banners/43424692/1423066867")</f>
        <v>https://pbs.twimg.com/profile_banners/43424692/1423066867</v>
      </c>
      <c r="AQ416" t="b">
        <v>0</v>
      </c>
      <c r="AR416" t="b">
        <v>0</v>
      </c>
      <c r="AS416" t="b">
        <v>1</v>
      </c>
      <c r="AU416">
        <v>126</v>
      </c>
      <c r="AV416" s="79" t="str">
        <f>HYPERLINK("https://abs.twimg.com/images/themes/theme15/bg.png")</f>
        <v>https://abs.twimg.com/images/themes/theme15/bg.png</v>
      </c>
      <c r="AW416" t="b">
        <v>1</v>
      </c>
      <c r="AX416" t="s">
        <v>9303</v>
      </c>
      <c r="AY416" s="79" t="str">
        <f>HYPERLINK("https://twitter.com/kprc2amy")</f>
        <v>https://twitter.com/kprc2amy</v>
      </c>
      <c r="AZ416" t="s">
        <v>65</v>
      </c>
      <c r="BA416" s="2"/>
    </row>
    <row r="417" spans="1:53" x14ac:dyDescent="0.45">
      <c r="A417" s="62" t="s">
        <v>1546</v>
      </c>
      <c r="B417" s="63"/>
      <c r="C417" s="63"/>
      <c r="D417" s="64"/>
      <c r="E417" s="66"/>
      <c r="F417" s="98" t="str">
        <f>HYPERLINK("https://pbs.twimg.com/profile_images/779836360186146816/s7PPQL0F_normal.jpg")</f>
        <v>https://pbs.twimg.com/profile_images/779836360186146816/s7PPQL0F_normal.jpg</v>
      </c>
      <c r="G417" s="63"/>
      <c r="H417" s="67"/>
      <c r="I417" s="68"/>
      <c r="J417" s="68"/>
      <c r="K417" s="67" t="s">
        <v>10597</v>
      </c>
      <c r="L417" s="71"/>
      <c r="M417" s="72"/>
      <c r="N417" s="72"/>
      <c r="O417" s="73"/>
      <c r="P417" s="74"/>
      <c r="Q417" s="74"/>
      <c r="R417" s="81"/>
      <c r="S417" s="81"/>
      <c r="T417" s="81"/>
      <c r="U417" s="81"/>
      <c r="V417" s="48"/>
      <c r="W417" s="48"/>
      <c r="X417" s="48"/>
      <c r="Y417" s="48"/>
      <c r="Z417" s="47"/>
      <c r="AA417" s="69"/>
      <c r="AB417" s="69"/>
      <c r="AC417" s="70"/>
      <c r="AD417" t="s">
        <v>6274</v>
      </c>
      <c r="AE417" s="78" t="s">
        <v>7443</v>
      </c>
      <c r="AF417">
        <v>26</v>
      </c>
      <c r="AG417">
        <v>10950</v>
      </c>
      <c r="AH417">
        <v>982</v>
      </c>
      <c r="AI417">
        <v>466</v>
      </c>
      <c r="AK417" t="s">
        <v>8621</v>
      </c>
      <c r="AL417" t="s">
        <v>9280</v>
      </c>
      <c r="AM417" s="79" t="str">
        <f>HYPERLINK("http://t.co/0l5SZvWhAF")</f>
        <v>http://t.co/0l5SZvWhAF</v>
      </c>
      <c r="AO417" s="76">
        <v>39975.049490740741</v>
      </c>
      <c r="AP417" s="79" t="str">
        <f>HYPERLINK("https://pbs.twimg.com/profile_banners/46276833/1474762997")</f>
        <v>https://pbs.twimg.com/profile_banners/46276833/1474762997</v>
      </c>
      <c r="AQ417" t="b">
        <v>1</v>
      </c>
      <c r="AR417" t="b">
        <v>0</v>
      </c>
      <c r="AS417" t="b">
        <v>0</v>
      </c>
      <c r="AU417">
        <v>112</v>
      </c>
      <c r="AV417" s="79" t="str">
        <f>HYPERLINK("https://abs.twimg.com/images/themes/theme1/bg.png")</f>
        <v>https://abs.twimg.com/images/themes/theme1/bg.png</v>
      </c>
      <c r="AW417" t="b">
        <v>0</v>
      </c>
      <c r="AX417" t="s">
        <v>9303</v>
      </c>
      <c r="AY417" s="79" t="str">
        <f>HYPERLINK("https://twitter.com/subratamitra")</f>
        <v>https://twitter.com/subratamitra</v>
      </c>
      <c r="AZ417" t="s">
        <v>65</v>
      </c>
      <c r="BA417" s="2"/>
    </row>
    <row r="418" spans="1:53" x14ac:dyDescent="0.45">
      <c r="A418" s="62" t="s">
        <v>537</v>
      </c>
      <c r="B418" s="63"/>
      <c r="C418" s="63"/>
      <c r="D418" s="64"/>
      <c r="E418" s="66"/>
      <c r="F418" s="98" t="str">
        <f>HYPERLINK("https://pbs.twimg.com/profile_images/1354844326237499397/m8w636km_normal.jpg")</f>
        <v>https://pbs.twimg.com/profile_images/1354844326237499397/m8w636km_normal.jpg</v>
      </c>
      <c r="G418" s="63"/>
      <c r="H418" s="67"/>
      <c r="I418" s="68"/>
      <c r="J418" s="68"/>
      <c r="K418" s="67" t="s">
        <v>9552</v>
      </c>
      <c r="L418" s="71"/>
      <c r="M418" s="72"/>
      <c r="N418" s="72"/>
      <c r="O418" s="73"/>
      <c r="P418" s="74"/>
      <c r="Q418" s="74"/>
      <c r="R418" s="81"/>
      <c r="S418" s="81"/>
      <c r="T418" s="81"/>
      <c r="U418" s="81"/>
      <c r="V418" s="48"/>
      <c r="W418" s="48"/>
      <c r="X418" s="48"/>
      <c r="Y418" s="48"/>
      <c r="Z418" s="47"/>
      <c r="AA418" s="69"/>
      <c r="AB418" s="69"/>
      <c r="AC418" s="70"/>
      <c r="AD418" t="s">
        <v>5245</v>
      </c>
      <c r="AE418" s="78" t="s">
        <v>6528</v>
      </c>
      <c r="AF418">
        <v>1702</v>
      </c>
      <c r="AG418">
        <v>10833</v>
      </c>
      <c r="AH418">
        <v>14138</v>
      </c>
      <c r="AI418">
        <v>2</v>
      </c>
      <c r="AK418" t="s">
        <v>7711</v>
      </c>
      <c r="AM418" s="79" t="str">
        <f>HYPERLINK("https://t.co/h1X53B0sGL")</f>
        <v>https://t.co/h1X53B0sGL</v>
      </c>
      <c r="AO418" s="76">
        <v>40463.834756944445</v>
      </c>
      <c r="AP418" s="79" t="str">
        <f>HYPERLINK("https://pbs.twimg.com/profile_banners/201864200/1667329756")</f>
        <v>https://pbs.twimg.com/profile_banners/201864200/1667329756</v>
      </c>
      <c r="AQ418" t="b">
        <v>0</v>
      </c>
      <c r="AR418" t="b">
        <v>0</v>
      </c>
      <c r="AS418" t="b">
        <v>1</v>
      </c>
      <c r="AU418">
        <v>246</v>
      </c>
      <c r="AV418" s="79" t="str">
        <f>HYPERLINK("https://abs.twimg.com/images/themes/theme1/bg.png")</f>
        <v>https://abs.twimg.com/images/themes/theme1/bg.png</v>
      </c>
      <c r="AW418" t="b">
        <v>0</v>
      </c>
      <c r="AX418" t="s">
        <v>9303</v>
      </c>
      <c r="AY418" s="79" t="str">
        <f>HYPERLINK("https://twitter.com/forrespect")</f>
        <v>https://twitter.com/forrespect</v>
      </c>
      <c r="AZ418" t="s">
        <v>66</v>
      </c>
      <c r="BA418" s="2"/>
    </row>
    <row r="419" spans="1:53" x14ac:dyDescent="0.45">
      <c r="A419" s="62" t="s">
        <v>628</v>
      </c>
      <c r="B419" s="63"/>
      <c r="C419" s="63"/>
      <c r="D419" s="64"/>
      <c r="E419" s="66"/>
      <c r="F419" s="98" t="str">
        <f>HYPERLINK("https://pbs.twimg.com/profile_images/1613467038860582912/nDuKu7c1_normal.jpg")</f>
        <v>https://pbs.twimg.com/profile_images/1613467038860582912/nDuKu7c1_normal.jpg</v>
      </c>
      <c r="G419" s="63"/>
      <c r="H419" s="67"/>
      <c r="I419" s="68"/>
      <c r="J419" s="68"/>
      <c r="K419" s="67" t="s">
        <v>9934</v>
      </c>
      <c r="L419" s="71"/>
      <c r="M419" s="72"/>
      <c r="N419" s="72"/>
      <c r="O419" s="73"/>
      <c r="P419" s="74"/>
      <c r="Q419" s="74"/>
      <c r="R419" s="81"/>
      <c r="S419" s="81"/>
      <c r="T419" s="81"/>
      <c r="U419" s="81"/>
      <c r="V419" s="48"/>
      <c r="W419" s="48"/>
      <c r="X419" s="48"/>
      <c r="Y419" s="48"/>
      <c r="Z419" s="47"/>
      <c r="AA419" s="69"/>
      <c r="AB419" s="69"/>
      <c r="AC419" s="70"/>
      <c r="AD419" t="s">
        <v>5625</v>
      </c>
      <c r="AE419" s="78" t="s">
        <v>6869</v>
      </c>
      <c r="AF419">
        <v>972</v>
      </c>
      <c r="AG419">
        <v>10819</v>
      </c>
      <c r="AH419">
        <v>13785</v>
      </c>
      <c r="AI419">
        <v>64713</v>
      </c>
      <c r="AK419" t="s">
        <v>8041</v>
      </c>
      <c r="AL419" t="s">
        <v>9004</v>
      </c>
      <c r="AM419" s="79" t="str">
        <f>HYPERLINK("https://t.co/fBQ1cVi3mU")</f>
        <v>https://t.co/fBQ1cVi3mU</v>
      </c>
      <c r="AO419" s="76">
        <v>42713.529918981483</v>
      </c>
      <c r="AP419" s="79" t="str">
        <f>HYPERLINK("https://pbs.twimg.com/profile_banners/807203917239087104/1674760080")</f>
        <v>https://pbs.twimg.com/profile_banners/807203917239087104/1674760080</v>
      </c>
      <c r="AQ419" t="b">
        <v>0</v>
      </c>
      <c r="AR419" t="b">
        <v>0</v>
      </c>
      <c r="AS419" t="b">
        <v>1</v>
      </c>
      <c r="AU419">
        <v>22</v>
      </c>
      <c r="AV419" s="79" t="str">
        <f>HYPERLINK("https://abs.twimg.com/images/themes/theme1/bg.png")</f>
        <v>https://abs.twimg.com/images/themes/theme1/bg.png</v>
      </c>
      <c r="AW419" t="b">
        <v>0</v>
      </c>
      <c r="AX419" t="s">
        <v>9303</v>
      </c>
      <c r="AY419" s="79" t="str">
        <f>HYPERLINK("https://twitter.com/ariesdevll")</f>
        <v>https://twitter.com/ariesdevll</v>
      </c>
      <c r="AZ419" t="s">
        <v>66</v>
      </c>
      <c r="BA419" s="2"/>
    </row>
    <row r="420" spans="1:53" x14ac:dyDescent="0.45">
      <c r="A420" s="62" t="s">
        <v>431</v>
      </c>
      <c r="B420" s="63"/>
      <c r="C420" s="63"/>
      <c r="D420" s="64"/>
      <c r="E420" s="66"/>
      <c r="F420" s="98" t="str">
        <f>HYPERLINK("https://pbs.twimg.com/profile_images/1612267938932736001/LOMZJHNT_normal.jpg")</f>
        <v>https://pbs.twimg.com/profile_images/1612267938932736001/LOMZJHNT_normal.jpg</v>
      </c>
      <c r="G420" s="63"/>
      <c r="H420" s="67"/>
      <c r="I420" s="68"/>
      <c r="J420" s="68"/>
      <c r="K420" s="67" t="s">
        <v>9683</v>
      </c>
      <c r="L420" s="71"/>
      <c r="M420" s="72"/>
      <c r="N420" s="72"/>
      <c r="O420" s="73"/>
      <c r="P420" s="74"/>
      <c r="Q420" s="74"/>
      <c r="R420" s="81"/>
      <c r="S420" s="81"/>
      <c r="T420" s="81"/>
      <c r="U420" s="81"/>
      <c r="V420" s="48"/>
      <c r="W420" s="48"/>
      <c r="X420" s="48"/>
      <c r="Y420" s="48"/>
      <c r="Z420" s="47"/>
      <c r="AA420" s="69"/>
      <c r="AB420" s="69"/>
      <c r="AC420" s="70"/>
      <c r="AD420" t="s">
        <v>5376</v>
      </c>
      <c r="AE420" s="78" t="s">
        <v>6649</v>
      </c>
      <c r="AF420">
        <v>4266</v>
      </c>
      <c r="AG420">
        <v>10791</v>
      </c>
      <c r="AH420">
        <v>41808</v>
      </c>
      <c r="AI420">
        <v>11453</v>
      </c>
      <c r="AK420" t="s">
        <v>7823</v>
      </c>
      <c r="AL420" t="s">
        <v>8869</v>
      </c>
      <c r="AM420" s="79" t="str">
        <f>HYPERLINK("https://t.co/idMYrt0o5c")</f>
        <v>https://t.co/idMYrt0o5c</v>
      </c>
      <c r="AO420" s="76">
        <v>39979.152048611111</v>
      </c>
      <c r="AP420" s="79" t="str">
        <f>HYPERLINK("https://pbs.twimg.com/profile_banners/47250793/1634354243")</f>
        <v>https://pbs.twimg.com/profile_banners/47250793/1634354243</v>
      </c>
      <c r="AQ420" t="b">
        <v>0</v>
      </c>
      <c r="AR420" t="b">
        <v>0</v>
      </c>
      <c r="AS420" t="b">
        <v>1</v>
      </c>
      <c r="AU420">
        <v>7</v>
      </c>
      <c r="AV420" s="79" t="str">
        <f>HYPERLINK("https://abs.twimg.com/images/themes/theme9/bg.gif")</f>
        <v>https://abs.twimg.com/images/themes/theme9/bg.gif</v>
      </c>
      <c r="AW420" t="b">
        <v>0</v>
      </c>
      <c r="AX420" t="s">
        <v>9303</v>
      </c>
      <c r="AY420" s="79" t="str">
        <f>HYPERLINK("https://twitter.com/puertoricano4g")</f>
        <v>https://twitter.com/puertoricano4g</v>
      </c>
      <c r="AZ420" t="s">
        <v>66</v>
      </c>
      <c r="BA420" s="2"/>
    </row>
    <row r="421" spans="1:53" x14ac:dyDescent="0.45">
      <c r="A421" s="62" t="s">
        <v>950</v>
      </c>
      <c r="B421" s="63"/>
      <c r="C421" s="63"/>
      <c r="D421" s="64"/>
      <c r="E421" s="66"/>
      <c r="F421" s="98" t="str">
        <f>HYPERLINK("https://pbs.twimg.com/profile_images/1610120645022519296/OIdR4O0D_normal.jpg")</f>
        <v>https://pbs.twimg.com/profile_images/1610120645022519296/OIdR4O0D_normal.jpg</v>
      </c>
      <c r="G421" s="63"/>
      <c r="H421" s="67"/>
      <c r="I421" s="68"/>
      <c r="J421" s="68"/>
      <c r="K421" s="67" t="s">
        <v>10396</v>
      </c>
      <c r="L421" s="71"/>
      <c r="M421" s="72"/>
      <c r="N421" s="72"/>
      <c r="O421" s="73"/>
      <c r="P421" s="74"/>
      <c r="Q421" s="74"/>
      <c r="R421" s="81"/>
      <c r="S421" s="81"/>
      <c r="T421" s="81"/>
      <c r="U421" s="81"/>
      <c r="V421" s="48"/>
      <c r="W421" s="48"/>
      <c r="X421" s="48"/>
      <c r="Y421" s="48"/>
      <c r="Z421" s="47"/>
      <c r="AA421" s="69"/>
      <c r="AB421" s="69"/>
      <c r="AC421" s="70"/>
      <c r="AD421" t="s">
        <v>6078</v>
      </c>
      <c r="AE421" s="78" t="s">
        <v>7279</v>
      </c>
      <c r="AF421">
        <v>866</v>
      </c>
      <c r="AG421">
        <v>10726</v>
      </c>
      <c r="AH421">
        <v>2987</v>
      </c>
      <c r="AI421">
        <v>8701</v>
      </c>
      <c r="AK421" t="s">
        <v>8440</v>
      </c>
      <c r="AL421" t="s">
        <v>9200</v>
      </c>
      <c r="AM421" s="79" t="str">
        <f>HYPERLINK("https://t.co/8OZfHp3A3w")</f>
        <v>https://t.co/8OZfHp3A3w</v>
      </c>
      <c r="AO421" s="76">
        <v>41429.108680555553</v>
      </c>
      <c r="AP421" s="79" t="str">
        <f>HYPERLINK("https://pbs.twimg.com/profile_banners/1481186215/1652642790")</f>
        <v>https://pbs.twimg.com/profile_banners/1481186215/1652642790</v>
      </c>
      <c r="AQ421" t="b">
        <v>0</v>
      </c>
      <c r="AR421" t="b">
        <v>0</v>
      </c>
      <c r="AS421" t="b">
        <v>0</v>
      </c>
      <c r="AU421">
        <v>11</v>
      </c>
      <c r="AV421" s="79" t="str">
        <f>HYPERLINK("https://abs.twimg.com/images/themes/theme1/bg.png")</f>
        <v>https://abs.twimg.com/images/themes/theme1/bg.png</v>
      </c>
      <c r="AW421" t="b">
        <v>0</v>
      </c>
      <c r="AX421" t="s">
        <v>9303</v>
      </c>
      <c r="AY421" s="79" t="str">
        <f>HYPERLINK("https://twitter.com/officialmillye")</f>
        <v>https://twitter.com/officialmillye</v>
      </c>
      <c r="AZ421" t="s">
        <v>66</v>
      </c>
      <c r="BA421" s="2"/>
    </row>
    <row r="422" spans="1:53" x14ac:dyDescent="0.45">
      <c r="A422" s="62" t="s">
        <v>236</v>
      </c>
      <c r="B422" s="63"/>
      <c r="C422" s="63"/>
      <c r="D422" s="64"/>
      <c r="E422" s="66"/>
      <c r="F422" s="98" t="str">
        <f>HYPERLINK("https://pbs.twimg.com/profile_images/1175377576984031232/f0xBgfIK_normal.jpg")</f>
        <v>https://pbs.twimg.com/profile_images/1175377576984031232/f0xBgfIK_normal.jpg</v>
      </c>
      <c r="G422" s="63"/>
      <c r="H422" s="67"/>
      <c r="I422" s="68"/>
      <c r="J422" s="68"/>
      <c r="K422" s="67" t="s">
        <v>9349</v>
      </c>
      <c r="L422" s="71"/>
      <c r="M422" s="72"/>
      <c r="N422" s="72"/>
      <c r="O422" s="73"/>
      <c r="P422" s="74"/>
      <c r="Q422" s="74"/>
      <c r="R422" s="81"/>
      <c r="S422" s="81"/>
      <c r="T422" s="81"/>
      <c r="U422" s="81"/>
      <c r="V422" s="48"/>
      <c r="W422" s="48"/>
      <c r="X422" s="48"/>
      <c r="Y422" s="48"/>
      <c r="Z422" s="47"/>
      <c r="AA422" s="69"/>
      <c r="AB422" s="69"/>
      <c r="AC422" s="70"/>
      <c r="AD422" t="s">
        <v>5045</v>
      </c>
      <c r="AE422" s="78" t="s">
        <v>6363</v>
      </c>
      <c r="AF422">
        <v>4339</v>
      </c>
      <c r="AG422">
        <v>10468</v>
      </c>
      <c r="AH422">
        <v>100682</v>
      </c>
      <c r="AI422">
        <v>139914</v>
      </c>
      <c r="AK422" t="s">
        <v>7533</v>
      </c>
      <c r="AL422" t="s">
        <v>8706</v>
      </c>
      <c r="AO422" s="76">
        <v>43729.495289351849</v>
      </c>
      <c r="AP422" s="79" t="str">
        <f>HYPERLINK("https://pbs.twimg.com/profile_banners/1175377309676781568/1569085257")</f>
        <v>https://pbs.twimg.com/profile_banners/1175377309676781568/1569085257</v>
      </c>
      <c r="AQ422" t="b">
        <v>1</v>
      </c>
      <c r="AR422" t="b">
        <v>0</v>
      </c>
      <c r="AS422" t="b">
        <v>0</v>
      </c>
      <c r="AU422">
        <v>143</v>
      </c>
      <c r="AW422" t="b">
        <v>0</v>
      </c>
      <c r="AX422" t="s">
        <v>9303</v>
      </c>
      <c r="AY422" s="79" t="str">
        <f>HYPERLINK("https://twitter.com/betamoroney")</f>
        <v>https://twitter.com/betamoroney</v>
      </c>
      <c r="AZ422" t="s">
        <v>66</v>
      </c>
      <c r="BA422" s="2"/>
    </row>
    <row r="423" spans="1:53" x14ac:dyDescent="0.45">
      <c r="A423" s="62" t="s">
        <v>412</v>
      </c>
      <c r="B423" s="63"/>
      <c r="C423" s="63"/>
      <c r="D423" s="64"/>
      <c r="E423" s="66"/>
      <c r="F423" s="98" t="str">
        <f>HYPERLINK("https://pbs.twimg.com/profile_images/1614602509724667904/2E0NfQ2O_normal.jpg")</f>
        <v>https://pbs.twimg.com/profile_images/1614602509724667904/2E0NfQ2O_normal.jpg</v>
      </c>
      <c r="G423" s="63"/>
      <c r="H423" s="67"/>
      <c r="I423" s="68"/>
      <c r="J423" s="68"/>
      <c r="K423" s="67" t="s">
        <v>9663</v>
      </c>
      <c r="L423" s="71"/>
      <c r="M423" s="72"/>
      <c r="N423" s="72"/>
      <c r="O423" s="73"/>
      <c r="P423" s="74"/>
      <c r="Q423" s="74"/>
      <c r="R423" s="81"/>
      <c r="S423" s="81"/>
      <c r="T423" s="81"/>
      <c r="U423" s="81"/>
      <c r="V423" s="48"/>
      <c r="W423" s="48"/>
      <c r="X423" s="48"/>
      <c r="Y423" s="48"/>
      <c r="Z423" s="47"/>
      <c r="AA423" s="69"/>
      <c r="AB423" s="69"/>
      <c r="AC423" s="70"/>
      <c r="AD423" t="s">
        <v>5356</v>
      </c>
      <c r="AE423" s="78" t="s">
        <v>6630</v>
      </c>
      <c r="AF423">
        <v>2439</v>
      </c>
      <c r="AG423">
        <v>10454</v>
      </c>
      <c r="AH423">
        <v>59012</v>
      </c>
      <c r="AI423">
        <v>145713</v>
      </c>
      <c r="AK423" t="s">
        <v>7806</v>
      </c>
      <c r="AL423" t="s">
        <v>8862</v>
      </c>
      <c r="AO423" s="76">
        <v>40570.789733796293</v>
      </c>
      <c r="AP423" s="79" t="str">
        <f>HYPERLINK("https://pbs.twimg.com/profile_banners/243754256/1673808560")</f>
        <v>https://pbs.twimg.com/profile_banners/243754256/1673808560</v>
      </c>
      <c r="AQ423" t="b">
        <v>0</v>
      </c>
      <c r="AR423" t="b">
        <v>0</v>
      </c>
      <c r="AS423" t="b">
        <v>1</v>
      </c>
      <c r="AU423">
        <v>41</v>
      </c>
      <c r="AV423" s="79" t="str">
        <f>HYPERLINK("https://abs.twimg.com/images/themes/theme10/bg.gif")</f>
        <v>https://abs.twimg.com/images/themes/theme10/bg.gif</v>
      </c>
      <c r="AW423" t="b">
        <v>0</v>
      </c>
      <c r="AX423" t="s">
        <v>9303</v>
      </c>
      <c r="AY423" s="79" t="str">
        <f>HYPERLINK("https://twitter.com/cyrusxgrxnde")</f>
        <v>https://twitter.com/cyrusxgrxnde</v>
      </c>
      <c r="AZ423" t="s">
        <v>66</v>
      </c>
      <c r="BA423" s="2"/>
    </row>
    <row r="424" spans="1:53" x14ac:dyDescent="0.45">
      <c r="A424" s="62" t="s">
        <v>1445</v>
      </c>
      <c r="B424" s="63"/>
      <c r="C424" s="63"/>
      <c r="D424" s="64"/>
      <c r="E424" s="66"/>
      <c r="F424" s="98" t="str">
        <f>HYPERLINK("https://pbs.twimg.com/profile_images/1587557650535010306/ay-SvIWk_normal.jpg")</f>
        <v>https://pbs.twimg.com/profile_images/1587557650535010306/ay-SvIWk_normal.jpg</v>
      </c>
      <c r="G424" s="63"/>
      <c r="H424" s="67"/>
      <c r="I424" s="68"/>
      <c r="J424" s="68"/>
      <c r="K424" s="67" t="s">
        <v>10371</v>
      </c>
      <c r="L424" s="71"/>
      <c r="M424" s="72"/>
      <c r="N424" s="72"/>
      <c r="O424" s="73"/>
      <c r="P424" s="74"/>
      <c r="Q424" s="74"/>
      <c r="R424" s="81"/>
      <c r="S424" s="81"/>
      <c r="T424" s="81"/>
      <c r="U424" s="81"/>
      <c r="V424" s="48"/>
      <c r="W424" s="48"/>
      <c r="X424" s="48"/>
      <c r="Y424" s="48"/>
      <c r="Z424" s="47"/>
      <c r="AA424" s="69"/>
      <c r="AB424" s="69"/>
      <c r="AC424" s="70"/>
      <c r="AD424" t="s">
        <v>6054</v>
      </c>
      <c r="AE424" s="78" t="s">
        <v>7259</v>
      </c>
      <c r="AF424">
        <v>859</v>
      </c>
      <c r="AG424">
        <v>9900</v>
      </c>
      <c r="AH424">
        <v>5355</v>
      </c>
      <c r="AI424">
        <v>23210</v>
      </c>
      <c r="AK424" t="s">
        <v>8420</v>
      </c>
      <c r="AL424" t="s">
        <v>8719</v>
      </c>
      <c r="AO424" s="76">
        <v>40954.005185185182</v>
      </c>
      <c r="AP424" s="79" t="str">
        <f>HYPERLINK("https://pbs.twimg.com/profile_banners/492664920/1661478405")</f>
        <v>https://pbs.twimg.com/profile_banners/492664920/1661478405</v>
      </c>
      <c r="AQ424" t="b">
        <v>1</v>
      </c>
      <c r="AR424" t="b">
        <v>0</v>
      </c>
      <c r="AS424" t="b">
        <v>0</v>
      </c>
      <c r="AU424">
        <v>20</v>
      </c>
      <c r="AV424" s="79" t="str">
        <f>HYPERLINK("https://abs.twimg.com/images/themes/theme1/bg.png")</f>
        <v>https://abs.twimg.com/images/themes/theme1/bg.png</v>
      </c>
      <c r="AW424" t="b">
        <v>0</v>
      </c>
      <c r="AX424" t="s">
        <v>9303</v>
      </c>
      <c r="AY424" s="79" t="str">
        <f>HYPERLINK("https://twitter.com/mantarnyc")</f>
        <v>https://twitter.com/mantarnyc</v>
      </c>
      <c r="AZ424" t="s">
        <v>65</v>
      </c>
      <c r="BA424" s="2"/>
    </row>
    <row r="425" spans="1:53" x14ac:dyDescent="0.45">
      <c r="A425" s="62" t="s">
        <v>953</v>
      </c>
      <c r="B425" s="63"/>
      <c r="C425" s="63"/>
      <c r="D425" s="64"/>
      <c r="E425" s="66"/>
      <c r="F425" s="98" t="str">
        <f>HYPERLINK("https://pbs.twimg.com/profile_images/1486724474485362698/klGiQcge_normal.jpg")</f>
        <v>https://pbs.twimg.com/profile_images/1486724474485362698/klGiQcge_normal.jpg</v>
      </c>
      <c r="G425" s="63"/>
      <c r="H425" s="67"/>
      <c r="I425" s="68"/>
      <c r="J425" s="68"/>
      <c r="K425" s="67" t="s">
        <v>10406</v>
      </c>
      <c r="L425" s="71"/>
      <c r="M425" s="72"/>
      <c r="N425" s="72"/>
      <c r="O425" s="73"/>
      <c r="P425" s="74"/>
      <c r="Q425" s="74"/>
      <c r="R425" s="81"/>
      <c r="S425" s="81"/>
      <c r="T425" s="81"/>
      <c r="U425" s="81"/>
      <c r="V425" s="48"/>
      <c r="W425" s="48"/>
      <c r="X425" s="48"/>
      <c r="Y425" s="48"/>
      <c r="Z425" s="47"/>
      <c r="AA425" s="69"/>
      <c r="AB425" s="69"/>
      <c r="AC425" s="70"/>
      <c r="AD425" t="s">
        <v>6088</v>
      </c>
      <c r="AE425" s="78" t="s">
        <v>4778</v>
      </c>
      <c r="AF425">
        <v>469</v>
      </c>
      <c r="AG425">
        <v>9869</v>
      </c>
      <c r="AH425">
        <v>29347</v>
      </c>
      <c r="AI425">
        <v>10214</v>
      </c>
      <c r="AK425" t="s">
        <v>8450</v>
      </c>
      <c r="AL425" t="s">
        <v>9202</v>
      </c>
      <c r="AM425" s="79" t="str">
        <f>HYPERLINK("https://t.co/NGRKThW9eR")</f>
        <v>https://t.co/NGRKThW9eR</v>
      </c>
      <c r="AO425" s="76">
        <v>40284.686840277776</v>
      </c>
      <c r="AP425" s="79" t="str">
        <f>HYPERLINK("https://pbs.twimg.com/profile_banners/133784606/1640035427")</f>
        <v>https://pbs.twimg.com/profile_banners/133784606/1640035427</v>
      </c>
      <c r="AQ425" t="b">
        <v>0</v>
      </c>
      <c r="AR425" t="b">
        <v>0</v>
      </c>
      <c r="AS425" t="b">
        <v>1</v>
      </c>
      <c r="AU425">
        <v>102</v>
      </c>
      <c r="AV425" s="79" t="str">
        <f>HYPERLINK("https://abs.twimg.com/images/themes/theme14/bg.gif")</f>
        <v>https://abs.twimg.com/images/themes/theme14/bg.gif</v>
      </c>
      <c r="AW425" t="b">
        <v>0</v>
      </c>
      <c r="AX425" t="s">
        <v>9303</v>
      </c>
      <c r="AY425" s="79" t="str">
        <f>HYPERLINK("https://twitter.com/thomasdbradley")</f>
        <v>https://twitter.com/thomasdbradley</v>
      </c>
      <c r="AZ425" t="s">
        <v>66</v>
      </c>
      <c r="BA425" s="2"/>
    </row>
    <row r="426" spans="1:53" x14ac:dyDescent="0.45">
      <c r="A426" s="62" t="s">
        <v>505</v>
      </c>
      <c r="B426" s="63"/>
      <c r="C426" s="63"/>
      <c r="D426" s="64"/>
      <c r="E426" s="66"/>
      <c r="F426" s="98" t="str">
        <f>HYPERLINK("https://pbs.twimg.com/profile_images/1619120398750154752/5LChIiMo_normal.jpg")</f>
        <v>https://pbs.twimg.com/profile_images/1619120398750154752/5LChIiMo_normal.jpg</v>
      </c>
      <c r="G426" s="63"/>
      <c r="H426" s="67"/>
      <c r="I426" s="68"/>
      <c r="J426" s="68"/>
      <c r="K426" s="67" t="s">
        <v>9783</v>
      </c>
      <c r="L426" s="71"/>
      <c r="M426" s="72"/>
      <c r="N426" s="72"/>
      <c r="O426" s="73"/>
      <c r="P426" s="74"/>
      <c r="Q426" s="74"/>
      <c r="R426" s="81"/>
      <c r="S426" s="81"/>
      <c r="T426" s="81"/>
      <c r="U426" s="81"/>
      <c r="V426" s="48"/>
      <c r="W426" s="48"/>
      <c r="X426" s="48"/>
      <c r="Y426" s="48"/>
      <c r="Z426" s="47"/>
      <c r="AA426" s="69"/>
      <c r="AB426" s="69"/>
      <c r="AC426" s="70"/>
      <c r="AD426" t="s">
        <v>5475</v>
      </c>
      <c r="AE426" s="78" t="s">
        <v>6732</v>
      </c>
      <c r="AF426">
        <v>9659</v>
      </c>
      <c r="AG426">
        <v>9865</v>
      </c>
      <c r="AH426">
        <v>254857</v>
      </c>
      <c r="AI426">
        <v>181424</v>
      </c>
      <c r="AK426" t="s">
        <v>7904</v>
      </c>
      <c r="AL426" t="s">
        <v>8916</v>
      </c>
      <c r="AO426" s="76">
        <v>41443.854456018518</v>
      </c>
      <c r="AP426" s="79" t="str">
        <f>HYPERLINK("https://pbs.twimg.com/profile_banners/1528776800/1674863360")</f>
        <v>https://pbs.twimg.com/profile_banners/1528776800/1674863360</v>
      </c>
      <c r="AQ426" t="b">
        <v>0</v>
      </c>
      <c r="AR426" t="b">
        <v>0</v>
      </c>
      <c r="AS426" t="b">
        <v>0</v>
      </c>
      <c r="AU426">
        <v>65</v>
      </c>
      <c r="AV426" s="79" t="str">
        <f>HYPERLINK("https://abs.twimg.com/images/themes/theme18/bg.gif")</f>
        <v>https://abs.twimg.com/images/themes/theme18/bg.gif</v>
      </c>
      <c r="AW426" t="b">
        <v>0</v>
      </c>
      <c r="AX426" t="s">
        <v>9303</v>
      </c>
      <c r="AY426" s="79" t="str">
        <f>HYPERLINK("https://twitter.com/gomezinmalibu")</f>
        <v>https://twitter.com/gomezinmalibu</v>
      </c>
      <c r="AZ426" t="s">
        <v>66</v>
      </c>
      <c r="BA426" s="2"/>
    </row>
    <row r="427" spans="1:53" x14ac:dyDescent="0.45">
      <c r="A427" s="62" t="s">
        <v>670</v>
      </c>
      <c r="B427" s="63"/>
      <c r="C427" s="63"/>
      <c r="D427" s="64"/>
      <c r="E427" s="66"/>
      <c r="F427" s="98" t="str">
        <f>HYPERLINK("https://pbs.twimg.com/profile_images/745367774944387072/kA0oHb9z_normal.jpg")</f>
        <v>https://pbs.twimg.com/profile_images/745367774944387072/kA0oHb9z_normal.jpg</v>
      </c>
      <c r="G427" s="63"/>
      <c r="H427" s="67"/>
      <c r="I427" s="68"/>
      <c r="J427" s="68"/>
      <c r="K427" s="67" t="s">
        <v>9991</v>
      </c>
      <c r="L427" s="71"/>
      <c r="M427" s="72"/>
      <c r="N427" s="72"/>
      <c r="O427" s="73"/>
      <c r="P427" s="74"/>
      <c r="Q427" s="74"/>
      <c r="R427" s="81"/>
      <c r="S427" s="81"/>
      <c r="T427" s="81"/>
      <c r="U427" s="81"/>
      <c r="V427" s="48"/>
      <c r="W427" s="48"/>
      <c r="X427" s="48"/>
      <c r="Y427" s="48"/>
      <c r="Z427" s="47"/>
      <c r="AA427" s="69"/>
      <c r="AB427" s="69"/>
      <c r="AC427" s="70"/>
      <c r="AD427" t="s">
        <v>5681</v>
      </c>
      <c r="AE427" s="78" t="s">
        <v>6924</v>
      </c>
      <c r="AF427">
        <v>6060</v>
      </c>
      <c r="AG427">
        <v>9784</v>
      </c>
      <c r="AH427">
        <v>197293</v>
      </c>
      <c r="AI427">
        <v>16611</v>
      </c>
      <c r="AK427" t="s">
        <v>8090</v>
      </c>
      <c r="AM427" s="79" t="str">
        <f>HYPERLINK("https://t.co/mcuvDmMXxs")</f>
        <v>https://t.co/mcuvDmMXxs</v>
      </c>
      <c r="AO427" s="76">
        <v>39803.230115740742</v>
      </c>
      <c r="AP427" s="79" t="str">
        <f>HYPERLINK("https://pbs.twimg.com/profile_banners/18279861/1458420760")</f>
        <v>https://pbs.twimg.com/profile_banners/18279861/1458420760</v>
      </c>
      <c r="AQ427" t="b">
        <v>0</v>
      </c>
      <c r="AR427" t="b">
        <v>0</v>
      </c>
      <c r="AS427" t="b">
        <v>1</v>
      </c>
      <c r="AU427">
        <v>1087</v>
      </c>
      <c r="AV427" s="79" t="str">
        <f>HYPERLINK("https://abs.twimg.com/images/themes/theme2/bg.gif")</f>
        <v>https://abs.twimg.com/images/themes/theme2/bg.gif</v>
      </c>
      <c r="AW427" t="b">
        <v>0</v>
      </c>
      <c r="AX427" t="s">
        <v>9303</v>
      </c>
      <c r="AY427" s="79" t="str">
        <f>HYPERLINK("https://twitter.com/whisperamber")</f>
        <v>https://twitter.com/whisperamber</v>
      </c>
      <c r="AZ427" t="s">
        <v>66</v>
      </c>
      <c r="BA427" s="2"/>
    </row>
    <row r="428" spans="1:53" x14ac:dyDescent="0.45">
      <c r="A428" s="62" t="s">
        <v>1387</v>
      </c>
      <c r="B428" s="63"/>
      <c r="C428" s="63"/>
      <c r="D428" s="64"/>
      <c r="E428" s="66"/>
      <c r="F428" s="98" t="str">
        <f>HYPERLINK("https://pbs.twimg.com/profile_images/1012762286153297920/bWD5asqi_normal.jpg")</f>
        <v>https://pbs.twimg.com/profile_images/1012762286153297920/bWD5asqi_normal.jpg</v>
      </c>
      <c r="G428" s="63"/>
      <c r="H428" s="67"/>
      <c r="I428" s="68"/>
      <c r="J428" s="68"/>
      <c r="K428" s="67" t="s">
        <v>10192</v>
      </c>
      <c r="L428" s="71"/>
      <c r="M428" s="72"/>
      <c r="N428" s="72"/>
      <c r="O428" s="73"/>
      <c r="P428" s="74"/>
      <c r="Q428" s="74"/>
      <c r="R428" s="81"/>
      <c r="S428" s="81"/>
      <c r="T428" s="81"/>
      <c r="U428" s="81"/>
      <c r="V428" s="48"/>
      <c r="W428" s="48"/>
      <c r="X428" s="48"/>
      <c r="Y428" s="48"/>
      <c r="Z428" s="47"/>
      <c r="AA428" s="69"/>
      <c r="AB428" s="69"/>
      <c r="AC428" s="70"/>
      <c r="AD428" t="s">
        <v>5876</v>
      </c>
      <c r="AE428" s="78" t="s">
        <v>7098</v>
      </c>
      <c r="AF428">
        <v>166</v>
      </c>
      <c r="AG428">
        <v>9675</v>
      </c>
      <c r="AH428">
        <v>18033</v>
      </c>
      <c r="AI428">
        <v>914</v>
      </c>
      <c r="AK428" t="s">
        <v>8264</v>
      </c>
      <c r="AM428" s="79" t="str">
        <f>HYPERLINK("https://t.co/0XonZlgZZz")</f>
        <v>https://t.co/0XonZlgZZz</v>
      </c>
      <c r="AO428" s="76">
        <v>40036.581909722219</v>
      </c>
      <c r="AP428" s="79" t="str">
        <f>HYPERLINK("https://pbs.twimg.com/profile_banners/64719796/1672256060")</f>
        <v>https://pbs.twimg.com/profile_banners/64719796/1672256060</v>
      </c>
      <c r="AQ428" t="b">
        <v>0</v>
      </c>
      <c r="AR428" t="b">
        <v>0</v>
      </c>
      <c r="AS428" t="b">
        <v>0</v>
      </c>
      <c r="AU428">
        <v>141</v>
      </c>
      <c r="AV428" s="79" t="str">
        <f>HYPERLINK("https://abs.twimg.com/images/themes/theme1/bg.png")</f>
        <v>https://abs.twimg.com/images/themes/theme1/bg.png</v>
      </c>
      <c r="AW428" t="b">
        <v>1</v>
      </c>
      <c r="AX428" t="s">
        <v>9303</v>
      </c>
      <c r="AY428" s="79" t="str">
        <f>HYPERLINK("https://twitter.com/tracfone")</f>
        <v>https://twitter.com/tracfone</v>
      </c>
      <c r="AZ428" t="s">
        <v>65</v>
      </c>
      <c r="BA428" s="2"/>
    </row>
    <row r="429" spans="1:53" x14ac:dyDescent="0.45">
      <c r="A429" s="62" t="s">
        <v>864</v>
      </c>
      <c r="B429" s="63"/>
      <c r="C429" s="63"/>
      <c r="D429" s="64"/>
      <c r="E429" s="66"/>
      <c r="F429" s="98" t="str">
        <f>HYPERLINK("https://pbs.twimg.com/profile_images/1619787395779493888/jin2_Crg_normal.jpg")</f>
        <v>https://pbs.twimg.com/profile_images/1619787395779493888/jin2_Crg_normal.jpg</v>
      </c>
      <c r="G429" s="63"/>
      <c r="H429" s="67"/>
      <c r="I429" s="68"/>
      <c r="J429" s="68"/>
      <c r="K429" s="67" t="s">
        <v>10265</v>
      </c>
      <c r="L429" s="71"/>
      <c r="M429" s="72"/>
      <c r="N429" s="72"/>
      <c r="O429" s="73"/>
      <c r="P429" s="74"/>
      <c r="Q429" s="74"/>
      <c r="R429" s="81"/>
      <c r="S429" s="81"/>
      <c r="T429" s="81"/>
      <c r="U429" s="81"/>
      <c r="V429" s="48"/>
      <c r="W429" s="48"/>
      <c r="X429" s="48"/>
      <c r="Y429" s="48"/>
      <c r="Z429" s="47"/>
      <c r="AA429" s="69"/>
      <c r="AB429" s="69"/>
      <c r="AC429" s="70"/>
      <c r="AD429" t="s">
        <v>5948</v>
      </c>
      <c r="AE429" s="78" t="s">
        <v>7161</v>
      </c>
      <c r="AF429">
        <v>6942</v>
      </c>
      <c r="AG429">
        <v>9639</v>
      </c>
      <c r="AH429">
        <v>303307</v>
      </c>
      <c r="AI429">
        <v>162182</v>
      </c>
      <c r="AK429" t="s">
        <v>8326</v>
      </c>
      <c r="AL429" t="s">
        <v>9144</v>
      </c>
      <c r="AM429" s="79" t="str">
        <f>HYPERLINK("https://t.co/15I0HZSq1r")</f>
        <v>https://t.co/15I0HZSq1r</v>
      </c>
      <c r="AO429" s="76">
        <v>42459.604050925926</v>
      </c>
      <c r="AP429" s="79" t="str">
        <f>HYPERLINK("https://pbs.twimg.com/profile_banners/715184263310786560/1675022384")</f>
        <v>https://pbs.twimg.com/profile_banners/715184263310786560/1675022384</v>
      </c>
      <c r="AQ429" t="b">
        <v>0</v>
      </c>
      <c r="AR429" t="b">
        <v>0</v>
      </c>
      <c r="AS429" t="b">
        <v>1</v>
      </c>
      <c r="AU429">
        <v>95</v>
      </c>
      <c r="AV429" s="79" t="str">
        <f>HYPERLINK("https://abs.twimg.com/images/themes/theme1/bg.png")</f>
        <v>https://abs.twimg.com/images/themes/theme1/bg.png</v>
      </c>
      <c r="AW429" t="b">
        <v>0</v>
      </c>
      <c r="AX429" t="s">
        <v>9303</v>
      </c>
      <c r="AY429" s="79" t="str">
        <f>HYPERLINK("https://twitter.com/folklorecory")</f>
        <v>https://twitter.com/folklorecory</v>
      </c>
      <c r="AZ429" t="s">
        <v>66</v>
      </c>
      <c r="BA429" s="2"/>
    </row>
    <row r="430" spans="1:53" x14ac:dyDescent="0.45">
      <c r="A430" s="62" t="s">
        <v>351</v>
      </c>
      <c r="B430" s="63"/>
      <c r="C430" s="63"/>
      <c r="D430" s="64"/>
      <c r="E430" s="66"/>
      <c r="F430" s="98" t="str">
        <f>HYPERLINK("https://pbs.twimg.com/profile_images/1619834845013614592/xcpjSk06_normal.jpg")</f>
        <v>https://pbs.twimg.com/profile_images/1619834845013614592/xcpjSk06_normal.jpg</v>
      </c>
      <c r="G430" s="63"/>
      <c r="H430" s="67"/>
      <c r="I430" s="68"/>
      <c r="J430" s="68"/>
      <c r="K430" s="67" t="s">
        <v>9576</v>
      </c>
      <c r="L430" s="71"/>
      <c r="M430" s="72"/>
      <c r="N430" s="72"/>
      <c r="O430" s="73"/>
      <c r="P430" s="74"/>
      <c r="Q430" s="74"/>
      <c r="R430" s="81"/>
      <c r="S430" s="81"/>
      <c r="T430" s="81"/>
      <c r="U430" s="81"/>
      <c r="V430" s="48"/>
      <c r="W430" s="48"/>
      <c r="X430" s="48"/>
      <c r="Y430" s="48"/>
      <c r="Z430" s="47"/>
      <c r="AA430" s="69"/>
      <c r="AB430" s="69"/>
      <c r="AC430" s="70"/>
      <c r="AD430" t="s">
        <v>5269</v>
      </c>
      <c r="AE430" s="78" t="s">
        <v>6547</v>
      </c>
      <c r="AF430">
        <v>420</v>
      </c>
      <c r="AG430">
        <v>9479</v>
      </c>
      <c r="AH430">
        <v>2559</v>
      </c>
      <c r="AI430">
        <v>4399</v>
      </c>
      <c r="AK430" t="s">
        <v>7730</v>
      </c>
      <c r="AL430" t="s">
        <v>8821</v>
      </c>
      <c r="AO430" s="76">
        <v>44375.862824074073</v>
      </c>
      <c r="AP430" s="79" t="str">
        <f>HYPERLINK("https://pbs.twimg.com/profile_banners/1409612797353283586/1669225608")</f>
        <v>https://pbs.twimg.com/profile_banners/1409612797353283586/1669225608</v>
      </c>
      <c r="AQ430" t="b">
        <v>1</v>
      </c>
      <c r="AR430" t="b">
        <v>0</v>
      </c>
      <c r="AS430" t="b">
        <v>0</v>
      </c>
      <c r="AU430">
        <v>63</v>
      </c>
      <c r="AW430" t="b">
        <v>0</v>
      </c>
      <c r="AX430" t="s">
        <v>9303</v>
      </c>
      <c r="AY430" s="79" t="str">
        <f>HYPERLINK("https://twitter.com/rh_account")</f>
        <v>https://twitter.com/rh_account</v>
      </c>
      <c r="AZ430" t="s">
        <v>66</v>
      </c>
      <c r="BA430" s="2"/>
    </row>
    <row r="431" spans="1:53" x14ac:dyDescent="0.45">
      <c r="A431" s="62" t="s">
        <v>1413</v>
      </c>
      <c r="B431" s="63"/>
      <c r="C431" s="63"/>
      <c r="D431" s="64"/>
      <c r="E431" s="66"/>
      <c r="F431" s="98" t="str">
        <f>HYPERLINK("https://pbs.twimg.com/profile_images/1080511499578290176/Bt6aub6Y_normal.jpg")</f>
        <v>https://pbs.twimg.com/profile_images/1080511499578290176/Bt6aub6Y_normal.jpg</v>
      </c>
      <c r="G431" s="63"/>
      <c r="H431" s="67"/>
      <c r="I431" s="68"/>
      <c r="J431" s="68"/>
      <c r="K431" s="67" t="s">
        <v>10290</v>
      </c>
      <c r="L431" s="71"/>
      <c r="M431" s="72"/>
      <c r="N431" s="72"/>
      <c r="O431" s="73"/>
      <c r="P431" s="74"/>
      <c r="Q431" s="74"/>
      <c r="R431" s="81"/>
      <c r="S431" s="81"/>
      <c r="T431" s="81"/>
      <c r="U431" s="81"/>
      <c r="V431" s="48"/>
      <c r="W431" s="48"/>
      <c r="X431" s="48"/>
      <c r="Y431" s="48"/>
      <c r="Z431" s="47"/>
      <c r="AA431" s="69"/>
      <c r="AB431" s="69"/>
      <c r="AC431" s="70"/>
      <c r="AD431" t="s">
        <v>5973</v>
      </c>
      <c r="AE431" s="78" t="s">
        <v>7185</v>
      </c>
      <c r="AF431">
        <v>127</v>
      </c>
      <c r="AG431">
        <v>9219</v>
      </c>
      <c r="AH431">
        <v>1808</v>
      </c>
      <c r="AI431">
        <v>1710</v>
      </c>
      <c r="AK431" t="s">
        <v>8350</v>
      </c>
      <c r="AL431" t="s">
        <v>9156</v>
      </c>
      <c r="AM431" s="79" t="str">
        <f>HYPERLINK("https://t.co/OjSN2qJtNr")</f>
        <v>https://t.co/OjSN2qJtNr</v>
      </c>
      <c r="AO431" s="76">
        <v>40360.823622685188</v>
      </c>
      <c r="AP431" s="79" t="str">
        <f>HYPERLINK("https://pbs.twimg.com/profile_banners/161788632/1669833943")</f>
        <v>https://pbs.twimg.com/profile_banners/161788632/1669833943</v>
      </c>
      <c r="AQ431" t="b">
        <v>0</v>
      </c>
      <c r="AR431" t="b">
        <v>0</v>
      </c>
      <c r="AS431" t="b">
        <v>0</v>
      </c>
      <c r="AU431">
        <v>62</v>
      </c>
      <c r="AV431" s="79" t="str">
        <f>HYPERLINK("https://abs.twimg.com/images/themes/theme1/bg.png")</f>
        <v>https://abs.twimg.com/images/themes/theme1/bg.png</v>
      </c>
      <c r="AW431" t="b">
        <v>1</v>
      </c>
      <c r="AX431" t="s">
        <v>9303</v>
      </c>
      <c r="AY431" s="79" t="str">
        <f>HYPERLINK("https://twitter.com/menards")</f>
        <v>https://twitter.com/menards</v>
      </c>
      <c r="AZ431" t="s">
        <v>65</v>
      </c>
      <c r="BA431" s="2"/>
    </row>
    <row r="432" spans="1:53" x14ac:dyDescent="0.45">
      <c r="A432" s="62" t="s">
        <v>668</v>
      </c>
      <c r="B432" s="63"/>
      <c r="C432" s="63"/>
      <c r="D432" s="64"/>
      <c r="E432" s="66"/>
      <c r="F432" s="98" t="str">
        <f>HYPERLINK("https://pbs.twimg.com/profile_images/1267423316232548352/CNmBeC3I_normal.jpg")</f>
        <v>https://pbs.twimg.com/profile_images/1267423316232548352/CNmBeC3I_normal.jpg</v>
      </c>
      <c r="G432" s="63"/>
      <c r="H432" s="67"/>
      <c r="I432" s="68"/>
      <c r="J432" s="68"/>
      <c r="K432" s="67" t="s">
        <v>9989</v>
      </c>
      <c r="L432" s="71"/>
      <c r="M432" s="72"/>
      <c r="N432" s="72"/>
      <c r="O432" s="73"/>
      <c r="P432" s="74"/>
      <c r="Q432" s="74"/>
      <c r="R432" s="81"/>
      <c r="S432" s="81"/>
      <c r="T432" s="81"/>
      <c r="U432" s="81"/>
      <c r="V432" s="48"/>
      <c r="W432" s="48"/>
      <c r="X432" s="48"/>
      <c r="Y432" s="48"/>
      <c r="Z432" s="47"/>
      <c r="AA432" s="69"/>
      <c r="AB432" s="69"/>
      <c r="AC432" s="70"/>
      <c r="AD432" t="s">
        <v>5679</v>
      </c>
      <c r="AE432" s="78" t="s">
        <v>6922</v>
      </c>
      <c r="AF432">
        <v>557</v>
      </c>
      <c r="AG432">
        <v>9078</v>
      </c>
      <c r="AH432">
        <v>16966</v>
      </c>
      <c r="AI432">
        <v>3744</v>
      </c>
      <c r="AK432" t="s">
        <v>8088</v>
      </c>
      <c r="AL432" t="s">
        <v>9030</v>
      </c>
      <c r="AM432" s="79" t="str">
        <f>HYPERLINK("https://t.co/k5yvushMxM")</f>
        <v>https://t.co/k5yvushMxM</v>
      </c>
      <c r="AO432" s="76">
        <v>41084.882615740738</v>
      </c>
      <c r="AP432" s="79" t="str">
        <f>HYPERLINK("https://pbs.twimg.com/profile_banners/617476052/1591012242")</f>
        <v>https://pbs.twimg.com/profile_banners/617476052/1591012242</v>
      </c>
      <c r="AQ432" t="b">
        <v>0</v>
      </c>
      <c r="AR432" t="b">
        <v>0</v>
      </c>
      <c r="AS432" t="b">
        <v>0</v>
      </c>
      <c r="AU432">
        <v>80</v>
      </c>
      <c r="AV432" s="79" t="str">
        <f>HYPERLINK("https://abs.twimg.com/images/themes/theme1/bg.png")</f>
        <v>https://abs.twimg.com/images/themes/theme1/bg.png</v>
      </c>
      <c r="AW432" t="b">
        <v>0</v>
      </c>
      <c r="AX432" t="s">
        <v>9303</v>
      </c>
      <c r="AY432" s="79" t="str">
        <f>HYPERLINK("https://twitter.com/kyvan82")</f>
        <v>https://twitter.com/kyvan82</v>
      </c>
      <c r="AZ432" t="s">
        <v>66</v>
      </c>
      <c r="BA432" s="2"/>
    </row>
    <row r="433" spans="1:53" x14ac:dyDescent="0.45">
      <c r="A433" s="62" t="s">
        <v>846</v>
      </c>
      <c r="B433" s="63"/>
      <c r="C433" s="63"/>
      <c r="D433" s="64"/>
      <c r="E433" s="66"/>
      <c r="F433" s="98" t="str">
        <f>HYPERLINK("https://pbs.twimg.com/profile_images/1610325301094916098/A1CopmAl_normal.jpg")</f>
        <v>https://pbs.twimg.com/profile_images/1610325301094916098/A1CopmAl_normal.jpg</v>
      </c>
      <c r="G433" s="63"/>
      <c r="H433" s="67"/>
      <c r="I433" s="68"/>
      <c r="J433" s="68"/>
      <c r="K433" s="67" t="s">
        <v>10242</v>
      </c>
      <c r="L433" s="71"/>
      <c r="M433" s="72"/>
      <c r="N433" s="72"/>
      <c r="O433" s="73"/>
      <c r="P433" s="74"/>
      <c r="Q433" s="74"/>
      <c r="R433" s="81"/>
      <c r="S433" s="81"/>
      <c r="T433" s="81"/>
      <c r="U433" s="81"/>
      <c r="V433" s="48"/>
      <c r="W433" s="48"/>
      <c r="X433" s="48"/>
      <c r="Y433" s="48"/>
      <c r="Z433" s="47"/>
      <c r="AA433" s="69"/>
      <c r="AB433" s="69"/>
      <c r="AC433" s="70"/>
      <c r="AD433" t="s">
        <v>5926</v>
      </c>
      <c r="AE433" s="78" t="s">
        <v>7141</v>
      </c>
      <c r="AF433">
        <v>5532</v>
      </c>
      <c r="AG433">
        <v>9040</v>
      </c>
      <c r="AH433">
        <v>18094</v>
      </c>
      <c r="AI433">
        <v>5337</v>
      </c>
      <c r="AK433" t="s">
        <v>8306</v>
      </c>
      <c r="AL433" t="s">
        <v>9135</v>
      </c>
      <c r="AM433" s="79" t="str">
        <f>HYPERLINK("https://t.co/p0exzLPYD0")</f>
        <v>https://t.co/p0exzLPYD0</v>
      </c>
      <c r="AO433" s="76">
        <v>39885.805567129632</v>
      </c>
      <c r="AP433" s="79" t="str">
        <f>HYPERLINK("https://pbs.twimg.com/profile_banners/24232415/1672766700")</f>
        <v>https://pbs.twimg.com/profile_banners/24232415/1672766700</v>
      </c>
      <c r="AQ433" t="b">
        <v>0</v>
      </c>
      <c r="AR433" t="b">
        <v>0</v>
      </c>
      <c r="AS433" t="b">
        <v>1</v>
      </c>
      <c r="AU433">
        <v>292</v>
      </c>
      <c r="AV433" s="79" t="str">
        <f>HYPERLINK("https://abs.twimg.com/images/themes/theme1/bg.png")</f>
        <v>https://abs.twimg.com/images/themes/theme1/bg.png</v>
      </c>
      <c r="AW433" t="b">
        <v>0</v>
      </c>
      <c r="AX433" t="s">
        <v>9303</v>
      </c>
      <c r="AY433" s="79" t="str">
        <f>HYPERLINK("https://twitter.com/stlfoodbank")</f>
        <v>https://twitter.com/stlfoodbank</v>
      </c>
      <c r="AZ433" t="s">
        <v>66</v>
      </c>
      <c r="BA433" s="2"/>
    </row>
    <row r="434" spans="1:53" x14ac:dyDescent="0.45">
      <c r="A434" s="62" t="s">
        <v>1140</v>
      </c>
      <c r="B434" s="63"/>
      <c r="C434" s="63"/>
      <c r="D434" s="64"/>
      <c r="E434" s="66"/>
      <c r="F434" s="98" t="str">
        <f>HYPERLINK("https://pbs.twimg.com/profile_images/1610463973043740672/yHmsYvCy_normal.jpg")</f>
        <v>https://pbs.twimg.com/profile_images/1610463973043740672/yHmsYvCy_normal.jpg</v>
      </c>
      <c r="G434" s="63"/>
      <c r="H434" s="67"/>
      <c r="I434" s="68"/>
      <c r="J434" s="68"/>
      <c r="K434" s="67" t="s">
        <v>9365</v>
      </c>
      <c r="L434" s="71"/>
      <c r="M434" s="72"/>
      <c r="N434" s="72"/>
      <c r="O434" s="73"/>
      <c r="P434" s="74"/>
      <c r="Q434" s="74"/>
      <c r="R434" s="81"/>
      <c r="S434" s="81"/>
      <c r="T434" s="81"/>
      <c r="U434" s="81"/>
      <c r="V434" s="48"/>
      <c r="W434" s="48"/>
      <c r="X434" s="48"/>
      <c r="Y434" s="48"/>
      <c r="Z434" s="47"/>
      <c r="AA434" s="69"/>
      <c r="AB434" s="69"/>
      <c r="AC434" s="70"/>
      <c r="AD434" t="s">
        <v>5061</v>
      </c>
      <c r="AE434" s="78" t="s">
        <v>6376</v>
      </c>
      <c r="AF434">
        <v>1225</v>
      </c>
      <c r="AG434">
        <v>8966</v>
      </c>
      <c r="AH434">
        <v>67036</v>
      </c>
      <c r="AI434">
        <v>50949</v>
      </c>
      <c r="AK434" t="s">
        <v>7547</v>
      </c>
      <c r="AL434" t="s">
        <v>8716</v>
      </c>
      <c r="AM434" s="79" t="str">
        <f>HYPERLINK("https://t.co/2yAFmuX4Yk")</f>
        <v>https://t.co/2yAFmuX4Yk</v>
      </c>
      <c r="AO434" s="76">
        <v>43759.207361111112</v>
      </c>
      <c r="AP434" s="79" t="str">
        <f>HYPERLINK("https://pbs.twimg.com/profile_banners/1186144637012074497/1651907676")</f>
        <v>https://pbs.twimg.com/profile_banners/1186144637012074497/1651907676</v>
      </c>
      <c r="AQ434" t="b">
        <v>1</v>
      </c>
      <c r="AR434" t="b">
        <v>0</v>
      </c>
      <c r="AS434" t="b">
        <v>1</v>
      </c>
      <c r="AU434">
        <v>85</v>
      </c>
      <c r="AW434" t="b">
        <v>0</v>
      </c>
      <c r="AX434" t="s">
        <v>9303</v>
      </c>
      <c r="AY434" s="79" t="str">
        <f>HYPERLINK("https://twitter.com/evasmartai")</f>
        <v>https://twitter.com/evasmartai</v>
      </c>
      <c r="AZ434" t="s">
        <v>65</v>
      </c>
      <c r="BA434" s="2"/>
    </row>
    <row r="435" spans="1:53" x14ac:dyDescent="0.45">
      <c r="A435" s="62" t="s">
        <v>859</v>
      </c>
      <c r="B435" s="63"/>
      <c r="C435" s="63"/>
      <c r="D435" s="64"/>
      <c r="E435" s="66"/>
      <c r="F435" s="98" t="str">
        <f>HYPERLINK("https://pbs.twimg.com/profile_images/1927726827/TrayvonMartin_1_normal.jpg")</f>
        <v>https://pbs.twimg.com/profile_images/1927726827/TrayvonMartin_1_normal.jpg</v>
      </c>
      <c r="G435" s="63"/>
      <c r="H435" s="67"/>
      <c r="I435" s="68"/>
      <c r="J435" s="68"/>
      <c r="K435" s="67" t="s">
        <v>10258</v>
      </c>
      <c r="L435" s="71"/>
      <c r="M435" s="72"/>
      <c r="N435" s="72"/>
      <c r="O435" s="73"/>
      <c r="P435" s="74"/>
      <c r="Q435" s="74"/>
      <c r="R435" s="81"/>
      <c r="S435" s="81"/>
      <c r="T435" s="81"/>
      <c r="U435" s="81"/>
      <c r="V435" s="48"/>
      <c r="W435" s="48"/>
      <c r="X435" s="48"/>
      <c r="Y435" s="48"/>
      <c r="Z435" s="47"/>
      <c r="AA435" s="69"/>
      <c r="AB435" s="69"/>
      <c r="AC435" s="70"/>
      <c r="AD435" t="s">
        <v>5941</v>
      </c>
      <c r="AE435" s="78" t="s">
        <v>7155</v>
      </c>
      <c r="AF435">
        <v>4938</v>
      </c>
      <c r="AG435">
        <v>8824</v>
      </c>
      <c r="AH435">
        <v>371628</v>
      </c>
      <c r="AI435">
        <v>73824</v>
      </c>
      <c r="AK435" t="s">
        <v>8319</v>
      </c>
      <c r="AL435" t="s">
        <v>9142</v>
      </c>
      <c r="AM435" s="79" t="str">
        <f>HYPERLINK("https://t.co/dtoa9xRbJQ")</f>
        <v>https://t.co/dtoa9xRbJQ</v>
      </c>
      <c r="AO435" s="76">
        <v>39855.213773148149</v>
      </c>
      <c r="AP435" s="79" t="str">
        <f>HYPERLINK("https://pbs.twimg.com/profile_banners/20572543/1404256774")</f>
        <v>https://pbs.twimg.com/profile_banners/20572543/1404256774</v>
      </c>
      <c r="AQ435" t="b">
        <v>0</v>
      </c>
      <c r="AR435" t="b">
        <v>0</v>
      </c>
      <c r="AS435" t="b">
        <v>0</v>
      </c>
      <c r="AU435">
        <v>249</v>
      </c>
      <c r="AV435" s="79" t="str">
        <f>HYPERLINK("https://abs.twimg.com/images/themes/theme10/bg.gif")</f>
        <v>https://abs.twimg.com/images/themes/theme10/bg.gif</v>
      </c>
      <c r="AW435" t="b">
        <v>0</v>
      </c>
      <c r="AX435" t="s">
        <v>9303</v>
      </c>
      <c r="AY435" s="79" t="str">
        <f>HYPERLINK("https://twitter.com/boneknightmare")</f>
        <v>https://twitter.com/boneknightmare</v>
      </c>
      <c r="AZ435" t="s">
        <v>66</v>
      </c>
      <c r="BA435" s="2"/>
    </row>
    <row r="436" spans="1:53" x14ac:dyDescent="0.45">
      <c r="A436" s="62" t="s">
        <v>1254</v>
      </c>
      <c r="B436" s="63"/>
      <c r="C436" s="63"/>
      <c r="D436" s="64"/>
      <c r="E436" s="66"/>
      <c r="F436" s="98" t="str">
        <f>HYPERLINK("https://pbs.twimg.com/profile_images/582556262/JJ-Head-Drawing_normal.jpg")</f>
        <v>https://pbs.twimg.com/profile_images/582556262/JJ-Head-Drawing_normal.jpg</v>
      </c>
      <c r="G436" s="63"/>
      <c r="H436" s="67"/>
      <c r="I436" s="68"/>
      <c r="J436" s="68"/>
      <c r="K436" s="67" t="s">
        <v>9631</v>
      </c>
      <c r="L436" s="71"/>
      <c r="M436" s="72"/>
      <c r="N436" s="72"/>
      <c r="O436" s="73"/>
      <c r="P436" s="74"/>
      <c r="Q436" s="74"/>
      <c r="R436" s="81"/>
      <c r="S436" s="81"/>
      <c r="T436" s="81"/>
      <c r="U436" s="81"/>
      <c r="V436" s="48"/>
      <c r="W436" s="48"/>
      <c r="X436" s="48"/>
      <c r="Y436" s="48"/>
      <c r="Z436" s="47"/>
      <c r="AA436" s="69"/>
      <c r="AB436" s="69"/>
      <c r="AC436" s="70"/>
      <c r="AD436" t="s">
        <v>5324</v>
      </c>
      <c r="AE436" s="78" t="s">
        <v>6599</v>
      </c>
      <c r="AF436">
        <v>551</v>
      </c>
      <c r="AG436">
        <v>8664</v>
      </c>
      <c r="AH436">
        <v>13705</v>
      </c>
      <c r="AI436">
        <v>13578</v>
      </c>
      <c r="AK436" t="s">
        <v>7777</v>
      </c>
      <c r="AL436" t="s">
        <v>8848</v>
      </c>
      <c r="AM436" s="79" t="str">
        <f>HYPERLINK("http://t.co/dD123QsS3E")</f>
        <v>http://t.co/dD123QsS3E</v>
      </c>
      <c r="AO436" s="76">
        <v>40166.786851851852</v>
      </c>
      <c r="AP436" s="79" t="str">
        <f>HYPERLINK("https://pbs.twimg.com/profile_banners/97958611/1373286266")</f>
        <v>https://pbs.twimg.com/profile_banners/97958611/1373286266</v>
      </c>
      <c r="AQ436" t="b">
        <v>0</v>
      </c>
      <c r="AR436" t="b">
        <v>0</v>
      </c>
      <c r="AS436" t="b">
        <v>1</v>
      </c>
      <c r="AU436">
        <v>136</v>
      </c>
      <c r="AV436" s="79" t="str">
        <f>HYPERLINK("https://abs.twimg.com/images/themes/theme6/bg.gif")</f>
        <v>https://abs.twimg.com/images/themes/theme6/bg.gif</v>
      </c>
      <c r="AW436" t="b">
        <v>1</v>
      </c>
      <c r="AX436" t="s">
        <v>9303</v>
      </c>
      <c r="AY436" s="79" t="str">
        <f>HYPERLINK("https://twitter.com/junglejimsmrkt")</f>
        <v>https://twitter.com/junglejimsmrkt</v>
      </c>
      <c r="AZ436" t="s">
        <v>65</v>
      </c>
      <c r="BA436" s="2"/>
    </row>
    <row r="437" spans="1:53" x14ac:dyDescent="0.45">
      <c r="A437" s="62" t="s">
        <v>1385</v>
      </c>
      <c r="B437" s="63"/>
      <c r="C437" s="63"/>
      <c r="D437" s="64"/>
      <c r="E437" s="66"/>
      <c r="F437" s="98" t="str">
        <f>HYPERLINK("https://pbs.twimg.com/profile_images/1021740564235120642/KluJan7B_normal.jpg")</f>
        <v>https://pbs.twimg.com/profile_images/1021740564235120642/KluJan7B_normal.jpg</v>
      </c>
      <c r="G437" s="63"/>
      <c r="H437" s="67"/>
      <c r="I437" s="68"/>
      <c r="J437" s="68"/>
      <c r="K437" s="67" t="s">
        <v>10187</v>
      </c>
      <c r="L437" s="71"/>
      <c r="M437" s="72"/>
      <c r="N437" s="72"/>
      <c r="O437" s="73"/>
      <c r="P437" s="74"/>
      <c r="Q437" s="74"/>
      <c r="R437" s="81"/>
      <c r="S437" s="81"/>
      <c r="T437" s="81"/>
      <c r="U437" s="81"/>
      <c r="V437" s="48"/>
      <c r="W437" s="48"/>
      <c r="X437" s="48"/>
      <c r="Y437" s="48"/>
      <c r="Z437" s="47"/>
      <c r="AA437" s="69"/>
      <c r="AB437" s="69"/>
      <c r="AC437" s="70"/>
      <c r="AD437" t="s">
        <v>5871</v>
      </c>
      <c r="AE437" s="78" t="s">
        <v>7094</v>
      </c>
      <c r="AF437">
        <v>2519</v>
      </c>
      <c r="AG437">
        <v>8601</v>
      </c>
      <c r="AH437">
        <v>9189</v>
      </c>
      <c r="AI437">
        <v>9247</v>
      </c>
      <c r="AK437" t="s">
        <v>8260</v>
      </c>
      <c r="AL437" t="s">
        <v>9113</v>
      </c>
      <c r="AM437" s="79" t="str">
        <f>HYPERLINK("https://t.co/pelfS7v0I9")</f>
        <v>https://t.co/pelfS7v0I9</v>
      </c>
      <c r="AO437" s="76">
        <v>43305.531053240738</v>
      </c>
      <c r="AP437" s="79" t="str">
        <f>HYPERLINK("https://pbs.twimg.com/profile_banners/1021737944200171525/1646853391")</f>
        <v>https://pbs.twimg.com/profile_banners/1021737944200171525/1646853391</v>
      </c>
      <c r="AQ437" t="b">
        <v>1</v>
      </c>
      <c r="AR437" t="b">
        <v>0</v>
      </c>
      <c r="AS437" t="b">
        <v>1</v>
      </c>
      <c r="AU437">
        <v>76</v>
      </c>
      <c r="AW437" t="b">
        <v>0</v>
      </c>
      <c r="AX437" t="s">
        <v>9303</v>
      </c>
      <c r="AY437" s="79" t="str">
        <f>HYPERLINK("https://twitter.com/djnontario")</f>
        <v>https://twitter.com/djnontario</v>
      </c>
      <c r="AZ437" t="s">
        <v>65</v>
      </c>
      <c r="BA437" s="2"/>
    </row>
    <row r="438" spans="1:53" x14ac:dyDescent="0.45">
      <c r="A438" s="62" t="s">
        <v>1074</v>
      </c>
      <c r="B438" s="63"/>
      <c r="C438" s="63"/>
      <c r="D438" s="64"/>
      <c r="E438" s="66"/>
      <c r="F438" s="98" t="str">
        <f>HYPERLINK("https://pbs.twimg.com/profile_images/1423007481907892225/0q1RnQds_normal.png")</f>
        <v>https://pbs.twimg.com/profile_images/1423007481907892225/0q1RnQds_normal.png</v>
      </c>
      <c r="G438" s="63"/>
      <c r="H438" s="67"/>
      <c r="I438" s="68"/>
      <c r="J438" s="68"/>
      <c r="K438" s="67" t="s">
        <v>10605</v>
      </c>
      <c r="L438" s="71"/>
      <c r="M438" s="72"/>
      <c r="N438" s="72"/>
      <c r="O438" s="73"/>
      <c r="P438" s="74"/>
      <c r="Q438" s="74"/>
      <c r="R438" s="81"/>
      <c r="S438" s="81"/>
      <c r="T438" s="81"/>
      <c r="U438" s="81"/>
      <c r="V438" s="48"/>
      <c r="W438" s="48"/>
      <c r="X438" s="48"/>
      <c r="Y438" s="48"/>
      <c r="Z438" s="47"/>
      <c r="AA438" s="69"/>
      <c r="AB438" s="69"/>
      <c r="AC438" s="70"/>
      <c r="AD438" t="s">
        <v>6281</v>
      </c>
      <c r="AE438" s="78" t="s">
        <v>7447</v>
      </c>
      <c r="AF438">
        <v>118</v>
      </c>
      <c r="AG438">
        <v>8356</v>
      </c>
      <c r="AH438">
        <v>12509</v>
      </c>
      <c r="AI438">
        <v>14517</v>
      </c>
      <c r="AK438" t="s">
        <v>8629</v>
      </c>
      <c r="AL438" t="s">
        <v>9285</v>
      </c>
      <c r="AM438" s="79" t="str">
        <f>HYPERLINK("https://t.co/bLkgrkMzil")</f>
        <v>https://t.co/bLkgrkMzil</v>
      </c>
      <c r="AO438" s="76">
        <v>41568.226261574076</v>
      </c>
      <c r="AP438" s="79" t="str">
        <f>HYPERLINK("https://pbs.twimg.com/profile_banners/1977486132/1668812096")</f>
        <v>https://pbs.twimg.com/profile_banners/1977486132/1668812096</v>
      </c>
      <c r="AQ438" t="b">
        <v>0</v>
      </c>
      <c r="AR438" t="b">
        <v>0</v>
      </c>
      <c r="AS438" t="b">
        <v>1</v>
      </c>
      <c r="AU438">
        <v>66</v>
      </c>
      <c r="AV438" s="79" t="str">
        <f>HYPERLINK("https://abs.twimg.com/images/themes/theme1/bg.png")</f>
        <v>https://abs.twimg.com/images/themes/theme1/bg.png</v>
      </c>
      <c r="AW438" t="b">
        <v>0</v>
      </c>
      <c r="AX438" t="s">
        <v>9303</v>
      </c>
      <c r="AY438" s="79" t="str">
        <f>HYPERLINK("https://twitter.com/saturday_am")</f>
        <v>https://twitter.com/saturday_am</v>
      </c>
      <c r="AZ438" t="s">
        <v>66</v>
      </c>
      <c r="BA438" s="2"/>
    </row>
    <row r="439" spans="1:53" x14ac:dyDescent="0.45">
      <c r="A439" s="62" t="s">
        <v>1333</v>
      </c>
      <c r="B439" s="63"/>
      <c r="C439" s="63"/>
      <c r="D439" s="64"/>
      <c r="E439" s="66"/>
      <c r="F439" s="98" t="str">
        <f>HYPERLINK("https://pbs.twimg.com/profile_images/1493244080335298564/PNzQD-Uq_normal.jpg")</f>
        <v>https://pbs.twimg.com/profile_images/1493244080335298564/PNzQD-Uq_normal.jpg</v>
      </c>
      <c r="G439" s="63"/>
      <c r="H439" s="67"/>
      <c r="I439" s="68"/>
      <c r="J439" s="68"/>
      <c r="K439" s="67" t="s">
        <v>10013</v>
      </c>
      <c r="L439" s="71"/>
      <c r="M439" s="72"/>
      <c r="N439" s="72"/>
      <c r="O439" s="73"/>
      <c r="P439" s="74"/>
      <c r="Q439" s="74"/>
      <c r="R439" s="81"/>
      <c r="S439" s="81"/>
      <c r="T439" s="81"/>
      <c r="U439" s="81"/>
      <c r="V439" s="48"/>
      <c r="W439" s="48"/>
      <c r="X439" s="48"/>
      <c r="Y439" s="48"/>
      <c r="Z439" s="47"/>
      <c r="AA439" s="69"/>
      <c r="AB439" s="69"/>
      <c r="AC439" s="70"/>
      <c r="AD439" t="s">
        <v>5703</v>
      </c>
      <c r="AE439" s="78" t="s">
        <v>6944</v>
      </c>
      <c r="AF439">
        <v>1486</v>
      </c>
      <c r="AG439">
        <v>8254</v>
      </c>
      <c r="AH439">
        <v>3373</v>
      </c>
      <c r="AI439">
        <v>1064</v>
      </c>
      <c r="AK439" t="s">
        <v>8107</v>
      </c>
      <c r="AL439" t="s">
        <v>8769</v>
      </c>
      <c r="AM439" s="79" t="str">
        <f>HYPERLINK("https://t.co/wJiTO2aBNH")</f>
        <v>https://t.co/wJiTO2aBNH</v>
      </c>
      <c r="AO439" s="76">
        <v>39787.886284722219</v>
      </c>
      <c r="AP439" s="79" t="str">
        <f>HYPERLINK("https://pbs.twimg.com/profile_banners/17908262/1518642729")</f>
        <v>https://pbs.twimg.com/profile_banners/17908262/1518642729</v>
      </c>
      <c r="AQ439" t="b">
        <v>0</v>
      </c>
      <c r="AR439" t="b">
        <v>0</v>
      </c>
      <c r="AS439" t="b">
        <v>1</v>
      </c>
      <c r="AU439">
        <v>170</v>
      </c>
      <c r="AV439" s="79" t="str">
        <f>HYPERLINK("https://abs.twimg.com/images/themes/theme1/bg.png")</f>
        <v>https://abs.twimg.com/images/themes/theme1/bg.png</v>
      </c>
      <c r="AW439" t="b">
        <v>1</v>
      </c>
      <c r="AX439" t="s">
        <v>9303</v>
      </c>
      <c r="AY439" s="79" t="str">
        <f>HYPERLINK("https://twitter.com/cintascorp")</f>
        <v>https://twitter.com/cintascorp</v>
      </c>
      <c r="AZ439" t="s">
        <v>65</v>
      </c>
      <c r="BA439" s="2"/>
    </row>
    <row r="440" spans="1:53" x14ac:dyDescent="0.45">
      <c r="A440" s="62" t="s">
        <v>814</v>
      </c>
      <c r="B440" s="63"/>
      <c r="C440" s="63"/>
      <c r="D440" s="64"/>
      <c r="E440" s="66"/>
      <c r="F440" s="98" t="str">
        <f>HYPERLINK("https://pbs.twimg.com/profile_images/378800000408045698/6bc90c71643785e92e675e5f778fa27b_normal.jpeg")</f>
        <v>https://pbs.twimg.com/profile_images/378800000408045698/6bc90c71643785e92e675e5f778fa27b_normal.jpeg</v>
      </c>
      <c r="G440" s="63"/>
      <c r="H440" s="67"/>
      <c r="I440" s="68"/>
      <c r="J440" s="68"/>
      <c r="K440" s="67" t="s">
        <v>10198</v>
      </c>
      <c r="L440" s="71"/>
      <c r="M440" s="72"/>
      <c r="N440" s="72"/>
      <c r="O440" s="73"/>
      <c r="P440" s="74"/>
      <c r="Q440" s="74"/>
      <c r="R440" s="81"/>
      <c r="S440" s="81"/>
      <c r="T440" s="81"/>
      <c r="U440" s="81"/>
      <c r="V440" s="48"/>
      <c r="W440" s="48"/>
      <c r="X440" s="48"/>
      <c r="Y440" s="48"/>
      <c r="Z440" s="47"/>
      <c r="AA440" s="69"/>
      <c r="AB440" s="69"/>
      <c r="AC440" s="70"/>
      <c r="AD440" t="s">
        <v>5882</v>
      </c>
      <c r="AE440" s="78" t="s">
        <v>7103</v>
      </c>
      <c r="AF440">
        <v>5911</v>
      </c>
      <c r="AG440">
        <v>8212</v>
      </c>
      <c r="AH440">
        <v>3359</v>
      </c>
      <c r="AI440">
        <v>6</v>
      </c>
      <c r="AK440" t="s">
        <v>8268</v>
      </c>
      <c r="AL440" t="s">
        <v>8803</v>
      </c>
      <c r="AM440" s="79" t="str">
        <f>HYPERLINK("https://t.co/aMeKsqZ2sx")</f>
        <v>https://t.co/aMeKsqZ2sx</v>
      </c>
      <c r="AO440" s="76">
        <v>40222.423831018517</v>
      </c>
      <c r="AP440" s="79" t="str">
        <f>HYPERLINK("https://pbs.twimg.com/profile_banners/113880992/1466899597")</f>
        <v>https://pbs.twimg.com/profile_banners/113880992/1466899597</v>
      </c>
      <c r="AQ440" t="b">
        <v>0</v>
      </c>
      <c r="AR440" t="b">
        <v>0</v>
      </c>
      <c r="AS440" t="b">
        <v>0</v>
      </c>
      <c r="AU440">
        <v>26</v>
      </c>
      <c r="AV440" s="79" t="str">
        <f>HYPERLINK("https://abs.twimg.com/images/themes/theme1/bg.png")</f>
        <v>https://abs.twimg.com/images/themes/theme1/bg.png</v>
      </c>
      <c r="AW440" t="b">
        <v>0</v>
      </c>
      <c r="AX440" t="s">
        <v>9303</v>
      </c>
      <c r="AY440" s="79" t="str">
        <f>HYPERLINK("https://twitter.com/earnmoney2012")</f>
        <v>https://twitter.com/earnmoney2012</v>
      </c>
      <c r="AZ440" t="s">
        <v>66</v>
      </c>
      <c r="BA440" s="2"/>
    </row>
    <row r="441" spans="1:53" x14ac:dyDescent="0.45">
      <c r="A441" s="62" t="s">
        <v>1474</v>
      </c>
      <c r="B441" s="63"/>
      <c r="C441" s="63"/>
      <c r="D441" s="64"/>
      <c r="E441" s="66"/>
      <c r="F441" s="98" t="str">
        <f>HYPERLINK("https://pbs.twimg.com/profile_images/590159910773493761/nKpkTKSG_normal.png")</f>
        <v>https://pbs.twimg.com/profile_images/590159910773493761/nKpkTKSG_normal.png</v>
      </c>
      <c r="G441" s="63"/>
      <c r="H441" s="67"/>
      <c r="I441" s="68"/>
      <c r="J441" s="68"/>
      <c r="K441" s="67" t="s">
        <v>10444</v>
      </c>
      <c r="L441" s="71"/>
      <c r="M441" s="72"/>
      <c r="N441" s="72"/>
      <c r="O441" s="73"/>
      <c r="P441" s="74"/>
      <c r="Q441" s="74"/>
      <c r="R441" s="81"/>
      <c r="S441" s="81"/>
      <c r="T441" s="81"/>
      <c r="U441" s="81"/>
      <c r="V441" s="48"/>
      <c r="W441" s="48"/>
      <c r="X441" s="48"/>
      <c r="Y441" s="48"/>
      <c r="Z441" s="47"/>
      <c r="AA441" s="69"/>
      <c r="AB441" s="69"/>
      <c r="AC441" s="70"/>
      <c r="AD441" t="s">
        <v>6125</v>
      </c>
      <c r="AE441" s="78" t="s">
        <v>7319</v>
      </c>
      <c r="AF441">
        <v>1710</v>
      </c>
      <c r="AG441">
        <v>8190</v>
      </c>
      <c r="AH441">
        <v>8704</v>
      </c>
      <c r="AI441">
        <v>1269</v>
      </c>
      <c r="AK441" t="s">
        <v>8484</v>
      </c>
      <c r="AL441" t="s">
        <v>8959</v>
      </c>
      <c r="AM441" s="79" t="str">
        <f>HYPERLINK("https://t.co/Ti5pyocgTa")</f>
        <v>https://t.co/Ti5pyocgTa</v>
      </c>
      <c r="AO441" s="76">
        <v>41345.464548611111</v>
      </c>
      <c r="AP441" s="79" t="str">
        <f>HYPERLINK("https://pbs.twimg.com/profile_banners/1261722422/1646760534")</f>
        <v>https://pbs.twimg.com/profile_banners/1261722422/1646760534</v>
      </c>
      <c r="AQ441" t="b">
        <v>0</v>
      </c>
      <c r="AR441" t="b">
        <v>0</v>
      </c>
      <c r="AS441" t="b">
        <v>1</v>
      </c>
      <c r="AU441">
        <v>76</v>
      </c>
      <c r="AV441" s="79" t="str">
        <f>HYPERLINK("https://abs.twimg.com/images/themes/theme1/bg.png")</f>
        <v>https://abs.twimg.com/images/themes/theme1/bg.png</v>
      </c>
      <c r="AW441" t="b">
        <v>1</v>
      </c>
      <c r="AX441" t="s">
        <v>9303</v>
      </c>
      <c r="AY441" s="79" t="str">
        <f>HYPERLINK("https://twitter.com/oldelpaso")</f>
        <v>https://twitter.com/oldelpaso</v>
      </c>
      <c r="AZ441" t="s">
        <v>65</v>
      </c>
      <c r="BA441" s="2"/>
    </row>
    <row r="442" spans="1:53" x14ac:dyDescent="0.45">
      <c r="A442" s="62" t="s">
        <v>968</v>
      </c>
      <c r="B442" s="63"/>
      <c r="C442" s="63"/>
      <c r="D442" s="64"/>
      <c r="E442" s="66"/>
      <c r="F442" s="98" t="str">
        <f>HYPERLINK("https://pbs.twimg.com/profile_images/1618351836477497351/qs5SXgqR_normal.jpg")</f>
        <v>https://pbs.twimg.com/profile_images/1618351836477497351/qs5SXgqR_normal.jpg</v>
      </c>
      <c r="G442" s="63"/>
      <c r="H442" s="67"/>
      <c r="I442" s="68"/>
      <c r="J442" s="68"/>
      <c r="K442" s="67" t="s">
        <v>10430</v>
      </c>
      <c r="L442" s="71"/>
      <c r="M442" s="72"/>
      <c r="N442" s="72"/>
      <c r="O442" s="73"/>
      <c r="P442" s="74"/>
      <c r="Q442" s="74"/>
      <c r="R442" s="81"/>
      <c r="S442" s="81"/>
      <c r="T442" s="81"/>
      <c r="U442" s="81"/>
      <c r="V442" s="48"/>
      <c r="W442" s="48"/>
      <c r="X442" s="48"/>
      <c r="Y442" s="48"/>
      <c r="Z442" s="47"/>
      <c r="AA442" s="69"/>
      <c r="AB442" s="69"/>
      <c r="AC442" s="70"/>
      <c r="AD442" t="s">
        <v>6112</v>
      </c>
      <c r="AE442" s="78" t="s">
        <v>7308</v>
      </c>
      <c r="AF442">
        <v>1403</v>
      </c>
      <c r="AG442">
        <v>8156</v>
      </c>
      <c r="AH442">
        <v>318395</v>
      </c>
      <c r="AI442">
        <v>234668</v>
      </c>
      <c r="AK442" t="s">
        <v>8473</v>
      </c>
      <c r="AL442" t="s">
        <v>8762</v>
      </c>
      <c r="AM442" s="79" t="str">
        <f>HYPERLINK("https://t.co/uebw9cw9WC")</f>
        <v>https://t.co/uebw9cw9WC</v>
      </c>
      <c r="AO442" s="76">
        <v>40986.005115740743</v>
      </c>
      <c r="AQ442" t="b">
        <v>0</v>
      </c>
      <c r="AR442" t="b">
        <v>0</v>
      </c>
      <c r="AS442" t="b">
        <v>1</v>
      </c>
      <c r="AU442">
        <v>77</v>
      </c>
      <c r="AV442" s="79" t="str">
        <f>HYPERLINK("https://abs.twimg.com/images/themes/theme18/bg.gif")</f>
        <v>https://abs.twimg.com/images/themes/theme18/bg.gif</v>
      </c>
      <c r="AW442" t="b">
        <v>0</v>
      </c>
      <c r="AX442" t="s">
        <v>9303</v>
      </c>
      <c r="AY442" s="79" t="str">
        <f>HYPERLINK("https://twitter.com/shea_jordan")</f>
        <v>https://twitter.com/shea_jordan</v>
      </c>
      <c r="AZ442" t="s">
        <v>66</v>
      </c>
      <c r="BA442" s="2"/>
    </row>
    <row r="443" spans="1:53" x14ac:dyDescent="0.45">
      <c r="A443" s="62" t="s">
        <v>508</v>
      </c>
      <c r="B443" s="63"/>
      <c r="C443" s="63"/>
      <c r="D443" s="64"/>
      <c r="E443" s="66"/>
      <c r="F443" s="98" t="str">
        <f>HYPERLINK("https://pbs.twimg.com/profile_images/1526257202679500800/y2Wx-mRB_normal.jpg")</f>
        <v>https://pbs.twimg.com/profile_images/1526257202679500800/y2Wx-mRB_normal.jpg</v>
      </c>
      <c r="G443" s="63"/>
      <c r="H443" s="67"/>
      <c r="I443" s="68"/>
      <c r="J443" s="68"/>
      <c r="K443" s="67" t="s">
        <v>9787</v>
      </c>
      <c r="L443" s="71"/>
      <c r="M443" s="72"/>
      <c r="N443" s="72"/>
      <c r="O443" s="73"/>
      <c r="P443" s="74"/>
      <c r="Q443" s="74"/>
      <c r="R443" s="81"/>
      <c r="S443" s="81"/>
      <c r="T443" s="81"/>
      <c r="U443" s="81"/>
      <c r="V443" s="48"/>
      <c r="W443" s="48"/>
      <c r="X443" s="48"/>
      <c r="Y443" s="48"/>
      <c r="Z443" s="47"/>
      <c r="AA443" s="69"/>
      <c r="AB443" s="69"/>
      <c r="AC443" s="70"/>
      <c r="AD443" t="s">
        <v>5479</v>
      </c>
      <c r="AE443" s="78" t="s">
        <v>6736</v>
      </c>
      <c r="AF443">
        <v>1505</v>
      </c>
      <c r="AG443">
        <v>8026</v>
      </c>
      <c r="AH443">
        <v>11753</v>
      </c>
      <c r="AI443">
        <v>6281</v>
      </c>
      <c r="AK443" t="s">
        <v>7908</v>
      </c>
      <c r="AL443" t="s">
        <v>8918</v>
      </c>
      <c r="AM443" s="79" t="str">
        <f>HYPERLINK("https://t.co/IMVS1BE6V2")</f>
        <v>https://t.co/IMVS1BE6V2</v>
      </c>
      <c r="AO443" s="76">
        <v>39599.728634259256</v>
      </c>
      <c r="AP443" s="79" t="str">
        <f>HYPERLINK("https://pbs.twimg.com/profile_banners/14964670/1675198855")</f>
        <v>https://pbs.twimg.com/profile_banners/14964670/1675198855</v>
      </c>
      <c r="AQ443" t="b">
        <v>0</v>
      </c>
      <c r="AR443" t="b">
        <v>0</v>
      </c>
      <c r="AS443" t="b">
        <v>1</v>
      </c>
      <c r="AU443">
        <v>375</v>
      </c>
      <c r="AV443" s="79" t="str">
        <f>HYPERLINK("https://abs.twimg.com/images/themes/theme1/bg.png")</f>
        <v>https://abs.twimg.com/images/themes/theme1/bg.png</v>
      </c>
      <c r="AW443" t="b">
        <v>1</v>
      </c>
      <c r="AX443" t="s">
        <v>9303</v>
      </c>
      <c r="AY443" s="79" t="str">
        <f>HYPERLINK("https://twitter.com/freedomcenter")</f>
        <v>https://twitter.com/freedomcenter</v>
      </c>
      <c r="AZ443" t="s">
        <v>66</v>
      </c>
      <c r="BA443" s="2"/>
    </row>
    <row r="444" spans="1:53" x14ac:dyDescent="0.45">
      <c r="A444" s="62" t="s">
        <v>1137</v>
      </c>
      <c r="B444" s="63"/>
      <c r="C444" s="63"/>
      <c r="D444" s="64"/>
      <c r="E444" s="66"/>
      <c r="F444" s="98" t="str">
        <f>HYPERLINK("https://pbs.twimg.com/profile_images/1328022019003338757/NEzrkoiF_normal.jpg")</f>
        <v>https://pbs.twimg.com/profile_images/1328022019003338757/NEzrkoiF_normal.jpg</v>
      </c>
      <c r="G444" s="63"/>
      <c r="H444" s="67"/>
      <c r="I444" s="68"/>
      <c r="J444" s="68"/>
      <c r="K444" s="67" t="s">
        <v>9362</v>
      </c>
      <c r="L444" s="71"/>
      <c r="M444" s="72"/>
      <c r="N444" s="72"/>
      <c r="O444" s="73"/>
      <c r="P444" s="74"/>
      <c r="Q444" s="74"/>
      <c r="R444" s="81"/>
      <c r="S444" s="81"/>
      <c r="T444" s="81"/>
      <c r="U444" s="81"/>
      <c r="V444" s="48"/>
      <c r="W444" s="48"/>
      <c r="X444" s="48"/>
      <c r="Y444" s="48"/>
      <c r="Z444" s="47"/>
      <c r="AA444" s="69"/>
      <c r="AB444" s="69"/>
      <c r="AC444" s="70"/>
      <c r="AD444" t="s">
        <v>5058</v>
      </c>
      <c r="AE444" s="78" t="s">
        <v>6373</v>
      </c>
      <c r="AF444">
        <v>5697</v>
      </c>
      <c r="AG444">
        <v>7931</v>
      </c>
      <c r="AH444">
        <v>75737</v>
      </c>
      <c r="AI444">
        <v>93450</v>
      </c>
      <c r="AK444" t="s">
        <v>7544</v>
      </c>
      <c r="AL444" t="s">
        <v>8703</v>
      </c>
      <c r="AO444" s="76">
        <v>40275.060682870368</v>
      </c>
      <c r="AP444" s="79" t="str">
        <f>HYPERLINK("https://pbs.twimg.com/profile_banners/130344472/1519134044")</f>
        <v>https://pbs.twimg.com/profile_banners/130344472/1519134044</v>
      </c>
      <c r="AQ444" t="b">
        <v>1</v>
      </c>
      <c r="AR444" t="b">
        <v>0</v>
      </c>
      <c r="AS444" t="b">
        <v>1</v>
      </c>
      <c r="AU444">
        <v>114</v>
      </c>
      <c r="AV444" s="79" t="str">
        <f>HYPERLINK("https://abs.twimg.com/images/themes/theme1/bg.png")</f>
        <v>https://abs.twimg.com/images/themes/theme1/bg.png</v>
      </c>
      <c r="AW444" t="b">
        <v>0</v>
      </c>
      <c r="AX444" t="s">
        <v>9303</v>
      </c>
      <c r="AY444" s="79" t="str">
        <f>HYPERLINK("https://twitter.com/enilev")</f>
        <v>https://twitter.com/enilev</v>
      </c>
      <c r="AZ444" t="s">
        <v>65</v>
      </c>
      <c r="BA444" s="2"/>
    </row>
    <row r="445" spans="1:53" x14ac:dyDescent="0.45">
      <c r="A445" s="62" t="s">
        <v>451</v>
      </c>
      <c r="B445" s="63"/>
      <c r="C445" s="63"/>
      <c r="D445" s="64"/>
      <c r="E445" s="66"/>
      <c r="F445" s="98" t="str">
        <f>HYPERLINK("https://pbs.twimg.com/profile_images/1614676917256441856/rTNY4DBT_normal.jpg")</f>
        <v>https://pbs.twimg.com/profile_images/1614676917256441856/rTNY4DBT_normal.jpg</v>
      </c>
      <c r="G445" s="63"/>
      <c r="H445" s="67"/>
      <c r="I445" s="68"/>
      <c r="J445" s="68"/>
      <c r="K445" s="67" t="s">
        <v>9717</v>
      </c>
      <c r="L445" s="71"/>
      <c r="M445" s="72"/>
      <c r="N445" s="72"/>
      <c r="O445" s="73"/>
      <c r="P445" s="74"/>
      <c r="Q445" s="74"/>
      <c r="R445" s="81"/>
      <c r="S445" s="81"/>
      <c r="T445" s="81"/>
      <c r="U445" s="81"/>
      <c r="V445" s="48"/>
      <c r="W445" s="48"/>
      <c r="X445" s="48"/>
      <c r="Y445" s="48"/>
      <c r="Z445" s="47"/>
      <c r="AA445" s="69"/>
      <c r="AB445" s="69"/>
      <c r="AC445" s="70"/>
      <c r="AD445" t="s">
        <v>5409</v>
      </c>
      <c r="AE445" s="78" t="s">
        <v>6681</v>
      </c>
      <c r="AF445">
        <v>220</v>
      </c>
      <c r="AG445">
        <v>7736</v>
      </c>
      <c r="AH445">
        <v>73782</v>
      </c>
      <c r="AI445">
        <v>6708</v>
      </c>
      <c r="AK445" t="s">
        <v>7849</v>
      </c>
      <c r="AL445" t="s">
        <v>8883</v>
      </c>
      <c r="AM445" s="79" t="str">
        <f>HYPERLINK("https://t.co/yEGuvhw5gU")</f>
        <v>https://t.co/yEGuvhw5gU</v>
      </c>
      <c r="AO445" s="76">
        <v>40515.075208333335</v>
      </c>
      <c r="AP445" s="79" t="str">
        <f>HYPERLINK("https://pbs.twimg.com/profile_banners/222312118/1673803953")</f>
        <v>https://pbs.twimg.com/profile_banners/222312118/1673803953</v>
      </c>
      <c r="AQ445" t="b">
        <v>0</v>
      </c>
      <c r="AR445" t="b">
        <v>0</v>
      </c>
      <c r="AS445" t="b">
        <v>1</v>
      </c>
      <c r="AU445">
        <v>55</v>
      </c>
      <c r="AV445" s="79" t="str">
        <f>HYPERLINK("https://abs.twimg.com/images/themes/theme14/bg.gif")</f>
        <v>https://abs.twimg.com/images/themes/theme14/bg.gif</v>
      </c>
      <c r="AW445" t="b">
        <v>0</v>
      </c>
      <c r="AX445" t="s">
        <v>9303</v>
      </c>
      <c r="AY445" s="79" t="str">
        <f>HYPERLINK("https://twitter.com/sitemileybrasil")</f>
        <v>https://twitter.com/sitemileybrasil</v>
      </c>
      <c r="AZ445" t="s">
        <v>66</v>
      </c>
      <c r="BA445" s="2"/>
    </row>
    <row r="446" spans="1:53" x14ac:dyDescent="0.45">
      <c r="A446" s="62" t="s">
        <v>1508</v>
      </c>
      <c r="B446" s="63"/>
      <c r="C446" s="63"/>
      <c r="D446" s="64"/>
      <c r="E446" s="66"/>
      <c r="F446" s="98" t="str">
        <f>HYPERLINK("https://pbs.twimg.com/profile_images/22488002/india_flag_normal.png")</f>
        <v>https://pbs.twimg.com/profile_images/22488002/india_flag_normal.png</v>
      </c>
      <c r="G446" s="63"/>
      <c r="H446" s="67"/>
      <c r="I446" s="68"/>
      <c r="J446" s="68"/>
      <c r="K446" s="67" t="s">
        <v>10527</v>
      </c>
      <c r="L446" s="71"/>
      <c r="M446" s="72"/>
      <c r="N446" s="72"/>
      <c r="O446" s="73"/>
      <c r="P446" s="74"/>
      <c r="Q446" s="74"/>
      <c r="R446" s="81"/>
      <c r="S446" s="81"/>
      <c r="T446" s="81"/>
      <c r="U446" s="81"/>
      <c r="V446" s="48"/>
      <c r="W446" s="48"/>
      <c r="X446" s="48"/>
      <c r="Y446" s="48"/>
      <c r="Z446" s="47"/>
      <c r="AA446" s="69"/>
      <c r="AB446" s="69"/>
      <c r="AC446" s="70"/>
      <c r="AD446" t="s">
        <v>6205</v>
      </c>
      <c r="AE446" s="78" t="s">
        <v>7386</v>
      </c>
      <c r="AF446">
        <v>0</v>
      </c>
      <c r="AG446">
        <v>7717</v>
      </c>
      <c r="AH446">
        <v>502101</v>
      </c>
      <c r="AI446">
        <v>0</v>
      </c>
      <c r="AK446" t="s">
        <v>8557</v>
      </c>
      <c r="AO446" s="76">
        <v>39199.145370370374</v>
      </c>
      <c r="AQ446" t="b">
        <v>0</v>
      </c>
      <c r="AR446" t="b">
        <v>0</v>
      </c>
      <c r="AS446" t="b">
        <v>0</v>
      </c>
      <c r="AU446">
        <v>157</v>
      </c>
      <c r="AV446" s="79" t="str">
        <f>HYPERLINK("https://abs.twimg.com/images/themes/theme1/bg.png")</f>
        <v>https://abs.twimg.com/images/themes/theme1/bg.png</v>
      </c>
      <c r="AW446" t="b">
        <v>0</v>
      </c>
      <c r="AX446" t="s">
        <v>9303</v>
      </c>
      <c r="AY446" s="79" t="str">
        <f>HYPERLINK("https://twitter.com/indianews")</f>
        <v>https://twitter.com/indianews</v>
      </c>
      <c r="AZ446" t="s">
        <v>65</v>
      </c>
      <c r="BA446" s="2"/>
    </row>
    <row r="447" spans="1:53" x14ac:dyDescent="0.45">
      <c r="A447" s="62" t="s">
        <v>1084</v>
      </c>
      <c r="B447" s="63"/>
      <c r="C447" s="63"/>
      <c r="D447" s="64"/>
      <c r="E447" s="66"/>
      <c r="F447" s="98" t="str">
        <f>HYPERLINK("https://pbs.twimg.com/profile_images/1613571325116780547/WKFWEBby_normal.jpg")</f>
        <v>https://pbs.twimg.com/profile_images/1613571325116780547/WKFWEBby_normal.jpg</v>
      </c>
      <c r="G447" s="63"/>
      <c r="H447" s="67"/>
      <c r="I447" s="68"/>
      <c r="J447" s="68"/>
      <c r="K447" s="67" t="s">
        <v>10626</v>
      </c>
      <c r="L447" s="71"/>
      <c r="M447" s="72"/>
      <c r="N447" s="72"/>
      <c r="O447" s="73"/>
      <c r="P447" s="74"/>
      <c r="Q447" s="74"/>
      <c r="R447" s="81"/>
      <c r="S447" s="81"/>
      <c r="T447" s="81"/>
      <c r="U447" s="81"/>
      <c r="V447" s="48"/>
      <c r="W447" s="48"/>
      <c r="X447" s="48"/>
      <c r="Y447" s="48"/>
      <c r="Z447" s="47"/>
      <c r="AA447" s="69"/>
      <c r="AB447" s="69"/>
      <c r="AC447" s="70"/>
      <c r="AD447" t="s">
        <v>6302</v>
      </c>
      <c r="AE447" s="78" t="s">
        <v>4823</v>
      </c>
      <c r="AF447">
        <v>5</v>
      </c>
      <c r="AG447">
        <v>7698</v>
      </c>
      <c r="AH447">
        <v>1476</v>
      </c>
      <c r="AI447">
        <v>112</v>
      </c>
      <c r="AK447" t="s">
        <v>8647</v>
      </c>
      <c r="AM447" s="79" t="str">
        <f>HYPERLINK("https://t.co/PDn0jKDr84")</f>
        <v>https://t.co/PDn0jKDr84</v>
      </c>
      <c r="AO447" s="76">
        <v>41079.587094907409</v>
      </c>
      <c r="AP447" s="79" t="str">
        <f>HYPERLINK("https://pbs.twimg.com/profile_banners/612574787/1673541409")</f>
        <v>https://pbs.twimg.com/profile_banners/612574787/1673541409</v>
      </c>
      <c r="AQ447" t="b">
        <v>0</v>
      </c>
      <c r="AR447" t="b">
        <v>0</v>
      </c>
      <c r="AS447" t="b">
        <v>0</v>
      </c>
      <c r="AU447">
        <v>134</v>
      </c>
      <c r="AV447" s="79" t="str">
        <f>HYPERLINK("https://abs.twimg.com/images/themes/theme1/bg.png")</f>
        <v>https://abs.twimg.com/images/themes/theme1/bg.png</v>
      </c>
      <c r="AW447" t="b">
        <v>0</v>
      </c>
      <c r="AX447" t="s">
        <v>9303</v>
      </c>
      <c r="AY447" s="79" t="str">
        <f>HYPERLINK("https://twitter.com/arielinvests")</f>
        <v>https://twitter.com/arielinvests</v>
      </c>
      <c r="AZ447" t="s">
        <v>66</v>
      </c>
      <c r="BA447" s="2"/>
    </row>
    <row r="448" spans="1:53" x14ac:dyDescent="0.45">
      <c r="A448" s="62" t="s">
        <v>1326</v>
      </c>
      <c r="B448" s="63"/>
      <c r="C448" s="63"/>
      <c r="D448" s="64"/>
      <c r="E448" s="66"/>
      <c r="F448" s="98" t="str">
        <f>HYPERLINK("https://pbs.twimg.com/profile_images/1435599353486393345/YfV7a607_normal.png")</f>
        <v>https://pbs.twimg.com/profile_images/1435599353486393345/YfV7a607_normal.png</v>
      </c>
      <c r="G448" s="63"/>
      <c r="H448" s="67"/>
      <c r="I448" s="68"/>
      <c r="J448" s="68"/>
      <c r="K448" s="67" t="s">
        <v>9987</v>
      </c>
      <c r="L448" s="71"/>
      <c r="M448" s="72"/>
      <c r="N448" s="72"/>
      <c r="O448" s="73"/>
      <c r="P448" s="74"/>
      <c r="Q448" s="74"/>
      <c r="R448" s="81"/>
      <c r="S448" s="81"/>
      <c r="T448" s="81"/>
      <c r="U448" s="81"/>
      <c r="V448" s="48"/>
      <c r="W448" s="48"/>
      <c r="X448" s="48"/>
      <c r="Y448" s="48"/>
      <c r="Z448" s="47"/>
      <c r="AA448" s="69"/>
      <c r="AB448" s="69"/>
      <c r="AC448" s="70"/>
      <c r="AD448" t="s">
        <v>5677</v>
      </c>
      <c r="AE448" s="78" t="s">
        <v>6920</v>
      </c>
      <c r="AF448">
        <v>478</v>
      </c>
      <c r="AG448">
        <v>7640</v>
      </c>
      <c r="AH448">
        <v>11784</v>
      </c>
      <c r="AI448">
        <v>2840</v>
      </c>
      <c r="AK448" t="s">
        <v>8086</v>
      </c>
      <c r="AL448" t="s">
        <v>9028</v>
      </c>
      <c r="AM448" s="79" t="str">
        <f>HYPERLINK("https://t.co/Nhm59KT5Q3")</f>
        <v>https://t.co/Nhm59KT5Q3</v>
      </c>
      <c r="AO448" s="76">
        <v>40283.749571759261</v>
      </c>
      <c r="AP448" s="79" t="str">
        <f>HYPERLINK("https://pbs.twimg.com/profile_banners/133403692/1648566505")</f>
        <v>https://pbs.twimg.com/profile_banners/133403692/1648566505</v>
      </c>
      <c r="AQ448" t="b">
        <v>0</v>
      </c>
      <c r="AR448" t="b">
        <v>0</v>
      </c>
      <c r="AS448" t="b">
        <v>0</v>
      </c>
      <c r="AU448">
        <v>97</v>
      </c>
      <c r="AV448" s="79" t="str">
        <f>HYPERLINK("https://abs.twimg.com/images/themes/theme1/bg.png")</f>
        <v>https://abs.twimg.com/images/themes/theme1/bg.png</v>
      </c>
      <c r="AW448" t="b">
        <v>0</v>
      </c>
      <c r="AX448" t="s">
        <v>9303</v>
      </c>
      <c r="AY448" s="79" t="str">
        <f>HYPERLINK("https://twitter.com/frysfoodstores")</f>
        <v>https://twitter.com/frysfoodstores</v>
      </c>
      <c r="AZ448" t="s">
        <v>65</v>
      </c>
      <c r="BA448" s="2"/>
    </row>
    <row r="449" spans="1:53" x14ac:dyDescent="0.45">
      <c r="A449" s="62" t="s">
        <v>1381</v>
      </c>
      <c r="B449" s="63"/>
      <c r="C449" s="63"/>
      <c r="D449" s="64"/>
      <c r="E449" s="66"/>
      <c r="F449" s="98" t="str">
        <f>HYPERLINK("https://pbs.twimg.com/profile_images/1384181782178779142/x6UVdBSc_normal.jpg")</f>
        <v>https://pbs.twimg.com/profile_images/1384181782178779142/x6UVdBSc_normal.jpg</v>
      </c>
      <c r="G449" s="63"/>
      <c r="H449" s="67"/>
      <c r="I449" s="68"/>
      <c r="J449" s="68"/>
      <c r="K449" s="67" t="s">
        <v>10174</v>
      </c>
      <c r="L449" s="71"/>
      <c r="M449" s="72"/>
      <c r="N449" s="72"/>
      <c r="O449" s="73"/>
      <c r="P449" s="74"/>
      <c r="Q449" s="74"/>
      <c r="R449" s="81"/>
      <c r="S449" s="81"/>
      <c r="T449" s="81"/>
      <c r="U449" s="81"/>
      <c r="V449" s="48"/>
      <c r="W449" s="48"/>
      <c r="X449" s="48"/>
      <c r="Y449" s="48"/>
      <c r="Z449" s="47"/>
      <c r="AA449" s="69"/>
      <c r="AB449" s="69"/>
      <c r="AC449" s="70"/>
      <c r="AD449" t="s">
        <v>5860</v>
      </c>
      <c r="AE449" s="78" t="s">
        <v>7083</v>
      </c>
      <c r="AF449">
        <v>631</v>
      </c>
      <c r="AG449">
        <v>7634</v>
      </c>
      <c r="AH449">
        <v>58729</v>
      </c>
      <c r="AI449">
        <v>12017</v>
      </c>
      <c r="AK449" t="s">
        <v>8247</v>
      </c>
      <c r="AL449" t="s">
        <v>9106</v>
      </c>
      <c r="AM449" s="79" t="str">
        <f>HYPERLINK("https://t.co/YVS2QrvesK")</f>
        <v>https://t.co/YVS2QrvesK</v>
      </c>
      <c r="AO449" s="76">
        <v>39511.49486111111</v>
      </c>
      <c r="AP449" s="79" t="str">
        <f>HYPERLINK("https://pbs.twimg.com/profile_banners/14077490/1648415810")</f>
        <v>https://pbs.twimg.com/profile_banners/14077490/1648415810</v>
      </c>
      <c r="AQ449" t="b">
        <v>0</v>
      </c>
      <c r="AR449" t="b">
        <v>0</v>
      </c>
      <c r="AS449" t="b">
        <v>1</v>
      </c>
      <c r="AU449">
        <v>336</v>
      </c>
      <c r="AV449" s="79" t="str">
        <f>HYPERLINK("https://abs.twimg.com/images/themes/theme14/bg.gif")</f>
        <v>https://abs.twimg.com/images/themes/theme14/bg.gif</v>
      </c>
      <c r="AW449" t="b">
        <v>1</v>
      </c>
      <c r="AX449" t="s">
        <v>9303</v>
      </c>
      <c r="AY449" s="79" t="str">
        <f>HYPERLINK("https://twitter.com/khouryrt")</f>
        <v>https://twitter.com/khouryrt</v>
      </c>
      <c r="AZ449" t="s">
        <v>65</v>
      </c>
      <c r="BA449" s="2"/>
    </row>
    <row r="450" spans="1:53" x14ac:dyDescent="0.45">
      <c r="A450" s="62" t="s">
        <v>229</v>
      </c>
      <c r="B450" s="63"/>
      <c r="C450" s="63"/>
      <c r="D450" s="64"/>
      <c r="E450" s="66"/>
      <c r="F450" s="98" t="str">
        <f>HYPERLINK("https://pbs.twimg.com/profile_images/1245109392065863681/B5K9Hb8G_normal.jpg")</f>
        <v>https://pbs.twimg.com/profile_images/1245109392065863681/B5K9Hb8G_normal.jpg</v>
      </c>
      <c r="G450" s="63"/>
      <c r="H450" s="67"/>
      <c r="I450" s="68"/>
      <c r="J450" s="68"/>
      <c r="K450" s="67" t="s">
        <v>9334</v>
      </c>
      <c r="L450" s="71"/>
      <c r="M450" s="72"/>
      <c r="N450" s="72"/>
      <c r="O450" s="73"/>
      <c r="P450" s="74"/>
      <c r="Q450" s="74"/>
      <c r="R450" s="81"/>
      <c r="S450" s="81"/>
      <c r="T450" s="81"/>
      <c r="U450" s="81"/>
      <c r="V450" s="48"/>
      <c r="W450" s="48"/>
      <c r="X450" s="48"/>
      <c r="Y450" s="48"/>
      <c r="Z450" s="47"/>
      <c r="AA450" s="69"/>
      <c r="AB450" s="69"/>
      <c r="AC450" s="70"/>
      <c r="AD450" t="s">
        <v>5030</v>
      </c>
      <c r="AE450" s="78" t="s">
        <v>6348</v>
      </c>
      <c r="AF450">
        <v>706</v>
      </c>
      <c r="AG450">
        <v>7552</v>
      </c>
      <c r="AH450">
        <v>3916</v>
      </c>
      <c r="AI450">
        <v>5038</v>
      </c>
      <c r="AK450" t="s">
        <v>7518</v>
      </c>
      <c r="AL450" t="s">
        <v>8692</v>
      </c>
      <c r="AM450" s="79" t="str">
        <f>HYPERLINK("https://t.co/TkeZonL7L4")</f>
        <v>https://t.co/TkeZonL7L4</v>
      </c>
      <c r="AO450" s="76">
        <v>43921.915578703702</v>
      </c>
      <c r="AP450" s="79" t="str">
        <f>HYPERLINK("https://pbs.twimg.com/profile_banners/1245108164556722177/1585692376")</f>
        <v>https://pbs.twimg.com/profile_banners/1245108164556722177/1585692376</v>
      </c>
      <c r="AQ450" t="b">
        <v>1</v>
      </c>
      <c r="AR450" t="b">
        <v>0</v>
      </c>
      <c r="AS450" t="b">
        <v>0</v>
      </c>
      <c r="AU450">
        <v>57</v>
      </c>
      <c r="AW450" t="b">
        <v>0</v>
      </c>
      <c r="AX450" t="s">
        <v>9303</v>
      </c>
      <c r="AY450" s="79" t="str">
        <f>HYPERLINK("https://twitter.com/dronexl1")</f>
        <v>https://twitter.com/dronexl1</v>
      </c>
      <c r="AZ450" t="s">
        <v>66</v>
      </c>
      <c r="BA450" s="2"/>
    </row>
    <row r="451" spans="1:53" x14ac:dyDescent="0.45">
      <c r="A451" s="62" t="s">
        <v>329</v>
      </c>
      <c r="B451" s="63"/>
      <c r="C451" s="63"/>
      <c r="D451" s="64"/>
      <c r="E451" s="66"/>
      <c r="F451" s="98" t="str">
        <f>HYPERLINK("https://pbs.twimg.com/profile_images/761413518742523904/uY39EfvT_normal.jpg")</f>
        <v>https://pbs.twimg.com/profile_images/761413518742523904/uY39EfvT_normal.jpg</v>
      </c>
      <c r="G451" s="63"/>
      <c r="H451" s="67"/>
      <c r="I451" s="68"/>
      <c r="J451" s="68"/>
      <c r="K451" s="67" t="s">
        <v>9537</v>
      </c>
      <c r="L451" s="71"/>
      <c r="M451" s="72"/>
      <c r="N451" s="72"/>
      <c r="O451" s="73"/>
      <c r="P451" s="74"/>
      <c r="Q451" s="74"/>
      <c r="R451" s="81"/>
      <c r="S451" s="81"/>
      <c r="T451" s="81"/>
      <c r="U451" s="81"/>
      <c r="V451" s="48"/>
      <c r="W451" s="48"/>
      <c r="X451" s="48"/>
      <c r="Y451" s="48"/>
      <c r="Z451" s="47"/>
      <c r="AA451" s="69"/>
      <c r="AB451" s="69"/>
      <c r="AC451" s="70"/>
      <c r="AD451" t="s">
        <v>5230</v>
      </c>
      <c r="AE451" s="78" t="s">
        <v>6515</v>
      </c>
      <c r="AF451">
        <v>4492</v>
      </c>
      <c r="AG451">
        <v>7531</v>
      </c>
      <c r="AH451">
        <v>2335</v>
      </c>
      <c r="AI451">
        <v>5</v>
      </c>
      <c r="AK451" t="s">
        <v>7698</v>
      </c>
      <c r="AL451" t="s">
        <v>8803</v>
      </c>
      <c r="AM451" s="79" t="str">
        <f>HYPERLINK("https://t.co/aMeKsqZ2sx")</f>
        <v>https://t.co/aMeKsqZ2sx</v>
      </c>
      <c r="AO451" s="76">
        <v>40233.939467592594</v>
      </c>
      <c r="AP451" s="79" t="str">
        <f>HYPERLINK("https://pbs.twimg.com/profile_banners/117215243/1466895560")</f>
        <v>https://pbs.twimg.com/profile_banners/117215243/1466895560</v>
      </c>
      <c r="AQ451" t="b">
        <v>0</v>
      </c>
      <c r="AR451" t="b">
        <v>0</v>
      </c>
      <c r="AS451" t="b">
        <v>0</v>
      </c>
      <c r="AU451">
        <v>25</v>
      </c>
      <c r="AV451" s="79" t="str">
        <f>HYPERLINK("https://abs.twimg.com/images/themes/theme1/bg.png")</f>
        <v>https://abs.twimg.com/images/themes/theme1/bg.png</v>
      </c>
      <c r="AW451" t="b">
        <v>0</v>
      </c>
      <c r="AX451" t="s">
        <v>9303</v>
      </c>
      <c r="AY451" s="79" t="str">
        <f>HYPERLINK("https://twitter.com/earnmoney_now")</f>
        <v>https://twitter.com/earnmoney_now</v>
      </c>
      <c r="AZ451" t="s">
        <v>66</v>
      </c>
      <c r="BA451" s="2"/>
    </row>
    <row r="452" spans="1:53" x14ac:dyDescent="0.45">
      <c r="A452" s="62" t="s">
        <v>1092</v>
      </c>
      <c r="B452" s="63"/>
      <c r="C452" s="63"/>
      <c r="D452" s="64"/>
      <c r="E452" s="66"/>
      <c r="F452" s="98" t="str">
        <f>HYPERLINK("https://pbs.twimg.com/profile_images/1609590107970961414/TcH-idYW_normal.jpg")</f>
        <v>https://pbs.twimg.com/profile_images/1609590107970961414/TcH-idYW_normal.jpg</v>
      </c>
      <c r="G452" s="63"/>
      <c r="H452" s="67"/>
      <c r="I452" s="68"/>
      <c r="J452" s="68"/>
      <c r="K452" s="67" t="s">
        <v>10639</v>
      </c>
      <c r="L452" s="71"/>
      <c r="M452" s="72"/>
      <c r="N452" s="72"/>
      <c r="O452" s="73"/>
      <c r="P452" s="74"/>
      <c r="Q452" s="74"/>
      <c r="R452" s="81"/>
      <c r="S452" s="81"/>
      <c r="T452" s="81"/>
      <c r="U452" s="81"/>
      <c r="V452" s="48"/>
      <c r="W452" s="48"/>
      <c r="X452" s="48"/>
      <c r="Y452" s="48"/>
      <c r="Z452" s="47"/>
      <c r="AA452" s="69"/>
      <c r="AB452" s="69"/>
      <c r="AC452" s="70"/>
      <c r="AD452" t="s">
        <v>6315</v>
      </c>
      <c r="AE452" s="78" t="s">
        <v>7478</v>
      </c>
      <c r="AF452">
        <v>552</v>
      </c>
      <c r="AG452">
        <v>7497</v>
      </c>
      <c r="AH452">
        <v>74027</v>
      </c>
      <c r="AI452">
        <v>13566</v>
      </c>
      <c r="AK452" t="s">
        <v>8659</v>
      </c>
      <c r="AL452" t="s">
        <v>8865</v>
      </c>
      <c r="AM452" s="79" t="str">
        <f>HYPERLINK("https://t.co/RbQdwowgRA")</f>
        <v>https://t.co/RbQdwowgRA</v>
      </c>
      <c r="AO452" s="76">
        <v>40236.692546296297</v>
      </c>
      <c r="AP452" s="79" t="str">
        <f>HYPERLINK("https://pbs.twimg.com/profile_banners/118108066/1675347197")</f>
        <v>https://pbs.twimg.com/profile_banners/118108066/1675347197</v>
      </c>
      <c r="AQ452" t="b">
        <v>0</v>
      </c>
      <c r="AR452" t="b">
        <v>0</v>
      </c>
      <c r="AS452" t="b">
        <v>0</v>
      </c>
      <c r="AU452">
        <v>39</v>
      </c>
      <c r="AV452" s="79" t="str">
        <f>HYPERLINK("https://abs.twimg.com/images/themes/theme1/bg.png")</f>
        <v>https://abs.twimg.com/images/themes/theme1/bg.png</v>
      </c>
      <c r="AW452" t="b">
        <v>0</v>
      </c>
      <c r="AX452" t="s">
        <v>9303</v>
      </c>
      <c r="AY452" s="79" t="str">
        <f>HYPERLINK("https://twitter.com/angel_kidwell")</f>
        <v>https://twitter.com/angel_kidwell</v>
      </c>
      <c r="AZ452" t="s">
        <v>66</v>
      </c>
      <c r="BA452" s="2"/>
    </row>
    <row r="453" spans="1:53" x14ac:dyDescent="0.45">
      <c r="A453" s="62" t="s">
        <v>1294</v>
      </c>
      <c r="B453" s="63"/>
      <c r="C453" s="63"/>
      <c r="D453" s="64"/>
      <c r="E453" s="66"/>
      <c r="F453" s="98" t="str">
        <f>HYPERLINK("https://pbs.twimg.com/profile_images/1608440886290939904/dRQ9lypY_normal.jpg")</f>
        <v>https://pbs.twimg.com/profile_images/1608440886290939904/dRQ9lypY_normal.jpg</v>
      </c>
      <c r="G453" s="63"/>
      <c r="H453" s="67"/>
      <c r="I453" s="68"/>
      <c r="J453" s="68"/>
      <c r="K453" s="67" t="s">
        <v>9808</v>
      </c>
      <c r="L453" s="71"/>
      <c r="M453" s="72"/>
      <c r="N453" s="72"/>
      <c r="O453" s="73"/>
      <c r="P453" s="74"/>
      <c r="Q453" s="74"/>
      <c r="R453" s="81"/>
      <c r="S453" s="81"/>
      <c r="T453" s="81"/>
      <c r="U453" s="81"/>
      <c r="V453" s="48"/>
      <c r="W453" s="48"/>
      <c r="X453" s="48"/>
      <c r="Y453" s="48"/>
      <c r="Z453" s="47"/>
      <c r="AA453" s="69"/>
      <c r="AB453" s="69"/>
      <c r="AC453" s="70"/>
      <c r="AD453" t="s">
        <v>5499</v>
      </c>
      <c r="AE453" s="78" t="s">
        <v>6754</v>
      </c>
      <c r="AF453">
        <v>1019</v>
      </c>
      <c r="AG453">
        <v>7228</v>
      </c>
      <c r="AH453">
        <v>6448</v>
      </c>
      <c r="AI453">
        <v>1560</v>
      </c>
      <c r="AK453" t="s">
        <v>7927</v>
      </c>
      <c r="AL453" t="s">
        <v>8719</v>
      </c>
      <c r="AM453" s="79" t="str">
        <f>HYPERLINK("https://t.co/9eIF88QEFI")</f>
        <v>https://t.co/9eIF88QEFI</v>
      </c>
      <c r="AO453" s="76">
        <v>41004.998819444445</v>
      </c>
      <c r="AP453" s="79" t="str">
        <f>HYPERLINK("https://pbs.twimg.com/profile_banners/546461238/1582297705")</f>
        <v>https://pbs.twimg.com/profile_banners/546461238/1582297705</v>
      </c>
      <c r="AQ453" t="b">
        <v>0</v>
      </c>
      <c r="AR453" t="b">
        <v>0</v>
      </c>
      <c r="AS453" t="b">
        <v>1</v>
      </c>
      <c r="AU453">
        <v>311</v>
      </c>
      <c r="AV453" s="79" t="str">
        <f>HYPERLINK("https://abs.twimg.com/images/themes/theme3/bg.gif")</f>
        <v>https://abs.twimg.com/images/themes/theme3/bg.gif</v>
      </c>
      <c r="AW453" t="b">
        <v>1</v>
      </c>
      <c r="AX453" t="s">
        <v>9303</v>
      </c>
      <c r="AY453" s="79" t="str">
        <f>HYPERLINK("https://twitter.com/melissa_repko")</f>
        <v>https://twitter.com/melissa_repko</v>
      </c>
      <c r="AZ453" t="s">
        <v>65</v>
      </c>
      <c r="BA453" s="2"/>
    </row>
    <row r="454" spans="1:53" x14ac:dyDescent="0.45">
      <c r="A454" s="62" t="s">
        <v>921</v>
      </c>
      <c r="B454" s="63"/>
      <c r="C454" s="63"/>
      <c r="D454" s="64"/>
      <c r="E454" s="66"/>
      <c r="F454" s="98" t="str">
        <f>HYPERLINK("https://pbs.twimg.com/profile_images/1613152378223484930/_j12792W_normal.jpg")</f>
        <v>https://pbs.twimg.com/profile_images/1613152378223484930/_j12792W_normal.jpg</v>
      </c>
      <c r="G454" s="63"/>
      <c r="H454" s="67"/>
      <c r="I454" s="68"/>
      <c r="J454" s="68"/>
      <c r="K454" s="67" t="s">
        <v>10354</v>
      </c>
      <c r="L454" s="71"/>
      <c r="M454" s="72"/>
      <c r="N454" s="72"/>
      <c r="O454" s="73"/>
      <c r="P454" s="74"/>
      <c r="Q454" s="74"/>
      <c r="R454" s="81"/>
      <c r="S454" s="81"/>
      <c r="T454" s="81"/>
      <c r="U454" s="81"/>
      <c r="V454" s="48"/>
      <c r="W454" s="48"/>
      <c r="X454" s="48"/>
      <c r="Y454" s="48"/>
      <c r="Z454" s="47"/>
      <c r="AA454" s="69"/>
      <c r="AB454" s="69"/>
      <c r="AC454" s="70"/>
      <c r="AD454" t="s">
        <v>6037</v>
      </c>
      <c r="AE454" s="78" t="s">
        <v>4769</v>
      </c>
      <c r="AF454">
        <v>7427</v>
      </c>
      <c r="AG454">
        <v>7133</v>
      </c>
      <c r="AH454">
        <v>30181</v>
      </c>
      <c r="AI454">
        <v>54653</v>
      </c>
      <c r="AK454" t="s">
        <v>8406</v>
      </c>
      <c r="AL454" t="s">
        <v>4899</v>
      </c>
      <c r="AO454" s="76">
        <v>43498.821111111109</v>
      </c>
      <c r="AP454" s="79" t="str">
        <f>HYPERLINK("https://pbs.twimg.com/profile_banners/1091783914656546818/1648410599")</f>
        <v>https://pbs.twimg.com/profile_banners/1091783914656546818/1648410599</v>
      </c>
      <c r="AQ454" t="b">
        <v>0</v>
      </c>
      <c r="AR454" t="b">
        <v>0</v>
      </c>
      <c r="AS454" t="b">
        <v>0</v>
      </c>
      <c r="AU454">
        <v>35</v>
      </c>
      <c r="AV454" s="79" t="str">
        <f t="shared" ref="AV454:AV461" si="9">HYPERLINK("https://abs.twimg.com/images/themes/theme1/bg.png")</f>
        <v>https://abs.twimg.com/images/themes/theme1/bg.png</v>
      </c>
      <c r="AW454" t="b">
        <v>0</v>
      </c>
      <c r="AX454" t="s">
        <v>9303</v>
      </c>
      <c r="AY454" s="79" t="str">
        <f>HYPERLINK("https://twitter.com/dargonluce")</f>
        <v>https://twitter.com/dargonluce</v>
      </c>
      <c r="AZ454" t="s">
        <v>66</v>
      </c>
      <c r="BA454" s="2"/>
    </row>
    <row r="455" spans="1:53" x14ac:dyDescent="0.45">
      <c r="A455" s="62" t="s">
        <v>1533</v>
      </c>
      <c r="B455" s="63"/>
      <c r="C455" s="63"/>
      <c r="D455" s="64"/>
      <c r="E455" s="66"/>
      <c r="F455" s="98" t="str">
        <f>HYPERLINK("https://pbs.twimg.com/profile_images/117517828/SportSpaceDicksLogo-small-square_normal.jpg")</f>
        <v>https://pbs.twimg.com/profile_images/117517828/SportSpaceDicksLogo-small-square_normal.jpg</v>
      </c>
      <c r="G455" s="63"/>
      <c r="H455" s="67"/>
      <c r="I455" s="68"/>
      <c r="J455" s="68"/>
      <c r="K455" s="67" t="s">
        <v>10576</v>
      </c>
      <c r="L455" s="71"/>
      <c r="M455" s="72"/>
      <c r="N455" s="72"/>
      <c r="O455" s="73"/>
      <c r="P455" s="74"/>
      <c r="Q455" s="74"/>
      <c r="R455" s="81"/>
      <c r="S455" s="81"/>
      <c r="T455" s="81"/>
      <c r="U455" s="81"/>
      <c r="V455" s="48"/>
      <c r="W455" s="48"/>
      <c r="X455" s="48"/>
      <c r="Y455" s="48"/>
      <c r="Z455" s="47"/>
      <c r="AA455" s="69"/>
      <c r="AB455" s="69"/>
      <c r="AC455" s="70"/>
      <c r="AD455" t="s">
        <v>6254</v>
      </c>
      <c r="AE455" s="78" t="s">
        <v>7427</v>
      </c>
      <c r="AF455">
        <v>70</v>
      </c>
      <c r="AG455">
        <v>7074</v>
      </c>
      <c r="AH455">
        <v>0</v>
      </c>
      <c r="AI455">
        <v>0</v>
      </c>
      <c r="AK455" t="s">
        <v>8601</v>
      </c>
      <c r="AL455" t="s">
        <v>9165</v>
      </c>
      <c r="AM455" s="79" t="str">
        <f>HYPERLINK("http://t.co/LuM3aXD55O")</f>
        <v>http://t.co/LuM3aXD55O</v>
      </c>
      <c r="AO455" s="76">
        <v>39904.692662037036</v>
      </c>
      <c r="AQ455" t="b">
        <v>0</v>
      </c>
      <c r="AR455" t="b">
        <v>0</v>
      </c>
      <c r="AS455" t="b">
        <v>0</v>
      </c>
      <c r="AU455">
        <v>102</v>
      </c>
      <c r="AV455" s="79" t="str">
        <f t="shared" si="9"/>
        <v>https://abs.twimg.com/images/themes/theme1/bg.png</v>
      </c>
      <c r="AW455" t="b">
        <v>0</v>
      </c>
      <c r="AX455" t="s">
        <v>9303</v>
      </c>
      <c r="AY455" s="79" t="str">
        <f>HYPERLINK("https://twitter.com/dickssportingss")</f>
        <v>https://twitter.com/dickssportingss</v>
      </c>
      <c r="AZ455" t="s">
        <v>65</v>
      </c>
      <c r="BA455" s="2"/>
    </row>
    <row r="456" spans="1:53" x14ac:dyDescent="0.45">
      <c r="A456" s="62" t="s">
        <v>1183</v>
      </c>
      <c r="B456" s="63"/>
      <c r="C456" s="63"/>
      <c r="D456" s="64"/>
      <c r="E456" s="66"/>
      <c r="F456" s="98" t="str">
        <f>HYPERLINK("https://pbs.twimg.com/profile_images/1466398868527005698/46NaNxu9_normal.jpg")</f>
        <v>https://pbs.twimg.com/profile_images/1466398868527005698/46NaNxu9_normal.jpg</v>
      </c>
      <c r="G456" s="63"/>
      <c r="H456" s="67"/>
      <c r="I456" s="68"/>
      <c r="J456" s="68"/>
      <c r="K456" s="67" t="s">
        <v>9469</v>
      </c>
      <c r="L456" s="71"/>
      <c r="M456" s="72"/>
      <c r="N456" s="72"/>
      <c r="O456" s="73"/>
      <c r="P456" s="74"/>
      <c r="Q456" s="74"/>
      <c r="R456" s="81"/>
      <c r="S456" s="81"/>
      <c r="T456" s="81"/>
      <c r="U456" s="81"/>
      <c r="V456" s="48"/>
      <c r="W456" s="48"/>
      <c r="X456" s="48"/>
      <c r="Y456" s="48"/>
      <c r="Z456" s="47"/>
      <c r="AA456" s="69"/>
      <c r="AB456" s="69"/>
      <c r="AC456" s="70"/>
      <c r="AD456" t="s">
        <v>5163</v>
      </c>
      <c r="AE456" s="78" t="s">
        <v>6464</v>
      </c>
      <c r="AF456">
        <v>638</v>
      </c>
      <c r="AG456">
        <v>7051</v>
      </c>
      <c r="AH456">
        <v>1135</v>
      </c>
      <c r="AI456">
        <v>1215</v>
      </c>
      <c r="AK456" t="s">
        <v>7634</v>
      </c>
      <c r="AL456" t="s">
        <v>8769</v>
      </c>
      <c r="AM456" s="79" t="str">
        <f>HYPERLINK("https://t.co/RWqrmghPvR")</f>
        <v>https://t.co/RWqrmghPvR</v>
      </c>
      <c r="AO456" s="76">
        <v>41688.621967592589</v>
      </c>
      <c r="AP456" s="79" t="str">
        <f>HYPERLINK("https://pbs.twimg.com/profile_banners/2350241137/1600988340")</f>
        <v>https://pbs.twimg.com/profile_banners/2350241137/1600988340</v>
      </c>
      <c r="AQ456" t="b">
        <v>0</v>
      </c>
      <c r="AR456" t="b">
        <v>0</v>
      </c>
      <c r="AS456" t="b">
        <v>1</v>
      </c>
      <c r="AU456">
        <v>105</v>
      </c>
      <c r="AV456" s="79" t="str">
        <f t="shared" si="9"/>
        <v>https://abs.twimg.com/images/themes/theme1/bg.png</v>
      </c>
      <c r="AW456" t="b">
        <v>1</v>
      </c>
      <c r="AX456" t="s">
        <v>9303</v>
      </c>
      <c r="AY456" s="79" t="str">
        <f>HYPERLINK("https://twitter.com/krogernews")</f>
        <v>https://twitter.com/krogernews</v>
      </c>
      <c r="AZ456" t="s">
        <v>65</v>
      </c>
      <c r="BA456" s="2"/>
    </row>
    <row r="457" spans="1:53" x14ac:dyDescent="0.45">
      <c r="A457" s="62" t="s">
        <v>593</v>
      </c>
      <c r="B457" s="63"/>
      <c r="C457" s="63"/>
      <c r="D457" s="64"/>
      <c r="E457" s="66"/>
      <c r="F457" s="98" t="str">
        <f>HYPERLINK("https://pbs.twimg.com/profile_images/1430936085404729344/HLHv3APY_normal.jpg")</f>
        <v>https://pbs.twimg.com/profile_images/1430936085404729344/HLHv3APY_normal.jpg</v>
      </c>
      <c r="G457" s="63"/>
      <c r="H457" s="67"/>
      <c r="I457" s="68"/>
      <c r="J457" s="68"/>
      <c r="K457" s="67" t="s">
        <v>9891</v>
      </c>
      <c r="L457" s="71"/>
      <c r="M457" s="72"/>
      <c r="N457" s="72"/>
      <c r="O457" s="73"/>
      <c r="P457" s="74"/>
      <c r="Q457" s="74"/>
      <c r="R457" s="81"/>
      <c r="S457" s="81"/>
      <c r="T457" s="81"/>
      <c r="U457" s="81"/>
      <c r="V457" s="48"/>
      <c r="W457" s="48"/>
      <c r="X457" s="48"/>
      <c r="Y457" s="48"/>
      <c r="Z457" s="47"/>
      <c r="AA457" s="69"/>
      <c r="AB457" s="69"/>
      <c r="AC457" s="70"/>
      <c r="AD457" t="s">
        <v>5582</v>
      </c>
      <c r="AE457" s="78" t="s">
        <v>6830</v>
      </c>
      <c r="AF457">
        <v>1243</v>
      </c>
      <c r="AG457">
        <v>7037</v>
      </c>
      <c r="AH457">
        <v>74544</v>
      </c>
      <c r="AI457">
        <v>4033</v>
      </c>
      <c r="AK457" t="s">
        <v>8005</v>
      </c>
      <c r="AL457" t="s">
        <v>8977</v>
      </c>
      <c r="AM457" s="79" t="str">
        <f>HYPERLINK("https://t.co/EDbFi3glDe")</f>
        <v>https://t.co/EDbFi3glDe</v>
      </c>
      <c r="AO457" s="76">
        <v>40829.783321759256</v>
      </c>
      <c r="AP457" s="79" t="str">
        <f>HYPERLINK("https://pbs.twimg.com/profile_banners/390277164/1629996996")</f>
        <v>https://pbs.twimg.com/profile_banners/390277164/1629996996</v>
      </c>
      <c r="AQ457" t="b">
        <v>0</v>
      </c>
      <c r="AR457" t="b">
        <v>0</v>
      </c>
      <c r="AS457" t="b">
        <v>1</v>
      </c>
      <c r="AU457">
        <v>195</v>
      </c>
      <c r="AV457" s="79" t="str">
        <f t="shared" si="9"/>
        <v>https://abs.twimg.com/images/themes/theme1/bg.png</v>
      </c>
      <c r="AW457" t="b">
        <v>1</v>
      </c>
      <c r="AX457" t="s">
        <v>9303</v>
      </c>
      <c r="AY457" s="79" t="str">
        <f>HYPERLINK("https://twitter.com/kagsnews")</f>
        <v>https://twitter.com/kagsnews</v>
      </c>
      <c r="AZ457" t="s">
        <v>66</v>
      </c>
      <c r="BA457" s="2"/>
    </row>
    <row r="458" spans="1:53" x14ac:dyDescent="0.45">
      <c r="A458" s="62" t="s">
        <v>688</v>
      </c>
      <c r="B458" s="63"/>
      <c r="C458" s="63"/>
      <c r="D458" s="64"/>
      <c r="E458" s="66"/>
      <c r="F458" s="98" t="str">
        <f>HYPERLINK("https://pbs.twimg.com/profile_images/519788882427408384/i_p7gk4B_normal.jpeg")</f>
        <v>https://pbs.twimg.com/profile_images/519788882427408384/i_p7gk4B_normal.jpeg</v>
      </c>
      <c r="G458" s="63"/>
      <c r="H458" s="67"/>
      <c r="I458" s="68"/>
      <c r="J458" s="68"/>
      <c r="K458" s="67" t="s">
        <v>10018</v>
      </c>
      <c r="L458" s="71"/>
      <c r="M458" s="72"/>
      <c r="N458" s="72"/>
      <c r="O458" s="73"/>
      <c r="P458" s="74"/>
      <c r="Q458" s="74"/>
      <c r="R458" s="81"/>
      <c r="S458" s="81"/>
      <c r="T458" s="81"/>
      <c r="U458" s="81"/>
      <c r="V458" s="48"/>
      <c r="W458" s="48"/>
      <c r="X458" s="48"/>
      <c r="Y458" s="48"/>
      <c r="Z458" s="47"/>
      <c r="AA458" s="69"/>
      <c r="AB458" s="69"/>
      <c r="AC458" s="70"/>
      <c r="AD458" t="s">
        <v>5708</v>
      </c>
      <c r="AE458" s="78" t="s">
        <v>6948</v>
      </c>
      <c r="AF458">
        <v>903</v>
      </c>
      <c r="AG458">
        <v>6953</v>
      </c>
      <c r="AH458">
        <v>69869</v>
      </c>
      <c r="AI458">
        <v>3949</v>
      </c>
      <c r="AK458" t="s">
        <v>8111</v>
      </c>
      <c r="AL458" t="s">
        <v>8771</v>
      </c>
      <c r="AM458" s="79" t="str">
        <f>HYPERLINK("https://t.co/H5Hv1WFY0D")</f>
        <v>https://t.co/H5Hv1WFY0D</v>
      </c>
      <c r="AO458" s="76">
        <v>39883.16920138889</v>
      </c>
      <c r="AP458" s="79" t="str">
        <f>HYPERLINK("https://pbs.twimg.com/profile_banners/23719780/1399976777")</f>
        <v>https://pbs.twimg.com/profile_banners/23719780/1399976777</v>
      </c>
      <c r="AQ458" t="b">
        <v>0</v>
      </c>
      <c r="AR458" t="b">
        <v>0</v>
      </c>
      <c r="AS458" t="b">
        <v>1</v>
      </c>
      <c r="AU458">
        <v>118</v>
      </c>
      <c r="AV458" s="79" t="str">
        <f t="shared" si="9"/>
        <v>https://abs.twimg.com/images/themes/theme1/bg.png</v>
      </c>
      <c r="AW458" t="b">
        <v>0</v>
      </c>
      <c r="AX458" t="s">
        <v>9303</v>
      </c>
      <c r="AY458" s="79" t="str">
        <f>HYPERLINK("https://twitter.com/mattwroberts")</f>
        <v>https://twitter.com/mattwroberts</v>
      </c>
      <c r="AZ458" t="s">
        <v>66</v>
      </c>
      <c r="BA458" s="2"/>
    </row>
    <row r="459" spans="1:53" x14ac:dyDescent="0.45">
      <c r="A459" s="62" t="s">
        <v>1335</v>
      </c>
      <c r="B459" s="63"/>
      <c r="C459" s="63"/>
      <c r="D459" s="64"/>
      <c r="E459" s="66"/>
      <c r="F459" s="98" t="str">
        <f>HYPERLINK("https://pbs.twimg.com/profile_images/1598409699300446209/URsIJLrd_normal.jpg")</f>
        <v>https://pbs.twimg.com/profile_images/1598409699300446209/URsIJLrd_normal.jpg</v>
      </c>
      <c r="G459" s="63"/>
      <c r="H459" s="67"/>
      <c r="I459" s="68"/>
      <c r="J459" s="68"/>
      <c r="K459" s="67" t="s">
        <v>10015</v>
      </c>
      <c r="L459" s="71"/>
      <c r="M459" s="72"/>
      <c r="N459" s="72"/>
      <c r="O459" s="73"/>
      <c r="P459" s="74"/>
      <c r="Q459" s="74"/>
      <c r="R459" s="81"/>
      <c r="S459" s="81"/>
      <c r="T459" s="81"/>
      <c r="U459" s="81"/>
      <c r="V459" s="48"/>
      <c r="W459" s="48"/>
      <c r="X459" s="48"/>
      <c r="Y459" s="48"/>
      <c r="Z459" s="47"/>
      <c r="AA459" s="69"/>
      <c r="AB459" s="69"/>
      <c r="AC459" s="70"/>
      <c r="AD459" t="s">
        <v>5705</v>
      </c>
      <c r="AE459" s="78" t="s">
        <v>4727</v>
      </c>
      <c r="AF459">
        <v>1885</v>
      </c>
      <c r="AG459">
        <v>6903</v>
      </c>
      <c r="AH459">
        <v>14409</v>
      </c>
      <c r="AI459">
        <v>1806</v>
      </c>
      <c r="AK459" t="s">
        <v>8109</v>
      </c>
      <c r="AM459" s="79" t="str">
        <f>HYPERLINK("https://t.co/rwm6d2QMaj")</f>
        <v>https://t.co/rwm6d2QMaj</v>
      </c>
      <c r="AO459" s="76">
        <v>41344.978171296294</v>
      </c>
      <c r="AP459" s="79" t="str">
        <f>HYPERLINK("https://pbs.twimg.com/profile_banners/1260643682/1672762601")</f>
        <v>https://pbs.twimg.com/profile_banners/1260643682/1672762601</v>
      </c>
      <c r="AQ459" t="b">
        <v>0</v>
      </c>
      <c r="AR459" t="b">
        <v>0</v>
      </c>
      <c r="AS459" t="b">
        <v>0</v>
      </c>
      <c r="AU459">
        <v>54</v>
      </c>
      <c r="AV459" s="79" t="str">
        <f t="shared" si="9"/>
        <v>https://abs.twimg.com/images/themes/theme1/bg.png</v>
      </c>
      <c r="AW459" t="b">
        <v>0</v>
      </c>
      <c r="AX459" t="s">
        <v>9303</v>
      </c>
      <c r="AY459" s="79" t="str">
        <f>HYPERLINK("https://twitter.com/trugreen")</f>
        <v>https://twitter.com/trugreen</v>
      </c>
      <c r="AZ459" t="s">
        <v>65</v>
      </c>
      <c r="BA459" s="2"/>
    </row>
    <row r="460" spans="1:53" x14ac:dyDescent="0.45">
      <c r="A460" s="62" t="s">
        <v>526</v>
      </c>
      <c r="B460" s="63"/>
      <c r="C460" s="63"/>
      <c r="D460" s="64"/>
      <c r="E460" s="66"/>
      <c r="F460" s="98" t="str">
        <f>HYPERLINK("https://pbs.twimg.com/profile_images/1620944649396289536/bKr7Cg5U_normal.jpg")</f>
        <v>https://pbs.twimg.com/profile_images/1620944649396289536/bKr7Cg5U_normal.jpg</v>
      </c>
      <c r="G460" s="63"/>
      <c r="H460" s="67"/>
      <c r="I460" s="68"/>
      <c r="J460" s="68"/>
      <c r="K460" s="67" t="s">
        <v>9817</v>
      </c>
      <c r="L460" s="71"/>
      <c r="M460" s="72"/>
      <c r="N460" s="72"/>
      <c r="O460" s="73"/>
      <c r="P460" s="74"/>
      <c r="Q460" s="74"/>
      <c r="R460" s="81"/>
      <c r="S460" s="81"/>
      <c r="T460" s="81"/>
      <c r="U460" s="81"/>
      <c r="V460" s="48"/>
      <c r="W460" s="48"/>
      <c r="X460" s="48"/>
      <c r="Y460" s="48"/>
      <c r="Z460" s="47"/>
      <c r="AA460" s="69"/>
      <c r="AB460" s="69"/>
      <c r="AC460" s="70"/>
      <c r="AD460" t="s">
        <v>5508</v>
      </c>
      <c r="AE460" s="78" t="s">
        <v>6761</v>
      </c>
      <c r="AF460">
        <v>2179</v>
      </c>
      <c r="AG460">
        <v>6706</v>
      </c>
      <c r="AH460">
        <v>5013</v>
      </c>
      <c r="AI460">
        <v>5855</v>
      </c>
      <c r="AK460" t="s">
        <v>7936</v>
      </c>
      <c r="AM460" s="79" t="str">
        <f>HYPERLINK("https://t.co/UWOvPatGby")</f>
        <v>https://t.co/UWOvPatGby</v>
      </c>
      <c r="AO460" s="76">
        <v>42386.563900462963</v>
      </c>
      <c r="AP460" s="79" t="str">
        <f>HYPERLINK("https://pbs.twimg.com/profile_banners/4773571872/1673789930")</f>
        <v>https://pbs.twimg.com/profile_banners/4773571872/1673789930</v>
      </c>
      <c r="AQ460" t="b">
        <v>0</v>
      </c>
      <c r="AR460" t="b">
        <v>0</v>
      </c>
      <c r="AS460" t="b">
        <v>1</v>
      </c>
      <c r="AU460">
        <v>21</v>
      </c>
      <c r="AV460" s="79" t="str">
        <f t="shared" si="9"/>
        <v>https://abs.twimg.com/images/themes/theme1/bg.png</v>
      </c>
      <c r="AW460" t="b">
        <v>0</v>
      </c>
      <c r="AX460" t="s">
        <v>9303</v>
      </c>
      <c r="AY460" s="79" t="str">
        <f>HYPERLINK("https://twitter.com/cyrusonstats")</f>
        <v>https://twitter.com/cyrusonstats</v>
      </c>
      <c r="AZ460" t="s">
        <v>66</v>
      </c>
      <c r="BA460" s="2"/>
    </row>
    <row r="461" spans="1:53" x14ac:dyDescent="0.45">
      <c r="A461" s="62" t="s">
        <v>371</v>
      </c>
      <c r="B461" s="63"/>
      <c r="C461" s="63"/>
      <c r="D461" s="64"/>
      <c r="E461" s="66"/>
      <c r="F461" s="98" t="str">
        <f>HYPERLINK("https://pbs.twimg.com/profile_images/1607204304007331841/gXLDx_I4_normal.jpg")</f>
        <v>https://pbs.twimg.com/profile_images/1607204304007331841/gXLDx_I4_normal.jpg</v>
      </c>
      <c r="G461" s="63"/>
      <c r="H461" s="67"/>
      <c r="I461" s="68"/>
      <c r="J461" s="68"/>
      <c r="K461" s="67" t="s">
        <v>9615</v>
      </c>
      <c r="L461" s="71"/>
      <c r="M461" s="72"/>
      <c r="N461" s="72"/>
      <c r="O461" s="73"/>
      <c r="P461" s="74"/>
      <c r="Q461" s="74"/>
      <c r="R461" s="81"/>
      <c r="S461" s="81"/>
      <c r="T461" s="81"/>
      <c r="U461" s="81"/>
      <c r="V461" s="48"/>
      <c r="W461" s="48"/>
      <c r="X461" s="48"/>
      <c r="Y461" s="48"/>
      <c r="Z461" s="47"/>
      <c r="AA461" s="69"/>
      <c r="AB461" s="69"/>
      <c r="AC461" s="70"/>
      <c r="AD461" t="s">
        <v>5308</v>
      </c>
      <c r="AE461" s="78" t="s">
        <v>4685</v>
      </c>
      <c r="AF461">
        <v>5415</v>
      </c>
      <c r="AG461">
        <v>6659</v>
      </c>
      <c r="AH461">
        <v>52100</v>
      </c>
      <c r="AI461">
        <v>117071</v>
      </c>
      <c r="AK461" t="s">
        <v>7763</v>
      </c>
      <c r="AM461" s="79" t="str">
        <f>HYPERLINK("https://t.co/OT8ffEXEVo")</f>
        <v>https://t.co/OT8ffEXEVo</v>
      </c>
      <c r="AO461" s="76">
        <v>40917.117326388892</v>
      </c>
      <c r="AP461" s="79" t="str">
        <f>HYPERLINK("https://pbs.twimg.com/profile_banners/458914534/1640385223")</f>
        <v>https://pbs.twimg.com/profile_banners/458914534/1640385223</v>
      </c>
      <c r="AQ461" t="b">
        <v>1</v>
      </c>
      <c r="AR461" t="b">
        <v>0</v>
      </c>
      <c r="AS461" t="b">
        <v>1</v>
      </c>
      <c r="AU461">
        <v>24</v>
      </c>
      <c r="AV461" s="79" t="str">
        <f t="shared" si="9"/>
        <v>https://abs.twimg.com/images/themes/theme1/bg.png</v>
      </c>
      <c r="AW461" t="b">
        <v>0</v>
      </c>
      <c r="AX461" t="s">
        <v>9303</v>
      </c>
      <c r="AY461" s="79" t="str">
        <f>HYPERLINK("https://twitter.com/kyprobassangler")</f>
        <v>https://twitter.com/kyprobassangler</v>
      </c>
      <c r="AZ461" t="s">
        <v>66</v>
      </c>
      <c r="BA461" s="2"/>
    </row>
    <row r="462" spans="1:53" x14ac:dyDescent="0.45">
      <c r="A462" s="62" t="s">
        <v>550</v>
      </c>
      <c r="B462" s="63"/>
      <c r="C462" s="63"/>
      <c r="D462" s="64"/>
      <c r="E462" s="66"/>
      <c r="F462" s="98" t="str">
        <f>HYPERLINK("https://pbs.twimg.com/profile_images/1318291458101792769/ecQR7S43_normal.jpg")</f>
        <v>https://pbs.twimg.com/profile_images/1318291458101792769/ecQR7S43_normal.jpg</v>
      </c>
      <c r="G462" s="63"/>
      <c r="H462" s="67"/>
      <c r="I462" s="68"/>
      <c r="J462" s="68"/>
      <c r="K462" s="67" t="s">
        <v>9847</v>
      </c>
      <c r="L462" s="71"/>
      <c r="M462" s="72"/>
      <c r="N462" s="72"/>
      <c r="O462" s="73"/>
      <c r="P462" s="74"/>
      <c r="Q462" s="74"/>
      <c r="R462" s="81"/>
      <c r="S462" s="81"/>
      <c r="T462" s="81"/>
      <c r="U462" s="81"/>
      <c r="V462" s="48"/>
      <c r="W462" s="48"/>
      <c r="X462" s="48"/>
      <c r="Y462" s="48"/>
      <c r="Z462" s="47"/>
      <c r="AA462" s="69"/>
      <c r="AB462" s="69"/>
      <c r="AC462" s="70"/>
      <c r="AD462" t="s">
        <v>5538</v>
      </c>
      <c r="AE462" s="78" t="s">
        <v>6787</v>
      </c>
      <c r="AF462">
        <v>6894</v>
      </c>
      <c r="AG462">
        <v>6493</v>
      </c>
      <c r="AH462">
        <v>53892</v>
      </c>
      <c r="AI462">
        <v>18675</v>
      </c>
      <c r="AK462" t="s">
        <v>7961</v>
      </c>
      <c r="AL462" t="s">
        <v>4912</v>
      </c>
      <c r="AM462" s="79" t="str">
        <f>HYPERLINK("https://t.co/zDT24l3LHP")</f>
        <v>https://t.co/zDT24l3LHP</v>
      </c>
      <c r="AO462" s="76">
        <v>39897.050497685188</v>
      </c>
      <c r="AP462" s="79" t="str">
        <f>HYPERLINK("https://pbs.twimg.com/profile_banners/26387188/1534197529")</f>
        <v>https://pbs.twimg.com/profile_banners/26387188/1534197529</v>
      </c>
      <c r="AQ462" t="b">
        <v>0</v>
      </c>
      <c r="AR462" t="b">
        <v>0</v>
      </c>
      <c r="AS462" t="b">
        <v>1</v>
      </c>
      <c r="AU462">
        <v>108</v>
      </c>
      <c r="AV462" s="79" t="str">
        <f>HYPERLINK("https://abs.twimg.com/images/themes/theme14/bg.gif")</f>
        <v>https://abs.twimg.com/images/themes/theme14/bg.gif</v>
      </c>
      <c r="AW462" t="b">
        <v>0</v>
      </c>
      <c r="AX462" t="s">
        <v>9303</v>
      </c>
      <c r="AY462" s="79" t="str">
        <f>HYPERLINK("https://twitter.com/micklite7")</f>
        <v>https://twitter.com/micklite7</v>
      </c>
      <c r="AZ462" t="s">
        <v>66</v>
      </c>
      <c r="BA462" s="2"/>
    </row>
    <row r="463" spans="1:53" x14ac:dyDescent="0.45">
      <c r="A463" s="62" t="s">
        <v>1429</v>
      </c>
      <c r="B463" s="63"/>
      <c r="C463" s="63"/>
      <c r="D463" s="64"/>
      <c r="E463" s="66"/>
      <c r="F463" s="98" t="str">
        <f>HYPERLINK("https://pbs.twimg.com/profile_images/1545152171070586883/sRa3KHr0_normal.jpg")</f>
        <v>https://pbs.twimg.com/profile_images/1545152171070586883/sRa3KHr0_normal.jpg</v>
      </c>
      <c r="G463" s="63"/>
      <c r="H463" s="67"/>
      <c r="I463" s="68"/>
      <c r="J463" s="68"/>
      <c r="K463" s="67" t="s">
        <v>10334</v>
      </c>
      <c r="L463" s="71"/>
      <c r="M463" s="72"/>
      <c r="N463" s="72"/>
      <c r="O463" s="73"/>
      <c r="P463" s="74"/>
      <c r="Q463" s="74"/>
      <c r="R463" s="81"/>
      <c r="S463" s="81"/>
      <c r="T463" s="81"/>
      <c r="U463" s="81"/>
      <c r="V463" s="48"/>
      <c r="W463" s="48"/>
      <c r="X463" s="48"/>
      <c r="Y463" s="48"/>
      <c r="Z463" s="47"/>
      <c r="AA463" s="69"/>
      <c r="AB463" s="69"/>
      <c r="AC463" s="70"/>
      <c r="AD463" t="s">
        <v>6017</v>
      </c>
      <c r="AE463" s="78" t="s">
        <v>7225</v>
      </c>
      <c r="AF463">
        <v>4453</v>
      </c>
      <c r="AG463">
        <v>6483</v>
      </c>
      <c r="AH463">
        <v>3178</v>
      </c>
      <c r="AI463">
        <v>7754</v>
      </c>
      <c r="AK463" t="s">
        <v>8387</v>
      </c>
      <c r="AL463" t="s">
        <v>8676</v>
      </c>
      <c r="AM463" s="79" t="str">
        <f>HYPERLINK("https://t.co/IBzOVixVho")</f>
        <v>https://t.co/IBzOVixVho</v>
      </c>
      <c r="AO463" s="76">
        <v>40210.681145833332</v>
      </c>
      <c r="AP463" s="79" t="str">
        <f>HYPERLINK("https://pbs.twimg.com/profile_banners/110456022/1666985925")</f>
        <v>https://pbs.twimg.com/profile_banners/110456022/1666985925</v>
      </c>
      <c r="AQ463" t="b">
        <v>0</v>
      </c>
      <c r="AR463" t="b">
        <v>0</v>
      </c>
      <c r="AS463" t="b">
        <v>1</v>
      </c>
      <c r="AU463">
        <v>161</v>
      </c>
      <c r="AV463" s="79" t="str">
        <f>HYPERLINK("https://abs.twimg.com/images/themes/theme1/bg.png")</f>
        <v>https://abs.twimg.com/images/themes/theme1/bg.png</v>
      </c>
      <c r="AW463" t="b">
        <v>1</v>
      </c>
      <c r="AX463" t="s">
        <v>9303</v>
      </c>
      <c r="AY463" s="79" t="str">
        <f>HYPERLINK("https://twitter.com/toddrokitain")</f>
        <v>https://twitter.com/toddrokitain</v>
      </c>
      <c r="AZ463" t="s">
        <v>65</v>
      </c>
      <c r="BA463" s="2"/>
    </row>
    <row r="464" spans="1:53" x14ac:dyDescent="0.45">
      <c r="A464" s="62" t="s">
        <v>992</v>
      </c>
      <c r="B464" s="63"/>
      <c r="C464" s="63"/>
      <c r="D464" s="64"/>
      <c r="E464" s="66"/>
      <c r="F464" s="98" t="str">
        <f>HYPERLINK("https://pbs.twimg.com/profile_images/1618140740072402948/SqvS-ERs_normal.jpg")</f>
        <v>https://pbs.twimg.com/profile_images/1618140740072402948/SqvS-ERs_normal.jpg</v>
      </c>
      <c r="G464" s="63"/>
      <c r="H464" s="67"/>
      <c r="I464" s="68"/>
      <c r="J464" s="68"/>
      <c r="K464" s="67" t="s">
        <v>9328</v>
      </c>
      <c r="L464" s="71"/>
      <c r="M464" s="72"/>
      <c r="N464" s="72"/>
      <c r="O464" s="73"/>
      <c r="P464" s="74"/>
      <c r="Q464" s="74"/>
      <c r="R464" s="81"/>
      <c r="S464" s="81"/>
      <c r="T464" s="81"/>
      <c r="U464" s="81"/>
      <c r="V464" s="48"/>
      <c r="W464" s="48"/>
      <c r="X464" s="48"/>
      <c r="Y464" s="48"/>
      <c r="Z464" s="47"/>
      <c r="AA464" s="69"/>
      <c r="AB464" s="69"/>
      <c r="AC464" s="70"/>
      <c r="AD464" t="s">
        <v>5024</v>
      </c>
      <c r="AE464" s="78" t="s">
        <v>4646</v>
      </c>
      <c r="AF464">
        <v>1934</v>
      </c>
      <c r="AG464">
        <v>6424</v>
      </c>
      <c r="AH464">
        <v>85474</v>
      </c>
      <c r="AI464">
        <v>282450</v>
      </c>
      <c r="AK464" t="s">
        <v>7513</v>
      </c>
      <c r="AM464" s="79" t="str">
        <f>HYPERLINK("https://t.co/1FxLDM1yoO")</f>
        <v>https://t.co/1FxLDM1yoO</v>
      </c>
      <c r="AO464" s="76">
        <v>39898.978622685187</v>
      </c>
      <c r="AP464" s="79" t="str">
        <f>HYPERLINK("https://pbs.twimg.com/profile_banners/26886678/1674962141")</f>
        <v>https://pbs.twimg.com/profile_banners/26886678/1674962141</v>
      </c>
      <c r="AQ464" t="b">
        <v>0</v>
      </c>
      <c r="AR464" t="b">
        <v>0</v>
      </c>
      <c r="AS464" t="b">
        <v>1</v>
      </c>
      <c r="AU464">
        <v>49</v>
      </c>
      <c r="AV464" s="79" t="str">
        <f>HYPERLINK("https://abs.twimg.com/images/themes/theme18/bg.gif")</f>
        <v>https://abs.twimg.com/images/themes/theme18/bg.gif</v>
      </c>
      <c r="AW464" t="b">
        <v>0</v>
      </c>
      <c r="AX464" t="s">
        <v>9303</v>
      </c>
      <c r="AY464" s="79" t="str">
        <f>HYPERLINK("https://twitter.com/valhallabckgirl")</f>
        <v>https://twitter.com/valhallabckgirl</v>
      </c>
      <c r="AZ464" t="s">
        <v>66</v>
      </c>
      <c r="BA464" s="2"/>
    </row>
    <row r="465" spans="1:53" x14ac:dyDescent="0.45">
      <c r="A465" s="62" t="s">
        <v>776</v>
      </c>
      <c r="B465" s="63"/>
      <c r="C465" s="63"/>
      <c r="D465" s="64"/>
      <c r="E465" s="66"/>
      <c r="F465" s="98" t="str">
        <f>HYPERLINK("https://pbs.twimg.com/profile_images/1597056585527955456/JiygFHOq_normal.jpg")</f>
        <v>https://pbs.twimg.com/profile_images/1597056585527955456/JiygFHOq_normal.jpg</v>
      </c>
      <c r="G465" s="63"/>
      <c r="H465" s="67"/>
      <c r="I465" s="68"/>
      <c r="J465" s="68"/>
      <c r="K465" s="67" t="s">
        <v>9938</v>
      </c>
      <c r="L465" s="71"/>
      <c r="M465" s="72"/>
      <c r="N465" s="72"/>
      <c r="O465" s="73"/>
      <c r="P465" s="74"/>
      <c r="Q465" s="74"/>
      <c r="R465" s="81"/>
      <c r="S465" s="81"/>
      <c r="T465" s="81"/>
      <c r="U465" s="81"/>
      <c r="V465" s="48"/>
      <c r="W465" s="48"/>
      <c r="X465" s="48"/>
      <c r="Y465" s="48"/>
      <c r="Z465" s="47"/>
      <c r="AA465" s="69"/>
      <c r="AB465" s="69"/>
      <c r="AC465" s="70"/>
      <c r="AD465" t="s">
        <v>5629</v>
      </c>
      <c r="AE465" s="78" t="s">
        <v>6872</v>
      </c>
      <c r="AF465">
        <v>747</v>
      </c>
      <c r="AG465">
        <v>6356</v>
      </c>
      <c r="AH465">
        <v>136481</v>
      </c>
      <c r="AI465">
        <v>146600</v>
      </c>
      <c r="AK465" t="s">
        <v>8045</v>
      </c>
      <c r="AL465" t="s">
        <v>9005</v>
      </c>
      <c r="AM465" s="79" t="str">
        <f>HYPERLINK("https://t.co/RsPJ9Kd5Ja")</f>
        <v>https://t.co/RsPJ9Kd5Ja</v>
      </c>
      <c r="AO465" s="76">
        <v>40838.642268518517</v>
      </c>
      <c r="AP465" s="79" t="str">
        <f>HYPERLINK("https://pbs.twimg.com/profile_banners/395982514/1662397087")</f>
        <v>https://pbs.twimg.com/profile_banners/395982514/1662397087</v>
      </c>
      <c r="AQ465" t="b">
        <v>0</v>
      </c>
      <c r="AR465" t="b">
        <v>0</v>
      </c>
      <c r="AS465" t="b">
        <v>1</v>
      </c>
      <c r="AU465">
        <v>35</v>
      </c>
      <c r="AV465" s="79" t="str">
        <f>HYPERLINK("https://abs.twimg.com/images/themes/theme1/bg.png")</f>
        <v>https://abs.twimg.com/images/themes/theme1/bg.png</v>
      </c>
      <c r="AW465" t="b">
        <v>0</v>
      </c>
      <c r="AX465" t="s">
        <v>9303</v>
      </c>
      <c r="AY465" s="79" t="str">
        <f>HYPERLINK("https://twitter.com/summerdonbell")</f>
        <v>https://twitter.com/summerdonbell</v>
      </c>
      <c r="AZ465" t="s">
        <v>66</v>
      </c>
      <c r="BA465" s="2"/>
    </row>
    <row r="466" spans="1:53" x14ac:dyDescent="0.45">
      <c r="A466" s="62" t="s">
        <v>231</v>
      </c>
      <c r="B466" s="63"/>
      <c r="C466" s="63"/>
      <c r="D466" s="64"/>
      <c r="E466" s="66"/>
      <c r="F466" s="98" t="str">
        <f>HYPERLINK("https://pbs.twimg.com/profile_images/876510503643693056/mVzuC1gf_normal.jpg")</f>
        <v>https://pbs.twimg.com/profile_images/876510503643693056/mVzuC1gf_normal.jpg</v>
      </c>
      <c r="G466" s="63"/>
      <c r="H466" s="67"/>
      <c r="I466" s="68"/>
      <c r="J466" s="68"/>
      <c r="K466" s="67" t="s">
        <v>9337</v>
      </c>
      <c r="L466" s="71"/>
      <c r="M466" s="72"/>
      <c r="N466" s="72"/>
      <c r="O466" s="73"/>
      <c r="P466" s="74"/>
      <c r="Q466" s="74"/>
      <c r="R466" s="81"/>
      <c r="S466" s="81"/>
      <c r="T466" s="81"/>
      <c r="U466" s="81"/>
      <c r="V466" s="48"/>
      <c r="W466" s="48"/>
      <c r="X466" s="48"/>
      <c r="Y466" s="48"/>
      <c r="Z466" s="47"/>
      <c r="AA466" s="69"/>
      <c r="AB466" s="69"/>
      <c r="AC466" s="70"/>
      <c r="AD466" t="s">
        <v>5033</v>
      </c>
      <c r="AE466" s="78" t="s">
        <v>6351</v>
      </c>
      <c r="AF466">
        <v>6532</v>
      </c>
      <c r="AG466">
        <v>6305</v>
      </c>
      <c r="AH466">
        <v>85327</v>
      </c>
      <c r="AI466">
        <v>95837</v>
      </c>
      <c r="AK466" t="s">
        <v>7521</v>
      </c>
      <c r="AL466" t="s">
        <v>8695</v>
      </c>
      <c r="AO466" s="76">
        <v>42882.781238425923</v>
      </c>
      <c r="AP466" s="79" t="str">
        <f>HYPERLINK("https://pbs.twimg.com/profile_banners/868538540782735360/1497811479")</f>
        <v>https://pbs.twimg.com/profile_banners/868538540782735360/1497811479</v>
      </c>
      <c r="AQ466" t="b">
        <v>1</v>
      </c>
      <c r="AR466" t="b">
        <v>0</v>
      </c>
      <c r="AS466" t="b">
        <v>0</v>
      </c>
      <c r="AU466">
        <v>70</v>
      </c>
      <c r="AW466" t="b">
        <v>0</v>
      </c>
      <c r="AX466" t="s">
        <v>9303</v>
      </c>
      <c r="AY466" s="79" t="str">
        <f>HYPERLINK("https://twitter.com/procurementstar")</f>
        <v>https://twitter.com/procurementstar</v>
      </c>
      <c r="AZ466" t="s">
        <v>66</v>
      </c>
      <c r="BA466" s="2"/>
    </row>
    <row r="467" spans="1:53" x14ac:dyDescent="0.45">
      <c r="A467" s="62" t="s">
        <v>1018</v>
      </c>
      <c r="B467" s="63"/>
      <c r="C467" s="63"/>
      <c r="D467" s="64"/>
      <c r="E467" s="66"/>
      <c r="F467" s="98" t="str">
        <f>HYPERLINK("https://pbs.twimg.com/profile_images/935793366067040256/2PSapMi-_normal.jpg")</f>
        <v>https://pbs.twimg.com/profile_images/935793366067040256/2PSapMi-_normal.jpg</v>
      </c>
      <c r="G467" s="63"/>
      <c r="H467" s="67"/>
      <c r="I467" s="68"/>
      <c r="J467" s="68"/>
      <c r="K467" s="67" t="s">
        <v>10499</v>
      </c>
      <c r="L467" s="71"/>
      <c r="M467" s="72"/>
      <c r="N467" s="72"/>
      <c r="O467" s="73"/>
      <c r="P467" s="74"/>
      <c r="Q467" s="74"/>
      <c r="R467" s="81"/>
      <c r="S467" s="81"/>
      <c r="T467" s="81"/>
      <c r="U467" s="81"/>
      <c r="V467" s="48"/>
      <c r="W467" s="48"/>
      <c r="X467" s="48"/>
      <c r="Y467" s="48"/>
      <c r="Z467" s="47"/>
      <c r="AA467" s="69"/>
      <c r="AB467" s="69"/>
      <c r="AC467" s="70"/>
      <c r="AD467" t="s">
        <v>6177</v>
      </c>
      <c r="AE467" s="78" t="s">
        <v>7362</v>
      </c>
      <c r="AF467">
        <v>6793</v>
      </c>
      <c r="AG467">
        <v>6217</v>
      </c>
      <c r="AH467">
        <v>85768</v>
      </c>
      <c r="AI467">
        <v>105026</v>
      </c>
      <c r="AK467" t="s">
        <v>8533</v>
      </c>
      <c r="AL467" t="s">
        <v>9240</v>
      </c>
      <c r="AO467" s="76">
        <v>43036.230081018519</v>
      </c>
      <c r="AP467" s="79" t="str">
        <f>HYPERLINK("https://pbs.twimg.com/profile_banners/924146540687577088/1509183361")</f>
        <v>https://pbs.twimg.com/profile_banners/924146540687577088/1509183361</v>
      </c>
      <c r="AQ467" t="b">
        <v>1</v>
      </c>
      <c r="AR467" t="b">
        <v>0</v>
      </c>
      <c r="AS467" t="b">
        <v>0</v>
      </c>
      <c r="AU467">
        <v>70</v>
      </c>
      <c r="AW467" t="b">
        <v>0</v>
      </c>
      <c r="AX467" t="s">
        <v>9303</v>
      </c>
      <c r="AY467" s="79" t="str">
        <f>HYPERLINK("https://twitter.com/procurement2030")</f>
        <v>https://twitter.com/procurement2030</v>
      </c>
      <c r="AZ467" t="s">
        <v>66</v>
      </c>
      <c r="BA467" s="2"/>
    </row>
    <row r="468" spans="1:53" x14ac:dyDescent="0.45">
      <c r="A468" s="62" t="s">
        <v>861</v>
      </c>
      <c r="B468" s="63"/>
      <c r="C468" s="63"/>
      <c r="D468" s="64"/>
      <c r="E468" s="66"/>
      <c r="F468" s="98" t="str">
        <f>HYPERLINK("https://pbs.twimg.com/profile_images/904062986964180992/h-NZBPc8_normal.jpg")</f>
        <v>https://pbs.twimg.com/profile_images/904062986964180992/h-NZBPc8_normal.jpg</v>
      </c>
      <c r="G468" s="63"/>
      <c r="H468" s="67"/>
      <c r="I468" s="68"/>
      <c r="J468" s="68"/>
      <c r="K468" s="67" t="s">
        <v>10260</v>
      </c>
      <c r="L468" s="71"/>
      <c r="M468" s="72"/>
      <c r="N468" s="72"/>
      <c r="O468" s="73"/>
      <c r="P468" s="74"/>
      <c r="Q468" s="74"/>
      <c r="R468" s="81"/>
      <c r="S468" s="81"/>
      <c r="T468" s="81"/>
      <c r="U468" s="81"/>
      <c r="V468" s="48"/>
      <c r="W468" s="48"/>
      <c r="X468" s="48"/>
      <c r="Y468" s="48"/>
      <c r="Z468" s="47"/>
      <c r="AA468" s="69"/>
      <c r="AB468" s="69"/>
      <c r="AC468" s="70"/>
      <c r="AD468" t="s">
        <v>5943</v>
      </c>
      <c r="AE468" s="78" t="s">
        <v>7157</v>
      </c>
      <c r="AF468">
        <v>481</v>
      </c>
      <c r="AG468">
        <v>6182</v>
      </c>
      <c r="AH468">
        <v>2550228</v>
      </c>
      <c r="AI468">
        <v>465585</v>
      </c>
      <c r="AK468" t="s">
        <v>8321</v>
      </c>
      <c r="AL468" t="s">
        <v>9143</v>
      </c>
      <c r="AO468" s="76">
        <v>41172.142951388887</v>
      </c>
      <c r="AP468" s="79" t="str">
        <f>HYPERLINK("https://pbs.twimg.com/profile_banners/834672494/1402610872")</f>
        <v>https://pbs.twimg.com/profile_banners/834672494/1402610872</v>
      </c>
      <c r="AQ468" t="b">
        <v>1</v>
      </c>
      <c r="AR468" t="b">
        <v>0</v>
      </c>
      <c r="AS468" t="b">
        <v>0</v>
      </c>
      <c r="AU468">
        <v>577</v>
      </c>
      <c r="AV468" s="79" t="str">
        <f>HYPERLINK("https://abs.twimg.com/images/themes/theme1/bg.png")</f>
        <v>https://abs.twimg.com/images/themes/theme1/bg.png</v>
      </c>
      <c r="AW468" t="b">
        <v>0</v>
      </c>
      <c r="AX468" t="s">
        <v>9303</v>
      </c>
      <c r="AY468" s="79" t="str">
        <f>HYPERLINK("https://twitter.com/oldlady12345")</f>
        <v>https://twitter.com/oldlady12345</v>
      </c>
      <c r="AZ468" t="s">
        <v>66</v>
      </c>
      <c r="BA468" s="2"/>
    </row>
    <row r="469" spans="1:53" x14ac:dyDescent="0.45">
      <c r="A469" s="62" t="s">
        <v>1227</v>
      </c>
      <c r="B469" s="63"/>
      <c r="C469" s="63"/>
      <c r="D469" s="64"/>
      <c r="E469" s="66"/>
      <c r="F469" s="98" t="str">
        <f>HYPERLINK("https://pbs.twimg.com/profile_images/1619506487230955521/OwbMCAlO_normal.jpg")</f>
        <v>https://pbs.twimg.com/profile_images/1619506487230955521/OwbMCAlO_normal.jpg</v>
      </c>
      <c r="G469" s="63"/>
      <c r="H469" s="67"/>
      <c r="I469" s="68"/>
      <c r="J469" s="68"/>
      <c r="K469" s="67" t="s">
        <v>9556</v>
      </c>
      <c r="L469" s="71"/>
      <c r="M469" s="72"/>
      <c r="N469" s="72"/>
      <c r="O469" s="73"/>
      <c r="P469" s="74"/>
      <c r="Q469" s="74"/>
      <c r="R469" s="81"/>
      <c r="S469" s="81"/>
      <c r="T469" s="81"/>
      <c r="U469" s="81"/>
      <c r="V469" s="48"/>
      <c r="W469" s="48"/>
      <c r="X469" s="48"/>
      <c r="Y469" s="48"/>
      <c r="Z469" s="47"/>
      <c r="AA469" s="69"/>
      <c r="AB469" s="69"/>
      <c r="AC469" s="70"/>
      <c r="AD469" t="s">
        <v>5249</v>
      </c>
      <c r="AE469" s="78" t="s">
        <v>4682</v>
      </c>
      <c r="AF469">
        <v>5737</v>
      </c>
      <c r="AG469">
        <v>6080</v>
      </c>
      <c r="AH469">
        <v>14786</v>
      </c>
      <c r="AI469">
        <v>23459</v>
      </c>
      <c r="AK469" t="s">
        <v>7714</v>
      </c>
      <c r="AM469" s="79" t="str">
        <f>HYPERLINK("https://t.co/yhLTTQyLkz")</f>
        <v>https://t.co/yhLTTQyLkz</v>
      </c>
      <c r="AO469" s="76">
        <v>43008.830740740741</v>
      </c>
      <c r="AP469" s="79" t="str">
        <f>HYPERLINK("https://pbs.twimg.com/profile_banners/914217350882193408/1671542219")</f>
        <v>https://pbs.twimg.com/profile_banners/914217350882193408/1671542219</v>
      </c>
      <c r="AQ469" t="b">
        <v>1</v>
      </c>
      <c r="AR469" t="b">
        <v>0</v>
      </c>
      <c r="AS469" t="b">
        <v>1</v>
      </c>
      <c r="AU469">
        <v>21</v>
      </c>
      <c r="AW469" t="b">
        <v>0</v>
      </c>
      <c r="AX469" t="s">
        <v>9303</v>
      </c>
      <c r="AY469" s="79" t="str">
        <f>HYPERLINK("https://twitter.com/melanie4kids")</f>
        <v>https://twitter.com/melanie4kids</v>
      </c>
      <c r="AZ469" t="s">
        <v>65</v>
      </c>
      <c r="BA469" s="2"/>
    </row>
    <row r="470" spans="1:53" x14ac:dyDescent="0.45">
      <c r="A470" s="62" t="s">
        <v>1210</v>
      </c>
      <c r="B470" s="63"/>
      <c r="C470" s="63"/>
      <c r="D470" s="64"/>
      <c r="E470" s="66"/>
      <c r="F470" s="98" t="str">
        <f>HYPERLINK("https://pbs.twimg.com/profile_images/1597837425757282305/qoh98jQz_normal.jpg")</f>
        <v>https://pbs.twimg.com/profile_images/1597837425757282305/qoh98jQz_normal.jpg</v>
      </c>
      <c r="G470" s="63"/>
      <c r="H470" s="67"/>
      <c r="I470" s="68"/>
      <c r="J470" s="68"/>
      <c r="K470" s="67" t="s">
        <v>9521</v>
      </c>
      <c r="L470" s="71"/>
      <c r="M470" s="72"/>
      <c r="N470" s="72"/>
      <c r="O470" s="73"/>
      <c r="P470" s="74"/>
      <c r="Q470" s="74"/>
      <c r="R470" s="81"/>
      <c r="S470" s="81"/>
      <c r="T470" s="81"/>
      <c r="U470" s="81"/>
      <c r="V470" s="48"/>
      <c r="W470" s="48"/>
      <c r="X470" s="48"/>
      <c r="Y470" s="48"/>
      <c r="Z470" s="47"/>
      <c r="AA470" s="69"/>
      <c r="AB470" s="69"/>
      <c r="AC470" s="70"/>
      <c r="AD470" t="s">
        <v>5215</v>
      </c>
      <c r="AE470" s="78" t="s">
        <v>4675</v>
      </c>
      <c r="AF470">
        <v>5713</v>
      </c>
      <c r="AG470">
        <v>6042</v>
      </c>
      <c r="AH470">
        <v>26240</v>
      </c>
      <c r="AI470">
        <v>118454</v>
      </c>
      <c r="AK470" t="s">
        <v>7685</v>
      </c>
      <c r="AL470" t="s">
        <v>8797</v>
      </c>
      <c r="AO470" s="76">
        <v>44744.869201388887</v>
      </c>
      <c r="AP470" s="79" t="str">
        <f>HYPERLINK("https://pbs.twimg.com/profile_banners/1543336515891335168/1675321098")</f>
        <v>https://pbs.twimg.com/profile_banners/1543336515891335168/1675321098</v>
      </c>
      <c r="AQ470" t="b">
        <v>1</v>
      </c>
      <c r="AR470" t="b">
        <v>0</v>
      </c>
      <c r="AS470" t="b">
        <v>0</v>
      </c>
      <c r="AU470">
        <v>5</v>
      </c>
      <c r="AW470" t="b">
        <v>0</v>
      </c>
      <c r="AX470" t="s">
        <v>9303</v>
      </c>
      <c r="AY470" s="79" t="str">
        <f>HYPERLINK("https://twitter.com/jeffforbes8")</f>
        <v>https://twitter.com/jeffforbes8</v>
      </c>
      <c r="AZ470" t="s">
        <v>65</v>
      </c>
      <c r="BA470" s="2"/>
    </row>
    <row r="471" spans="1:53" x14ac:dyDescent="0.45">
      <c r="A471" s="62" t="s">
        <v>674</v>
      </c>
      <c r="B471" s="63"/>
      <c r="C471" s="63"/>
      <c r="D471" s="64"/>
      <c r="E471" s="66"/>
      <c r="F471" s="98" t="str">
        <f>HYPERLINK("https://pbs.twimg.com/profile_images/1009261264223264768/mdHH-D25_normal.jpg")</f>
        <v>https://pbs.twimg.com/profile_images/1009261264223264768/mdHH-D25_normal.jpg</v>
      </c>
      <c r="G471" s="63"/>
      <c r="H471" s="67"/>
      <c r="I471" s="68"/>
      <c r="J471" s="68"/>
      <c r="K471" s="67" t="s">
        <v>9995</v>
      </c>
      <c r="L471" s="71"/>
      <c r="M471" s="72"/>
      <c r="N471" s="72"/>
      <c r="O471" s="73"/>
      <c r="P471" s="74"/>
      <c r="Q471" s="74"/>
      <c r="R471" s="81"/>
      <c r="S471" s="81"/>
      <c r="T471" s="81"/>
      <c r="U471" s="81"/>
      <c r="V471" s="48"/>
      <c r="W471" s="48"/>
      <c r="X471" s="48"/>
      <c r="Y471" s="48"/>
      <c r="Z471" s="47"/>
      <c r="AA471" s="69"/>
      <c r="AB471" s="69"/>
      <c r="AC471" s="70"/>
      <c r="AD471" t="s">
        <v>5685</v>
      </c>
      <c r="AE471" s="78" t="s">
        <v>6928</v>
      </c>
      <c r="AF471">
        <v>2440</v>
      </c>
      <c r="AG471">
        <v>6035</v>
      </c>
      <c r="AH471">
        <v>113950</v>
      </c>
      <c r="AI471">
        <v>63385</v>
      </c>
      <c r="AK471" t="s">
        <v>8092</v>
      </c>
      <c r="AM471" s="79" t="str">
        <f>HYPERLINK("https://t.co/jcYCJc6Oie")</f>
        <v>https://t.co/jcYCJc6Oie</v>
      </c>
      <c r="AO471" s="76">
        <v>41273.691678240742</v>
      </c>
      <c r="AP471" s="79" t="str">
        <f>HYPERLINK("https://pbs.twimg.com/profile_banners/1048294088/1499955932")</f>
        <v>https://pbs.twimg.com/profile_banners/1048294088/1499955932</v>
      </c>
      <c r="AQ471" t="b">
        <v>0</v>
      </c>
      <c r="AR471" t="b">
        <v>0</v>
      </c>
      <c r="AS471" t="b">
        <v>0</v>
      </c>
      <c r="AU471">
        <v>46</v>
      </c>
      <c r="AV471" s="79" t="str">
        <f>HYPERLINK("https://abs.twimg.com/images/themes/theme1/bg.png")</f>
        <v>https://abs.twimg.com/images/themes/theme1/bg.png</v>
      </c>
      <c r="AW471" t="b">
        <v>0</v>
      </c>
      <c r="AX471" t="s">
        <v>9303</v>
      </c>
      <c r="AY471" s="79" t="str">
        <f>HYPERLINK("https://twitter.com/thecarterfilez")</f>
        <v>https://twitter.com/thecarterfilez</v>
      </c>
      <c r="AZ471" t="s">
        <v>66</v>
      </c>
      <c r="BA471" s="2"/>
    </row>
    <row r="472" spans="1:53" x14ac:dyDescent="0.45">
      <c r="A472" s="62" t="s">
        <v>1192</v>
      </c>
      <c r="B472" s="63"/>
      <c r="C472" s="63"/>
      <c r="D472" s="64"/>
      <c r="E472" s="66"/>
      <c r="F472" s="98" t="str">
        <f>HYPERLINK("https://pbs.twimg.com/profile_images/917416737917849600/0SLRSEN0_normal.jpg")</f>
        <v>https://pbs.twimg.com/profile_images/917416737917849600/0SLRSEN0_normal.jpg</v>
      </c>
      <c r="G472" s="63"/>
      <c r="H472" s="67"/>
      <c r="I472" s="68"/>
      <c r="J472" s="68"/>
      <c r="K472" s="67" t="s">
        <v>9483</v>
      </c>
      <c r="L472" s="71"/>
      <c r="M472" s="72"/>
      <c r="N472" s="72"/>
      <c r="O472" s="73"/>
      <c r="P472" s="74"/>
      <c r="Q472" s="74"/>
      <c r="R472" s="81"/>
      <c r="S472" s="81"/>
      <c r="T472" s="81"/>
      <c r="U472" s="81"/>
      <c r="V472" s="48"/>
      <c r="W472" s="48"/>
      <c r="X472" s="48"/>
      <c r="Y472" s="48"/>
      <c r="Z472" s="47"/>
      <c r="AA472" s="69"/>
      <c r="AB472" s="69"/>
      <c r="AC472" s="70"/>
      <c r="AD472" t="s">
        <v>5177</v>
      </c>
      <c r="AE472" s="78" t="s">
        <v>6473</v>
      </c>
      <c r="AF472">
        <v>3</v>
      </c>
      <c r="AG472">
        <v>5957</v>
      </c>
      <c r="AH472">
        <v>237</v>
      </c>
      <c r="AI472">
        <v>9</v>
      </c>
      <c r="AK472" t="s">
        <v>7648</v>
      </c>
      <c r="AL472" t="s">
        <v>8773</v>
      </c>
      <c r="AM472" s="79" t="str">
        <f>HYPERLINK("https://t.co/bq7Cy3AzqR")</f>
        <v>https://t.co/bq7Cy3AzqR</v>
      </c>
      <c r="AO472" s="76">
        <v>40149.931932870371</v>
      </c>
      <c r="AP472" s="79" t="str">
        <f>HYPERLINK("https://pbs.twimg.com/profile_banners/94190179/1655210596")</f>
        <v>https://pbs.twimg.com/profile_banners/94190179/1655210596</v>
      </c>
      <c r="AQ472" t="b">
        <v>1</v>
      </c>
      <c r="AR472" t="b">
        <v>0</v>
      </c>
      <c r="AS472" t="b">
        <v>0</v>
      </c>
      <c r="AU472">
        <v>137</v>
      </c>
      <c r="AV472" s="79" t="str">
        <f>HYPERLINK("https://abs.twimg.com/images/themes/theme1/bg.png")</f>
        <v>https://abs.twimg.com/images/themes/theme1/bg.png</v>
      </c>
      <c r="AW472" t="b">
        <v>1</v>
      </c>
      <c r="AX472" t="s">
        <v>9303</v>
      </c>
      <c r="AY472" s="79" t="str">
        <f>HYPERLINK("https://twitter.com/nexteraenergy")</f>
        <v>https://twitter.com/nexteraenergy</v>
      </c>
      <c r="AZ472" t="s">
        <v>65</v>
      </c>
      <c r="BA472" s="2"/>
    </row>
    <row r="473" spans="1:53" x14ac:dyDescent="0.45">
      <c r="A473" s="62" t="s">
        <v>414</v>
      </c>
      <c r="B473" s="63"/>
      <c r="C473" s="63"/>
      <c r="D473" s="64"/>
      <c r="E473" s="66"/>
      <c r="F473" s="98" t="str">
        <f>HYPERLINK("https://pbs.twimg.com/profile_images/1621075318084898819/jNMSQeUa_normal.jpg")</f>
        <v>https://pbs.twimg.com/profile_images/1621075318084898819/jNMSQeUa_normal.jpg</v>
      </c>
      <c r="G473" s="63"/>
      <c r="H473" s="67"/>
      <c r="I473" s="68"/>
      <c r="J473" s="68"/>
      <c r="K473" s="67" t="s">
        <v>9665</v>
      </c>
      <c r="L473" s="71"/>
      <c r="M473" s="72"/>
      <c r="N473" s="72"/>
      <c r="O473" s="73"/>
      <c r="P473" s="74"/>
      <c r="Q473" s="74"/>
      <c r="R473" s="81"/>
      <c r="S473" s="81"/>
      <c r="T473" s="81"/>
      <c r="U473" s="81"/>
      <c r="V473" s="48"/>
      <c r="W473" s="48"/>
      <c r="X473" s="48"/>
      <c r="Y473" s="48"/>
      <c r="Z473" s="47"/>
      <c r="AA473" s="69"/>
      <c r="AB473" s="69"/>
      <c r="AC473" s="70"/>
      <c r="AD473" t="s">
        <v>5358</v>
      </c>
      <c r="AE473" s="78" t="s">
        <v>6632</v>
      </c>
      <c r="AF473">
        <v>4881</v>
      </c>
      <c r="AG473">
        <v>5936</v>
      </c>
      <c r="AH473">
        <v>97055</v>
      </c>
      <c r="AI473">
        <v>122584</v>
      </c>
      <c r="AK473" t="s">
        <v>7808</v>
      </c>
      <c r="AL473" t="s">
        <v>8864</v>
      </c>
      <c r="AO473" s="76">
        <v>43914.762777777774</v>
      </c>
      <c r="AP473" s="79" t="str">
        <f>HYPERLINK("https://pbs.twimg.com/profile_banners/1242516085397532672/1674702294")</f>
        <v>https://pbs.twimg.com/profile_banners/1242516085397532672/1674702294</v>
      </c>
      <c r="AQ473" t="b">
        <v>1</v>
      </c>
      <c r="AR473" t="b">
        <v>0</v>
      </c>
      <c r="AS473" t="b">
        <v>0</v>
      </c>
      <c r="AU473">
        <v>74</v>
      </c>
      <c r="AW473" t="b">
        <v>0</v>
      </c>
      <c r="AX473" t="s">
        <v>9303</v>
      </c>
      <c r="AY473" s="79" t="str">
        <f>HYPERLINK("https://twitter.com/mileyfiower")</f>
        <v>https://twitter.com/mileyfiower</v>
      </c>
      <c r="AZ473" t="s">
        <v>66</v>
      </c>
      <c r="BA473" s="2"/>
    </row>
    <row r="474" spans="1:53" x14ac:dyDescent="0.45">
      <c r="A474" s="62" t="s">
        <v>1197</v>
      </c>
      <c r="B474" s="63"/>
      <c r="C474" s="63"/>
      <c r="D474" s="64"/>
      <c r="E474" s="66"/>
      <c r="F474" s="98" t="str">
        <f>HYPERLINK("https://pbs.twimg.com/profile_images/1542872373585666048/VcilxQsv_normal.png")</f>
        <v>https://pbs.twimg.com/profile_images/1542872373585666048/VcilxQsv_normal.png</v>
      </c>
      <c r="G474" s="63"/>
      <c r="H474" s="67"/>
      <c r="I474" s="68"/>
      <c r="J474" s="68"/>
      <c r="K474" s="67" t="s">
        <v>9488</v>
      </c>
      <c r="L474" s="71"/>
      <c r="M474" s="72"/>
      <c r="N474" s="72"/>
      <c r="O474" s="73"/>
      <c r="P474" s="74"/>
      <c r="Q474" s="74"/>
      <c r="R474" s="81"/>
      <c r="S474" s="81"/>
      <c r="T474" s="81"/>
      <c r="U474" s="81"/>
      <c r="V474" s="48"/>
      <c r="W474" s="48"/>
      <c r="X474" s="48"/>
      <c r="Y474" s="48"/>
      <c r="Z474" s="47"/>
      <c r="AA474" s="69"/>
      <c r="AB474" s="69"/>
      <c r="AC474" s="70"/>
      <c r="AD474" t="s">
        <v>5182</v>
      </c>
      <c r="AE474" s="78" t="s">
        <v>6478</v>
      </c>
      <c r="AF474">
        <v>483</v>
      </c>
      <c r="AG474">
        <v>5884</v>
      </c>
      <c r="AH474">
        <v>4578</v>
      </c>
      <c r="AI474">
        <v>1106</v>
      </c>
      <c r="AK474" t="s">
        <v>7653</v>
      </c>
      <c r="AL474" t="s">
        <v>8778</v>
      </c>
      <c r="AM474" s="79" t="str">
        <f>HYPERLINK("https://t.co/hItfmPzZfV")</f>
        <v>https://t.co/hItfmPzZfV</v>
      </c>
      <c r="AO474" s="76">
        <v>40660.663622685184</v>
      </c>
      <c r="AP474" s="79" t="str">
        <f>HYPERLINK("https://pbs.twimg.com/profile_banners/288863891/1656684376")</f>
        <v>https://pbs.twimg.com/profile_banners/288863891/1656684376</v>
      </c>
      <c r="AQ474" t="b">
        <v>0</v>
      </c>
      <c r="AR474" t="b">
        <v>0</v>
      </c>
      <c r="AS474" t="b">
        <v>0</v>
      </c>
      <c r="AU474">
        <v>160</v>
      </c>
      <c r="AV474" s="79" t="str">
        <f>HYPERLINK("https://abs.twimg.com/images/themes/theme1/bg.png")</f>
        <v>https://abs.twimg.com/images/themes/theme1/bg.png</v>
      </c>
      <c r="AW474" t="b">
        <v>0</v>
      </c>
      <c r="AX474" t="s">
        <v>9303</v>
      </c>
      <c r="AY474" s="79" t="str">
        <f>HYPERLINK("https://twitter.com/healthcare_abc")</f>
        <v>https://twitter.com/healthcare_abc</v>
      </c>
      <c r="AZ474" t="s">
        <v>65</v>
      </c>
      <c r="BA474" s="2"/>
    </row>
    <row r="475" spans="1:53" x14ac:dyDescent="0.45">
      <c r="A475" s="62" t="s">
        <v>292</v>
      </c>
      <c r="B475" s="63"/>
      <c r="C475" s="63"/>
      <c r="D475" s="64"/>
      <c r="E475" s="66"/>
      <c r="F475" s="98" t="str">
        <f>HYPERLINK("https://pbs.twimg.com/profile_images/1239179707742068743/e50DphDx_normal.jpg")</f>
        <v>https://pbs.twimg.com/profile_images/1239179707742068743/e50DphDx_normal.jpg</v>
      </c>
      <c r="G475" s="63"/>
      <c r="H475" s="67"/>
      <c r="I475" s="68"/>
      <c r="J475" s="68"/>
      <c r="K475" s="67" t="s">
        <v>9458</v>
      </c>
      <c r="L475" s="71"/>
      <c r="M475" s="72"/>
      <c r="N475" s="72"/>
      <c r="O475" s="73"/>
      <c r="P475" s="74"/>
      <c r="Q475" s="74"/>
      <c r="R475" s="81"/>
      <c r="S475" s="81"/>
      <c r="T475" s="81"/>
      <c r="U475" s="81"/>
      <c r="V475" s="48"/>
      <c r="W475" s="48"/>
      <c r="X475" s="48"/>
      <c r="Y475" s="48"/>
      <c r="Z475" s="47"/>
      <c r="AA475" s="69"/>
      <c r="AB475" s="69"/>
      <c r="AC475" s="70"/>
      <c r="AD475" t="s">
        <v>5152</v>
      </c>
      <c r="AE475" s="78" t="s">
        <v>6453</v>
      </c>
      <c r="AF475">
        <v>2371</v>
      </c>
      <c r="AG475">
        <v>5874</v>
      </c>
      <c r="AH475">
        <v>14911</v>
      </c>
      <c r="AI475">
        <v>31690</v>
      </c>
      <c r="AK475" t="s">
        <v>7624</v>
      </c>
      <c r="AL475" t="s">
        <v>8763</v>
      </c>
      <c r="AM475" s="79" t="str">
        <f>HYPERLINK("https://t.co/YSuCldQTBk")</f>
        <v>https://t.co/YSuCldQTBk</v>
      </c>
      <c r="AO475" s="76">
        <v>41225.88177083333</v>
      </c>
      <c r="AP475" s="79" t="str">
        <f>HYPERLINK("https://pbs.twimg.com/profile_banners/944595452/1672540671")</f>
        <v>https://pbs.twimg.com/profile_banners/944595452/1672540671</v>
      </c>
      <c r="AQ475" t="b">
        <v>1</v>
      </c>
      <c r="AR475" t="b">
        <v>0</v>
      </c>
      <c r="AS475" t="b">
        <v>0</v>
      </c>
      <c r="AU475">
        <v>84</v>
      </c>
      <c r="AV475" s="79" t="str">
        <f>HYPERLINK("https://abs.twimg.com/images/themes/theme1/bg.png")</f>
        <v>https://abs.twimg.com/images/themes/theme1/bg.png</v>
      </c>
      <c r="AW475" t="b">
        <v>1</v>
      </c>
      <c r="AX475" t="s">
        <v>9303</v>
      </c>
      <c r="AY475" s="79" t="str">
        <f>HYPERLINK("https://twitter.com/heathracela")</f>
        <v>https://twitter.com/heathracela</v>
      </c>
      <c r="AZ475" t="s">
        <v>66</v>
      </c>
      <c r="BA475" s="2"/>
    </row>
    <row r="476" spans="1:53" x14ac:dyDescent="0.45">
      <c r="A476" s="62" t="s">
        <v>1148</v>
      </c>
      <c r="B476" s="63"/>
      <c r="C476" s="63"/>
      <c r="D476" s="64"/>
      <c r="E476" s="66"/>
      <c r="F476" s="98" t="str">
        <f>HYPERLINK("https://pbs.twimg.com/profile_images/989537472563494912/za3oKrwK_normal.jpg")</f>
        <v>https://pbs.twimg.com/profile_images/989537472563494912/za3oKrwK_normal.jpg</v>
      </c>
      <c r="G476" s="63"/>
      <c r="H476" s="67"/>
      <c r="I476" s="68"/>
      <c r="J476" s="68"/>
      <c r="K476" s="67" t="s">
        <v>9377</v>
      </c>
      <c r="L476" s="71"/>
      <c r="M476" s="72"/>
      <c r="N476" s="72"/>
      <c r="O476" s="73"/>
      <c r="P476" s="74"/>
      <c r="Q476" s="74"/>
      <c r="R476" s="81"/>
      <c r="S476" s="81"/>
      <c r="T476" s="81"/>
      <c r="U476" s="81"/>
      <c r="V476" s="48"/>
      <c r="W476" s="48"/>
      <c r="X476" s="48"/>
      <c r="Y476" s="48"/>
      <c r="Z476" s="47"/>
      <c r="AA476" s="69"/>
      <c r="AB476" s="69"/>
      <c r="AC476" s="70"/>
      <c r="AD476" t="s">
        <v>5073</v>
      </c>
      <c r="AE476" s="78" t="s">
        <v>4652</v>
      </c>
      <c r="AF476">
        <v>53</v>
      </c>
      <c r="AG476">
        <v>5834</v>
      </c>
      <c r="AH476">
        <v>1273</v>
      </c>
      <c r="AI476">
        <v>135</v>
      </c>
      <c r="AK476" t="s">
        <v>7559</v>
      </c>
      <c r="AL476" t="s">
        <v>8724</v>
      </c>
      <c r="AM476" s="79" t="str">
        <f>HYPERLINK("https://t.co/QzacjZ5x4M")</f>
        <v>https://t.co/QzacjZ5x4M</v>
      </c>
      <c r="AO476" s="76">
        <v>41863.609166666669</v>
      </c>
      <c r="AP476" s="79" t="str">
        <f>HYPERLINK("https://pbs.twimg.com/profile_banners/2726382246/1617976767")</f>
        <v>https://pbs.twimg.com/profile_banners/2726382246/1617976767</v>
      </c>
      <c r="AQ476" t="b">
        <v>1</v>
      </c>
      <c r="AR476" t="b">
        <v>0</v>
      </c>
      <c r="AS476" t="b">
        <v>0</v>
      </c>
      <c r="AU476">
        <v>54</v>
      </c>
      <c r="AV476" s="79" t="str">
        <f>HYPERLINK("https://abs.twimg.com/images/themes/theme1/bg.png")</f>
        <v>https://abs.twimg.com/images/themes/theme1/bg.png</v>
      </c>
      <c r="AW476" t="b">
        <v>1</v>
      </c>
      <c r="AX476" t="s">
        <v>9303</v>
      </c>
      <c r="AY476" s="79" t="str">
        <f>HYPERLINK("https://twitter.com/loblawco")</f>
        <v>https://twitter.com/loblawco</v>
      </c>
      <c r="AZ476" t="s">
        <v>65</v>
      </c>
      <c r="BA476" s="2"/>
    </row>
    <row r="477" spans="1:53" x14ac:dyDescent="0.45">
      <c r="A477" s="62" t="s">
        <v>802</v>
      </c>
      <c r="B477" s="63"/>
      <c r="C477" s="63"/>
      <c r="D477" s="64"/>
      <c r="E477" s="66"/>
      <c r="F477" s="98" t="str">
        <f>HYPERLINK("https://pbs.twimg.com/profile_images/1600838314529099777/otOg6vRG_normal.jpg")</f>
        <v>https://pbs.twimg.com/profile_images/1600838314529099777/otOg6vRG_normal.jpg</v>
      </c>
      <c r="G477" s="63"/>
      <c r="H477" s="67"/>
      <c r="I477" s="68"/>
      <c r="J477" s="68"/>
      <c r="K477" s="67" t="s">
        <v>10181</v>
      </c>
      <c r="L477" s="71"/>
      <c r="M477" s="72"/>
      <c r="N477" s="72"/>
      <c r="O477" s="73"/>
      <c r="P477" s="74"/>
      <c r="Q477" s="74"/>
      <c r="R477" s="81"/>
      <c r="S477" s="81"/>
      <c r="T477" s="81"/>
      <c r="U477" s="81"/>
      <c r="V477" s="48"/>
      <c r="W477" s="48"/>
      <c r="X477" s="48"/>
      <c r="Y477" s="48"/>
      <c r="Z477" s="47"/>
      <c r="AA477" s="69"/>
      <c r="AB477" s="69"/>
      <c r="AC477" s="70"/>
      <c r="AD477" t="s">
        <v>5866</v>
      </c>
      <c r="AE477" s="78" t="s">
        <v>7089</v>
      </c>
      <c r="AF477">
        <v>5600</v>
      </c>
      <c r="AG477">
        <v>5626</v>
      </c>
      <c r="AH477">
        <v>42189</v>
      </c>
      <c r="AI477">
        <v>28684</v>
      </c>
      <c r="AK477" t="s">
        <v>8254</v>
      </c>
      <c r="AL477" t="s">
        <v>9110</v>
      </c>
      <c r="AM477" s="79" t="str">
        <f>HYPERLINK("https://t.co/JrbjDPd0Xb")</f>
        <v>https://t.co/JrbjDPd0Xb</v>
      </c>
      <c r="AO477" s="76">
        <v>41414.157731481479</v>
      </c>
      <c r="AP477" s="79" t="str">
        <f>HYPERLINK("https://pbs.twimg.com/profile_banners/1442796679/1668548796")</f>
        <v>https://pbs.twimg.com/profile_banners/1442796679/1668548796</v>
      </c>
      <c r="AQ477" t="b">
        <v>0</v>
      </c>
      <c r="AR477" t="b">
        <v>0</v>
      </c>
      <c r="AS477" t="b">
        <v>1</v>
      </c>
      <c r="AU477">
        <v>25</v>
      </c>
      <c r="AV477" s="79" t="str">
        <f>HYPERLINK("https://abs.twimg.com/images/themes/theme9/bg.gif")</f>
        <v>https://abs.twimg.com/images/themes/theme9/bg.gif</v>
      </c>
      <c r="AW477" t="b">
        <v>0</v>
      </c>
      <c r="AX477" t="s">
        <v>9303</v>
      </c>
      <c r="AY477" s="79" t="str">
        <f>HYPERLINK("https://twitter.com/eggswiffyshady")</f>
        <v>https://twitter.com/eggswiffyshady</v>
      </c>
      <c r="AZ477" t="s">
        <v>66</v>
      </c>
      <c r="BA477" s="2"/>
    </row>
    <row r="478" spans="1:53" x14ac:dyDescent="0.45">
      <c r="A478" s="62" t="s">
        <v>620</v>
      </c>
      <c r="B478" s="63"/>
      <c r="C478" s="63"/>
      <c r="D478" s="64"/>
      <c r="E478" s="66"/>
      <c r="F478" s="98" t="str">
        <f>HYPERLINK("https://pbs.twimg.com/profile_images/1589950362097786882/JJhcOXHL_normal.jpg")</f>
        <v>https://pbs.twimg.com/profile_images/1589950362097786882/JJhcOXHL_normal.jpg</v>
      </c>
      <c r="G478" s="63"/>
      <c r="H478" s="67"/>
      <c r="I478" s="68"/>
      <c r="J478" s="68"/>
      <c r="K478" s="67" t="s">
        <v>9921</v>
      </c>
      <c r="L478" s="71"/>
      <c r="M478" s="72"/>
      <c r="N478" s="72"/>
      <c r="O478" s="73"/>
      <c r="P478" s="74"/>
      <c r="Q478" s="74"/>
      <c r="R478" s="81"/>
      <c r="S478" s="81"/>
      <c r="T478" s="81"/>
      <c r="U478" s="81"/>
      <c r="V478" s="48"/>
      <c r="W478" s="48"/>
      <c r="X478" s="48"/>
      <c r="Y478" s="48"/>
      <c r="Z478" s="47"/>
      <c r="AA478" s="69"/>
      <c r="AB478" s="69"/>
      <c r="AC478" s="70"/>
      <c r="AD478" t="s">
        <v>5612</v>
      </c>
      <c r="AE478" s="78" t="s">
        <v>6856</v>
      </c>
      <c r="AF478">
        <v>6279</v>
      </c>
      <c r="AG478">
        <v>5578</v>
      </c>
      <c r="AH478">
        <v>206557</v>
      </c>
      <c r="AI478">
        <v>144869</v>
      </c>
      <c r="AK478" t="s">
        <v>8032</v>
      </c>
      <c r="AL478" t="s">
        <v>8998</v>
      </c>
      <c r="AM478" s="79" t="str">
        <f>HYPERLINK("https://t.co/Sg0uDlzanj")</f>
        <v>https://t.co/Sg0uDlzanj</v>
      </c>
      <c r="AO478" s="76">
        <v>40680.480405092596</v>
      </c>
      <c r="AP478" s="79" t="str">
        <f>HYPERLINK("https://pbs.twimg.com/profile_banners/300204824/1513730160")</f>
        <v>https://pbs.twimg.com/profile_banners/300204824/1513730160</v>
      </c>
      <c r="AQ478" t="b">
        <v>0</v>
      </c>
      <c r="AR478" t="b">
        <v>0</v>
      </c>
      <c r="AS478" t="b">
        <v>1</v>
      </c>
      <c r="AU478">
        <v>215</v>
      </c>
      <c r="AV478" s="79" t="str">
        <f>HYPERLINK("https://abs.twimg.com/images/themes/theme1/bg.png")</f>
        <v>https://abs.twimg.com/images/themes/theme1/bg.png</v>
      </c>
      <c r="AW478" t="b">
        <v>0</v>
      </c>
      <c r="AX478" t="s">
        <v>9303</v>
      </c>
      <c r="AY478" s="79" t="str">
        <f>HYPERLINK("https://twitter.com/madonnalovedale")</f>
        <v>https://twitter.com/madonnalovedale</v>
      </c>
      <c r="AZ478" t="s">
        <v>66</v>
      </c>
      <c r="BA478" s="2"/>
    </row>
    <row r="479" spans="1:53" x14ac:dyDescent="0.45">
      <c r="A479" s="62" t="s">
        <v>257</v>
      </c>
      <c r="B479" s="63"/>
      <c r="C479" s="63"/>
      <c r="D479" s="64"/>
      <c r="E479" s="66"/>
      <c r="F479" s="98" t="str">
        <f>HYPERLINK("https://pbs.twimg.com/profile_images/1619428008619655169/QO52DsFb_normal.jpg")</f>
        <v>https://pbs.twimg.com/profile_images/1619428008619655169/QO52DsFb_normal.jpg</v>
      </c>
      <c r="G479" s="63"/>
      <c r="H479" s="67"/>
      <c r="I479" s="68"/>
      <c r="J479" s="68"/>
      <c r="K479" s="67" t="s">
        <v>9399</v>
      </c>
      <c r="L479" s="71"/>
      <c r="M479" s="72"/>
      <c r="N479" s="72"/>
      <c r="O479" s="73"/>
      <c r="P479" s="74"/>
      <c r="Q479" s="74"/>
      <c r="R479" s="81"/>
      <c r="S479" s="81"/>
      <c r="T479" s="81"/>
      <c r="U479" s="81"/>
      <c r="V479" s="48"/>
      <c r="W479" s="48"/>
      <c r="X479" s="48"/>
      <c r="Y479" s="48"/>
      <c r="Z479" s="47"/>
      <c r="AA479" s="69"/>
      <c r="AB479" s="69"/>
      <c r="AC479" s="70"/>
      <c r="AD479" t="s">
        <v>5094</v>
      </c>
      <c r="AE479" s="78" t="s">
        <v>6404</v>
      </c>
      <c r="AF479">
        <v>5480</v>
      </c>
      <c r="AG479">
        <v>5401</v>
      </c>
      <c r="AH479">
        <v>25346</v>
      </c>
      <c r="AI479">
        <v>2077</v>
      </c>
      <c r="AK479" t="s">
        <v>7578</v>
      </c>
      <c r="AL479" t="s">
        <v>8732</v>
      </c>
      <c r="AO479" s="76">
        <v>41320.663564814815</v>
      </c>
      <c r="AP479" s="79" t="str">
        <f>HYPERLINK("https://pbs.twimg.com/profile_banners/1183036381/1645183498")</f>
        <v>https://pbs.twimg.com/profile_banners/1183036381/1645183498</v>
      </c>
      <c r="AQ479" t="b">
        <v>1</v>
      </c>
      <c r="AR479" t="b">
        <v>0</v>
      </c>
      <c r="AS479" t="b">
        <v>1</v>
      </c>
      <c r="AU479">
        <v>21</v>
      </c>
      <c r="AV479" s="79" t="str">
        <f>HYPERLINK("https://abs.twimg.com/images/themes/theme1/bg.png")</f>
        <v>https://abs.twimg.com/images/themes/theme1/bg.png</v>
      </c>
      <c r="AW479" t="b">
        <v>0</v>
      </c>
      <c r="AX479" t="s">
        <v>9303</v>
      </c>
      <c r="AY479" s="79" t="str">
        <f>HYPERLINK("https://twitter.com/7lakeorenda")</f>
        <v>https://twitter.com/7lakeorenda</v>
      </c>
      <c r="AZ479" t="s">
        <v>66</v>
      </c>
      <c r="BA479" s="2"/>
    </row>
    <row r="480" spans="1:53" x14ac:dyDescent="0.45">
      <c r="A480" s="62" t="s">
        <v>1270</v>
      </c>
      <c r="B480" s="63"/>
      <c r="C480" s="63"/>
      <c r="D480" s="64"/>
      <c r="E480" s="66"/>
      <c r="F480" s="98" t="str">
        <f>HYPERLINK("https://pbs.twimg.com/profile_images/1208133975841157120/A-X7iVU__normal.png")</f>
        <v>https://pbs.twimg.com/profile_images/1208133975841157120/A-X7iVU__normal.png</v>
      </c>
      <c r="G480" s="63"/>
      <c r="H480" s="67"/>
      <c r="I480" s="68"/>
      <c r="J480" s="68"/>
      <c r="K480" s="67" t="s">
        <v>9730</v>
      </c>
      <c r="L480" s="71"/>
      <c r="M480" s="72"/>
      <c r="N480" s="72"/>
      <c r="O480" s="73"/>
      <c r="P480" s="74"/>
      <c r="Q480" s="74"/>
      <c r="R480" s="81"/>
      <c r="S480" s="81"/>
      <c r="T480" s="81"/>
      <c r="U480" s="81"/>
      <c r="V480" s="48"/>
      <c r="W480" s="48"/>
      <c r="X480" s="48"/>
      <c r="Y480" s="48"/>
      <c r="Z480" s="47"/>
      <c r="AA480" s="69"/>
      <c r="AB480" s="69"/>
      <c r="AC480" s="70"/>
      <c r="AD480" t="s">
        <v>5422</v>
      </c>
      <c r="AE480" s="78" t="s">
        <v>4694</v>
      </c>
      <c r="AF480">
        <v>109</v>
      </c>
      <c r="AG480">
        <v>5294</v>
      </c>
      <c r="AH480">
        <v>1541</v>
      </c>
      <c r="AI480">
        <v>87</v>
      </c>
      <c r="AK480" t="s">
        <v>7862</v>
      </c>
      <c r="AM480" s="79" t="str">
        <f>HYPERLINK("https://t.co/MzZeO8GnnD")</f>
        <v>https://t.co/MzZeO8GnnD</v>
      </c>
      <c r="AO480" s="76">
        <v>42911.6562037037</v>
      </c>
      <c r="AP480" s="79" t="str">
        <f>HYPERLINK("https://pbs.twimg.com/profile_banners/879002479463215107/1498408111")</f>
        <v>https://pbs.twimg.com/profile_banners/879002479463215107/1498408111</v>
      </c>
      <c r="AQ480" t="b">
        <v>0</v>
      </c>
      <c r="AR480" t="b">
        <v>0</v>
      </c>
      <c r="AS480" t="b">
        <v>0</v>
      </c>
      <c r="AU480">
        <v>44</v>
      </c>
      <c r="AV480" s="79" t="str">
        <f>HYPERLINK("https://abs.twimg.com/images/themes/theme1/bg.png")</f>
        <v>https://abs.twimg.com/images/themes/theme1/bg.png</v>
      </c>
      <c r="AW480" t="b">
        <v>0</v>
      </c>
      <c r="AX480" t="s">
        <v>9303</v>
      </c>
      <c r="AY480" s="79" t="str">
        <f>HYPERLINK("https://twitter.com/androidtv_rumor")</f>
        <v>https://twitter.com/androidtv_rumor</v>
      </c>
      <c r="AZ480" t="s">
        <v>65</v>
      </c>
      <c r="BA480" s="2"/>
    </row>
    <row r="481" spans="1:53" x14ac:dyDescent="0.45">
      <c r="A481" s="62" t="s">
        <v>885</v>
      </c>
      <c r="B481" s="63"/>
      <c r="C481" s="63"/>
      <c r="D481" s="64"/>
      <c r="E481" s="66"/>
      <c r="F481" s="98" t="str">
        <f>HYPERLINK("https://pbs.twimg.com/profile_images/1594514844090306561/rG9gegTz_normal.jpg")</f>
        <v>https://pbs.twimg.com/profile_images/1594514844090306561/rG9gegTz_normal.jpg</v>
      </c>
      <c r="G481" s="63"/>
      <c r="H481" s="67"/>
      <c r="I481" s="68"/>
      <c r="J481" s="68"/>
      <c r="K481" s="67" t="s">
        <v>10297</v>
      </c>
      <c r="L481" s="71"/>
      <c r="M481" s="72"/>
      <c r="N481" s="72"/>
      <c r="O481" s="73"/>
      <c r="P481" s="74"/>
      <c r="Q481" s="74"/>
      <c r="R481" s="81"/>
      <c r="S481" s="81"/>
      <c r="T481" s="81"/>
      <c r="U481" s="81"/>
      <c r="V481" s="48"/>
      <c r="W481" s="48"/>
      <c r="X481" s="48"/>
      <c r="Y481" s="48"/>
      <c r="Z481" s="47"/>
      <c r="AA481" s="69"/>
      <c r="AB481" s="69"/>
      <c r="AC481" s="70"/>
      <c r="AD481" t="s">
        <v>5980</v>
      </c>
      <c r="AE481" s="78" t="s">
        <v>7191</v>
      </c>
      <c r="AF481">
        <v>5429</v>
      </c>
      <c r="AG481">
        <v>5276</v>
      </c>
      <c r="AH481">
        <v>420065</v>
      </c>
      <c r="AI481">
        <v>86931</v>
      </c>
      <c r="AK481" t="s">
        <v>8357</v>
      </c>
      <c r="AL481" t="s">
        <v>9159</v>
      </c>
      <c r="AM481" s="79" t="str">
        <f>HYPERLINK("https://t.co/DdzAA0SblO")</f>
        <v>https://t.co/DdzAA0SblO</v>
      </c>
      <c r="AO481" s="76">
        <v>40939.832407407404</v>
      </c>
      <c r="AP481" s="79" t="str">
        <f>HYPERLINK("https://pbs.twimg.com/profile_banners/479809449/1660686422")</f>
        <v>https://pbs.twimg.com/profile_banners/479809449/1660686422</v>
      </c>
      <c r="AQ481" t="b">
        <v>0</v>
      </c>
      <c r="AR481" t="b">
        <v>0</v>
      </c>
      <c r="AS481" t="b">
        <v>0</v>
      </c>
      <c r="AU481">
        <v>84</v>
      </c>
      <c r="AV481" s="79" t="str">
        <f>HYPERLINK("https://abs.twimg.com/images/themes/theme10/bg.gif")</f>
        <v>https://abs.twimg.com/images/themes/theme10/bg.gif</v>
      </c>
      <c r="AW481" t="b">
        <v>0</v>
      </c>
      <c r="AX481" t="s">
        <v>9303</v>
      </c>
      <c r="AY481" s="79" t="str">
        <f>HYPERLINK("https://twitter.com/stephthegroupie")</f>
        <v>https://twitter.com/stephthegroupie</v>
      </c>
      <c r="AZ481" t="s">
        <v>66</v>
      </c>
      <c r="BA481" s="2"/>
    </row>
    <row r="482" spans="1:53" x14ac:dyDescent="0.45">
      <c r="A482" s="62" t="s">
        <v>1050</v>
      </c>
      <c r="B482" s="63"/>
      <c r="C482" s="63"/>
      <c r="D482" s="64"/>
      <c r="E482" s="66"/>
      <c r="F482" s="98" t="str">
        <f>HYPERLINK("https://pbs.twimg.com/profile_images/1614744610558844928/rvjz6bKD_normal.jpg")</f>
        <v>https://pbs.twimg.com/profile_images/1614744610558844928/rvjz6bKD_normal.jpg</v>
      </c>
      <c r="G482" s="63"/>
      <c r="H482" s="67"/>
      <c r="I482" s="68"/>
      <c r="J482" s="68"/>
      <c r="K482" s="67" t="s">
        <v>10564</v>
      </c>
      <c r="L482" s="71"/>
      <c r="M482" s="72"/>
      <c r="N482" s="72"/>
      <c r="O482" s="73"/>
      <c r="P482" s="74"/>
      <c r="Q482" s="74"/>
      <c r="R482" s="81"/>
      <c r="S482" s="81"/>
      <c r="T482" s="81"/>
      <c r="U482" s="81"/>
      <c r="V482" s="48"/>
      <c r="W482" s="48"/>
      <c r="X482" s="48"/>
      <c r="Y482" s="48"/>
      <c r="Z482" s="47"/>
      <c r="AA482" s="69"/>
      <c r="AB482" s="69"/>
      <c r="AC482" s="70"/>
      <c r="AD482" t="s">
        <v>6242</v>
      </c>
      <c r="AE482" s="78" t="s">
        <v>4810</v>
      </c>
      <c r="AF482">
        <v>1768</v>
      </c>
      <c r="AG482">
        <v>5275</v>
      </c>
      <c r="AH482">
        <v>357867</v>
      </c>
      <c r="AI482">
        <v>14491</v>
      </c>
      <c r="AK482" t="s">
        <v>8590</v>
      </c>
      <c r="AL482" t="s">
        <v>9261</v>
      </c>
      <c r="AM482" s="79" t="str">
        <f>HYPERLINK("https://t.co/4aXdVQaaGK")</f>
        <v>https://t.co/4aXdVQaaGK</v>
      </c>
      <c r="AO482" s="76">
        <v>41570.102500000001</v>
      </c>
      <c r="AP482" s="79" t="str">
        <f>HYPERLINK("https://pbs.twimg.com/profile_banners/2150085458/1647463340")</f>
        <v>https://pbs.twimg.com/profile_banners/2150085458/1647463340</v>
      </c>
      <c r="AQ482" t="b">
        <v>0</v>
      </c>
      <c r="AR482" t="b">
        <v>0</v>
      </c>
      <c r="AS482" t="b">
        <v>1</v>
      </c>
      <c r="AU482">
        <v>79</v>
      </c>
      <c r="AV482" s="79" t="str">
        <f>HYPERLINK("https://abs.twimg.com/images/themes/theme18/bg.gif")</f>
        <v>https://abs.twimg.com/images/themes/theme18/bg.gif</v>
      </c>
      <c r="AW482" t="b">
        <v>0</v>
      </c>
      <c r="AX482" t="s">
        <v>9303</v>
      </c>
      <c r="AY482" s="79" t="str">
        <f>HYPERLINK("https://twitter.com/rowdy8nation")</f>
        <v>https://twitter.com/rowdy8nation</v>
      </c>
      <c r="AZ482" t="s">
        <v>66</v>
      </c>
      <c r="BA482" s="2"/>
    </row>
    <row r="483" spans="1:53" x14ac:dyDescent="0.45">
      <c r="A483" s="62" t="s">
        <v>1080</v>
      </c>
      <c r="B483" s="63"/>
      <c r="C483" s="63"/>
      <c r="D483" s="64"/>
      <c r="E483" s="66"/>
      <c r="F483" s="98" t="str">
        <f>HYPERLINK("https://pbs.twimg.com/profile_images/1434900437904379905/kx3wxpB8_normal.jpg")</f>
        <v>https://pbs.twimg.com/profile_images/1434900437904379905/kx3wxpB8_normal.jpg</v>
      </c>
      <c r="G483" s="63"/>
      <c r="H483" s="67"/>
      <c r="I483" s="68"/>
      <c r="J483" s="68"/>
      <c r="K483" s="67" t="s">
        <v>10617</v>
      </c>
      <c r="L483" s="71"/>
      <c r="M483" s="72"/>
      <c r="N483" s="72"/>
      <c r="O483" s="73"/>
      <c r="P483" s="74"/>
      <c r="Q483" s="74"/>
      <c r="R483" s="81"/>
      <c r="S483" s="81"/>
      <c r="T483" s="81"/>
      <c r="U483" s="81"/>
      <c r="V483" s="48"/>
      <c r="W483" s="48"/>
      <c r="X483" s="48"/>
      <c r="Y483" s="48"/>
      <c r="Z483" s="47"/>
      <c r="AA483" s="69"/>
      <c r="AB483" s="69"/>
      <c r="AC483" s="70"/>
      <c r="AD483" t="s">
        <v>6293</v>
      </c>
      <c r="AE483" s="78" t="s">
        <v>7458</v>
      </c>
      <c r="AF483">
        <v>3865</v>
      </c>
      <c r="AG483">
        <v>5272</v>
      </c>
      <c r="AH483">
        <v>316543</v>
      </c>
      <c r="AI483">
        <v>22734</v>
      </c>
      <c r="AK483" t="s">
        <v>8639</v>
      </c>
      <c r="AL483" t="s">
        <v>9290</v>
      </c>
      <c r="AM483" s="79" t="str">
        <f>HYPERLINK("https://t.co/NKJSOIAw5W")</f>
        <v>https://t.co/NKJSOIAw5W</v>
      </c>
      <c r="AO483" s="76">
        <v>39967.750011574077</v>
      </c>
      <c r="AP483" s="79" t="str">
        <f>HYPERLINK("https://pbs.twimg.com/profile_banners/44413866/1576269946")</f>
        <v>https://pbs.twimg.com/profile_banners/44413866/1576269946</v>
      </c>
      <c r="AQ483" t="b">
        <v>0</v>
      </c>
      <c r="AR483" t="b">
        <v>0</v>
      </c>
      <c r="AS483" t="b">
        <v>1</v>
      </c>
      <c r="AU483">
        <v>459</v>
      </c>
      <c r="AV483" s="79" t="str">
        <f>HYPERLINK("https://abs.twimg.com/images/themes/theme2/bg.gif")</f>
        <v>https://abs.twimg.com/images/themes/theme2/bg.gif</v>
      </c>
      <c r="AW483" t="b">
        <v>0</v>
      </c>
      <c r="AX483" t="s">
        <v>9303</v>
      </c>
      <c r="AY483" s="79" t="str">
        <f>HYPERLINK("https://twitter.com/laurelworlds")</f>
        <v>https://twitter.com/laurelworlds</v>
      </c>
      <c r="AZ483" t="s">
        <v>66</v>
      </c>
      <c r="BA483" s="2"/>
    </row>
    <row r="484" spans="1:53" x14ac:dyDescent="0.45">
      <c r="A484" s="62" t="s">
        <v>1027</v>
      </c>
      <c r="B484" s="63"/>
      <c r="C484" s="63"/>
      <c r="D484" s="64"/>
      <c r="E484" s="66"/>
      <c r="F484" s="98" t="str">
        <f>HYPERLINK("https://pbs.twimg.com/profile_images/1589925437647593473/SfFdSkfC_normal.jpg")</f>
        <v>https://pbs.twimg.com/profile_images/1589925437647593473/SfFdSkfC_normal.jpg</v>
      </c>
      <c r="G484" s="63"/>
      <c r="H484" s="67"/>
      <c r="I484" s="68"/>
      <c r="J484" s="68"/>
      <c r="K484" s="67" t="s">
        <v>10514</v>
      </c>
      <c r="L484" s="71"/>
      <c r="M484" s="72"/>
      <c r="N484" s="72"/>
      <c r="O484" s="73"/>
      <c r="P484" s="74"/>
      <c r="Q484" s="74"/>
      <c r="R484" s="81"/>
      <c r="S484" s="81"/>
      <c r="T484" s="81"/>
      <c r="U484" s="81"/>
      <c r="V484" s="48"/>
      <c r="W484" s="48"/>
      <c r="X484" s="48"/>
      <c r="Y484" s="48"/>
      <c r="Z484" s="47"/>
      <c r="AA484" s="69"/>
      <c r="AB484" s="69"/>
      <c r="AC484" s="70"/>
      <c r="AD484" t="s">
        <v>6192</v>
      </c>
      <c r="AE484" s="78" t="s">
        <v>7374</v>
      </c>
      <c r="AF484">
        <v>674</v>
      </c>
      <c r="AG484">
        <v>5239</v>
      </c>
      <c r="AH484">
        <v>1401</v>
      </c>
      <c r="AI484">
        <v>21</v>
      </c>
      <c r="AK484" t="s">
        <v>8546</v>
      </c>
      <c r="AL484" t="s">
        <v>9246</v>
      </c>
      <c r="AM484" s="79" t="str">
        <f>HYPERLINK("https://t.co/CPQ9jYDxQo")</f>
        <v>https://t.co/CPQ9jYDxQo</v>
      </c>
      <c r="AO484" s="76">
        <v>43921.756238425929</v>
      </c>
      <c r="AP484" s="79" t="str">
        <f>HYPERLINK("https://pbs.twimg.com/profile_banners/1245050402946650117/1667902802")</f>
        <v>https://pbs.twimg.com/profile_banners/1245050402946650117/1667902802</v>
      </c>
      <c r="AQ484" t="b">
        <v>1</v>
      </c>
      <c r="AR484" t="b">
        <v>0</v>
      </c>
      <c r="AS484" t="b">
        <v>0</v>
      </c>
      <c r="AU484">
        <v>91</v>
      </c>
      <c r="AW484" t="b">
        <v>0</v>
      </c>
      <c r="AX484" t="s">
        <v>9303</v>
      </c>
      <c r="AY484" s="79" t="str">
        <f>HYPERLINK("https://twitter.com/evtolinsights")</f>
        <v>https://twitter.com/evtolinsights</v>
      </c>
      <c r="AZ484" t="s">
        <v>66</v>
      </c>
      <c r="BA484" s="2"/>
    </row>
    <row r="485" spans="1:53" x14ac:dyDescent="0.45">
      <c r="A485" s="62" t="s">
        <v>1298</v>
      </c>
      <c r="B485" s="63"/>
      <c r="C485" s="63"/>
      <c r="D485" s="64"/>
      <c r="E485" s="66"/>
      <c r="F485" s="98" t="str">
        <f>HYPERLINK("https://pbs.twimg.com/profile_images/1529673679768104960/R-2jqX_i_normal.jpg")</f>
        <v>https://pbs.twimg.com/profile_images/1529673679768104960/R-2jqX_i_normal.jpg</v>
      </c>
      <c r="G485" s="63"/>
      <c r="H485" s="67"/>
      <c r="I485" s="68"/>
      <c r="J485" s="68"/>
      <c r="K485" s="67" t="s">
        <v>9832</v>
      </c>
      <c r="L485" s="71"/>
      <c r="M485" s="72"/>
      <c r="N485" s="72"/>
      <c r="O485" s="73"/>
      <c r="P485" s="74"/>
      <c r="Q485" s="74"/>
      <c r="R485" s="81"/>
      <c r="S485" s="81"/>
      <c r="T485" s="81"/>
      <c r="U485" s="81"/>
      <c r="V485" s="48"/>
      <c r="W485" s="48"/>
      <c r="X485" s="48"/>
      <c r="Y485" s="48"/>
      <c r="Z485" s="47"/>
      <c r="AA485" s="69"/>
      <c r="AB485" s="69"/>
      <c r="AC485" s="70"/>
      <c r="AD485" t="s">
        <v>5523</v>
      </c>
      <c r="AE485" s="78" t="s">
        <v>4715</v>
      </c>
      <c r="AF485">
        <v>5281</v>
      </c>
      <c r="AG485">
        <v>5208</v>
      </c>
      <c r="AH485">
        <v>13661</v>
      </c>
      <c r="AI485">
        <v>7143</v>
      </c>
      <c r="AK485" t="s">
        <v>7948</v>
      </c>
      <c r="AL485" t="s">
        <v>8937</v>
      </c>
      <c r="AM485" s="79" t="str">
        <f>HYPERLINK("https://t.co/ru9H8cVnOt")</f>
        <v>https://t.co/ru9H8cVnOt</v>
      </c>
      <c r="AO485" s="76">
        <v>40850.092557870368</v>
      </c>
      <c r="AP485" s="79" t="str">
        <f>HYPERLINK("https://pbs.twimg.com/profile_banners/403836534/1655015011")</f>
        <v>https://pbs.twimg.com/profile_banners/403836534/1655015011</v>
      </c>
      <c r="AQ485" t="b">
        <v>0</v>
      </c>
      <c r="AR485" t="b">
        <v>0</v>
      </c>
      <c r="AS485" t="b">
        <v>1</v>
      </c>
      <c r="AU485">
        <v>50</v>
      </c>
      <c r="AV485" s="79" t="str">
        <f>HYPERLINK("https://abs.twimg.com/images/themes/theme1/bg.png")</f>
        <v>https://abs.twimg.com/images/themes/theme1/bg.png</v>
      </c>
      <c r="AW485" t="b">
        <v>0</v>
      </c>
      <c r="AX485" t="s">
        <v>9303</v>
      </c>
      <c r="AY485" s="79" t="str">
        <f>HYPERLINK("https://twitter.com/michaelnatelli")</f>
        <v>https://twitter.com/michaelnatelli</v>
      </c>
      <c r="AZ485" t="s">
        <v>65</v>
      </c>
      <c r="BA485" s="2"/>
    </row>
    <row r="486" spans="1:53" x14ac:dyDescent="0.45">
      <c r="A486" s="62" t="s">
        <v>1388</v>
      </c>
      <c r="B486" s="63"/>
      <c r="C486" s="63"/>
      <c r="D486" s="64"/>
      <c r="E486" s="66"/>
      <c r="F486" s="98" t="str">
        <f>HYPERLINK("https://pbs.twimg.com/profile_images/1439238533919690753/3tr31dnH_normal.jpg")</f>
        <v>https://pbs.twimg.com/profile_images/1439238533919690753/3tr31dnH_normal.jpg</v>
      </c>
      <c r="G486" s="63"/>
      <c r="H486" s="67"/>
      <c r="I486" s="68"/>
      <c r="J486" s="68"/>
      <c r="K486" s="67" t="s">
        <v>10193</v>
      </c>
      <c r="L486" s="71"/>
      <c r="M486" s="72"/>
      <c r="N486" s="72"/>
      <c r="O486" s="73"/>
      <c r="P486" s="74"/>
      <c r="Q486" s="74"/>
      <c r="R486" s="81"/>
      <c r="S486" s="81"/>
      <c r="T486" s="81"/>
      <c r="U486" s="81"/>
      <c r="V486" s="48"/>
      <c r="W486" s="48"/>
      <c r="X486" s="48"/>
      <c r="Y486" s="48"/>
      <c r="Z486" s="47"/>
      <c r="AA486" s="69"/>
      <c r="AB486" s="69"/>
      <c r="AC486" s="70"/>
      <c r="AD486" t="s">
        <v>5877</v>
      </c>
      <c r="AE486" s="78" t="s">
        <v>4753</v>
      </c>
      <c r="AF486">
        <v>2147</v>
      </c>
      <c r="AG486">
        <v>5202</v>
      </c>
      <c r="AH486">
        <v>38944</v>
      </c>
      <c r="AI486">
        <v>56803</v>
      </c>
      <c r="AK486" t="s">
        <v>8265</v>
      </c>
      <c r="AL486" t="s">
        <v>9116</v>
      </c>
      <c r="AM486" s="79" t="str">
        <f>HYPERLINK("https://t.co/v2gNnPBXS5")</f>
        <v>https://t.co/v2gNnPBXS5</v>
      </c>
      <c r="AO486" s="76">
        <v>39471.134062500001</v>
      </c>
      <c r="AP486" s="79" t="str">
        <f>HYPERLINK("https://pbs.twimg.com/profile_banners/12625992/1601001307")</f>
        <v>https://pbs.twimg.com/profile_banners/12625992/1601001307</v>
      </c>
      <c r="AQ486" t="b">
        <v>0</v>
      </c>
      <c r="AR486" t="b">
        <v>0</v>
      </c>
      <c r="AS486" t="b">
        <v>1</v>
      </c>
      <c r="AU486">
        <v>170</v>
      </c>
      <c r="AV486" s="79" t="str">
        <f>HYPERLINK("https://abs.twimg.com/images/themes/theme1/bg.png")</f>
        <v>https://abs.twimg.com/images/themes/theme1/bg.png</v>
      </c>
      <c r="AW486" t="b">
        <v>0</v>
      </c>
      <c r="AX486" t="s">
        <v>9303</v>
      </c>
      <c r="AY486" s="79" t="str">
        <f>HYPERLINK("https://twitter.com/bionicbeauty")</f>
        <v>https://twitter.com/bionicbeauty</v>
      </c>
      <c r="AZ486" t="s">
        <v>65</v>
      </c>
      <c r="BA486" s="2"/>
    </row>
    <row r="487" spans="1:53" x14ac:dyDescent="0.45">
      <c r="A487" s="62" t="s">
        <v>771</v>
      </c>
      <c r="B487" s="63"/>
      <c r="C487" s="63"/>
      <c r="D487" s="64"/>
      <c r="E487" s="66"/>
      <c r="F487" s="98" t="str">
        <f>HYPERLINK("https://pbs.twimg.com/profile_images/1479485708/greetings_normal.jpg")</f>
        <v>https://pbs.twimg.com/profile_images/1479485708/greetings_normal.jpg</v>
      </c>
      <c r="G487" s="63"/>
      <c r="H487" s="67"/>
      <c r="I487" s="68"/>
      <c r="J487" s="68"/>
      <c r="K487" s="67" t="s">
        <v>10129</v>
      </c>
      <c r="L487" s="71"/>
      <c r="M487" s="72"/>
      <c r="N487" s="72"/>
      <c r="O487" s="73"/>
      <c r="P487" s="74"/>
      <c r="Q487" s="74"/>
      <c r="R487" s="81"/>
      <c r="S487" s="81"/>
      <c r="T487" s="81"/>
      <c r="U487" s="81"/>
      <c r="V487" s="48"/>
      <c r="W487" s="48"/>
      <c r="X487" s="48"/>
      <c r="Y487" s="48"/>
      <c r="Z487" s="47"/>
      <c r="AA487" s="69"/>
      <c r="AB487" s="69"/>
      <c r="AC487" s="70"/>
      <c r="AD487" t="s">
        <v>5817</v>
      </c>
      <c r="AE487" s="78" t="s">
        <v>7045</v>
      </c>
      <c r="AF487">
        <v>5073</v>
      </c>
      <c r="AG487">
        <v>5125</v>
      </c>
      <c r="AH487">
        <v>100795</v>
      </c>
      <c r="AI487">
        <v>77949</v>
      </c>
      <c r="AK487" t="s">
        <v>8211</v>
      </c>
      <c r="AL487" t="s">
        <v>9092</v>
      </c>
      <c r="AO487" s="76">
        <v>40760.015428240738</v>
      </c>
      <c r="AP487" s="79" t="str">
        <f>HYPERLINK("https://pbs.twimg.com/profile_banners/348781581/1543057688")</f>
        <v>https://pbs.twimg.com/profile_banners/348781581/1543057688</v>
      </c>
      <c r="AQ487" t="b">
        <v>0</v>
      </c>
      <c r="AR487" t="b">
        <v>0</v>
      </c>
      <c r="AS487" t="b">
        <v>0</v>
      </c>
      <c r="AU487">
        <v>219</v>
      </c>
      <c r="AV487" s="79" t="str">
        <f>HYPERLINK("https://abs.twimg.com/images/themes/theme1/bg.png")</f>
        <v>https://abs.twimg.com/images/themes/theme1/bg.png</v>
      </c>
      <c r="AW487" t="b">
        <v>0</v>
      </c>
      <c r="AX487" t="s">
        <v>9303</v>
      </c>
      <c r="AY487" s="79" t="str">
        <f>HYPERLINK("https://twitter.com/jrwoodwardmsw")</f>
        <v>https://twitter.com/jrwoodwardmsw</v>
      </c>
      <c r="AZ487" t="s">
        <v>66</v>
      </c>
      <c r="BA487" s="2"/>
    </row>
    <row r="488" spans="1:53" x14ac:dyDescent="0.45">
      <c r="A488" s="62" t="s">
        <v>676</v>
      </c>
      <c r="B488" s="63"/>
      <c r="C488" s="63"/>
      <c r="D488" s="64"/>
      <c r="E488" s="66"/>
      <c r="F488" s="98" t="str">
        <f>HYPERLINK("https://pbs.twimg.com/profile_images/1232300780478255106/mx8sWLns_normal.jpg")</f>
        <v>https://pbs.twimg.com/profile_images/1232300780478255106/mx8sWLns_normal.jpg</v>
      </c>
      <c r="G488" s="63"/>
      <c r="H488" s="67"/>
      <c r="I488" s="68"/>
      <c r="J488" s="68"/>
      <c r="K488" s="67" t="s">
        <v>9997</v>
      </c>
      <c r="L488" s="71"/>
      <c r="M488" s="72"/>
      <c r="N488" s="72"/>
      <c r="O488" s="73"/>
      <c r="P488" s="74"/>
      <c r="Q488" s="74"/>
      <c r="R488" s="81"/>
      <c r="S488" s="81"/>
      <c r="T488" s="81"/>
      <c r="U488" s="81"/>
      <c r="V488" s="48"/>
      <c r="W488" s="48"/>
      <c r="X488" s="48"/>
      <c r="Y488" s="48"/>
      <c r="Z488" s="47"/>
      <c r="AA488" s="69"/>
      <c r="AB488" s="69"/>
      <c r="AC488" s="70"/>
      <c r="AD488" t="s">
        <v>5687</v>
      </c>
      <c r="AE488" s="78" t="s">
        <v>6930</v>
      </c>
      <c r="AF488">
        <v>43</v>
      </c>
      <c r="AG488">
        <v>5081</v>
      </c>
      <c r="AH488">
        <v>1825</v>
      </c>
      <c r="AI488">
        <v>375</v>
      </c>
      <c r="AK488" t="s">
        <v>8094</v>
      </c>
      <c r="AL488" t="s">
        <v>9034</v>
      </c>
      <c r="AM488" s="79" t="str">
        <f>HYPERLINK("https://t.co/gSV3zV0ZSJ")</f>
        <v>https://t.co/gSV3zV0ZSJ</v>
      </c>
      <c r="AO488" s="76">
        <v>42115.670613425929</v>
      </c>
      <c r="AP488" s="79" t="str">
        <f>HYPERLINK("https://pbs.twimg.com/profile_banners/3191379004/1593723351")</f>
        <v>https://pbs.twimg.com/profile_banners/3191379004/1593723351</v>
      </c>
      <c r="AQ488" t="b">
        <v>1</v>
      </c>
      <c r="AR488" t="b">
        <v>0</v>
      </c>
      <c r="AS488" t="b">
        <v>0</v>
      </c>
      <c r="AU488">
        <v>33</v>
      </c>
      <c r="AV488" s="79" t="str">
        <f>HYPERLINK("https://abs.twimg.com/images/themes/theme1/bg.png")</f>
        <v>https://abs.twimg.com/images/themes/theme1/bg.png</v>
      </c>
      <c r="AW488" t="b">
        <v>0</v>
      </c>
      <c r="AX488" t="s">
        <v>9303</v>
      </c>
      <c r="AY488" s="79" t="str">
        <f>HYPERLINK("https://twitter.com/dynacraftwheels")</f>
        <v>https://twitter.com/dynacraftwheels</v>
      </c>
      <c r="AZ488" t="s">
        <v>66</v>
      </c>
      <c r="BA488" s="2"/>
    </row>
    <row r="489" spans="1:53" x14ac:dyDescent="0.45">
      <c r="A489" s="62" t="s">
        <v>772</v>
      </c>
      <c r="B489" s="63"/>
      <c r="C489" s="63"/>
      <c r="D489" s="64"/>
      <c r="E489" s="66"/>
      <c r="F489" s="98" t="str">
        <f>HYPERLINK("https://pbs.twimg.com/profile_images/1471159420365295618/hOV9SlTs_normal.jpg")</f>
        <v>https://pbs.twimg.com/profile_images/1471159420365295618/hOV9SlTs_normal.jpg</v>
      </c>
      <c r="G489" s="63"/>
      <c r="H489" s="67"/>
      <c r="I489" s="68"/>
      <c r="J489" s="68"/>
      <c r="K489" s="67" t="s">
        <v>10130</v>
      </c>
      <c r="L489" s="71"/>
      <c r="M489" s="72"/>
      <c r="N489" s="72"/>
      <c r="O489" s="73"/>
      <c r="P489" s="74"/>
      <c r="Q489" s="74"/>
      <c r="R489" s="81"/>
      <c r="S489" s="81"/>
      <c r="T489" s="81"/>
      <c r="U489" s="81"/>
      <c r="V489" s="48"/>
      <c r="W489" s="48"/>
      <c r="X489" s="48"/>
      <c r="Y489" s="48"/>
      <c r="Z489" s="47"/>
      <c r="AA489" s="69"/>
      <c r="AB489" s="69"/>
      <c r="AC489" s="70"/>
      <c r="AD489" t="s">
        <v>5818</v>
      </c>
      <c r="AE489" s="78" t="s">
        <v>4742</v>
      </c>
      <c r="AF489">
        <v>306</v>
      </c>
      <c r="AG489">
        <v>5075</v>
      </c>
      <c r="AH489">
        <v>8542</v>
      </c>
      <c r="AI489">
        <v>254579</v>
      </c>
      <c r="AK489" t="s">
        <v>8212</v>
      </c>
      <c r="AL489" t="s">
        <v>9093</v>
      </c>
      <c r="AO489" s="76">
        <v>44152.887962962966</v>
      </c>
      <c r="AP489" s="79" t="str">
        <f>HYPERLINK("https://pbs.twimg.com/profile_banners/1328809595645677570/1616812157")</f>
        <v>https://pbs.twimg.com/profile_banners/1328809595645677570/1616812157</v>
      </c>
      <c r="AQ489" t="b">
        <v>1</v>
      </c>
      <c r="AR489" t="b">
        <v>0</v>
      </c>
      <c r="AS489" t="b">
        <v>0</v>
      </c>
      <c r="AU489">
        <v>15</v>
      </c>
      <c r="AW489" t="b">
        <v>0</v>
      </c>
      <c r="AX489" t="s">
        <v>9303</v>
      </c>
      <c r="AY489" s="79" t="str">
        <f>HYPERLINK("https://twitter.com/simpneelix")</f>
        <v>https://twitter.com/simpneelix</v>
      </c>
      <c r="AZ489" t="s">
        <v>66</v>
      </c>
      <c r="BA489" s="2"/>
    </row>
    <row r="490" spans="1:53" x14ac:dyDescent="0.45">
      <c r="A490" s="62" t="s">
        <v>682</v>
      </c>
      <c r="B490" s="63"/>
      <c r="C490" s="63"/>
      <c r="D490" s="64"/>
      <c r="E490" s="66"/>
      <c r="F490" s="98" t="str">
        <f>HYPERLINK("https://pbs.twimg.com/profile_images/1118605902997798913/ZiirNqyx_normal.png")</f>
        <v>https://pbs.twimg.com/profile_images/1118605902997798913/ZiirNqyx_normal.png</v>
      </c>
      <c r="G490" s="63"/>
      <c r="H490" s="67"/>
      <c r="I490" s="68"/>
      <c r="J490" s="68"/>
      <c r="K490" s="67" t="s">
        <v>10003</v>
      </c>
      <c r="L490" s="71"/>
      <c r="M490" s="72"/>
      <c r="N490" s="72"/>
      <c r="O490" s="73"/>
      <c r="P490" s="74"/>
      <c r="Q490" s="74"/>
      <c r="R490" s="81"/>
      <c r="S490" s="81"/>
      <c r="T490" s="81"/>
      <c r="U490" s="81"/>
      <c r="V490" s="48"/>
      <c r="W490" s="48"/>
      <c r="X490" s="48"/>
      <c r="Y490" s="48"/>
      <c r="Z490" s="47"/>
      <c r="AA490" s="69"/>
      <c r="AB490" s="69"/>
      <c r="AC490" s="70"/>
      <c r="AD490" t="s">
        <v>5693</v>
      </c>
      <c r="AE490" s="78" t="s">
        <v>6934</v>
      </c>
      <c r="AF490">
        <v>1407</v>
      </c>
      <c r="AG490">
        <v>5050</v>
      </c>
      <c r="AH490">
        <v>6407</v>
      </c>
      <c r="AI490">
        <v>4244</v>
      </c>
      <c r="AK490" t="s">
        <v>8099</v>
      </c>
      <c r="AL490" t="s">
        <v>8740</v>
      </c>
      <c r="AM490" s="79" t="str">
        <f>HYPERLINK("https://t.co/hGcRb1Y9NR")</f>
        <v>https://t.co/hGcRb1Y9NR</v>
      </c>
      <c r="AO490" s="76">
        <v>41765.977395833332</v>
      </c>
      <c r="AP490" s="79" t="str">
        <f>HYPERLINK("https://pbs.twimg.com/profile_banners/2480693664/1565815898")</f>
        <v>https://pbs.twimg.com/profile_banners/2480693664/1565815898</v>
      </c>
      <c r="AQ490" t="b">
        <v>0</v>
      </c>
      <c r="AR490" t="b">
        <v>0</v>
      </c>
      <c r="AS490" t="b">
        <v>1</v>
      </c>
      <c r="AU490">
        <v>21</v>
      </c>
      <c r="AV490" s="79" t="str">
        <f>HYPERLINK("https://abs.twimg.com/images/themes/theme1/bg.png")</f>
        <v>https://abs.twimg.com/images/themes/theme1/bg.png</v>
      </c>
      <c r="AW490" t="b">
        <v>0</v>
      </c>
      <c r="AX490" t="s">
        <v>9303</v>
      </c>
      <c r="AY490" s="79" t="str">
        <f>HYPERLINK("https://twitter.com/taillighttv")</f>
        <v>https://twitter.com/taillighttv</v>
      </c>
      <c r="AZ490" t="s">
        <v>66</v>
      </c>
      <c r="BA490" s="2"/>
    </row>
    <row r="491" spans="1:53" x14ac:dyDescent="0.45">
      <c r="A491" s="62" t="s">
        <v>801</v>
      </c>
      <c r="B491" s="63"/>
      <c r="C491" s="63"/>
      <c r="D491" s="64"/>
      <c r="E491" s="66"/>
      <c r="F491" s="98" t="str">
        <f>HYPERLINK("https://pbs.twimg.com/profile_images/1409369735037345793/B3O_kjfe_normal.jpg")</f>
        <v>https://pbs.twimg.com/profile_images/1409369735037345793/B3O_kjfe_normal.jpg</v>
      </c>
      <c r="G491" s="63"/>
      <c r="H491" s="67"/>
      <c r="I491" s="68"/>
      <c r="J491" s="68"/>
      <c r="K491" s="67" t="s">
        <v>10180</v>
      </c>
      <c r="L491" s="71"/>
      <c r="M491" s="72"/>
      <c r="N491" s="72"/>
      <c r="O491" s="73"/>
      <c r="P491" s="74"/>
      <c r="Q491" s="74"/>
      <c r="R491" s="81"/>
      <c r="S491" s="81"/>
      <c r="T491" s="81"/>
      <c r="U491" s="81"/>
      <c r="V491" s="48"/>
      <c r="W491" s="48"/>
      <c r="X491" s="48"/>
      <c r="Y491" s="48"/>
      <c r="Z491" s="47"/>
      <c r="AA491" s="69"/>
      <c r="AB491" s="69"/>
      <c r="AC491" s="70"/>
      <c r="AD491" t="s">
        <v>5865</v>
      </c>
      <c r="AE491" s="78" t="s">
        <v>7088</v>
      </c>
      <c r="AF491">
        <v>5515</v>
      </c>
      <c r="AG491">
        <v>5044</v>
      </c>
      <c r="AH491">
        <v>225100</v>
      </c>
      <c r="AI491">
        <v>213745</v>
      </c>
      <c r="AK491" t="s">
        <v>8253</v>
      </c>
      <c r="AL491" t="s">
        <v>9109</v>
      </c>
      <c r="AM491" s="79" t="str">
        <f>HYPERLINK("https://t.co/f8eHLwBlV6")</f>
        <v>https://t.co/f8eHLwBlV6</v>
      </c>
      <c r="AO491" s="76">
        <v>41354.222569444442</v>
      </c>
      <c r="AP491" s="79" t="str">
        <f>HYPERLINK("https://pbs.twimg.com/profile_banners/1285131757/1481799195")</f>
        <v>https://pbs.twimg.com/profile_banners/1285131757/1481799195</v>
      </c>
      <c r="AQ491" t="b">
        <v>0</v>
      </c>
      <c r="AR491" t="b">
        <v>0</v>
      </c>
      <c r="AS491" t="b">
        <v>1</v>
      </c>
      <c r="AU491">
        <v>416</v>
      </c>
      <c r="AV491" s="79" t="str">
        <f>HYPERLINK("https://abs.twimg.com/images/themes/theme1/bg.png")</f>
        <v>https://abs.twimg.com/images/themes/theme1/bg.png</v>
      </c>
      <c r="AW491" t="b">
        <v>0</v>
      </c>
      <c r="AX491" t="s">
        <v>9303</v>
      </c>
      <c r="AY491" s="79" t="str">
        <f>HYPERLINK("https://twitter.com/janabananaky")</f>
        <v>https://twitter.com/janabananaky</v>
      </c>
      <c r="AZ491" t="s">
        <v>66</v>
      </c>
      <c r="BA491" s="2"/>
    </row>
    <row r="492" spans="1:53" x14ac:dyDescent="0.45">
      <c r="A492" s="62" t="s">
        <v>1564</v>
      </c>
      <c r="B492" s="63"/>
      <c r="C492" s="63"/>
      <c r="D492" s="64"/>
      <c r="E492" s="66"/>
      <c r="F492" s="98" t="str">
        <f>HYPERLINK("https://pbs.twimg.com/profile_images/1564433100360351744/faE-G7HM_normal.jpg")</f>
        <v>https://pbs.twimg.com/profile_images/1564433100360351744/faE-G7HM_normal.jpg</v>
      </c>
      <c r="G492" s="63"/>
      <c r="H492" s="67"/>
      <c r="I492" s="68"/>
      <c r="J492" s="68"/>
      <c r="K492" s="67" t="s">
        <v>10637</v>
      </c>
      <c r="L492" s="71"/>
      <c r="M492" s="72"/>
      <c r="N492" s="72"/>
      <c r="O492" s="73"/>
      <c r="P492" s="74"/>
      <c r="Q492" s="74"/>
      <c r="R492" s="81"/>
      <c r="S492" s="81"/>
      <c r="T492" s="81"/>
      <c r="U492" s="81"/>
      <c r="V492" s="48"/>
      <c r="W492" s="48"/>
      <c r="X492" s="48"/>
      <c r="Y492" s="48"/>
      <c r="Z492" s="47"/>
      <c r="AA492" s="69"/>
      <c r="AB492" s="69"/>
      <c r="AC492" s="70"/>
      <c r="AD492" t="s">
        <v>6313</v>
      </c>
      <c r="AE492" s="78" t="s">
        <v>7476</v>
      </c>
      <c r="AF492">
        <v>2241</v>
      </c>
      <c r="AG492">
        <v>5032</v>
      </c>
      <c r="AH492">
        <v>4563</v>
      </c>
      <c r="AI492">
        <v>6093</v>
      </c>
      <c r="AK492" t="s">
        <v>8657</v>
      </c>
      <c r="AL492" t="s">
        <v>9295</v>
      </c>
      <c r="AM492" s="79" t="str">
        <f>HYPERLINK("https://t.co/a16ECvNPk5")</f>
        <v>https://t.co/a16ECvNPk5</v>
      </c>
      <c r="AO492" s="76">
        <v>41246.733425925922</v>
      </c>
      <c r="AP492" s="79" t="str">
        <f>HYPERLINK("https://pbs.twimg.com/profile_banners/987087277/1673971265")</f>
        <v>https://pbs.twimg.com/profile_banners/987087277/1673971265</v>
      </c>
      <c r="AQ492" t="b">
        <v>0</v>
      </c>
      <c r="AR492" t="b">
        <v>0</v>
      </c>
      <c r="AS492" t="b">
        <v>1</v>
      </c>
      <c r="AU492">
        <v>34</v>
      </c>
      <c r="AV492" s="79" t="str">
        <f>HYPERLINK("https://abs.twimg.com/images/themes/theme15/bg.png")</f>
        <v>https://abs.twimg.com/images/themes/theme15/bg.png</v>
      </c>
      <c r="AW492" t="b">
        <v>0</v>
      </c>
      <c r="AX492" t="s">
        <v>9303</v>
      </c>
      <c r="AY492" s="79" t="str">
        <f>HYPERLINK("https://twitter.com/shelbycountysch")</f>
        <v>https://twitter.com/shelbycountysch</v>
      </c>
      <c r="AZ492" t="s">
        <v>65</v>
      </c>
      <c r="BA492" s="2"/>
    </row>
    <row r="493" spans="1:53" x14ac:dyDescent="0.45">
      <c r="A493" s="62" t="s">
        <v>1499</v>
      </c>
      <c r="B493" s="63"/>
      <c r="C493" s="63"/>
      <c r="D493" s="64"/>
      <c r="E493" s="66"/>
      <c r="F493" s="98" t="str">
        <f>HYPERLINK("https://pbs.twimg.com/profile_images/1516752315281203209/Y5eiTU3r_normal.jpg")</f>
        <v>https://pbs.twimg.com/profile_images/1516752315281203209/Y5eiTU3r_normal.jpg</v>
      </c>
      <c r="G493" s="63"/>
      <c r="H493" s="67"/>
      <c r="I493" s="68"/>
      <c r="J493" s="68"/>
      <c r="K493" s="67" t="s">
        <v>10506</v>
      </c>
      <c r="L493" s="71"/>
      <c r="M493" s="72"/>
      <c r="N493" s="72"/>
      <c r="O493" s="73"/>
      <c r="P493" s="74"/>
      <c r="Q493" s="74"/>
      <c r="R493" s="81"/>
      <c r="S493" s="81"/>
      <c r="T493" s="81"/>
      <c r="U493" s="81"/>
      <c r="V493" s="48"/>
      <c r="W493" s="48"/>
      <c r="X493" s="48"/>
      <c r="Y493" s="48"/>
      <c r="Z493" s="47"/>
      <c r="AA493" s="69"/>
      <c r="AB493" s="69"/>
      <c r="AC493" s="70"/>
      <c r="AD493" t="s">
        <v>6184</v>
      </c>
      <c r="AE493" s="78" t="s">
        <v>7368</v>
      </c>
      <c r="AF493">
        <v>185</v>
      </c>
      <c r="AG493">
        <v>4990</v>
      </c>
      <c r="AH493">
        <v>5610</v>
      </c>
      <c r="AI493">
        <v>2355</v>
      </c>
      <c r="AK493" t="s">
        <v>8540</v>
      </c>
      <c r="AL493" t="s">
        <v>9242</v>
      </c>
      <c r="AM493" s="79" t="str">
        <f>HYPERLINK("https://t.co/paAkzCKuaj")</f>
        <v>https://t.co/paAkzCKuaj</v>
      </c>
      <c r="AO493" s="76">
        <v>39974.053090277775</v>
      </c>
      <c r="AP493" s="79" t="str">
        <f>HYPERLINK("https://pbs.twimg.com/profile_banners/45999747/1673557842")</f>
        <v>https://pbs.twimg.com/profile_banners/45999747/1673557842</v>
      </c>
      <c r="AQ493" t="b">
        <v>0</v>
      </c>
      <c r="AR493" t="b">
        <v>0</v>
      </c>
      <c r="AS493" t="b">
        <v>1</v>
      </c>
      <c r="AU493">
        <v>52</v>
      </c>
      <c r="AV493" s="79" t="str">
        <f>HYPERLINK("https://abs.twimg.com/images/themes/theme6/bg.gif")</f>
        <v>https://abs.twimg.com/images/themes/theme6/bg.gif</v>
      </c>
      <c r="AW493" t="b">
        <v>0</v>
      </c>
      <c r="AX493" t="s">
        <v>9303</v>
      </c>
      <c r="AY493" s="79" t="str">
        <f>HYPERLINK("https://twitter.com/giftcards_com")</f>
        <v>https://twitter.com/giftcards_com</v>
      </c>
      <c r="AZ493" t="s">
        <v>65</v>
      </c>
      <c r="BA493" s="2"/>
    </row>
    <row r="494" spans="1:53" x14ac:dyDescent="0.45">
      <c r="A494" s="62" t="s">
        <v>600</v>
      </c>
      <c r="B494" s="63"/>
      <c r="C494" s="63"/>
      <c r="D494" s="64"/>
      <c r="E494" s="66"/>
      <c r="F494" s="98" t="str">
        <f>HYPERLINK("https://pbs.twimg.com/profile_images/1442588217727881219/ANSInkL0_normal.jpg")</f>
        <v>https://pbs.twimg.com/profile_images/1442588217727881219/ANSInkL0_normal.jpg</v>
      </c>
      <c r="G494" s="63"/>
      <c r="H494" s="67"/>
      <c r="I494" s="68"/>
      <c r="J494" s="68"/>
      <c r="K494" s="67" t="s">
        <v>9898</v>
      </c>
      <c r="L494" s="71"/>
      <c r="M494" s="72"/>
      <c r="N494" s="72"/>
      <c r="O494" s="73"/>
      <c r="P494" s="74"/>
      <c r="Q494" s="74"/>
      <c r="R494" s="81"/>
      <c r="S494" s="81"/>
      <c r="T494" s="81"/>
      <c r="U494" s="81"/>
      <c r="V494" s="48"/>
      <c r="W494" s="48"/>
      <c r="X494" s="48"/>
      <c r="Y494" s="48"/>
      <c r="Z494" s="47"/>
      <c r="AA494" s="69"/>
      <c r="AB494" s="69"/>
      <c r="AC494" s="70"/>
      <c r="AD494" t="s">
        <v>5589</v>
      </c>
      <c r="AE494" s="78" t="s">
        <v>6837</v>
      </c>
      <c r="AF494">
        <v>250</v>
      </c>
      <c r="AG494">
        <v>4986</v>
      </c>
      <c r="AH494">
        <v>55338</v>
      </c>
      <c r="AI494">
        <v>1272</v>
      </c>
      <c r="AK494" t="s">
        <v>8012</v>
      </c>
      <c r="AL494" t="s">
        <v>8982</v>
      </c>
      <c r="AM494" s="79" t="str">
        <f>HYPERLINK("https://t.co/Jkm03uTcyq")</f>
        <v>https://t.co/Jkm03uTcyq</v>
      </c>
      <c r="AO494" s="76">
        <v>40315.661643518521</v>
      </c>
      <c r="AP494" s="79" t="str">
        <f>HYPERLINK("https://pbs.twimg.com/profile_banners/144894262/1632597253")</f>
        <v>https://pbs.twimg.com/profile_banners/144894262/1632597253</v>
      </c>
      <c r="AQ494" t="b">
        <v>0</v>
      </c>
      <c r="AR494" t="b">
        <v>0</v>
      </c>
      <c r="AS494" t="b">
        <v>1</v>
      </c>
      <c r="AU494">
        <v>171</v>
      </c>
      <c r="AV494" s="79" t="str">
        <f>HYPERLINK("https://abs.twimg.com/images/themes/theme15/bg.png")</f>
        <v>https://abs.twimg.com/images/themes/theme15/bg.png</v>
      </c>
      <c r="AW494" t="b">
        <v>1</v>
      </c>
      <c r="AX494" t="s">
        <v>9303</v>
      </c>
      <c r="AY494" s="79" t="str">
        <f>HYPERLINK("https://twitter.com/fox54news")</f>
        <v>https://twitter.com/fox54news</v>
      </c>
      <c r="AZ494" t="s">
        <v>66</v>
      </c>
      <c r="BA494" s="2"/>
    </row>
    <row r="495" spans="1:53" x14ac:dyDescent="0.45">
      <c r="A495" s="62" t="s">
        <v>1122</v>
      </c>
      <c r="B495" s="63"/>
      <c r="C495" s="63"/>
      <c r="D495" s="64"/>
      <c r="E495" s="66"/>
      <c r="F495" s="98" t="str">
        <f>HYPERLINK("https://pbs.twimg.com/profile_images/1024489998870032384/XRyFe2YA_normal.jpg")</f>
        <v>https://pbs.twimg.com/profile_images/1024489998870032384/XRyFe2YA_normal.jpg</v>
      </c>
      <c r="G495" s="63"/>
      <c r="H495" s="67"/>
      <c r="I495" s="68"/>
      <c r="J495" s="68"/>
      <c r="K495" s="67" t="s">
        <v>9338</v>
      </c>
      <c r="L495" s="71"/>
      <c r="M495" s="72"/>
      <c r="N495" s="72"/>
      <c r="O495" s="73"/>
      <c r="P495" s="74"/>
      <c r="Q495" s="74"/>
      <c r="R495" s="81"/>
      <c r="S495" s="81"/>
      <c r="T495" s="81"/>
      <c r="U495" s="81"/>
      <c r="V495" s="48"/>
      <c r="W495" s="48"/>
      <c r="X495" s="48"/>
      <c r="Y495" s="48"/>
      <c r="Z495" s="47"/>
      <c r="AA495" s="69"/>
      <c r="AB495" s="69"/>
      <c r="AC495" s="70"/>
      <c r="AD495" t="s">
        <v>5034</v>
      </c>
      <c r="AE495" s="78" t="s">
        <v>6352</v>
      </c>
      <c r="AF495">
        <v>2349</v>
      </c>
      <c r="AG495">
        <v>4931</v>
      </c>
      <c r="AH495">
        <v>8942</v>
      </c>
      <c r="AI495">
        <v>10314</v>
      </c>
      <c r="AK495" t="s">
        <v>7522</v>
      </c>
      <c r="AL495" t="s">
        <v>8696</v>
      </c>
      <c r="AM495" s="79" t="str">
        <f>HYPERLINK("https://t.co/ENP0nxNqIb")</f>
        <v>https://t.co/ENP0nxNqIb</v>
      </c>
      <c r="AO495" s="76">
        <v>43294.711087962962</v>
      </c>
      <c r="AP495" s="79" t="str">
        <f>HYPERLINK("https://pbs.twimg.com/profile_banners/1017816919980769280/1618938662")</f>
        <v>https://pbs.twimg.com/profile_banners/1017816919980769280/1618938662</v>
      </c>
      <c r="AQ495" t="b">
        <v>1</v>
      </c>
      <c r="AR495" t="b">
        <v>0</v>
      </c>
      <c r="AS495" t="b">
        <v>0</v>
      </c>
      <c r="AU495">
        <v>65</v>
      </c>
      <c r="AW495" t="b">
        <v>0</v>
      </c>
      <c r="AX495" t="s">
        <v>9303</v>
      </c>
      <c r="AY495" s="79" t="str">
        <f>HYPERLINK("https://twitter.com/ravidugh")</f>
        <v>https://twitter.com/ravidugh</v>
      </c>
      <c r="AZ495" t="s">
        <v>65</v>
      </c>
      <c r="BA495" s="2"/>
    </row>
    <row r="496" spans="1:53" x14ac:dyDescent="0.45">
      <c r="A496" s="62" t="s">
        <v>672</v>
      </c>
      <c r="B496" s="63"/>
      <c r="C496" s="63"/>
      <c r="D496" s="64"/>
      <c r="E496" s="66"/>
      <c r="F496" s="98" t="str">
        <f>HYPERLINK("https://pbs.twimg.com/profile_images/874049208604647424/hzwI1Gpu_normal.jpg")</f>
        <v>https://pbs.twimg.com/profile_images/874049208604647424/hzwI1Gpu_normal.jpg</v>
      </c>
      <c r="G496" s="63"/>
      <c r="H496" s="67"/>
      <c r="I496" s="68"/>
      <c r="J496" s="68"/>
      <c r="K496" s="67" t="s">
        <v>9993</v>
      </c>
      <c r="L496" s="71"/>
      <c r="M496" s="72"/>
      <c r="N496" s="72"/>
      <c r="O496" s="73"/>
      <c r="P496" s="74"/>
      <c r="Q496" s="74"/>
      <c r="R496" s="81"/>
      <c r="S496" s="81"/>
      <c r="T496" s="81"/>
      <c r="U496" s="81"/>
      <c r="V496" s="48"/>
      <c r="W496" s="48"/>
      <c r="X496" s="48"/>
      <c r="Y496" s="48"/>
      <c r="Z496" s="47"/>
      <c r="AA496" s="69"/>
      <c r="AB496" s="69"/>
      <c r="AC496" s="70"/>
      <c r="AD496" t="s">
        <v>5683</v>
      </c>
      <c r="AE496" s="78" t="s">
        <v>6926</v>
      </c>
      <c r="AF496">
        <v>1168</v>
      </c>
      <c r="AG496">
        <v>4854</v>
      </c>
      <c r="AH496">
        <v>1537</v>
      </c>
      <c r="AI496">
        <v>1608</v>
      </c>
      <c r="AL496" t="s">
        <v>9032</v>
      </c>
      <c r="AO496" s="76">
        <v>41864.467349537037</v>
      </c>
      <c r="AQ496" t="b">
        <v>0</v>
      </c>
      <c r="AR496" t="b">
        <v>0</v>
      </c>
      <c r="AS496" t="b">
        <v>1</v>
      </c>
      <c r="AU496">
        <v>56</v>
      </c>
      <c r="AV496" s="79" t="str">
        <f>HYPERLINK("https://abs.twimg.com/images/themes/theme1/bg.png")</f>
        <v>https://abs.twimg.com/images/themes/theme1/bg.png</v>
      </c>
      <c r="AW496" t="b">
        <v>0</v>
      </c>
      <c r="AX496" t="s">
        <v>9303</v>
      </c>
      <c r="AY496" s="79" t="str">
        <f>HYPERLINK("https://twitter.com/gregwaynewilson")</f>
        <v>https://twitter.com/gregwaynewilson</v>
      </c>
      <c r="AZ496" t="s">
        <v>66</v>
      </c>
      <c r="BA496" s="2"/>
    </row>
    <row r="497" spans="1:53" x14ac:dyDescent="0.45">
      <c r="A497" s="62" t="s">
        <v>264</v>
      </c>
      <c r="B497" s="63"/>
      <c r="C497" s="63"/>
      <c r="D497" s="64"/>
      <c r="E497" s="66"/>
      <c r="F497" s="98" t="str">
        <f>HYPERLINK("https://pbs.twimg.com/profile_images/1515768793980674060/GqHWcXHH_normal.jpg")</f>
        <v>https://pbs.twimg.com/profile_images/1515768793980674060/GqHWcXHH_normal.jpg</v>
      </c>
      <c r="G497" s="63"/>
      <c r="H497" s="67"/>
      <c r="I497" s="68"/>
      <c r="J497" s="68"/>
      <c r="K497" s="67" t="s">
        <v>9408</v>
      </c>
      <c r="L497" s="71"/>
      <c r="M497" s="72"/>
      <c r="N497" s="72"/>
      <c r="O497" s="73"/>
      <c r="P497" s="74"/>
      <c r="Q497" s="74"/>
      <c r="R497" s="81"/>
      <c r="S497" s="81"/>
      <c r="T497" s="81"/>
      <c r="U497" s="81"/>
      <c r="V497" s="48"/>
      <c r="W497" s="48"/>
      <c r="X497" s="48"/>
      <c r="Y497" s="48"/>
      <c r="Z497" s="47"/>
      <c r="AA497" s="69"/>
      <c r="AB497" s="69"/>
      <c r="AC497" s="70"/>
      <c r="AD497" t="s">
        <v>5103</v>
      </c>
      <c r="AE497" s="78" t="s">
        <v>6412</v>
      </c>
      <c r="AF497">
        <v>5200</v>
      </c>
      <c r="AG497">
        <v>4833</v>
      </c>
      <c r="AH497">
        <v>66561</v>
      </c>
      <c r="AI497">
        <v>72787</v>
      </c>
      <c r="AK497" t="s">
        <v>7586</v>
      </c>
      <c r="AL497" t="s">
        <v>4903</v>
      </c>
      <c r="AM497" s="79" t="str">
        <f>HYPERLINK("https://t.co/sdR4kdRnfu")</f>
        <v>https://t.co/sdR4kdRnfu</v>
      </c>
      <c r="AO497" s="76">
        <v>39896.214421296296</v>
      </c>
      <c r="AP497" s="79" t="str">
        <f>HYPERLINK("https://pbs.twimg.com/profile_banners/26182484/1599905753")</f>
        <v>https://pbs.twimg.com/profile_banners/26182484/1599905753</v>
      </c>
      <c r="AQ497" t="b">
        <v>0</v>
      </c>
      <c r="AR497" t="b">
        <v>0</v>
      </c>
      <c r="AS497" t="b">
        <v>1</v>
      </c>
      <c r="AU497">
        <v>33</v>
      </c>
      <c r="AV497" s="79" t="str">
        <f>HYPERLINK("https://abs.twimg.com/images/themes/theme11/bg.gif")</f>
        <v>https://abs.twimg.com/images/themes/theme11/bg.gif</v>
      </c>
      <c r="AW497" t="b">
        <v>0</v>
      </c>
      <c r="AX497" t="s">
        <v>9303</v>
      </c>
      <c r="AY497" s="79" t="str">
        <f>HYPERLINK("https://twitter.com/midgetmoma")</f>
        <v>https://twitter.com/midgetmoma</v>
      </c>
      <c r="AZ497" t="s">
        <v>66</v>
      </c>
      <c r="BA497" s="2"/>
    </row>
    <row r="498" spans="1:53" x14ac:dyDescent="0.45">
      <c r="A498" s="62" t="s">
        <v>378</v>
      </c>
      <c r="B498" s="63"/>
      <c r="C498" s="63"/>
      <c r="D498" s="64"/>
      <c r="E498" s="66"/>
      <c r="F498" s="98" t="str">
        <f>HYPERLINK("https://pbs.twimg.com/profile_images/1585808997214752769/W5UxQ_ij_normal.jpg")</f>
        <v>https://pbs.twimg.com/profile_images/1585808997214752769/W5UxQ_ij_normal.jpg</v>
      </c>
      <c r="G498" s="63"/>
      <c r="H498" s="67"/>
      <c r="I498" s="68"/>
      <c r="J498" s="68"/>
      <c r="K498" s="67" t="s">
        <v>9625</v>
      </c>
      <c r="L498" s="71"/>
      <c r="M498" s="72"/>
      <c r="N498" s="72"/>
      <c r="O498" s="73"/>
      <c r="P498" s="74"/>
      <c r="Q498" s="74"/>
      <c r="R498" s="81"/>
      <c r="S498" s="81"/>
      <c r="T498" s="81"/>
      <c r="U498" s="81"/>
      <c r="V498" s="48"/>
      <c r="W498" s="48"/>
      <c r="X498" s="48"/>
      <c r="Y498" s="48"/>
      <c r="Z498" s="47"/>
      <c r="AA498" s="69"/>
      <c r="AB498" s="69"/>
      <c r="AC498" s="70"/>
      <c r="AD498" t="s">
        <v>5318</v>
      </c>
      <c r="AE498" s="78" t="s">
        <v>4687</v>
      </c>
      <c r="AF498">
        <v>4839</v>
      </c>
      <c r="AG498">
        <v>4815</v>
      </c>
      <c r="AH498">
        <v>8907</v>
      </c>
      <c r="AI498">
        <v>21627</v>
      </c>
      <c r="AK498" t="s">
        <v>7772</v>
      </c>
      <c r="AL498" t="s">
        <v>8844</v>
      </c>
      <c r="AM498" s="79" t="str">
        <f>HYPERLINK("https://t.co/aHQI2DmhmU")</f>
        <v>https://t.co/aHQI2DmhmU</v>
      </c>
      <c r="AO498" s="76">
        <v>39871.761759259258</v>
      </c>
      <c r="AP498" s="79" t="str">
        <f>HYPERLINK("https://pbs.twimg.com/profile_banners/22169548/1665277110")</f>
        <v>https://pbs.twimg.com/profile_banners/22169548/1665277110</v>
      </c>
      <c r="AQ498" t="b">
        <v>0</v>
      </c>
      <c r="AR498" t="b">
        <v>0</v>
      </c>
      <c r="AS498" t="b">
        <v>1</v>
      </c>
      <c r="AU498">
        <v>153</v>
      </c>
      <c r="AV498" s="79" t="str">
        <f>HYPERLINK("https://abs.twimg.com/images/themes/theme1/bg.png")</f>
        <v>https://abs.twimg.com/images/themes/theme1/bg.png</v>
      </c>
      <c r="AW498" t="b">
        <v>0</v>
      </c>
      <c r="AX498" t="s">
        <v>9303</v>
      </c>
      <c r="AY498" s="79" t="str">
        <f>HYPERLINK("https://twitter.com/missbeaux")</f>
        <v>https://twitter.com/missbeaux</v>
      </c>
      <c r="AZ498" t="s">
        <v>66</v>
      </c>
      <c r="BA498" s="2"/>
    </row>
    <row r="499" spans="1:53" x14ac:dyDescent="0.45">
      <c r="A499" s="62" t="s">
        <v>1426</v>
      </c>
      <c r="B499" s="63"/>
      <c r="C499" s="63"/>
      <c r="D499" s="64"/>
      <c r="E499" s="66"/>
      <c r="F499" s="98" t="str">
        <f>HYPERLINK("https://pbs.twimg.com/profile_images/1586518173523869697/OIJtx82g_normal.jpg")</f>
        <v>https://pbs.twimg.com/profile_images/1586518173523869697/OIJtx82g_normal.jpg</v>
      </c>
      <c r="G499" s="63"/>
      <c r="H499" s="67"/>
      <c r="I499" s="68"/>
      <c r="J499" s="68"/>
      <c r="K499" s="67" t="s">
        <v>10323</v>
      </c>
      <c r="L499" s="71"/>
      <c r="M499" s="72"/>
      <c r="N499" s="72"/>
      <c r="O499" s="73"/>
      <c r="P499" s="74"/>
      <c r="Q499" s="74"/>
      <c r="R499" s="81"/>
      <c r="S499" s="81"/>
      <c r="T499" s="81"/>
      <c r="U499" s="81"/>
      <c r="V499" s="48"/>
      <c r="W499" s="48"/>
      <c r="X499" s="48"/>
      <c r="Y499" s="48"/>
      <c r="Z499" s="47"/>
      <c r="AA499" s="69"/>
      <c r="AB499" s="69"/>
      <c r="AC499" s="70"/>
      <c r="AD499" t="s">
        <v>6006</v>
      </c>
      <c r="AE499" s="78" t="s">
        <v>7214</v>
      </c>
      <c r="AF499">
        <v>4933</v>
      </c>
      <c r="AG499">
        <v>4765</v>
      </c>
      <c r="AH499">
        <v>64051</v>
      </c>
      <c r="AI499">
        <v>110612</v>
      </c>
      <c r="AK499" t="s">
        <v>8378</v>
      </c>
      <c r="AL499" t="s">
        <v>9174</v>
      </c>
      <c r="AO499" s="76">
        <v>41446.600937499999</v>
      </c>
      <c r="AP499" s="79" t="str">
        <f>HYPERLINK("https://pbs.twimg.com/profile_banners/1536647767/1578788601")</f>
        <v>https://pbs.twimg.com/profile_banners/1536647767/1578788601</v>
      </c>
      <c r="AQ499" t="b">
        <v>0</v>
      </c>
      <c r="AR499" t="b">
        <v>0</v>
      </c>
      <c r="AS499" t="b">
        <v>0</v>
      </c>
      <c r="AU499">
        <v>10</v>
      </c>
      <c r="AV499" s="79" t="str">
        <f>HYPERLINK("https://abs.twimg.com/images/themes/theme14/bg.gif")</f>
        <v>https://abs.twimg.com/images/themes/theme14/bg.gif</v>
      </c>
      <c r="AW499" t="b">
        <v>0</v>
      </c>
      <c r="AX499" t="s">
        <v>9303</v>
      </c>
      <c r="AY499" s="79" t="str">
        <f>HYPERLINK("https://twitter.com/pickett_shaun")</f>
        <v>https://twitter.com/pickett_shaun</v>
      </c>
      <c r="AZ499" t="s">
        <v>65</v>
      </c>
      <c r="BA499" s="2"/>
    </row>
    <row r="500" spans="1:53" x14ac:dyDescent="0.45">
      <c r="A500" s="62" t="s">
        <v>1443</v>
      </c>
      <c r="B500" s="63"/>
      <c r="C500" s="63"/>
      <c r="D500" s="64"/>
      <c r="E500" s="66"/>
      <c r="F500" s="98" t="str">
        <f>HYPERLINK("https://pbs.twimg.com/profile_images/1555658123024777217/Ol7eqFT-_normal.jpg")</f>
        <v>https://pbs.twimg.com/profile_images/1555658123024777217/Ol7eqFT-_normal.jpg</v>
      </c>
      <c r="G500" s="63"/>
      <c r="H500" s="67"/>
      <c r="I500" s="68"/>
      <c r="J500" s="68"/>
      <c r="K500" s="67" t="s">
        <v>10369</v>
      </c>
      <c r="L500" s="71"/>
      <c r="M500" s="72"/>
      <c r="N500" s="72"/>
      <c r="O500" s="73"/>
      <c r="P500" s="74"/>
      <c r="Q500" s="74"/>
      <c r="R500" s="81"/>
      <c r="S500" s="81"/>
      <c r="T500" s="81"/>
      <c r="U500" s="81"/>
      <c r="V500" s="48"/>
      <c r="W500" s="48"/>
      <c r="X500" s="48"/>
      <c r="Y500" s="48"/>
      <c r="Z500" s="47"/>
      <c r="AA500" s="69"/>
      <c r="AB500" s="69"/>
      <c r="AC500" s="70"/>
      <c r="AD500" t="s">
        <v>6052</v>
      </c>
      <c r="AE500" s="78" t="s">
        <v>7257</v>
      </c>
      <c r="AF500">
        <v>394</v>
      </c>
      <c r="AG500">
        <v>4738</v>
      </c>
      <c r="AH500">
        <v>2967</v>
      </c>
      <c r="AI500">
        <v>449</v>
      </c>
      <c r="AK500" t="s">
        <v>8418</v>
      </c>
      <c r="AL500" t="s">
        <v>9192</v>
      </c>
      <c r="AM500" s="79" t="str">
        <f>HYPERLINK("https://t.co/k7nhKOBrqz")</f>
        <v>https://t.co/k7nhKOBrqz</v>
      </c>
      <c r="AO500" s="76">
        <v>44125.821331018517</v>
      </c>
      <c r="AP500" s="79" t="str">
        <f>HYPERLINK("https://pbs.twimg.com/profile_banners/1319001143649992707/1603812554")</f>
        <v>https://pbs.twimg.com/profile_banners/1319001143649992707/1603812554</v>
      </c>
      <c r="AQ500" t="b">
        <v>1</v>
      </c>
      <c r="AR500" t="b">
        <v>0</v>
      </c>
      <c r="AS500" t="b">
        <v>1</v>
      </c>
      <c r="AU500">
        <v>62</v>
      </c>
      <c r="AW500" t="b">
        <v>0</v>
      </c>
      <c r="AX500" t="s">
        <v>9303</v>
      </c>
      <c r="AY500" s="79" t="str">
        <f>HYPERLINK("https://twitter.com/montcoexec")</f>
        <v>https://twitter.com/montcoexec</v>
      </c>
      <c r="AZ500" t="s">
        <v>65</v>
      </c>
      <c r="BA500" s="2"/>
    </row>
    <row r="501" spans="1:53" x14ac:dyDescent="0.45">
      <c r="A501" s="62" t="s">
        <v>623</v>
      </c>
      <c r="B501" s="63"/>
      <c r="C501" s="63"/>
      <c r="D501" s="64"/>
      <c r="E501" s="66"/>
      <c r="F501" s="98" t="str">
        <f>HYPERLINK("https://pbs.twimg.com/profile_images/1403204443336691716/AV2twLLa_normal.jpg")</f>
        <v>https://pbs.twimg.com/profile_images/1403204443336691716/AV2twLLa_normal.jpg</v>
      </c>
      <c r="G501" s="63"/>
      <c r="H501" s="67"/>
      <c r="I501" s="68"/>
      <c r="J501" s="68"/>
      <c r="K501" s="67" t="s">
        <v>9930</v>
      </c>
      <c r="L501" s="71"/>
      <c r="M501" s="72"/>
      <c r="N501" s="72"/>
      <c r="O501" s="73"/>
      <c r="P501" s="74"/>
      <c r="Q501" s="74"/>
      <c r="R501" s="81"/>
      <c r="S501" s="81"/>
      <c r="T501" s="81"/>
      <c r="U501" s="81"/>
      <c r="V501" s="48"/>
      <c r="W501" s="48"/>
      <c r="X501" s="48"/>
      <c r="Y501" s="48"/>
      <c r="Z501" s="47"/>
      <c r="AA501" s="69"/>
      <c r="AB501" s="69"/>
      <c r="AC501" s="70"/>
      <c r="AD501" t="s">
        <v>5621</v>
      </c>
      <c r="AE501" s="78" t="s">
        <v>6865</v>
      </c>
      <c r="AF501">
        <v>1464</v>
      </c>
      <c r="AG501">
        <v>4717</v>
      </c>
      <c r="AH501">
        <v>549213</v>
      </c>
      <c r="AI501">
        <v>275662</v>
      </c>
      <c r="AK501" t="s">
        <v>8039</v>
      </c>
      <c r="AL501" t="s">
        <v>9002</v>
      </c>
      <c r="AO501" s="76">
        <v>39739.887916666667</v>
      </c>
      <c r="AP501" s="79" t="str">
        <f>HYPERLINK("https://pbs.twimg.com/profile_banners/16843450/1583105555")</f>
        <v>https://pbs.twimg.com/profile_banners/16843450/1583105555</v>
      </c>
      <c r="AQ501" t="b">
        <v>0</v>
      </c>
      <c r="AR501" t="b">
        <v>0</v>
      </c>
      <c r="AS501" t="b">
        <v>0</v>
      </c>
      <c r="AU501">
        <v>91</v>
      </c>
      <c r="AV501" s="79" t="str">
        <f>HYPERLINK("https://abs.twimg.com/images/themes/theme4/bg.gif")</f>
        <v>https://abs.twimg.com/images/themes/theme4/bg.gif</v>
      </c>
      <c r="AW501" t="b">
        <v>0</v>
      </c>
      <c r="AX501" t="s">
        <v>9303</v>
      </c>
      <c r="AY501" s="79" t="str">
        <f>HYPERLINK("https://twitter.com/crystal4obama")</f>
        <v>https://twitter.com/crystal4obama</v>
      </c>
      <c r="AZ501" t="s">
        <v>66</v>
      </c>
      <c r="BA501" s="2"/>
    </row>
    <row r="502" spans="1:53" x14ac:dyDescent="0.45">
      <c r="A502" s="62" t="s">
        <v>881</v>
      </c>
      <c r="B502" s="63"/>
      <c r="C502" s="63"/>
      <c r="D502" s="64"/>
      <c r="E502" s="66"/>
      <c r="F502" s="98" t="str">
        <f>HYPERLINK("https://pbs.twimg.com/profile_images/1620506732228222997/mc0V39Ck_normal.jpg")</f>
        <v>https://pbs.twimg.com/profile_images/1620506732228222997/mc0V39Ck_normal.jpg</v>
      </c>
      <c r="G502" s="63"/>
      <c r="H502" s="67"/>
      <c r="I502" s="68"/>
      <c r="J502" s="68"/>
      <c r="K502" s="67" t="s">
        <v>10285</v>
      </c>
      <c r="L502" s="71"/>
      <c r="M502" s="72"/>
      <c r="N502" s="72"/>
      <c r="O502" s="73"/>
      <c r="P502" s="74"/>
      <c r="Q502" s="74"/>
      <c r="R502" s="81"/>
      <c r="S502" s="81"/>
      <c r="T502" s="81"/>
      <c r="U502" s="81"/>
      <c r="V502" s="48"/>
      <c r="W502" s="48"/>
      <c r="X502" s="48"/>
      <c r="Y502" s="48"/>
      <c r="Z502" s="47"/>
      <c r="AA502" s="69"/>
      <c r="AB502" s="69"/>
      <c r="AC502" s="70"/>
      <c r="AD502" t="s">
        <v>5968</v>
      </c>
      <c r="AE502" s="78" t="s">
        <v>7180</v>
      </c>
      <c r="AF502">
        <v>1654</v>
      </c>
      <c r="AG502">
        <v>4717</v>
      </c>
      <c r="AH502">
        <v>33747</v>
      </c>
      <c r="AI502">
        <v>58744</v>
      </c>
      <c r="AK502" t="s">
        <v>8345</v>
      </c>
      <c r="AL502" t="s">
        <v>9152</v>
      </c>
      <c r="AO502" s="76">
        <v>44472.257037037038</v>
      </c>
      <c r="AP502" s="79" t="str">
        <f>HYPERLINK("https://pbs.twimg.com/profile_banners/1444545212165107717/1675194040")</f>
        <v>https://pbs.twimg.com/profile_banners/1444545212165107717/1675194040</v>
      </c>
      <c r="AQ502" t="b">
        <v>1</v>
      </c>
      <c r="AR502" t="b">
        <v>0</v>
      </c>
      <c r="AS502" t="b">
        <v>1</v>
      </c>
      <c r="AU502">
        <v>24</v>
      </c>
      <c r="AW502" t="b">
        <v>0</v>
      </c>
      <c r="AX502" t="s">
        <v>9303</v>
      </c>
      <c r="AY502" s="79" t="str">
        <f>HYPERLINK("https://twitter.com/natesart95")</f>
        <v>https://twitter.com/natesart95</v>
      </c>
      <c r="AZ502" t="s">
        <v>66</v>
      </c>
      <c r="BA502" s="2"/>
    </row>
    <row r="503" spans="1:53" x14ac:dyDescent="0.45">
      <c r="A503" s="62" t="s">
        <v>416</v>
      </c>
      <c r="B503" s="63"/>
      <c r="C503" s="63"/>
      <c r="D503" s="64"/>
      <c r="E503" s="66"/>
      <c r="F503" s="98" t="str">
        <f>HYPERLINK("https://pbs.twimg.com/profile_images/1334892249012985862/eki3Ao9d_normal.jpg")</f>
        <v>https://pbs.twimg.com/profile_images/1334892249012985862/eki3Ao9d_normal.jpg</v>
      </c>
      <c r="G503" s="63"/>
      <c r="H503" s="67"/>
      <c r="I503" s="68"/>
      <c r="J503" s="68"/>
      <c r="K503" s="67" t="s">
        <v>9667</v>
      </c>
      <c r="L503" s="71"/>
      <c r="M503" s="72"/>
      <c r="N503" s="72"/>
      <c r="O503" s="73"/>
      <c r="P503" s="74"/>
      <c r="Q503" s="74"/>
      <c r="R503" s="81"/>
      <c r="S503" s="81"/>
      <c r="T503" s="81"/>
      <c r="U503" s="81"/>
      <c r="V503" s="48"/>
      <c r="W503" s="48"/>
      <c r="X503" s="48"/>
      <c r="Y503" s="48"/>
      <c r="Z503" s="47"/>
      <c r="AA503" s="69"/>
      <c r="AB503" s="69"/>
      <c r="AC503" s="70"/>
      <c r="AD503" t="s">
        <v>5360</v>
      </c>
      <c r="AE503" s="78" t="s">
        <v>6634</v>
      </c>
      <c r="AF503">
        <v>3047</v>
      </c>
      <c r="AG503">
        <v>4710</v>
      </c>
      <c r="AH503">
        <v>42415</v>
      </c>
      <c r="AI503">
        <v>67439</v>
      </c>
      <c r="AK503" t="s">
        <v>7810</v>
      </c>
      <c r="AL503" t="s">
        <v>8866</v>
      </c>
      <c r="AO503" s="76">
        <v>43292.825104166666</v>
      </c>
      <c r="AP503" s="79" t="str">
        <f>HYPERLINK("https://pbs.twimg.com/profile_banners/1017133460127932416/1672939550")</f>
        <v>https://pbs.twimg.com/profile_banners/1017133460127932416/1672939550</v>
      </c>
      <c r="AQ503" t="b">
        <v>1</v>
      </c>
      <c r="AR503" t="b">
        <v>0</v>
      </c>
      <c r="AS503" t="b">
        <v>1</v>
      </c>
      <c r="AU503">
        <v>30</v>
      </c>
      <c r="AW503" t="b">
        <v>0</v>
      </c>
      <c r="AX503" t="s">
        <v>9303</v>
      </c>
      <c r="AY503" s="79" t="str">
        <f>HYPERLINK("https://twitter.com/barbielvesmiley")</f>
        <v>https://twitter.com/barbielvesmiley</v>
      </c>
      <c r="AZ503" t="s">
        <v>66</v>
      </c>
      <c r="BA503" s="2"/>
    </row>
    <row r="504" spans="1:53" x14ac:dyDescent="0.45">
      <c r="A504" s="62" t="s">
        <v>1153</v>
      </c>
      <c r="B504" s="63"/>
      <c r="C504" s="63"/>
      <c r="D504" s="64"/>
      <c r="E504" s="66"/>
      <c r="F504" s="98" t="str">
        <f>HYPERLINK("https://pbs.twimg.com/profile_images/986046965313163264/dMj3tDnj_normal.jpg")</f>
        <v>https://pbs.twimg.com/profile_images/986046965313163264/dMj3tDnj_normal.jpg</v>
      </c>
      <c r="G504" s="63"/>
      <c r="H504" s="67"/>
      <c r="I504" s="68"/>
      <c r="J504" s="68"/>
      <c r="K504" s="67" t="s">
        <v>9400</v>
      </c>
      <c r="L504" s="71"/>
      <c r="M504" s="72"/>
      <c r="N504" s="72"/>
      <c r="O504" s="73"/>
      <c r="P504" s="74"/>
      <c r="Q504" s="74"/>
      <c r="R504" s="81"/>
      <c r="S504" s="81"/>
      <c r="T504" s="81"/>
      <c r="U504" s="81"/>
      <c r="V504" s="48"/>
      <c r="W504" s="48"/>
      <c r="X504" s="48"/>
      <c r="Y504" s="48"/>
      <c r="Z504" s="47"/>
      <c r="AA504" s="69"/>
      <c r="AB504" s="69"/>
      <c r="AC504" s="70"/>
      <c r="AD504" t="s">
        <v>5095</v>
      </c>
      <c r="AE504" s="78" t="s">
        <v>6405</v>
      </c>
      <c r="AF504">
        <v>4497</v>
      </c>
      <c r="AG504">
        <v>4625</v>
      </c>
      <c r="AH504">
        <v>140974</v>
      </c>
      <c r="AI504">
        <v>1688</v>
      </c>
      <c r="AK504" t="s">
        <v>7579</v>
      </c>
      <c r="AO504" s="76">
        <v>41970.899791666663</v>
      </c>
      <c r="AP504" s="79" t="str">
        <f>HYPERLINK("https://pbs.twimg.com/profile_banners/2895146151/1428722269")</f>
        <v>https://pbs.twimg.com/profile_banners/2895146151/1428722269</v>
      </c>
      <c r="AQ504" t="b">
        <v>1</v>
      </c>
      <c r="AR504" t="b">
        <v>0</v>
      </c>
      <c r="AS504" t="b">
        <v>1</v>
      </c>
      <c r="AU504">
        <v>50</v>
      </c>
      <c r="AV504" s="79" t="str">
        <f>HYPERLINK("https://abs.twimg.com/images/themes/theme1/bg.png")</f>
        <v>https://abs.twimg.com/images/themes/theme1/bg.png</v>
      </c>
      <c r="AW504" t="b">
        <v>0</v>
      </c>
      <c r="AX504" t="s">
        <v>9303</v>
      </c>
      <c r="AY504" s="79" t="str">
        <f>HYPERLINK("https://twitter.com/johnjohngildea")</f>
        <v>https://twitter.com/johnjohngildea</v>
      </c>
      <c r="AZ504" t="s">
        <v>65</v>
      </c>
      <c r="BA504" s="2"/>
    </row>
    <row r="505" spans="1:53" x14ac:dyDescent="0.45">
      <c r="A505" s="62" t="s">
        <v>792</v>
      </c>
      <c r="B505" s="63"/>
      <c r="C505" s="63"/>
      <c r="D505" s="64"/>
      <c r="E505" s="66"/>
      <c r="F505" s="98" t="str">
        <f>HYPERLINK("https://pbs.twimg.com/profile_images/1402616399613341698/h-mUwyEs_normal.jpg")</f>
        <v>https://pbs.twimg.com/profile_images/1402616399613341698/h-mUwyEs_normal.jpg</v>
      </c>
      <c r="G505" s="63"/>
      <c r="H505" s="67"/>
      <c r="I505" s="68"/>
      <c r="J505" s="68"/>
      <c r="K505" s="67" t="s">
        <v>10161</v>
      </c>
      <c r="L505" s="71"/>
      <c r="M505" s="72"/>
      <c r="N505" s="72"/>
      <c r="O505" s="73"/>
      <c r="P505" s="74"/>
      <c r="Q505" s="74"/>
      <c r="R505" s="81"/>
      <c r="S505" s="81"/>
      <c r="T505" s="81"/>
      <c r="U505" s="81"/>
      <c r="V505" s="48"/>
      <c r="W505" s="48"/>
      <c r="X505" s="48"/>
      <c r="Y505" s="48"/>
      <c r="Z505" s="47"/>
      <c r="AA505" s="69"/>
      <c r="AB505" s="69"/>
      <c r="AC505" s="70"/>
      <c r="AD505" t="s">
        <v>5847</v>
      </c>
      <c r="AE505" s="78" t="s">
        <v>7072</v>
      </c>
      <c r="AF505">
        <v>2483</v>
      </c>
      <c r="AG505">
        <v>4440</v>
      </c>
      <c r="AH505">
        <v>110704</v>
      </c>
      <c r="AI505">
        <v>188929</v>
      </c>
      <c r="AK505" t="s">
        <v>8237</v>
      </c>
      <c r="AO505" s="76">
        <v>40287.844768518517</v>
      </c>
      <c r="AP505" s="79" t="str">
        <f>HYPERLINK("https://pbs.twimg.com/profile_banners/134909162/1667156114")</f>
        <v>https://pbs.twimg.com/profile_banners/134909162/1667156114</v>
      </c>
      <c r="AQ505" t="b">
        <v>0</v>
      </c>
      <c r="AR505" t="b">
        <v>0</v>
      </c>
      <c r="AS505" t="b">
        <v>1</v>
      </c>
      <c r="AU505">
        <v>46</v>
      </c>
      <c r="AV505" s="79" t="str">
        <f>HYPERLINK("https://abs.twimg.com/images/themes/theme1/bg.png")</f>
        <v>https://abs.twimg.com/images/themes/theme1/bg.png</v>
      </c>
      <c r="AW505" t="b">
        <v>0</v>
      </c>
      <c r="AX505" t="s">
        <v>9303</v>
      </c>
      <c r="AY505" s="79" t="str">
        <f>HYPERLINK("https://twitter.com/lindackbl")</f>
        <v>https://twitter.com/lindackbl</v>
      </c>
      <c r="AZ505" t="s">
        <v>66</v>
      </c>
      <c r="BA505" s="2"/>
    </row>
    <row r="506" spans="1:53" x14ac:dyDescent="0.45">
      <c r="A506" s="62" t="s">
        <v>902</v>
      </c>
      <c r="B506" s="63"/>
      <c r="C506" s="63"/>
      <c r="D506" s="64"/>
      <c r="E506" s="66"/>
      <c r="F506" s="98" t="str">
        <f>HYPERLINK("https://pbs.twimg.com/profile_images/1590867524828401664/AI2pLCg0_normal.jpg")</f>
        <v>https://pbs.twimg.com/profile_images/1590867524828401664/AI2pLCg0_normal.jpg</v>
      </c>
      <c r="G506" s="63"/>
      <c r="H506" s="67"/>
      <c r="I506" s="68"/>
      <c r="J506" s="68"/>
      <c r="K506" s="67" t="s">
        <v>10320</v>
      </c>
      <c r="L506" s="71"/>
      <c r="M506" s="72"/>
      <c r="N506" s="72"/>
      <c r="O506" s="73"/>
      <c r="P506" s="74"/>
      <c r="Q506" s="74"/>
      <c r="R506" s="81"/>
      <c r="S506" s="81"/>
      <c r="T506" s="81"/>
      <c r="U506" s="81"/>
      <c r="V506" s="48"/>
      <c r="W506" s="48"/>
      <c r="X506" s="48"/>
      <c r="Y506" s="48"/>
      <c r="Z506" s="47"/>
      <c r="AA506" s="69"/>
      <c r="AB506" s="69"/>
      <c r="AC506" s="70"/>
      <c r="AD506" t="s">
        <v>6003</v>
      </c>
      <c r="AE506" s="78" t="s">
        <v>7211</v>
      </c>
      <c r="AF506">
        <v>2773</v>
      </c>
      <c r="AG506">
        <v>4437</v>
      </c>
      <c r="AH506">
        <v>130412</v>
      </c>
      <c r="AI506">
        <v>137241</v>
      </c>
      <c r="AK506" t="s">
        <v>8376</v>
      </c>
      <c r="AO506" s="76">
        <v>43700.573310185187</v>
      </c>
      <c r="AP506" s="79" t="str">
        <f>HYPERLINK("https://pbs.twimg.com/profile_banners/1164896419699757056/1603500662")</f>
        <v>https://pbs.twimg.com/profile_banners/1164896419699757056/1603500662</v>
      </c>
      <c r="AQ506" t="b">
        <v>1</v>
      </c>
      <c r="AR506" t="b">
        <v>0</v>
      </c>
      <c r="AS506" t="b">
        <v>1</v>
      </c>
      <c r="AU506">
        <v>11</v>
      </c>
      <c r="AW506" t="b">
        <v>0</v>
      </c>
      <c r="AX506" t="s">
        <v>9303</v>
      </c>
      <c r="AY506" s="79" t="str">
        <f>HYPERLINK("https://twitter.com/jasonpyyc")</f>
        <v>https://twitter.com/jasonpyyc</v>
      </c>
      <c r="AZ506" t="s">
        <v>66</v>
      </c>
      <c r="BA506" s="2"/>
    </row>
    <row r="507" spans="1:53" x14ac:dyDescent="0.45">
      <c r="A507" s="62" t="s">
        <v>254</v>
      </c>
      <c r="B507" s="63"/>
      <c r="C507" s="63"/>
      <c r="D507" s="64"/>
      <c r="E507" s="66"/>
      <c r="F507" s="98" t="str">
        <f>HYPERLINK("https://pbs.twimg.com/profile_images/1614962355569311744/fIgvVlXZ_normal.jpg")</f>
        <v>https://pbs.twimg.com/profile_images/1614962355569311744/fIgvVlXZ_normal.jpg</v>
      </c>
      <c r="G507" s="63"/>
      <c r="H507" s="67"/>
      <c r="I507" s="68"/>
      <c r="J507" s="68"/>
      <c r="K507" s="67" t="s">
        <v>9395</v>
      </c>
      <c r="L507" s="71"/>
      <c r="M507" s="72"/>
      <c r="N507" s="72"/>
      <c r="O507" s="73"/>
      <c r="P507" s="74"/>
      <c r="Q507" s="74"/>
      <c r="R507" s="81"/>
      <c r="S507" s="81"/>
      <c r="T507" s="81"/>
      <c r="U507" s="81"/>
      <c r="V507" s="48"/>
      <c r="W507" s="48"/>
      <c r="X507" s="48"/>
      <c r="Y507" s="48"/>
      <c r="Z507" s="47"/>
      <c r="AA507" s="69"/>
      <c r="AB507" s="69"/>
      <c r="AC507" s="70"/>
      <c r="AD507" t="s">
        <v>5090</v>
      </c>
      <c r="AE507" s="78" t="s">
        <v>4656</v>
      </c>
      <c r="AF507">
        <v>4506</v>
      </c>
      <c r="AG507">
        <v>4391</v>
      </c>
      <c r="AH507">
        <v>49155</v>
      </c>
      <c r="AI507">
        <v>88232</v>
      </c>
      <c r="AK507" t="s">
        <v>7574</v>
      </c>
      <c r="AL507" t="s">
        <v>8731</v>
      </c>
      <c r="AM507" s="79" t="str">
        <f>HYPERLINK("https://t.co/YnsGnPKixY")</f>
        <v>https://t.co/YnsGnPKixY</v>
      </c>
      <c r="AO507" s="76">
        <v>41499.837210648147</v>
      </c>
      <c r="AP507" s="79" t="str">
        <f>HYPERLINK("https://pbs.twimg.com/profile_banners/1668616542/1672928679")</f>
        <v>https://pbs.twimg.com/profile_banners/1668616542/1672928679</v>
      </c>
      <c r="AQ507" t="b">
        <v>0</v>
      </c>
      <c r="AR507" t="b">
        <v>0</v>
      </c>
      <c r="AS507" t="b">
        <v>0</v>
      </c>
      <c r="AU507">
        <v>30</v>
      </c>
      <c r="AV507" s="79" t="str">
        <f>HYPERLINK("https://abs.twimg.com/images/themes/theme15/bg.png")</f>
        <v>https://abs.twimg.com/images/themes/theme15/bg.png</v>
      </c>
      <c r="AW507" t="b">
        <v>0</v>
      </c>
      <c r="AX507" t="s">
        <v>9303</v>
      </c>
      <c r="AY507" s="79" t="str">
        <f>HYPERLINK("https://twitter.com/alwearydad")</f>
        <v>https://twitter.com/alwearydad</v>
      </c>
      <c r="AZ507" t="s">
        <v>66</v>
      </c>
      <c r="BA507" s="2"/>
    </row>
    <row r="508" spans="1:53" x14ac:dyDescent="0.45">
      <c r="A508" s="62" t="s">
        <v>1195</v>
      </c>
      <c r="B508" s="63"/>
      <c r="C508" s="63"/>
      <c r="D508" s="64"/>
      <c r="E508" s="66"/>
      <c r="F508" s="98" t="str">
        <f>HYPERLINK("https://pbs.twimg.com/profile_images/1534576104488456193/jhmqVN7a_normal.jpg")</f>
        <v>https://pbs.twimg.com/profile_images/1534576104488456193/jhmqVN7a_normal.jpg</v>
      </c>
      <c r="G508" s="63"/>
      <c r="H508" s="67"/>
      <c r="I508" s="68"/>
      <c r="J508" s="68"/>
      <c r="K508" s="67" t="s">
        <v>9486</v>
      </c>
      <c r="L508" s="71"/>
      <c r="M508" s="72"/>
      <c r="N508" s="72"/>
      <c r="O508" s="73"/>
      <c r="P508" s="74"/>
      <c r="Q508" s="74"/>
      <c r="R508" s="81"/>
      <c r="S508" s="81"/>
      <c r="T508" s="81"/>
      <c r="U508" s="81"/>
      <c r="V508" s="48"/>
      <c r="W508" s="48"/>
      <c r="X508" s="48"/>
      <c r="Y508" s="48"/>
      <c r="Z508" s="47"/>
      <c r="AA508" s="69"/>
      <c r="AB508" s="69"/>
      <c r="AC508" s="70"/>
      <c r="AD508" t="s">
        <v>5180</v>
      </c>
      <c r="AE508" s="78" t="s">
        <v>6476</v>
      </c>
      <c r="AF508">
        <v>403</v>
      </c>
      <c r="AG508">
        <v>4359</v>
      </c>
      <c r="AH508">
        <v>1840</v>
      </c>
      <c r="AI508">
        <v>894</v>
      </c>
      <c r="AK508" t="s">
        <v>7651</v>
      </c>
      <c r="AL508" t="s">
        <v>8776</v>
      </c>
      <c r="AM508" s="79" t="str">
        <f>HYPERLINK("https://t.co/09gibg652m")</f>
        <v>https://t.co/09gibg652m</v>
      </c>
      <c r="AO508" s="76">
        <v>42962.915173611109</v>
      </c>
      <c r="AP508" s="79" t="str">
        <f>HYPERLINK("https://pbs.twimg.com/profile_banners/897578104301826048/1654704901")</f>
        <v>https://pbs.twimg.com/profile_banners/897578104301826048/1654704901</v>
      </c>
      <c r="AQ508" t="b">
        <v>1</v>
      </c>
      <c r="AR508" t="b">
        <v>0</v>
      </c>
      <c r="AS508" t="b">
        <v>0</v>
      </c>
      <c r="AU508">
        <v>44</v>
      </c>
      <c r="AW508" t="b">
        <v>0</v>
      </c>
      <c r="AX508" t="s">
        <v>9303</v>
      </c>
      <c r="AY508" s="79" t="str">
        <f>HYPERLINK("https://twitter.com/ballmergroup")</f>
        <v>https://twitter.com/ballmergroup</v>
      </c>
      <c r="AZ508" t="s">
        <v>65</v>
      </c>
      <c r="BA508" s="2"/>
    </row>
    <row r="509" spans="1:53" x14ac:dyDescent="0.45">
      <c r="A509" s="62" t="s">
        <v>619</v>
      </c>
      <c r="B509" s="63"/>
      <c r="C509" s="63"/>
      <c r="D509" s="64"/>
      <c r="E509" s="66"/>
      <c r="F509" s="98" t="str">
        <f>HYPERLINK("https://pbs.twimg.com/profile_images/1550888389146300425/fFIDs-Yp_normal.jpg")</f>
        <v>https://pbs.twimg.com/profile_images/1550888389146300425/fFIDs-Yp_normal.jpg</v>
      </c>
      <c r="G509" s="63"/>
      <c r="H509" s="67"/>
      <c r="I509" s="68"/>
      <c r="J509" s="68"/>
      <c r="K509" s="67" t="s">
        <v>9920</v>
      </c>
      <c r="L509" s="71"/>
      <c r="M509" s="72"/>
      <c r="N509" s="72"/>
      <c r="O509" s="73"/>
      <c r="P509" s="74"/>
      <c r="Q509" s="74"/>
      <c r="R509" s="81"/>
      <c r="S509" s="81"/>
      <c r="T509" s="81"/>
      <c r="U509" s="81"/>
      <c r="V509" s="48"/>
      <c r="W509" s="48"/>
      <c r="X509" s="48"/>
      <c r="Y509" s="48"/>
      <c r="Z509" s="47"/>
      <c r="AA509" s="69"/>
      <c r="AB509" s="69"/>
      <c r="AC509" s="70"/>
      <c r="AD509" t="s">
        <v>5611</v>
      </c>
      <c r="AE509" s="78" t="s">
        <v>6855</v>
      </c>
      <c r="AF509">
        <v>4987</v>
      </c>
      <c r="AG509">
        <v>4351</v>
      </c>
      <c r="AH509">
        <v>48396</v>
      </c>
      <c r="AI509">
        <v>37887</v>
      </c>
      <c r="AK509" t="s">
        <v>8031</v>
      </c>
      <c r="AL509" t="s">
        <v>8997</v>
      </c>
      <c r="AM509" s="79" t="str">
        <f>HYPERLINK("https://t.co/WblPBRCRDG")</f>
        <v>https://t.co/WblPBRCRDG</v>
      </c>
      <c r="AO509" s="76">
        <v>41304.769872685189</v>
      </c>
      <c r="AP509" s="79" t="str">
        <f>HYPERLINK("https://pbs.twimg.com/profile_banners/1134838027/1638458985")</f>
        <v>https://pbs.twimg.com/profile_banners/1134838027/1638458985</v>
      </c>
      <c r="AQ509" t="b">
        <v>0</v>
      </c>
      <c r="AR509" t="b">
        <v>0</v>
      </c>
      <c r="AS509" t="b">
        <v>1</v>
      </c>
      <c r="AU509">
        <v>6</v>
      </c>
      <c r="AV509" s="79" t="str">
        <f>HYPERLINK("https://abs.twimg.com/images/themes/theme1/bg.png")</f>
        <v>https://abs.twimg.com/images/themes/theme1/bg.png</v>
      </c>
      <c r="AW509" t="b">
        <v>0</v>
      </c>
      <c r="AX509" t="s">
        <v>9303</v>
      </c>
      <c r="AY509" s="79" t="str">
        <f>HYPERLINK("https://twitter.com/gabsrayy")</f>
        <v>https://twitter.com/gabsrayy</v>
      </c>
      <c r="AZ509" t="s">
        <v>66</v>
      </c>
      <c r="BA509" s="2"/>
    </row>
    <row r="510" spans="1:53" x14ac:dyDescent="0.45">
      <c r="A510" s="62" t="s">
        <v>1355</v>
      </c>
      <c r="B510" s="63"/>
      <c r="C510" s="63"/>
      <c r="D510" s="64"/>
      <c r="E510" s="66"/>
      <c r="F510" s="98" t="str">
        <f>HYPERLINK("https://pbs.twimg.com/profile_images/1607226960370868225/VVgjiFfc_normal.jpg")</f>
        <v>https://pbs.twimg.com/profile_images/1607226960370868225/VVgjiFfc_normal.jpg</v>
      </c>
      <c r="G510" s="63"/>
      <c r="H510" s="67"/>
      <c r="I510" s="68"/>
      <c r="J510" s="68"/>
      <c r="K510" s="67" t="s">
        <v>10087</v>
      </c>
      <c r="L510" s="71"/>
      <c r="M510" s="72"/>
      <c r="N510" s="72"/>
      <c r="O510" s="73"/>
      <c r="P510" s="74"/>
      <c r="Q510" s="74"/>
      <c r="R510" s="81"/>
      <c r="S510" s="81"/>
      <c r="T510" s="81"/>
      <c r="U510" s="81"/>
      <c r="V510" s="48"/>
      <c r="W510" s="48"/>
      <c r="X510" s="48"/>
      <c r="Y510" s="48"/>
      <c r="Z510" s="47"/>
      <c r="AA510" s="69"/>
      <c r="AB510" s="69"/>
      <c r="AC510" s="70"/>
      <c r="AD510" t="s">
        <v>5776</v>
      </c>
      <c r="AE510" s="78" t="s">
        <v>4736</v>
      </c>
      <c r="AF510">
        <v>425</v>
      </c>
      <c r="AG510">
        <v>4322</v>
      </c>
      <c r="AH510">
        <v>23858</v>
      </c>
      <c r="AI510">
        <v>205750</v>
      </c>
      <c r="AK510" t="s">
        <v>8170</v>
      </c>
      <c r="AL510" t="s">
        <v>9073</v>
      </c>
      <c r="AM510" s="79" t="str">
        <f>HYPERLINK("https://t.co/Lr9mTTAlAZ")</f>
        <v>https://t.co/Lr9mTTAlAZ</v>
      </c>
      <c r="AO510" s="76">
        <v>44154.170972222222</v>
      </c>
      <c r="AP510" s="79" t="str">
        <f>HYPERLINK("https://pbs.twimg.com/profile_banners/1329274712594276353/1605760232")</f>
        <v>https://pbs.twimg.com/profile_banners/1329274712594276353/1605760232</v>
      </c>
      <c r="AQ510" t="b">
        <v>1</v>
      </c>
      <c r="AR510" t="b">
        <v>0</v>
      </c>
      <c r="AS510" t="b">
        <v>0</v>
      </c>
      <c r="AU510">
        <v>16</v>
      </c>
      <c r="AW510" t="b">
        <v>0</v>
      </c>
      <c r="AX510" t="s">
        <v>9303</v>
      </c>
      <c r="AY510" s="79" t="str">
        <f>HYPERLINK("https://twitter.com/bigdickbarclay")</f>
        <v>https://twitter.com/bigdickbarclay</v>
      </c>
      <c r="AZ510" t="s">
        <v>65</v>
      </c>
      <c r="BA510" s="2"/>
    </row>
    <row r="511" spans="1:53" x14ac:dyDescent="0.45">
      <c r="A511" s="62" t="s">
        <v>1025</v>
      </c>
      <c r="B511" s="63"/>
      <c r="C511" s="63"/>
      <c r="D511" s="64"/>
      <c r="E511" s="66"/>
      <c r="F511" s="98" t="str">
        <f>HYPERLINK("https://pbs.twimg.com/profile_images/2439452552/00gew11gmvk1v2o1vc9u_normal.jpeg")</f>
        <v>https://pbs.twimg.com/profile_images/2439452552/00gew11gmvk1v2o1vc9u_normal.jpeg</v>
      </c>
      <c r="G511" s="63"/>
      <c r="H511" s="67"/>
      <c r="I511" s="68"/>
      <c r="J511" s="68"/>
      <c r="K511" s="67" t="s">
        <v>10511</v>
      </c>
      <c r="L511" s="71"/>
      <c r="M511" s="72"/>
      <c r="N511" s="72"/>
      <c r="O511" s="73"/>
      <c r="P511" s="74"/>
      <c r="Q511" s="74"/>
      <c r="R511" s="81"/>
      <c r="S511" s="81"/>
      <c r="T511" s="81"/>
      <c r="U511" s="81"/>
      <c r="V511" s="48"/>
      <c r="W511" s="48"/>
      <c r="X511" s="48"/>
      <c r="Y511" s="48"/>
      <c r="Z511" s="47"/>
      <c r="AA511" s="69"/>
      <c r="AB511" s="69"/>
      <c r="AC511" s="70"/>
      <c r="AD511" t="s">
        <v>6189</v>
      </c>
      <c r="AE511" s="78" t="s">
        <v>7372</v>
      </c>
      <c r="AF511">
        <v>4964</v>
      </c>
      <c r="AG511">
        <v>4279</v>
      </c>
      <c r="AH511">
        <v>25805</v>
      </c>
      <c r="AI511">
        <v>49021</v>
      </c>
      <c r="AK511" t="s">
        <v>8544</v>
      </c>
      <c r="AL511" t="s">
        <v>8901</v>
      </c>
      <c r="AM511" s="79" t="str">
        <f>HYPERLINK("https://t.co/71F3y8ctNt")</f>
        <v>https://t.co/71F3y8ctNt</v>
      </c>
      <c r="AO511" s="76">
        <v>39978.849062499998</v>
      </c>
      <c r="AP511" s="79" t="str">
        <f>HYPERLINK("https://pbs.twimg.com/profile_banners/47166182/1386175364")</f>
        <v>https://pbs.twimg.com/profile_banners/47166182/1386175364</v>
      </c>
      <c r="AQ511" t="b">
        <v>0</v>
      </c>
      <c r="AR511" t="b">
        <v>0</v>
      </c>
      <c r="AS511" t="b">
        <v>1</v>
      </c>
      <c r="AU511">
        <v>18</v>
      </c>
      <c r="AV511" s="79" t="str">
        <f>HYPERLINK("https://abs.twimg.com/images/themes/theme9/bg.gif")</f>
        <v>https://abs.twimg.com/images/themes/theme9/bg.gif</v>
      </c>
      <c r="AW511" t="b">
        <v>0</v>
      </c>
      <c r="AX511" t="s">
        <v>9303</v>
      </c>
      <c r="AY511" s="79" t="str">
        <f>HYPERLINK("https://twitter.com/chef_bruce")</f>
        <v>https://twitter.com/chef_bruce</v>
      </c>
      <c r="AZ511" t="s">
        <v>66</v>
      </c>
      <c r="BA511" s="2"/>
    </row>
    <row r="512" spans="1:53" x14ac:dyDescent="0.45">
      <c r="A512" s="62" t="s">
        <v>1428</v>
      </c>
      <c r="B512" s="63"/>
      <c r="C512" s="63"/>
      <c r="D512" s="64"/>
      <c r="E512" s="66"/>
      <c r="F512" s="98" t="str">
        <f>HYPERLINK("https://pbs.twimg.com/profile_images/1590380352069324800/bn4mYRrf_normal.jpg")</f>
        <v>https://pbs.twimg.com/profile_images/1590380352069324800/bn4mYRrf_normal.jpg</v>
      </c>
      <c r="G512" s="63"/>
      <c r="H512" s="67"/>
      <c r="I512" s="68"/>
      <c r="J512" s="68"/>
      <c r="K512" s="67" t="s">
        <v>10327</v>
      </c>
      <c r="L512" s="71"/>
      <c r="M512" s="72"/>
      <c r="N512" s="72"/>
      <c r="O512" s="73"/>
      <c r="P512" s="74"/>
      <c r="Q512" s="74"/>
      <c r="R512" s="81"/>
      <c r="S512" s="81"/>
      <c r="T512" s="81"/>
      <c r="U512" s="81"/>
      <c r="V512" s="48"/>
      <c r="W512" s="48"/>
      <c r="X512" s="48"/>
      <c r="Y512" s="48"/>
      <c r="Z512" s="47"/>
      <c r="AA512" s="69"/>
      <c r="AB512" s="69"/>
      <c r="AC512" s="70"/>
      <c r="AD512" t="s">
        <v>6010</v>
      </c>
      <c r="AE512" s="78" t="s">
        <v>7218</v>
      </c>
      <c r="AF512">
        <v>318</v>
      </c>
      <c r="AG512">
        <v>4253</v>
      </c>
      <c r="AH512">
        <v>4367</v>
      </c>
      <c r="AI512">
        <v>4674</v>
      </c>
      <c r="AK512" t="s">
        <v>8382</v>
      </c>
      <c r="AL512" t="s">
        <v>9176</v>
      </c>
      <c r="AM512" s="79" t="str">
        <f>HYPERLINK("https://t.co/jn4PtE1CRe")</f>
        <v>https://t.co/jn4PtE1CRe</v>
      </c>
      <c r="AO512" s="76">
        <v>42304.713969907411</v>
      </c>
      <c r="AP512" s="79" t="str">
        <f>HYPERLINK("https://pbs.twimg.com/profile_banners/4037584213/1659547445")</f>
        <v>https://pbs.twimg.com/profile_banners/4037584213/1659547445</v>
      </c>
      <c r="AQ512" t="b">
        <v>1</v>
      </c>
      <c r="AR512" t="b">
        <v>0</v>
      </c>
      <c r="AS512" t="b">
        <v>1</v>
      </c>
      <c r="AU512">
        <v>37</v>
      </c>
      <c r="AV512" s="79" t="str">
        <f>HYPERLINK("https://abs.twimg.com/images/themes/theme1/bg.png")</f>
        <v>https://abs.twimg.com/images/themes/theme1/bg.png</v>
      </c>
      <c r="AW512" t="b">
        <v>0</v>
      </c>
      <c r="AX512" t="s">
        <v>9303</v>
      </c>
      <c r="AY512" s="79" t="str">
        <f>HYPERLINK("https://twitter.com/smartsweets")</f>
        <v>https://twitter.com/smartsweets</v>
      </c>
      <c r="AZ512" t="s">
        <v>65</v>
      </c>
      <c r="BA512" s="2"/>
    </row>
    <row r="513" spans="1:53" x14ac:dyDescent="0.45">
      <c r="A513" s="62" t="s">
        <v>327</v>
      </c>
      <c r="B513" s="63"/>
      <c r="C513" s="63"/>
      <c r="D513" s="64"/>
      <c r="E513" s="66"/>
      <c r="F513" s="98" t="str">
        <f>HYPERLINK("https://pbs.twimg.com/profile_images/1494016144075890694/4s4xQW-H_normal.jpg")</f>
        <v>https://pbs.twimg.com/profile_images/1494016144075890694/4s4xQW-H_normal.jpg</v>
      </c>
      <c r="G513" s="63"/>
      <c r="H513" s="67"/>
      <c r="I513" s="68"/>
      <c r="J513" s="68"/>
      <c r="K513" s="67" t="s">
        <v>9533</v>
      </c>
      <c r="L513" s="71"/>
      <c r="M513" s="72"/>
      <c r="N513" s="72"/>
      <c r="O513" s="73"/>
      <c r="P513" s="74"/>
      <c r="Q513" s="74"/>
      <c r="R513" s="81"/>
      <c r="S513" s="81"/>
      <c r="T513" s="81"/>
      <c r="U513" s="81"/>
      <c r="V513" s="48"/>
      <c r="W513" s="48"/>
      <c r="X513" s="48"/>
      <c r="Y513" s="48"/>
      <c r="Z513" s="47"/>
      <c r="AA513" s="69"/>
      <c r="AB513" s="69"/>
      <c r="AC513" s="70"/>
      <c r="AD513" t="s">
        <v>5227</v>
      </c>
      <c r="AE513" s="78" t="s">
        <v>6511</v>
      </c>
      <c r="AF513">
        <v>111</v>
      </c>
      <c r="AG513">
        <v>4211</v>
      </c>
      <c r="AH513">
        <v>1086</v>
      </c>
      <c r="AI513">
        <v>708</v>
      </c>
      <c r="AK513" t="s">
        <v>7695</v>
      </c>
      <c r="AL513" t="s">
        <v>8705</v>
      </c>
      <c r="AM513" s="79" t="str">
        <f>HYPERLINK("https://t.co/8wkyD9fzPF")</f>
        <v>https://t.co/8wkyD9fzPF</v>
      </c>
      <c r="AO513" s="76">
        <v>44608.619293981479</v>
      </c>
      <c r="AP513" s="79" t="str">
        <f>HYPERLINK("https://pbs.twimg.com/profile_banners/1493961270915178502/1663270647")</f>
        <v>https://pbs.twimg.com/profile_banners/1493961270915178502/1663270647</v>
      </c>
      <c r="AQ513" t="b">
        <v>1</v>
      </c>
      <c r="AR513" t="b">
        <v>0</v>
      </c>
      <c r="AS513" t="b">
        <v>0</v>
      </c>
      <c r="AU513">
        <v>36</v>
      </c>
      <c r="AW513" t="b">
        <v>0</v>
      </c>
      <c r="AX513" t="s">
        <v>9303</v>
      </c>
      <c r="AY513" s="79" t="str">
        <f>HYPERLINK("https://twitter.com/thirdacademy_")</f>
        <v>https://twitter.com/thirdacademy_</v>
      </c>
      <c r="AZ513" t="s">
        <v>66</v>
      </c>
      <c r="BA513" s="2"/>
    </row>
    <row r="514" spans="1:53" x14ac:dyDescent="0.45">
      <c r="A514" s="62" t="s">
        <v>485</v>
      </c>
      <c r="B514" s="63"/>
      <c r="C514" s="63"/>
      <c r="D514" s="64"/>
      <c r="E514" s="66"/>
      <c r="F514" s="98" t="str">
        <f>HYPERLINK("https://pbs.twimg.com/profile_images/1611538713867067392/6VLxWTxG_normal.jpg")</f>
        <v>https://pbs.twimg.com/profile_images/1611538713867067392/6VLxWTxG_normal.jpg</v>
      </c>
      <c r="G514" s="63"/>
      <c r="H514" s="67"/>
      <c r="I514" s="68"/>
      <c r="J514" s="68"/>
      <c r="K514" s="67" t="s">
        <v>9758</v>
      </c>
      <c r="L514" s="71"/>
      <c r="M514" s="72"/>
      <c r="N514" s="72"/>
      <c r="O514" s="73"/>
      <c r="P514" s="74"/>
      <c r="Q514" s="74"/>
      <c r="R514" s="81"/>
      <c r="S514" s="81"/>
      <c r="T514" s="81"/>
      <c r="U514" s="81"/>
      <c r="V514" s="48"/>
      <c r="W514" s="48"/>
      <c r="X514" s="48"/>
      <c r="Y514" s="48"/>
      <c r="Z514" s="47"/>
      <c r="AA514" s="69"/>
      <c r="AB514" s="69"/>
      <c r="AC514" s="70"/>
      <c r="AD514" t="s">
        <v>5450</v>
      </c>
      <c r="AE514" s="78" t="s">
        <v>6714</v>
      </c>
      <c r="AF514">
        <v>613</v>
      </c>
      <c r="AG514">
        <v>4050</v>
      </c>
      <c r="AH514">
        <v>134877</v>
      </c>
      <c r="AI514">
        <v>170304</v>
      </c>
      <c r="AK514" t="s">
        <v>7884</v>
      </c>
      <c r="AL514" t="s">
        <v>4899</v>
      </c>
      <c r="AO514" s="76">
        <v>41005.795636574076</v>
      </c>
      <c r="AP514" s="79" t="str">
        <f>HYPERLINK("https://pbs.twimg.com/profile_banners/547036903/1675297134")</f>
        <v>https://pbs.twimg.com/profile_banners/547036903/1675297134</v>
      </c>
      <c r="AQ514" t="b">
        <v>1</v>
      </c>
      <c r="AR514" t="b">
        <v>0</v>
      </c>
      <c r="AS514" t="b">
        <v>1</v>
      </c>
      <c r="AU514">
        <v>13</v>
      </c>
      <c r="AV514" s="79" t="str">
        <f>HYPERLINK("https://abs.twimg.com/images/themes/theme1/bg.png")</f>
        <v>https://abs.twimg.com/images/themes/theme1/bg.png</v>
      </c>
      <c r="AW514" t="b">
        <v>0</v>
      </c>
      <c r="AX514" t="s">
        <v>9303</v>
      </c>
      <c r="AY514" s="79" t="str">
        <f>HYPERLINK("https://twitter.com/olivia91483183")</f>
        <v>https://twitter.com/olivia91483183</v>
      </c>
      <c r="AZ514" t="s">
        <v>66</v>
      </c>
      <c r="BA514" s="2"/>
    </row>
    <row r="515" spans="1:53" x14ac:dyDescent="0.45">
      <c r="A515" s="62" t="s">
        <v>466</v>
      </c>
      <c r="B515" s="63"/>
      <c r="C515" s="63"/>
      <c r="D515" s="64"/>
      <c r="E515" s="66"/>
      <c r="F515" s="98" t="str">
        <f>HYPERLINK("https://pbs.twimg.com/profile_images/570652026434904064/wDj15zD6_normal.jpeg")</f>
        <v>https://pbs.twimg.com/profile_images/570652026434904064/wDj15zD6_normal.jpeg</v>
      </c>
      <c r="G515" s="63"/>
      <c r="H515" s="67"/>
      <c r="I515" s="68"/>
      <c r="J515" s="68"/>
      <c r="K515" s="67" t="s">
        <v>9734</v>
      </c>
      <c r="L515" s="71"/>
      <c r="M515" s="72"/>
      <c r="N515" s="72"/>
      <c r="O515" s="73"/>
      <c r="P515" s="74"/>
      <c r="Q515" s="74"/>
      <c r="R515" s="81"/>
      <c r="S515" s="81"/>
      <c r="T515" s="81"/>
      <c r="U515" s="81"/>
      <c r="V515" s="48"/>
      <c r="W515" s="48"/>
      <c r="X515" s="48"/>
      <c r="Y515" s="48"/>
      <c r="Z515" s="47"/>
      <c r="AA515" s="69"/>
      <c r="AB515" s="69"/>
      <c r="AC515" s="70"/>
      <c r="AD515" t="s">
        <v>5426</v>
      </c>
      <c r="AE515" s="78" t="s">
        <v>6697</v>
      </c>
      <c r="AF515">
        <v>350</v>
      </c>
      <c r="AG515">
        <v>4040</v>
      </c>
      <c r="AH515">
        <v>2824</v>
      </c>
      <c r="AI515">
        <v>2634</v>
      </c>
      <c r="AK515" t="s">
        <v>7864</v>
      </c>
      <c r="AL515" t="s">
        <v>8891</v>
      </c>
      <c r="AM515" s="79" t="str">
        <f>HYPERLINK("https://t.co/9FQ0o5TrKl")</f>
        <v>https://t.co/9FQ0o5TrKl</v>
      </c>
      <c r="AO515" s="76">
        <v>40499.627071759256</v>
      </c>
      <c r="AP515" s="79" t="str">
        <f>HYPERLINK("https://pbs.twimg.com/profile_banners/216725800/1508979739")</f>
        <v>https://pbs.twimg.com/profile_banners/216725800/1508979739</v>
      </c>
      <c r="AQ515" t="b">
        <v>0</v>
      </c>
      <c r="AR515" t="b">
        <v>0</v>
      </c>
      <c r="AS515" t="b">
        <v>1</v>
      </c>
      <c r="AU515">
        <v>36</v>
      </c>
      <c r="AV515" s="79" t="str">
        <f>HYPERLINK("https://abs.twimg.com/images/themes/theme14/bg.gif")</f>
        <v>https://abs.twimg.com/images/themes/theme14/bg.gif</v>
      </c>
      <c r="AW515" t="b">
        <v>0</v>
      </c>
      <c r="AX515" t="s">
        <v>9303</v>
      </c>
      <c r="AY515" s="79" t="str">
        <f>HYPERLINK("https://twitter.com/badiaspices")</f>
        <v>https://twitter.com/badiaspices</v>
      </c>
      <c r="AZ515" t="s">
        <v>66</v>
      </c>
      <c r="BA515" s="2"/>
    </row>
    <row r="516" spans="1:53" x14ac:dyDescent="0.45">
      <c r="A516" s="62" t="s">
        <v>736</v>
      </c>
      <c r="B516" s="63"/>
      <c r="C516" s="63"/>
      <c r="D516" s="64"/>
      <c r="E516" s="66"/>
      <c r="F516" s="98" t="str">
        <f>HYPERLINK("https://pbs.twimg.com/profile_images/1598876277762674688/Ph96fF-B_normal.jpg")</f>
        <v>https://pbs.twimg.com/profile_images/1598876277762674688/Ph96fF-B_normal.jpg</v>
      </c>
      <c r="G516" s="63"/>
      <c r="H516" s="67"/>
      <c r="I516" s="68"/>
      <c r="J516" s="68"/>
      <c r="K516" s="67" t="s">
        <v>10084</v>
      </c>
      <c r="L516" s="71"/>
      <c r="M516" s="72"/>
      <c r="N516" s="72"/>
      <c r="O516" s="73"/>
      <c r="P516" s="74"/>
      <c r="Q516" s="74"/>
      <c r="R516" s="81"/>
      <c r="S516" s="81"/>
      <c r="T516" s="81"/>
      <c r="U516" s="81"/>
      <c r="V516" s="48"/>
      <c r="W516" s="48"/>
      <c r="X516" s="48"/>
      <c r="Y516" s="48"/>
      <c r="Z516" s="47"/>
      <c r="AA516" s="69"/>
      <c r="AB516" s="69"/>
      <c r="AC516" s="70"/>
      <c r="AD516" t="s">
        <v>5773</v>
      </c>
      <c r="AE516" s="78" t="s">
        <v>7006</v>
      </c>
      <c r="AF516">
        <v>3210</v>
      </c>
      <c r="AG516">
        <v>3907</v>
      </c>
      <c r="AH516">
        <v>113458</v>
      </c>
      <c r="AI516">
        <v>14157</v>
      </c>
      <c r="AK516" t="s">
        <v>8167</v>
      </c>
      <c r="AL516" t="s">
        <v>9071</v>
      </c>
      <c r="AM516" s="79" t="str">
        <f>HYPERLINK("https://t.co/7rnGpKJlM4")</f>
        <v>https://t.co/7rnGpKJlM4</v>
      </c>
      <c r="AO516" s="76">
        <v>40263.366527777776</v>
      </c>
      <c r="AP516" s="79" t="str">
        <f>HYPERLINK("https://pbs.twimg.com/profile_banners/126572459/1670036810")</f>
        <v>https://pbs.twimg.com/profile_banners/126572459/1670036810</v>
      </c>
      <c r="AQ516" t="b">
        <v>0</v>
      </c>
      <c r="AR516" t="b">
        <v>0</v>
      </c>
      <c r="AS516" t="b">
        <v>1</v>
      </c>
      <c r="AU516">
        <v>7</v>
      </c>
      <c r="AV516" s="79" t="str">
        <f>HYPERLINK("https://abs.twimg.com/images/themes/theme1/bg.png")</f>
        <v>https://abs.twimg.com/images/themes/theme1/bg.png</v>
      </c>
      <c r="AW516" t="b">
        <v>0</v>
      </c>
      <c r="AX516" t="s">
        <v>9303</v>
      </c>
      <c r="AY516" s="79" t="str">
        <f>HYPERLINK("https://twitter.com/lifeofbreee__")</f>
        <v>https://twitter.com/lifeofbreee__</v>
      </c>
      <c r="AZ516" t="s">
        <v>66</v>
      </c>
      <c r="BA516" s="2"/>
    </row>
    <row r="517" spans="1:53" x14ac:dyDescent="0.45">
      <c r="A517" s="62" t="s">
        <v>252</v>
      </c>
      <c r="B517" s="63"/>
      <c r="C517" s="63"/>
      <c r="D517" s="64"/>
      <c r="E517" s="66"/>
      <c r="F517" s="98" t="str">
        <f>HYPERLINK("https://pbs.twimg.com/profile_images/1614205702049861632/8oK1j5tY_normal.jpg")</f>
        <v>https://pbs.twimg.com/profile_images/1614205702049861632/8oK1j5tY_normal.jpg</v>
      </c>
      <c r="G517" s="63"/>
      <c r="H517" s="67"/>
      <c r="I517" s="68"/>
      <c r="J517" s="68"/>
      <c r="K517" s="67" t="s">
        <v>9392</v>
      </c>
      <c r="L517" s="71"/>
      <c r="M517" s="72"/>
      <c r="N517" s="72"/>
      <c r="O517" s="73"/>
      <c r="P517" s="74"/>
      <c r="Q517" s="74"/>
      <c r="R517" s="81"/>
      <c r="S517" s="81"/>
      <c r="T517" s="81"/>
      <c r="U517" s="81"/>
      <c r="V517" s="48"/>
      <c r="W517" s="48"/>
      <c r="X517" s="48"/>
      <c r="Y517" s="48"/>
      <c r="Z517" s="47"/>
      <c r="AA517" s="69"/>
      <c r="AB517" s="69"/>
      <c r="AC517" s="70"/>
      <c r="AD517" t="s">
        <v>5087</v>
      </c>
      <c r="AE517" s="78" t="s">
        <v>6398</v>
      </c>
      <c r="AF517">
        <v>2689</v>
      </c>
      <c r="AG517">
        <v>3875</v>
      </c>
      <c r="AH517">
        <v>10107</v>
      </c>
      <c r="AI517">
        <v>24700</v>
      </c>
      <c r="AK517" t="s">
        <v>7571</v>
      </c>
      <c r="AL517" t="s">
        <v>8729</v>
      </c>
      <c r="AM517" s="79" t="str">
        <f>HYPERLINK("https://t.co/o9I6Ob1pTb")</f>
        <v>https://t.co/o9I6Ob1pTb</v>
      </c>
      <c r="AO517" s="76">
        <v>40735.835358796299</v>
      </c>
      <c r="AP517" s="79" t="str">
        <f>HYPERLINK("https://pbs.twimg.com/profile_banners/333604107/1672127768")</f>
        <v>https://pbs.twimg.com/profile_banners/333604107/1672127768</v>
      </c>
      <c r="AQ517" t="b">
        <v>0</v>
      </c>
      <c r="AR517" t="b">
        <v>0</v>
      </c>
      <c r="AS517" t="b">
        <v>1</v>
      </c>
      <c r="AU517">
        <v>12</v>
      </c>
      <c r="AV517" s="79" t="str">
        <f>HYPERLINK("https://abs.twimg.com/images/themes/theme1/bg.png")</f>
        <v>https://abs.twimg.com/images/themes/theme1/bg.png</v>
      </c>
      <c r="AW517" t="b">
        <v>0</v>
      </c>
      <c r="AX517" t="s">
        <v>9303</v>
      </c>
      <c r="AY517" s="79" t="str">
        <f>HYPERLINK("https://twitter.com/tonioillusion")</f>
        <v>https://twitter.com/tonioillusion</v>
      </c>
      <c r="AZ517" t="s">
        <v>66</v>
      </c>
      <c r="BA517" s="2"/>
    </row>
    <row r="518" spans="1:53" x14ac:dyDescent="0.45">
      <c r="A518" s="62" t="s">
        <v>647</v>
      </c>
      <c r="B518" s="63"/>
      <c r="C518" s="63"/>
      <c r="D518" s="64"/>
      <c r="E518" s="66"/>
      <c r="F518" s="98" t="str">
        <f>HYPERLINK("https://pbs.twimg.com/profile_images/1197628009919979543/Urgk9dBo_normal.jpg")</f>
        <v>https://pbs.twimg.com/profile_images/1197628009919979543/Urgk9dBo_normal.jpg</v>
      </c>
      <c r="G518" s="63"/>
      <c r="H518" s="67"/>
      <c r="I518" s="68"/>
      <c r="J518" s="68"/>
      <c r="K518" s="67" t="s">
        <v>9957</v>
      </c>
      <c r="L518" s="71"/>
      <c r="M518" s="72"/>
      <c r="N518" s="72"/>
      <c r="O518" s="73"/>
      <c r="P518" s="74"/>
      <c r="Q518" s="74"/>
      <c r="R518" s="81"/>
      <c r="S518" s="81"/>
      <c r="T518" s="81"/>
      <c r="U518" s="81"/>
      <c r="V518" s="48"/>
      <c r="W518" s="48"/>
      <c r="X518" s="48"/>
      <c r="Y518" s="48"/>
      <c r="Z518" s="47"/>
      <c r="AA518" s="69"/>
      <c r="AB518" s="69"/>
      <c r="AC518" s="70"/>
      <c r="AD518" t="s">
        <v>5648</v>
      </c>
      <c r="AE518" s="78" t="s">
        <v>6890</v>
      </c>
      <c r="AF518">
        <v>4896</v>
      </c>
      <c r="AG518">
        <v>3866</v>
      </c>
      <c r="AH518">
        <v>11975</v>
      </c>
      <c r="AI518">
        <v>29266</v>
      </c>
      <c r="AK518" t="s">
        <v>8059</v>
      </c>
      <c r="AL518" t="s">
        <v>9015</v>
      </c>
      <c r="AM518" s="79" t="str">
        <f>HYPERLINK("https://t.co/DwrsghEdE6")</f>
        <v>https://t.co/DwrsghEdE6</v>
      </c>
      <c r="AO518" s="76">
        <v>40725.075289351851</v>
      </c>
      <c r="AP518" s="79" t="str">
        <f>HYPERLINK("https://pbs.twimg.com/profile_banners/327131924/1408048246")</f>
        <v>https://pbs.twimg.com/profile_banners/327131924/1408048246</v>
      </c>
      <c r="AQ518" t="b">
        <v>0</v>
      </c>
      <c r="AR518" t="b">
        <v>0</v>
      </c>
      <c r="AS518" t="b">
        <v>1</v>
      </c>
      <c r="AU518">
        <v>26</v>
      </c>
      <c r="AV518" s="79" t="str">
        <f>HYPERLINK("https://abs.twimg.com/images/themes/theme1/bg.png")</f>
        <v>https://abs.twimg.com/images/themes/theme1/bg.png</v>
      </c>
      <c r="AW518" t="b">
        <v>0</v>
      </c>
      <c r="AX518" t="s">
        <v>9303</v>
      </c>
      <c r="AY518" s="79" t="str">
        <f>HYPERLINK("https://twitter.com/drtimcavell")</f>
        <v>https://twitter.com/drtimcavell</v>
      </c>
      <c r="AZ518" t="s">
        <v>66</v>
      </c>
      <c r="BA518" s="2"/>
    </row>
    <row r="519" spans="1:53" x14ac:dyDescent="0.45">
      <c r="A519" s="62" t="s">
        <v>1090</v>
      </c>
      <c r="B519" s="63"/>
      <c r="C519" s="63"/>
      <c r="D519" s="64"/>
      <c r="E519" s="66"/>
      <c r="F519" s="98" t="str">
        <f>HYPERLINK("https://pbs.twimg.com/profile_images/1166721088405037056/HOEnpWlg_normal.jpg")</f>
        <v>https://pbs.twimg.com/profile_images/1166721088405037056/HOEnpWlg_normal.jpg</v>
      </c>
      <c r="G519" s="63"/>
      <c r="H519" s="67"/>
      <c r="I519" s="68"/>
      <c r="J519" s="68"/>
      <c r="K519" s="67" t="s">
        <v>10635</v>
      </c>
      <c r="L519" s="71"/>
      <c r="M519" s="72"/>
      <c r="N519" s="72"/>
      <c r="O519" s="73"/>
      <c r="P519" s="74"/>
      <c r="Q519" s="74"/>
      <c r="R519" s="81"/>
      <c r="S519" s="81"/>
      <c r="T519" s="81"/>
      <c r="U519" s="81"/>
      <c r="V519" s="48"/>
      <c r="W519" s="48"/>
      <c r="X519" s="48"/>
      <c r="Y519" s="48"/>
      <c r="Z519" s="47"/>
      <c r="AA519" s="69"/>
      <c r="AB519" s="69"/>
      <c r="AC519" s="70"/>
      <c r="AD519" t="s">
        <v>6311</v>
      </c>
      <c r="AE519" s="78" t="s">
        <v>7474</v>
      </c>
      <c r="AF519">
        <v>2147</v>
      </c>
      <c r="AG519">
        <v>3848</v>
      </c>
      <c r="AH519">
        <v>12930</v>
      </c>
      <c r="AI519">
        <v>3805</v>
      </c>
      <c r="AK519" t="s">
        <v>8656</v>
      </c>
      <c r="AL519" t="s">
        <v>8966</v>
      </c>
      <c r="AM519" s="79" t="str">
        <f>HYPERLINK("https://t.co/OBYqgc0J3V")</f>
        <v>https://t.co/OBYqgc0J3V</v>
      </c>
      <c r="AO519" s="76">
        <v>41597.671585648146</v>
      </c>
      <c r="AP519" s="79" t="str">
        <f>HYPERLINK("https://pbs.twimg.com/profile_banners/2203346064/1620379104")</f>
        <v>https://pbs.twimg.com/profile_banners/2203346064/1620379104</v>
      </c>
      <c r="AQ519" t="b">
        <v>1</v>
      </c>
      <c r="AR519" t="b">
        <v>0</v>
      </c>
      <c r="AS519" t="b">
        <v>1</v>
      </c>
      <c r="AU519">
        <v>113</v>
      </c>
      <c r="AV519" s="79" t="str">
        <f>HYPERLINK("https://abs.twimg.com/images/themes/theme1/bg.png")</f>
        <v>https://abs.twimg.com/images/themes/theme1/bg.png</v>
      </c>
      <c r="AW519" t="b">
        <v>1</v>
      </c>
      <c r="AX519" t="s">
        <v>9303</v>
      </c>
      <c r="AY519" s="79" t="str">
        <f>HYPERLINK("https://twitter.com/whas11hasch")</f>
        <v>https://twitter.com/whas11hasch</v>
      </c>
      <c r="AZ519" t="s">
        <v>66</v>
      </c>
      <c r="BA519" s="2"/>
    </row>
    <row r="520" spans="1:53" x14ac:dyDescent="0.45">
      <c r="A520" s="62" t="s">
        <v>1239</v>
      </c>
      <c r="B520" s="63"/>
      <c r="C520" s="63"/>
      <c r="D520" s="64"/>
      <c r="E520" s="66"/>
      <c r="F520" s="98" t="str">
        <f>HYPERLINK("https://pbs.twimg.com/profile_images/1613940040148684802/14mBXEMk_normal.jpg")</f>
        <v>https://pbs.twimg.com/profile_images/1613940040148684802/14mBXEMk_normal.jpg</v>
      </c>
      <c r="G520" s="63"/>
      <c r="H520" s="67"/>
      <c r="I520" s="68"/>
      <c r="J520" s="68"/>
      <c r="K520" s="67" t="s">
        <v>9592</v>
      </c>
      <c r="L520" s="71"/>
      <c r="M520" s="72"/>
      <c r="N520" s="72"/>
      <c r="O520" s="73"/>
      <c r="P520" s="74"/>
      <c r="Q520" s="74"/>
      <c r="R520" s="81"/>
      <c r="S520" s="81"/>
      <c r="T520" s="81"/>
      <c r="U520" s="81"/>
      <c r="V520" s="48"/>
      <c r="W520" s="48"/>
      <c r="X520" s="48"/>
      <c r="Y520" s="48"/>
      <c r="Z520" s="47"/>
      <c r="AA520" s="69"/>
      <c r="AB520" s="69"/>
      <c r="AC520" s="70"/>
      <c r="AD520" t="s">
        <v>5285</v>
      </c>
      <c r="AE520" s="78" t="s">
        <v>6563</v>
      </c>
      <c r="AF520">
        <v>550</v>
      </c>
      <c r="AG520">
        <v>3842</v>
      </c>
      <c r="AH520">
        <v>3513</v>
      </c>
      <c r="AI520">
        <v>1022</v>
      </c>
      <c r="AK520" t="s">
        <v>7744</v>
      </c>
      <c r="AM520" s="79" t="str">
        <f>HYPERLINK("https://t.co/dV7iJt6snE")</f>
        <v>https://t.co/dV7iJt6snE</v>
      </c>
      <c r="AO520" s="76">
        <v>41078.674490740741</v>
      </c>
      <c r="AP520" s="79" t="str">
        <f>HYPERLINK("https://pbs.twimg.com/profile_banners/611792468/1673631852")</f>
        <v>https://pbs.twimg.com/profile_banners/611792468/1673631852</v>
      </c>
      <c r="AQ520" t="b">
        <v>0</v>
      </c>
      <c r="AR520" t="b">
        <v>0</v>
      </c>
      <c r="AS520" t="b">
        <v>0</v>
      </c>
      <c r="AU520">
        <v>149</v>
      </c>
      <c r="AV520" s="79" t="str">
        <f>HYPERLINK("https://abs.twimg.com/images/themes/theme16/bg.gif")</f>
        <v>https://abs.twimg.com/images/themes/theme16/bg.gif</v>
      </c>
      <c r="AW520" t="b">
        <v>0</v>
      </c>
      <c r="AX520" t="s">
        <v>9303</v>
      </c>
      <c r="AY520" s="79" t="str">
        <f>HYPERLINK("https://twitter.com/dlvermeer")</f>
        <v>https://twitter.com/dlvermeer</v>
      </c>
      <c r="AZ520" t="s">
        <v>65</v>
      </c>
      <c r="BA520" s="2"/>
    </row>
    <row r="521" spans="1:53" x14ac:dyDescent="0.45">
      <c r="A521" s="62" t="s">
        <v>294</v>
      </c>
      <c r="B521" s="63"/>
      <c r="C521" s="63"/>
      <c r="D521" s="64"/>
      <c r="E521" s="66"/>
      <c r="F521" s="98" t="str">
        <f>HYPERLINK("https://pbs.twimg.com/profile_images/1612585334155497477/xJFBbSG8_normal.jpg")</f>
        <v>https://pbs.twimg.com/profile_images/1612585334155497477/xJFBbSG8_normal.jpg</v>
      </c>
      <c r="G521" s="63"/>
      <c r="H521" s="67"/>
      <c r="I521" s="68"/>
      <c r="J521" s="68"/>
      <c r="K521" s="67" t="s">
        <v>9466</v>
      </c>
      <c r="L521" s="71"/>
      <c r="M521" s="72"/>
      <c r="N521" s="72"/>
      <c r="O521" s="73"/>
      <c r="P521" s="74"/>
      <c r="Q521" s="74"/>
      <c r="R521" s="81"/>
      <c r="S521" s="81"/>
      <c r="T521" s="81"/>
      <c r="U521" s="81"/>
      <c r="V521" s="48"/>
      <c r="W521" s="48"/>
      <c r="X521" s="48"/>
      <c r="Y521" s="48"/>
      <c r="Z521" s="47"/>
      <c r="AA521" s="69"/>
      <c r="AB521" s="69"/>
      <c r="AC521" s="70"/>
      <c r="AD521" t="s">
        <v>5160</v>
      </c>
      <c r="AE521" s="78" t="s">
        <v>6461</v>
      </c>
      <c r="AF521">
        <v>4500</v>
      </c>
      <c r="AG521">
        <v>3801</v>
      </c>
      <c r="AH521">
        <v>48512</v>
      </c>
      <c r="AI521">
        <v>91292</v>
      </c>
      <c r="AK521" t="s">
        <v>7632</v>
      </c>
      <c r="AL521" t="s">
        <v>8767</v>
      </c>
      <c r="AO521" s="76">
        <v>44223.762187499997</v>
      </c>
      <c r="AP521" s="79" t="str">
        <f>HYPERLINK("https://pbs.twimg.com/profile_banners/1354493694515294210/1667305544")</f>
        <v>https://pbs.twimg.com/profile_banners/1354493694515294210/1667305544</v>
      </c>
      <c r="AQ521" t="b">
        <v>1</v>
      </c>
      <c r="AR521" t="b">
        <v>0</v>
      </c>
      <c r="AS521" t="b">
        <v>0</v>
      </c>
      <c r="AU521">
        <v>3</v>
      </c>
      <c r="AW521" t="b">
        <v>0</v>
      </c>
      <c r="AX521" t="s">
        <v>9303</v>
      </c>
      <c r="AY521" s="79" t="str">
        <f>HYPERLINK("https://twitter.com/resisteringa")</f>
        <v>https://twitter.com/resisteringa</v>
      </c>
      <c r="AZ521" t="s">
        <v>66</v>
      </c>
      <c r="BA521" s="2"/>
    </row>
    <row r="522" spans="1:53" x14ac:dyDescent="0.45">
      <c r="A522" s="62" t="s">
        <v>539</v>
      </c>
      <c r="B522" s="63"/>
      <c r="C522" s="63"/>
      <c r="D522" s="64"/>
      <c r="E522" s="66"/>
      <c r="F522" s="98" t="str">
        <f>HYPERLINK("https://pbs.twimg.com/profile_images/1296944653502054400/z23AjStJ_normal.jpg")</f>
        <v>https://pbs.twimg.com/profile_images/1296944653502054400/z23AjStJ_normal.jpg</v>
      </c>
      <c r="G522" s="63"/>
      <c r="H522" s="67"/>
      <c r="I522" s="68"/>
      <c r="J522" s="68"/>
      <c r="K522" s="67" t="s">
        <v>9831</v>
      </c>
      <c r="L522" s="71"/>
      <c r="M522" s="72"/>
      <c r="N522" s="72"/>
      <c r="O522" s="73"/>
      <c r="P522" s="74"/>
      <c r="Q522" s="74"/>
      <c r="R522" s="81"/>
      <c r="S522" s="81"/>
      <c r="T522" s="81"/>
      <c r="U522" s="81"/>
      <c r="V522" s="48"/>
      <c r="W522" s="48"/>
      <c r="X522" s="48"/>
      <c r="Y522" s="48"/>
      <c r="Z522" s="47"/>
      <c r="AA522" s="69"/>
      <c r="AB522" s="69"/>
      <c r="AC522" s="70"/>
      <c r="AD522" t="s">
        <v>5522</v>
      </c>
      <c r="AE522" s="78" t="s">
        <v>6773</v>
      </c>
      <c r="AF522">
        <v>4987</v>
      </c>
      <c r="AG522">
        <v>3762</v>
      </c>
      <c r="AH522">
        <v>3312</v>
      </c>
      <c r="AI522">
        <v>32686</v>
      </c>
      <c r="AK522" t="s">
        <v>7947</v>
      </c>
      <c r="AL522" t="s">
        <v>8936</v>
      </c>
      <c r="AM522" s="79" t="str">
        <f>HYPERLINK("https://t.co/e3oFP7lPBm")</f>
        <v>https://t.co/e3oFP7lPBm</v>
      </c>
      <c r="AO522" s="76">
        <v>39782.850578703707</v>
      </c>
      <c r="AP522" s="79" t="str">
        <f>HYPERLINK("https://pbs.twimg.com/profile_banners/17761923/1466803551")</f>
        <v>https://pbs.twimg.com/profile_banners/17761923/1466803551</v>
      </c>
      <c r="AQ522" t="b">
        <v>0</v>
      </c>
      <c r="AR522" t="b">
        <v>0</v>
      </c>
      <c r="AS522" t="b">
        <v>1</v>
      </c>
      <c r="AU522">
        <v>94</v>
      </c>
      <c r="AV522" s="79" t="str">
        <f>HYPERLINK("https://abs.twimg.com/images/themes/theme6/bg.gif")</f>
        <v>https://abs.twimg.com/images/themes/theme6/bg.gif</v>
      </c>
      <c r="AW522" t="b">
        <v>0</v>
      </c>
      <c r="AX522" t="s">
        <v>9303</v>
      </c>
      <c r="AY522" s="79" t="str">
        <f>HYPERLINK("https://twitter.com/dogmaticprior")</f>
        <v>https://twitter.com/dogmaticprior</v>
      </c>
      <c r="AZ522" t="s">
        <v>66</v>
      </c>
      <c r="BA522" s="2"/>
    </row>
    <row r="523" spans="1:53" x14ac:dyDescent="0.45">
      <c r="A523" s="62" t="s">
        <v>1067</v>
      </c>
      <c r="B523" s="63"/>
      <c r="C523" s="63"/>
      <c r="D523" s="64"/>
      <c r="E523" s="66"/>
      <c r="F523" s="98" t="str">
        <f>HYPERLINK("https://pbs.twimg.com/profile_images/1550637603711508480/dBXopsgE_normal.jpg")</f>
        <v>https://pbs.twimg.com/profile_images/1550637603711508480/dBXopsgE_normal.jpg</v>
      </c>
      <c r="G523" s="63"/>
      <c r="H523" s="67"/>
      <c r="I523" s="68"/>
      <c r="J523" s="68"/>
      <c r="K523" s="67" t="s">
        <v>10460</v>
      </c>
      <c r="L523" s="71"/>
      <c r="M523" s="72"/>
      <c r="N523" s="72"/>
      <c r="O523" s="73"/>
      <c r="P523" s="74"/>
      <c r="Q523" s="74"/>
      <c r="R523" s="81"/>
      <c r="S523" s="81"/>
      <c r="T523" s="81"/>
      <c r="U523" s="81"/>
      <c r="V523" s="48"/>
      <c r="W523" s="48"/>
      <c r="X523" s="48"/>
      <c r="Y523" s="48"/>
      <c r="Z523" s="47"/>
      <c r="AA523" s="69"/>
      <c r="AB523" s="69"/>
      <c r="AC523" s="70"/>
      <c r="AD523" t="s">
        <v>6141</v>
      </c>
      <c r="AE523" s="78" t="s">
        <v>4791</v>
      </c>
      <c r="AF523">
        <v>4628</v>
      </c>
      <c r="AG523">
        <v>3657</v>
      </c>
      <c r="AH523">
        <v>9481</v>
      </c>
      <c r="AI523">
        <v>28011</v>
      </c>
      <c r="AK523" t="s">
        <v>8499</v>
      </c>
      <c r="AL523" t="s">
        <v>9225</v>
      </c>
      <c r="AM523" s="79" t="str">
        <f>HYPERLINK("https://t.co/VNJxxKeX5Q")</f>
        <v>https://t.co/VNJxxKeX5Q</v>
      </c>
      <c r="AO523" s="76">
        <v>44497.647048611114</v>
      </c>
      <c r="AP523" s="79" t="str">
        <f>HYPERLINK("https://pbs.twimg.com/profile_banners/1453746193943629830/1664392693")</f>
        <v>https://pbs.twimg.com/profile_banners/1453746193943629830/1664392693</v>
      </c>
      <c r="AQ523" t="b">
        <v>1</v>
      </c>
      <c r="AR523" t="b">
        <v>0</v>
      </c>
      <c r="AS523" t="b">
        <v>0</v>
      </c>
      <c r="AU523">
        <v>3</v>
      </c>
      <c r="AW523" t="b">
        <v>0</v>
      </c>
      <c r="AX523" t="s">
        <v>9303</v>
      </c>
      <c r="AY523" s="79" t="str">
        <f>HYPERLINK("https://twitter.com/omgpodcast22")</f>
        <v>https://twitter.com/omgpodcast22</v>
      </c>
      <c r="AZ523" t="s">
        <v>66</v>
      </c>
      <c r="BA523" s="2"/>
    </row>
    <row r="524" spans="1:53" x14ac:dyDescent="0.45">
      <c r="A524" s="62" t="s">
        <v>866</v>
      </c>
      <c r="B524" s="63"/>
      <c r="C524" s="63"/>
      <c r="D524" s="64"/>
      <c r="E524" s="66"/>
      <c r="F524" s="98" t="str">
        <f>HYPERLINK("https://pbs.twimg.com/profile_images/2891687639/1c3986a37ee5382d5b75126a27cde4c9_normal.jpeg")</f>
        <v>https://pbs.twimg.com/profile_images/2891687639/1c3986a37ee5382d5b75126a27cde4c9_normal.jpeg</v>
      </c>
      <c r="G524" s="63"/>
      <c r="H524" s="67"/>
      <c r="I524" s="68"/>
      <c r="J524" s="68"/>
      <c r="K524" s="67" t="s">
        <v>10267</v>
      </c>
      <c r="L524" s="71"/>
      <c r="M524" s="72"/>
      <c r="N524" s="72"/>
      <c r="O524" s="73"/>
      <c r="P524" s="74"/>
      <c r="Q524" s="74"/>
      <c r="R524" s="81"/>
      <c r="S524" s="81"/>
      <c r="T524" s="81"/>
      <c r="U524" s="81"/>
      <c r="V524" s="48"/>
      <c r="W524" s="48"/>
      <c r="X524" s="48"/>
      <c r="Y524" s="48"/>
      <c r="Z524" s="47"/>
      <c r="AA524" s="69"/>
      <c r="AB524" s="69"/>
      <c r="AC524" s="70"/>
      <c r="AD524" t="s">
        <v>5950</v>
      </c>
      <c r="AE524" s="78" t="s">
        <v>7163</v>
      </c>
      <c r="AF524">
        <v>1775</v>
      </c>
      <c r="AG524">
        <v>3648</v>
      </c>
      <c r="AH524">
        <v>74638</v>
      </c>
      <c r="AI524">
        <v>7917</v>
      </c>
      <c r="AK524" t="s">
        <v>8328</v>
      </c>
      <c r="AO524" s="76">
        <v>39872.888506944444</v>
      </c>
      <c r="AP524" s="79" t="str">
        <f>HYPERLINK("https://pbs.twimg.com/profile_banners/22296680/1491183498")</f>
        <v>https://pbs.twimg.com/profile_banners/22296680/1491183498</v>
      </c>
      <c r="AQ524" t="b">
        <v>0</v>
      </c>
      <c r="AR524" t="b">
        <v>0</v>
      </c>
      <c r="AS524" t="b">
        <v>1</v>
      </c>
      <c r="AU524">
        <v>315</v>
      </c>
      <c r="AV524" s="79" t="str">
        <f>HYPERLINK("https://abs.twimg.com/images/themes/theme9/bg.gif")</f>
        <v>https://abs.twimg.com/images/themes/theme9/bg.gif</v>
      </c>
      <c r="AW524" t="b">
        <v>0</v>
      </c>
      <c r="AX524" t="s">
        <v>9303</v>
      </c>
      <c r="AY524" s="79" t="str">
        <f>HYPERLINK("https://twitter.com/cognac62")</f>
        <v>https://twitter.com/cognac62</v>
      </c>
      <c r="AZ524" t="s">
        <v>66</v>
      </c>
      <c r="BA524" s="2"/>
    </row>
    <row r="525" spans="1:53" x14ac:dyDescent="0.45">
      <c r="A525" s="62" t="s">
        <v>1063</v>
      </c>
      <c r="B525" s="63"/>
      <c r="C525" s="63"/>
      <c r="D525" s="64"/>
      <c r="E525" s="66"/>
      <c r="F525" s="98" t="str">
        <f>HYPERLINK("https://pbs.twimg.com/profile_images/1608530466566508545/wWsTkpdu_normal.jpg")</f>
        <v>https://pbs.twimg.com/profile_images/1608530466566508545/wWsTkpdu_normal.jpg</v>
      </c>
      <c r="G525" s="63"/>
      <c r="H525" s="67"/>
      <c r="I525" s="68"/>
      <c r="J525" s="68"/>
      <c r="K525" s="67" t="s">
        <v>10587</v>
      </c>
      <c r="L525" s="71"/>
      <c r="M525" s="72"/>
      <c r="N525" s="72"/>
      <c r="O525" s="73"/>
      <c r="P525" s="74"/>
      <c r="Q525" s="74"/>
      <c r="R525" s="81"/>
      <c r="S525" s="81"/>
      <c r="T525" s="81"/>
      <c r="U525" s="81"/>
      <c r="V525" s="48"/>
      <c r="W525" s="48"/>
      <c r="X525" s="48"/>
      <c r="Y525" s="48"/>
      <c r="Z525" s="47"/>
      <c r="AA525" s="69"/>
      <c r="AB525" s="69"/>
      <c r="AC525" s="70"/>
      <c r="AD525" t="s">
        <v>6265</v>
      </c>
      <c r="AE525" s="78" t="s">
        <v>7435</v>
      </c>
      <c r="AF525">
        <v>17</v>
      </c>
      <c r="AG525">
        <v>3612</v>
      </c>
      <c r="AH525">
        <v>132503</v>
      </c>
      <c r="AI525">
        <v>124</v>
      </c>
      <c r="AK525" t="s">
        <v>8611</v>
      </c>
      <c r="AL525" t="s">
        <v>8708</v>
      </c>
      <c r="AO525" s="76">
        <v>40871.594444444447</v>
      </c>
      <c r="AP525" s="79" t="str">
        <f>HYPERLINK("https://pbs.twimg.com/profile_banners/420347827/1607794520")</f>
        <v>https://pbs.twimg.com/profile_banners/420347827/1607794520</v>
      </c>
      <c r="AQ525" t="b">
        <v>0</v>
      </c>
      <c r="AR525" t="b">
        <v>0</v>
      </c>
      <c r="AS525" t="b">
        <v>1</v>
      </c>
      <c r="AU525">
        <v>12</v>
      </c>
      <c r="AV525" s="79" t="str">
        <f>HYPERLINK("https://abs.twimg.com/images/themes/theme1/bg.png")</f>
        <v>https://abs.twimg.com/images/themes/theme1/bg.png</v>
      </c>
      <c r="AW525" t="b">
        <v>0</v>
      </c>
      <c r="AX525" t="s">
        <v>9303</v>
      </c>
      <c r="AY525" s="79" t="str">
        <f>HYPERLINK("https://twitter.com/ejayarrow")</f>
        <v>https://twitter.com/ejayarrow</v>
      </c>
      <c r="AZ525" t="s">
        <v>66</v>
      </c>
      <c r="BA525" s="2"/>
    </row>
    <row r="526" spans="1:53" x14ac:dyDescent="0.45">
      <c r="A526" s="62" t="s">
        <v>1141</v>
      </c>
      <c r="B526" s="63"/>
      <c r="C526" s="63"/>
      <c r="D526" s="64"/>
      <c r="E526" s="66"/>
      <c r="F526" s="98" t="str">
        <f>HYPERLINK("https://pbs.twimg.com/profile_images/1397968332817670146/OkPGzZJO_normal.jpg")</f>
        <v>https://pbs.twimg.com/profile_images/1397968332817670146/OkPGzZJO_normal.jpg</v>
      </c>
      <c r="G526" s="63"/>
      <c r="H526" s="67"/>
      <c r="I526" s="68"/>
      <c r="J526" s="68"/>
      <c r="K526" s="67" t="s">
        <v>9366</v>
      </c>
      <c r="L526" s="71"/>
      <c r="M526" s="72"/>
      <c r="N526" s="72"/>
      <c r="O526" s="73"/>
      <c r="P526" s="74"/>
      <c r="Q526" s="74"/>
      <c r="R526" s="81"/>
      <c r="S526" s="81"/>
      <c r="T526" s="81"/>
      <c r="U526" s="81"/>
      <c r="V526" s="48"/>
      <c r="W526" s="48"/>
      <c r="X526" s="48"/>
      <c r="Y526" s="48"/>
      <c r="Z526" s="47"/>
      <c r="AA526" s="69"/>
      <c r="AB526" s="69"/>
      <c r="AC526" s="70"/>
      <c r="AD526" t="s">
        <v>5062</v>
      </c>
      <c r="AE526" s="78" t="s">
        <v>6377</v>
      </c>
      <c r="AF526">
        <v>1693</v>
      </c>
      <c r="AG526">
        <v>3586</v>
      </c>
      <c r="AH526">
        <v>13366</v>
      </c>
      <c r="AI526">
        <v>15257</v>
      </c>
      <c r="AK526" t="s">
        <v>7548</v>
      </c>
      <c r="AL526" t="s">
        <v>8717</v>
      </c>
      <c r="AM526" s="79" t="str">
        <f>HYPERLINK("https://t.co/TeRvVwcHI4")</f>
        <v>https://t.co/TeRvVwcHI4</v>
      </c>
      <c r="AO526" s="76">
        <v>41024.616550925923</v>
      </c>
      <c r="AP526" s="79" t="str">
        <f>HYPERLINK("https://pbs.twimg.com/profile_banners/563020869/1631897943")</f>
        <v>https://pbs.twimg.com/profile_banners/563020869/1631897943</v>
      </c>
      <c r="AQ526" t="b">
        <v>0</v>
      </c>
      <c r="AR526" t="b">
        <v>0</v>
      </c>
      <c r="AS526" t="b">
        <v>0</v>
      </c>
      <c r="AU526">
        <v>60</v>
      </c>
      <c r="AV526" s="79" t="str">
        <f>HYPERLINK("https://abs.twimg.com/images/themes/theme1/bg.png")</f>
        <v>https://abs.twimg.com/images/themes/theme1/bg.png</v>
      </c>
      <c r="AW526" t="b">
        <v>0</v>
      </c>
      <c r="AX526" t="s">
        <v>9303</v>
      </c>
      <c r="AY526" s="79" t="str">
        <f>HYPERLINK("https://twitter.com/lyakovet")</f>
        <v>https://twitter.com/lyakovet</v>
      </c>
      <c r="AZ526" t="s">
        <v>65</v>
      </c>
      <c r="BA526" s="2"/>
    </row>
    <row r="527" spans="1:53" x14ac:dyDescent="0.45">
      <c r="A527" s="62" t="s">
        <v>1244</v>
      </c>
      <c r="B527" s="63"/>
      <c r="C527" s="63"/>
      <c r="D527" s="64"/>
      <c r="E527" s="66"/>
      <c r="F527" s="98" t="str">
        <f>HYPERLINK("https://pbs.twimg.com/profile_images/1580094353757929472/SGgbFbyW_normal.jpg")</f>
        <v>https://pbs.twimg.com/profile_images/1580094353757929472/SGgbFbyW_normal.jpg</v>
      </c>
      <c r="G527" s="63"/>
      <c r="H527" s="67"/>
      <c r="I527" s="68"/>
      <c r="J527" s="68"/>
      <c r="K527" s="67" t="s">
        <v>9597</v>
      </c>
      <c r="L527" s="71"/>
      <c r="M527" s="72"/>
      <c r="N527" s="72"/>
      <c r="O527" s="73"/>
      <c r="P527" s="74"/>
      <c r="Q527" s="74"/>
      <c r="R527" s="81"/>
      <c r="S527" s="81"/>
      <c r="T527" s="81"/>
      <c r="U527" s="81"/>
      <c r="V527" s="48"/>
      <c r="W527" s="48"/>
      <c r="X527" s="48"/>
      <c r="Y527" s="48"/>
      <c r="Z527" s="47"/>
      <c r="AA527" s="69"/>
      <c r="AB527" s="69"/>
      <c r="AC527" s="70"/>
      <c r="AD527" t="s">
        <v>5290</v>
      </c>
      <c r="AE527" s="78" t="s">
        <v>6568</v>
      </c>
      <c r="AF527">
        <v>22</v>
      </c>
      <c r="AG527">
        <v>3567</v>
      </c>
      <c r="AH527">
        <v>385</v>
      </c>
      <c r="AI527">
        <v>201</v>
      </c>
      <c r="AL527" t="s">
        <v>8831</v>
      </c>
      <c r="AM527" s="79" t="str">
        <f>HYPERLINK("https://t.co/0T7SKUUJLf")</f>
        <v>https://t.co/0T7SKUUJLf</v>
      </c>
      <c r="AO527" s="76">
        <v>42382.522581018522</v>
      </c>
      <c r="AP527" s="79" t="str">
        <f>HYPERLINK("https://pbs.twimg.com/profile_banners/4794049353/1674824923")</f>
        <v>https://pbs.twimg.com/profile_banners/4794049353/1674824923</v>
      </c>
      <c r="AQ527" t="b">
        <v>1</v>
      </c>
      <c r="AR527" t="b">
        <v>0</v>
      </c>
      <c r="AS527" t="b">
        <v>0</v>
      </c>
      <c r="AU527">
        <v>9</v>
      </c>
      <c r="AW527" t="b">
        <v>0</v>
      </c>
      <c r="AX527" t="s">
        <v>9303</v>
      </c>
      <c r="AY527" s="79" t="str">
        <f>HYPERLINK("https://twitter.com/zabkapolska")</f>
        <v>https://twitter.com/zabkapolska</v>
      </c>
      <c r="AZ527" t="s">
        <v>65</v>
      </c>
      <c r="BA527" s="2"/>
    </row>
    <row r="528" spans="1:53" x14ac:dyDescent="0.45">
      <c r="A528" s="62" t="s">
        <v>457</v>
      </c>
      <c r="B528" s="63"/>
      <c r="C528" s="63"/>
      <c r="D528" s="64"/>
      <c r="E528" s="66"/>
      <c r="F528" s="98" t="str">
        <f>HYPERLINK("https://pbs.twimg.com/profile_images/1506284509771272218/eJ2zpOTe_normal.jpg")</f>
        <v>https://pbs.twimg.com/profile_images/1506284509771272218/eJ2zpOTe_normal.jpg</v>
      </c>
      <c r="G528" s="63"/>
      <c r="H528" s="67"/>
      <c r="I528" s="68"/>
      <c r="J528" s="68"/>
      <c r="K528" s="67" t="s">
        <v>9723</v>
      </c>
      <c r="L528" s="71"/>
      <c r="M528" s="72"/>
      <c r="N528" s="72"/>
      <c r="O528" s="73"/>
      <c r="P528" s="74"/>
      <c r="Q528" s="74"/>
      <c r="R528" s="81"/>
      <c r="S528" s="81"/>
      <c r="T528" s="81"/>
      <c r="U528" s="81"/>
      <c r="V528" s="48"/>
      <c r="W528" s="48"/>
      <c r="X528" s="48"/>
      <c r="Y528" s="48"/>
      <c r="Z528" s="47"/>
      <c r="AA528" s="69"/>
      <c r="AB528" s="69"/>
      <c r="AC528" s="70"/>
      <c r="AD528" t="s">
        <v>5415</v>
      </c>
      <c r="AE528" s="78" t="s">
        <v>6687</v>
      </c>
      <c r="AF528">
        <v>1397</v>
      </c>
      <c r="AG528">
        <v>3552</v>
      </c>
      <c r="AH528">
        <v>85531</v>
      </c>
      <c r="AI528">
        <v>541</v>
      </c>
      <c r="AK528" t="s">
        <v>7855</v>
      </c>
      <c r="AL528" t="s">
        <v>8887</v>
      </c>
      <c r="AO528" s="76">
        <v>40328.816828703704</v>
      </c>
      <c r="AP528" s="79" t="str">
        <f>HYPERLINK("https://pbs.twimg.com/profile_banners/149991076/1585244465")</f>
        <v>https://pbs.twimg.com/profile_banners/149991076/1585244465</v>
      </c>
      <c r="AQ528" t="b">
        <v>0</v>
      </c>
      <c r="AR528" t="b">
        <v>0</v>
      </c>
      <c r="AS528" t="b">
        <v>1</v>
      </c>
      <c r="AU528">
        <v>77</v>
      </c>
      <c r="AV528" s="79" t="str">
        <f>HYPERLINK("https://abs.twimg.com/images/themes/theme1/bg.png")</f>
        <v>https://abs.twimg.com/images/themes/theme1/bg.png</v>
      </c>
      <c r="AW528" t="b">
        <v>0</v>
      </c>
      <c r="AX528" t="s">
        <v>9303</v>
      </c>
      <c r="AY528" s="79" t="str">
        <f>HYPERLINK("https://twitter.com/obsessedsmiler")</f>
        <v>https://twitter.com/obsessedsmiler</v>
      </c>
      <c r="AZ528" t="s">
        <v>66</v>
      </c>
      <c r="BA528" s="2"/>
    </row>
    <row r="529" spans="1:53" x14ac:dyDescent="0.45">
      <c r="A529" s="62" t="s">
        <v>408</v>
      </c>
      <c r="B529" s="63"/>
      <c r="C529" s="63"/>
      <c r="D529" s="64"/>
      <c r="E529" s="66"/>
      <c r="F529" s="98" t="str">
        <f>HYPERLINK("https://pbs.twimg.com/profile_images/1612101804778717186/XTGCFiCQ_normal.jpg")</f>
        <v>https://pbs.twimg.com/profile_images/1612101804778717186/XTGCFiCQ_normal.jpg</v>
      </c>
      <c r="G529" s="63"/>
      <c r="H529" s="67"/>
      <c r="I529" s="68"/>
      <c r="J529" s="68"/>
      <c r="K529" s="67" t="s">
        <v>9659</v>
      </c>
      <c r="L529" s="71"/>
      <c r="M529" s="72"/>
      <c r="N529" s="72"/>
      <c r="O529" s="73"/>
      <c r="P529" s="74"/>
      <c r="Q529" s="74"/>
      <c r="R529" s="81"/>
      <c r="S529" s="81"/>
      <c r="T529" s="81"/>
      <c r="U529" s="81"/>
      <c r="V529" s="48"/>
      <c r="W529" s="48"/>
      <c r="X529" s="48"/>
      <c r="Y529" s="48"/>
      <c r="Z529" s="47"/>
      <c r="AA529" s="69"/>
      <c r="AB529" s="69"/>
      <c r="AC529" s="70"/>
      <c r="AD529" t="s">
        <v>5352</v>
      </c>
      <c r="AE529" s="78" t="s">
        <v>6626</v>
      </c>
      <c r="AF529">
        <v>3445</v>
      </c>
      <c r="AG529">
        <v>3510</v>
      </c>
      <c r="AH529">
        <v>37959</v>
      </c>
      <c r="AI529">
        <v>25556</v>
      </c>
      <c r="AK529" t="s">
        <v>7802</v>
      </c>
      <c r="AO529" s="76">
        <v>41806.139722222222</v>
      </c>
      <c r="AP529" s="79" t="str">
        <f>HYPERLINK("https://pbs.twimg.com/profile_banners/2570112714/1673190088")</f>
        <v>https://pbs.twimg.com/profile_banners/2570112714/1673190088</v>
      </c>
      <c r="AQ529" t="b">
        <v>0</v>
      </c>
      <c r="AR529" t="b">
        <v>0</v>
      </c>
      <c r="AS529" t="b">
        <v>1</v>
      </c>
      <c r="AU529">
        <v>6</v>
      </c>
      <c r="AV529" s="79" t="str">
        <f>HYPERLINK("https://abs.twimg.com/images/themes/theme14/bg.gif")</f>
        <v>https://abs.twimg.com/images/themes/theme14/bg.gif</v>
      </c>
      <c r="AW529" t="b">
        <v>0</v>
      </c>
      <c r="AX529" t="s">
        <v>9303</v>
      </c>
      <c r="AY529" s="79" t="str">
        <f>HYPERLINK("https://twitter.com/jaaayysun")</f>
        <v>https://twitter.com/jaaayysun</v>
      </c>
      <c r="AZ529" t="s">
        <v>66</v>
      </c>
      <c r="BA529" s="2"/>
    </row>
    <row r="530" spans="1:53" x14ac:dyDescent="0.45">
      <c r="A530" s="62" t="s">
        <v>963</v>
      </c>
      <c r="B530" s="63"/>
      <c r="C530" s="63"/>
      <c r="D530" s="64"/>
      <c r="E530" s="66"/>
      <c r="F530" s="98" t="str">
        <f>HYPERLINK("https://pbs.twimg.com/profile_images/1586432996646625281/8nNvZ22E_normal.jpg")</f>
        <v>https://pbs.twimg.com/profile_images/1586432996646625281/8nNvZ22E_normal.jpg</v>
      </c>
      <c r="G530" s="63"/>
      <c r="H530" s="67"/>
      <c r="I530" s="68"/>
      <c r="J530" s="68"/>
      <c r="K530" s="67" t="s">
        <v>10425</v>
      </c>
      <c r="L530" s="71"/>
      <c r="M530" s="72"/>
      <c r="N530" s="72"/>
      <c r="O530" s="73"/>
      <c r="P530" s="74"/>
      <c r="Q530" s="74"/>
      <c r="R530" s="81"/>
      <c r="S530" s="81"/>
      <c r="T530" s="81"/>
      <c r="U530" s="81"/>
      <c r="V530" s="48"/>
      <c r="W530" s="48"/>
      <c r="X530" s="48"/>
      <c r="Y530" s="48"/>
      <c r="Z530" s="47"/>
      <c r="AA530" s="69"/>
      <c r="AB530" s="69"/>
      <c r="AC530" s="70"/>
      <c r="AD530" t="s">
        <v>6107</v>
      </c>
      <c r="AE530" s="78" t="s">
        <v>4781</v>
      </c>
      <c r="AF530">
        <v>181</v>
      </c>
      <c r="AG530">
        <v>3500</v>
      </c>
      <c r="AH530">
        <v>24974</v>
      </c>
      <c r="AI530">
        <v>1853</v>
      </c>
      <c r="AK530" t="s">
        <v>8468</v>
      </c>
      <c r="AL530" t="s">
        <v>9209</v>
      </c>
      <c r="AO530" s="76">
        <v>40530.015636574077</v>
      </c>
      <c r="AP530" s="79" t="str">
        <f>HYPERLINK("https://pbs.twimg.com/profile_banners/227848300/1536987900")</f>
        <v>https://pbs.twimg.com/profile_banners/227848300/1536987900</v>
      </c>
      <c r="AQ530" t="b">
        <v>1</v>
      </c>
      <c r="AR530" t="b">
        <v>0</v>
      </c>
      <c r="AS530" t="b">
        <v>1</v>
      </c>
      <c r="AU530">
        <v>2</v>
      </c>
      <c r="AV530" s="79" t="str">
        <f>HYPERLINK("https://abs.twimg.com/images/themes/theme1/bg.png")</f>
        <v>https://abs.twimg.com/images/themes/theme1/bg.png</v>
      </c>
      <c r="AW530" t="b">
        <v>0</v>
      </c>
      <c r="AX530" t="s">
        <v>9303</v>
      </c>
      <c r="AY530" s="79" t="str">
        <f>HYPERLINK("https://twitter.com/shioma_al3meeri")</f>
        <v>https://twitter.com/shioma_al3meeri</v>
      </c>
      <c r="AZ530" t="s">
        <v>66</v>
      </c>
      <c r="BA530" s="2"/>
    </row>
    <row r="531" spans="1:53" x14ac:dyDescent="0.45">
      <c r="A531" s="62" t="s">
        <v>320</v>
      </c>
      <c r="B531" s="63"/>
      <c r="C531" s="63"/>
      <c r="D531" s="64"/>
      <c r="E531" s="66"/>
      <c r="F531" s="98" t="str">
        <f>HYPERLINK("https://pbs.twimg.com/profile_images/1619699735366963200/Bc9Tdnr9_normal.png")</f>
        <v>https://pbs.twimg.com/profile_images/1619699735366963200/Bc9Tdnr9_normal.png</v>
      </c>
      <c r="G531" s="63"/>
      <c r="H531" s="67"/>
      <c r="I531" s="68"/>
      <c r="J531" s="68"/>
      <c r="K531" s="67" t="s">
        <v>9522</v>
      </c>
      <c r="L531" s="71"/>
      <c r="M531" s="72"/>
      <c r="N531" s="72"/>
      <c r="O531" s="73"/>
      <c r="P531" s="74"/>
      <c r="Q531" s="74"/>
      <c r="R531" s="81"/>
      <c r="S531" s="81"/>
      <c r="T531" s="81"/>
      <c r="U531" s="81"/>
      <c r="V531" s="48"/>
      <c r="W531" s="48"/>
      <c r="X531" s="48"/>
      <c r="Y531" s="48"/>
      <c r="Z531" s="47"/>
      <c r="AA531" s="69"/>
      <c r="AB531" s="69"/>
      <c r="AC531" s="70"/>
      <c r="AD531" t="s">
        <v>5216</v>
      </c>
      <c r="AE531" s="78" t="s">
        <v>4676</v>
      </c>
      <c r="AF531">
        <v>1747</v>
      </c>
      <c r="AG531">
        <v>3490</v>
      </c>
      <c r="AH531">
        <v>7400</v>
      </c>
      <c r="AI531">
        <v>12373</v>
      </c>
      <c r="AK531" t="s">
        <v>7686</v>
      </c>
      <c r="AL531" t="s">
        <v>8798</v>
      </c>
      <c r="AM531" s="79" t="str">
        <f>HYPERLINK("https://t.co/HhdwhOhWEH")</f>
        <v>https://t.co/HhdwhOhWEH</v>
      </c>
      <c r="AO531" s="76">
        <v>44333.916354166664</v>
      </c>
      <c r="AP531" s="79" t="str">
        <f>HYPERLINK("https://pbs.twimg.com/profile_banners/1394412255165489154/1674350725")</f>
        <v>https://pbs.twimg.com/profile_banners/1394412255165489154/1674350725</v>
      </c>
      <c r="AQ531" t="b">
        <v>1</v>
      </c>
      <c r="AR531" t="b">
        <v>0</v>
      </c>
      <c r="AS531" t="b">
        <v>0</v>
      </c>
      <c r="AU531">
        <v>18</v>
      </c>
      <c r="AW531" t="b">
        <v>0</v>
      </c>
      <c r="AX531" t="s">
        <v>9303</v>
      </c>
      <c r="AY531" s="79" t="str">
        <f>HYPERLINK("https://twitter.com/flossin_eth")</f>
        <v>https://twitter.com/flossin_eth</v>
      </c>
      <c r="AZ531" t="s">
        <v>66</v>
      </c>
      <c r="BA531" s="2"/>
    </row>
    <row r="532" spans="1:53" x14ac:dyDescent="0.45">
      <c r="A532" s="62" t="s">
        <v>552</v>
      </c>
      <c r="B532" s="63"/>
      <c r="C532" s="63"/>
      <c r="D532" s="64"/>
      <c r="E532" s="66"/>
      <c r="F532" s="98" t="str">
        <f>HYPERLINK("https://pbs.twimg.com/profile_images/1369083430022086660/D5b8kCkM_normal.jpg")</f>
        <v>https://pbs.twimg.com/profile_images/1369083430022086660/D5b8kCkM_normal.jpg</v>
      </c>
      <c r="G532" s="63"/>
      <c r="H532" s="67"/>
      <c r="I532" s="68"/>
      <c r="J532" s="68"/>
      <c r="K532" s="67" t="s">
        <v>9849</v>
      </c>
      <c r="L532" s="71"/>
      <c r="M532" s="72"/>
      <c r="N532" s="72"/>
      <c r="O532" s="73"/>
      <c r="P532" s="74"/>
      <c r="Q532" s="74"/>
      <c r="R532" s="81"/>
      <c r="S532" s="81"/>
      <c r="T532" s="81"/>
      <c r="U532" s="81"/>
      <c r="V532" s="48"/>
      <c r="W532" s="48"/>
      <c r="X532" s="48"/>
      <c r="Y532" s="48"/>
      <c r="Z532" s="47"/>
      <c r="AA532" s="69"/>
      <c r="AB532" s="69"/>
      <c r="AC532" s="70"/>
      <c r="AD532" t="s">
        <v>5540</v>
      </c>
      <c r="AE532" s="78" t="s">
        <v>6789</v>
      </c>
      <c r="AF532">
        <v>145</v>
      </c>
      <c r="AG532">
        <v>3484</v>
      </c>
      <c r="AH532">
        <v>1414</v>
      </c>
      <c r="AI532">
        <v>675</v>
      </c>
      <c r="AK532" t="s">
        <v>7963</v>
      </c>
      <c r="AM532" s="79" t="str">
        <f>HYPERLINK("https://t.co/pJE5YscbND")</f>
        <v>https://t.co/pJE5YscbND</v>
      </c>
      <c r="AO532" s="76">
        <v>42244.844988425924</v>
      </c>
      <c r="AP532" s="79" t="str">
        <f>HYPERLINK("https://pbs.twimg.com/profile_banners/3472989323/1674575699")</f>
        <v>https://pbs.twimg.com/profile_banners/3472989323/1674575699</v>
      </c>
      <c r="AQ532" t="b">
        <v>1</v>
      </c>
      <c r="AR532" t="b">
        <v>0</v>
      </c>
      <c r="AS532" t="b">
        <v>1</v>
      </c>
      <c r="AU532">
        <v>18</v>
      </c>
      <c r="AV532" s="79" t="str">
        <f>HYPERLINK("https://abs.twimg.com/images/themes/theme1/bg.png")</f>
        <v>https://abs.twimg.com/images/themes/theme1/bg.png</v>
      </c>
      <c r="AW532" t="b">
        <v>0</v>
      </c>
      <c r="AX532" t="s">
        <v>9303</v>
      </c>
      <c r="AY532" s="79" t="str">
        <f>HYPERLINK("https://twitter.com/purelyinspired")</f>
        <v>https://twitter.com/purelyinspired</v>
      </c>
      <c r="AZ532" t="s">
        <v>66</v>
      </c>
      <c r="BA532" s="2"/>
    </row>
    <row r="533" spans="1:53" x14ac:dyDescent="0.45">
      <c r="A533" s="62" t="s">
        <v>1066</v>
      </c>
      <c r="B533" s="63"/>
      <c r="C533" s="63"/>
      <c r="D533" s="64"/>
      <c r="E533" s="66"/>
      <c r="F533" s="98" t="str">
        <f>HYPERLINK("https://pbs.twimg.com/profile_images/1045238245011861504/vNqzs-Kg_normal.jpg")</f>
        <v>https://pbs.twimg.com/profile_images/1045238245011861504/vNqzs-Kg_normal.jpg</v>
      </c>
      <c r="G533" s="63"/>
      <c r="H533" s="67"/>
      <c r="I533" s="68"/>
      <c r="J533" s="68"/>
      <c r="K533" s="67" t="s">
        <v>10594</v>
      </c>
      <c r="L533" s="71"/>
      <c r="M533" s="72"/>
      <c r="N533" s="72"/>
      <c r="O533" s="73"/>
      <c r="P533" s="74"/>
      <c r="Q533" s="74"/>
      <c r="R533" s="81"/>
      <c r="S533" s="81"/>
      <c r="T533" s="81"/>
      <c r="U533" s="81"/>
      <c r="V533" s="48"/>
      <c r="W533" s="48"/>
      <c r="X533" s="48"/>
      <c r="Y533" s="48"/>
      <c r="Z533" s="47"/>
      <c r="AA533" s="69"/>
      <c r="AB533" s="69"/>
      <c r="AC533" s="70"/>
      <c r="AD533" t="s">
        <v>1066</v>
      </c>
      <c r="AE533" s="78" t="s">
        <v>4816</v>
      </c>
      <c r="AF533">
        <v>11</v>
      </c>
      <c r="AG533">
        <v>3466</v>
      </c>
      <c r="AH533">
        <v>1938</v>
      </c>
      <c r="AI533">
        <v>684</v>
      </c>
      <c r="AK533" t="s">
        <v>8618</v>
      </c>
      <c r="AL533" t="s">
        <v>8678</v>
      </c>
      <c r="AM533" s="79" t="str">
        <f>HYPERLINK("https://t.co/VwFCgnBHMX")</f>
        <v>https://t.co/VwFCgnBHMX</v>
      </c>
      <c r="AO533" s="76">
        <v>42057.4687037037</v>
      </c>
      <c r="AP533" s="79" t="str">
        <f>HYPERLINK("https://pbs.twimg.com/profile_banners/3036336061/1644927382")</f>
        <v>https://pbs.twimg.com/profile_banners/3036336061/1644927382</v>
      </c>
      <c r="AQ533" t="b">
        <v>0</v>
      </c>
      <c r="AR533" t="b">
        <v>0</v>
      </c>
      <c r="AS533" t="b">
        <v>0</v>
      </c>
      <c r="AU533">
        <v>22</v>
      </c>
      <c r="AV533" s="79" t="str">
        <f>HYPERLINK("https://abs.twimg.com/images/themes/theme1/bg.png")</f>
        <v>https://abs.twimg.com/images/themes/theme1/bg.png</v>
      </c>
      <c r="AW533" t="b">
        <v>0</v>
      </c>
      <c r="AX533" t="s">
        <v>9303</v>
      </c>
      <c r="AY533" s="79" t="str">
        <f>HYPERLINK("https://twitter.com/ninjacart")</f>
        <v>https://twitter.com/ninjacart</v>
      </c>
      <c r="AZ533" t="s">
        <v>66</v>
      </c>
      <c r="BA533" s="2"/>
    </row>
    <row r="534" spans="1:53" x14ac:dyDescent="0.45">
      <c r="A534" s="62" t="s">
        <v>297</v>
      </c>
      <c r="B534" s="63"/>
      <c r="C534" s="63"/>
      <c r="D534" s="64"/>
      <c r="E534" s="66"/>
      <c r="F534" s="98" t="str">
        <f>HYPERLINK("https://pbs.twimg.com/profile_images/1613217956737224704/L-CylGVA_normal.jpg")</f>
        <v>https://pbs.twimg.com/profile_images/1613217956737224704/L-CylGVA_normal.jpg</v>
      </c>
      <c r="G534" s="63"/>
      <c r="H534" s="67"/>
      <c r="I534" s="68"/>
      <c r="J534" s="68"/>
      <c r="K534" s="67" t="s">
        <v>9472</v>
      </c>
      <c r="L534" s="71"/>
      <c r="M534" s="72"/>
      <c r="N534" s="72"/>
      <c r="O534" s="73"/>
      <c r="P534" s="74"/>
      <c r="Q534" s="74"/>
      <c r="R534" s="81"/>
      <c r="S534" s="81"/>
      <c r="T534" s="81"/>
      <c r="U534" s="81"/>
      <c r="V534" s="48"/>
      <c r="W534" s="48"/>
      <c r="X534" s="48"/>
      <c r="Y534" s="48"/>
      <c r="Z534" s="47"/>
      <c r="AA534" s="69"/>
      <c r="AB534" s="69"/>
      <c r="AC534" s="70"/>
      <c r="AD534" t="s">
        <v>5166</v>
      </c>
      <c r="AE534" s="78" t="s">
        <v>6465</v>
      </c>
      <c r="AF534">
        <v>3624</v>
      </c>
      <c r="AG534">
        <v>3394</v>
      </c>
      <c r="AH534">
        <v>16425</v>
      </c>
      <c r="AI534">
        <v>1939</v>
      </c>
      <c r="AK534" t="s">
        <v>7637</v>
      </c>
      <c r="AL534" t="s">
        <v>4924</v>
      </c>
      <c r="AM534" s="79" t="str">
        <f>HYPERLINK("https://t.co/qxBuNXToJ5")</f>
        <v>https://t.co/qxBuNXToJ5</v>
      </c>
      <c r="AO534" s="76">
        <v>40491.790208333332</v>
      </c>
      <c r="AP534" s="79" t="str">
        <f>HYPERLINK("https://pbs.twimg.com/profile_banners/213765069/1673456109")</f>
        <v>https://pbs.twimg.com/profile_banners/213765069/1673456109</v>
      </c>
      <c r="AQ534" t="b">
        <v>0</v>
      </c>
      <c r="AR534" t="b">
        <v>0</v>
      </c>
      <c r="AS534" t="b">
        <v>0</v>
      </c>
      <c r="AU534">
        <v>55</v>
      </c>
      <c r="AV534" s="79" t="str">
        <f>HYPERLINK("https://abs.twimg.com/images/themes/theme19/bg.gif")</f>
        <v>https://abs.twimg.com/images/themes/theme19/bg.gif</v>
      </c>
      <c r="AW534" t="b">
        <v>0</v>
      </c>
      <c r="AX534" t="s">
        <v>9303</v>
      </c>
      <c r="AY534" s="79" t="str">
        <f>HYPERLINK("https://twitter.com/chinalionfilm")</f>
        <v>https://twitter.com/chinalionfilm</v>
      </c>
      <c r="AZ534" t="s">
        <v>66</v>
      </c>
      <c r="BA534" s="2"/>
    </row>
    <row r="535" spans="1:53" x14ac:dyDescent="0.45">
      <c r="A535" s="62" t="s">
        <v>707</v>
      </c>
      <c r="B535" s="63"/>
      <c r="C535" s="63"/>
      <c r="D535" s="64"/>
      <c r="E535" s="66"/>
      <c r="F535" s="98" t="str">
        <f>HYPERLINK("https://pbs.twimg.com/profile_images/1418472813250367489/qoQpbrl9_normal.jpg")</f>
        <v>https://pbs.twimg.com/profile_images/1418472813250367489/qoQpbrl9_normal.jpg</v>
      </c>
      <c r="G535" s="63"/>
      <c r="H535" s="67"/>
      <c r="I535" s="68"/>
      <c r="J535" s="68"/>
      <c r="K535" s="67" t="s">
        <v>10044</v>
      </c>
      <c r="L535" s="71"/>
      <c r="M535" s="72"/>
      <c r="N535" s="72"/>
      <c r="O535" s="73"/>
      <c r="P535" s="74"/>
      <c r="Q535" s="74"/>
      <c r="R535" s="81"/>
      <c r="S535" s="81"/>
      <c r="T535" s="81"/>
      <c r="U535" s="81"/>
      <c r="V535" s="48"/>
      <c r="W535" s="48"/>
      <c r="X535" s="48"/>
      <c r="Y535" s="48"/>
      <c r="Z535" s="47"/>
      <c r="AA535" s="69"/>
      <c r="AB535" s="69"/>
      <c r="AC535" s="70"/>
      <c r="AD535" t="s">
        <v>5734</v>
      </c>
      <c r="AE535" s="78" t="s">
        <v>6971</v>
      </c>
      <c r="AF535">
        <v>2772</v>
      </c>
      <c r="AG535">
        <v>3301</v>
      </c>
      <c r="AH535">
        <v>43267</v>
      </c>
      <c r="AI535">
        <v>90483</v>
      </c>
      <c r="AK535" t="s">
        <v>8132</v>
      </c>
      <c r="AL535" t="s">
        <v>9054</v>
      </c>
      <c r="AO535" s="76">
        <v>39968.14875</v>
      </c>
      <c r="AP535" s="79" t="str">
        <f>HYPERLINK("https://pbs.twimg.com/profile_banners/44536340/1628491438")</f>
        <v>https://pbs.twimg.com/profile_banners/44536340/1628491438</v>
      </c>
      <c r="AQ535" t="b">
        <v>0</v>
      </c>
      <c r="AR535" t="b">
        <v>0</v>
      </c>
      <c r="AS535" t="b">
        <v>1</v>
      </c>
      <c r="AU535">
        <v>10</v>
      </c>
      <c r="AV535" s="79" t="str">
        <f>HYPERLINK("https://abs.twimg.com/images/themes/theme9/bg.gif")</f>
        <v>https://abs.twimg.com/images/themes/theme9/bg.gif</v>
      </c>
      <c r="AW535" t="b">
        <v>0</v>
      </c>
      <c r="AX535" t="s">
        <v>9303</v>
      </c>
      <c r="AY535" s="79" t="str">
        <f>HYPERLINK("https://twitter.com/bursigaga")</f>
        <v>https://twitter.com/bursigaga</v>
      </c>
      <c r="AZ535" t="s">
        <v>66</v>
      </c>
      <c r="BA535" s="2"/>
    </row>
    <row r="536" spans="1:53" x14ac:dyDescent="0.45">
      <c r="A536" s="62" t="s">
        <v>816</v>
      </c>
      <c r="B536" s="63"/>
      <c r="C536" s="63"/>
      <c r="D536" s="64"/>
      <c r="E536" s="66"/>
      <c r="F536" s="98" t="str">
        <f>HYPERLINK("https://pbs.twimg.com/profile_images/1041906519275646976/SdfonB_P_normal.jpg")</f>
        <v>https://pbs.twimg.com/profile_images/1041906519275646976/SdfonB_P_normal.jpg</v>
      </c>
      <c r="G536" s="63"/>
      <c r="H536" s="67"/>
      <c r="I536" s="68"/>
      <c r="J536" s="68"/>
      <c r="K536" s="67" t="s">
        <v>10201</v>
      </c>
      <c r="L536" s="71"/>
      <c r="M536" s="72"/>
      <c r="N536" s="72"/>
      <c r="O536" s="73"/>
      <c r="P536" s="74"/>
      <c r="Q536" s="74"/>
      <c r="R536" s="81"/>
      <c r="S536" s="81"/>
      <c r="T536" s="81"/>
      <c r="U536" s="81"/>
      <c r="V536" s="48"/>
      <c r="W536" s="48"/>
      <c r="X536" s="48"/>
      <c r="Y536" s="48"/>
      <c r="Z536" s="47"/>
      <c r="AA536" s="69"/>
      <c r="AB536" s="69"/>
      <c r="AC536" s="70"/>
      <c r="AD536" t="s">
        <v>5885</v>
      </c>
      <c r="AE536" s="78" t="s">
        <v>7106</v>
      </c>
      <c r="AF536">
        <v>1094</v>
      </c>
      <c r="AG536">
        <v>3272</v>
      </c>
      <c r="AH536">
        <v>12081</v>
      </c>
      <c r="AI536">
        <v>10178</v>
      </c>
      <c r="AK536" t="s">
        <v>8271</v>
      </c>
      <c r="AL536" t="s">
        <v>9120</v>
      </c>
      <c r="AM536" s="79" t="str">
        <f>HYPERLINK("https://t.co/cyvSflTW2m")</f>
        <v>https://t.co/cyvSflTW2m</v>
      </c>
      <c r="AO536" s="76">
        <v>40621.08021990741</v>
      </c>
      <c r="AP536" s="79" t="str">
        <f>HYPERLINK("https://pbs.twimg.com/profile_banners/268575250/1550615202")</f>
        <v>https://pbs.twimg.com/profile_banners/268575250/1550615202</v>
      </c>
      <c r="AQ536" t="b">
        <v>0</v>
      </c>
      <c r="AR536" t="b">
        <v>0</v>
      </c>
      <c r="AS536" t="b">
        <v>1</v>
      </c>
      <c r="AU536">
        <v>276</v>
      </c>
      <c r="AV536" s="79" t="str">
        <f>HYPERLINK("https://abs.twimg.com/images/themes/theme2/bg.gif")</f>
        <v>https://abs.twimg.com/images/themes/theme2/bg.gif</v>
      </c>
      <c r="AW536" t="b">
        <v>0</v>
      </c>
      <c r="AX536" t="s">
        <v>9303</v>
      </c>
      <c r="AY536" s="79" t="str">
        <f>HYPERLINK("https://twitter.com/sqldusty")</f>
        <v>https://twitter.com/sqldusty</v>
      </c>
      <c r="AZ536" t="s">
        <v>66</v>
      </c>
      <c r="BA536" s="2"/>
    </row>
    <row r="537" spans="1:53" x14ac:dyDescent="0.45">
      <c r="A537" s="62" t="s">
        <v>615</v>
      </c>
      <c r="B537" s="63"/>
      <c r="C537" s="63"/>
      <c r="D537" s="64"/>
      <c r="E537" s="66"/>
      <c r="F537" s="98" t="str">
        <f>HYPERLINK("https://pbs.twimg.com/profile_images/1620516224546537479/g8MHNEXn_normal.jpg")</f>
        <v>https://pbs.twimg.com/profile_images/1620516224546537479/g8MHNEXn_normal.jpg</v>
      </c>
      <c r="G537" s="63"/>
      <c r="H537" s="67"/>
      <c r="I537" s="68"/>
      <c r="J537" s="68"/>
      <c r="K537" s="67" t="s">
        <v>9915</v>
      </c>
      <c r="L537" s="71"/>
      <c r="M537" s="72"/>
      <c r="N537" s="72"/>
      <c r="O537" s="73"/>
      <c r="P537" s="74"/>
      <c r="Q537" s="74"/>
      <c r="R537" s="81"/>
      <c r="S537" s="81"/>
      <c r="T537" s="81"/>
      <c r="U537" s="81"/>
      <c r="V537" s="48"/>
      <c r="W537" s="48"/>
      <c r="X537" s="48"/>
      <c r="Y537" s="48"/>
      <c r="Z537" s="47"/>
      <c r="AA537" s="69"/>
      <c r="AB537" s="69"/>
      <c r="AC537" s="70"/>
      <c r="AD537" t="s">
        <v>5606</v>
      </c>
      <c r="AE537" s="78" t="s">
        <v>6851</v>
      </c>
      <c r="AF537">
        <v>3522</v>
      </c>
      <c r="AG537">
        <v>3237</v>
      </c>
      <c r="AH537">
        <v>22912</v>
      </c>
      <c r="AI537">
        <v>14961</v>
      </c>
      <c r="AK537" t="s">
        <v>8027</v>
      </c>
      <c r="AL537" t="s">
        <v>4898</v>
      </c>
      <c r="AM537" s="79" t="str">
        <f>HYPERLINK("https://t.co/Cb0hEZJwDR")</f>
        <v>https://t.co/Cb0hEZJwDR</v>
      </c>
      <c r="AO537" s="76">
        <v>40975.82203703704</v>
      </c>
      <c r="AP537" s="79" t="str">
        <f>HYPERLINK("https://pbs.twimg.com/profile_banners/517881256/1647641300")</f>
        <v>https://pbs.twimg.com/profile_banners/517881256/1647641300</v>
      </c>
      <c r="AQ537" t="b">
        <v>0</v>
      </c>
      <c r="AR537" t="b">
        <v>0</v>
      </c>
      <c r="AS537" t="b">
        <v>0</v>
      </c>
      <c r="AU537">
        <v>8</v>
      </c>
      <c r="AV537" s="79" t="str">
        <f>HYPERLINK("https://abs.twimg.com/images/themes/theme1/bg.png")</f>
        <v>https://abs.twimg.com/images/themes/theme1/bg.png</v>
      </c>
      <c r="AW537" t="b">
        <v>0</v>
      </c>
      <c r="AX537" t="s">
        <v>9303</v>
      </c>
      <c r="AY537" s="79" t="str">
        <f>HYPERLINK("https://twitter.com/irfancyrus")</f>
        <v>https://twitter.com/irfancyrus</v>
      </c>
      <c r="AZ537" t="s">
        <v>66</v>
      </c>
      <c r="BA537" s="2"/>
    </row>
    <row r="538" spans="1:53" x14ac:dyDescent="0.45">
      <c r="A538" s="62" t="s">
        <v>493</v>
      </c>
      <c r="B538" s="63"/>
      <c r="C538" s="63"/>
      <c r="D538" s="64"/>
      <c r="E538" s="66"/>
      <c r="F538" s="98" t="str">
        <f>HYPERLINK("https://pbs.twimg.com/profile_images/974325101549137920/c5oGl8Ug_normal.jpg")</f>
        <v>https://pbs.twimg.com/profile_images/974325101549137920/c5oGl8Ug_normal.jpg</v>
      </c>
      <c r="G538" s="63"/>
      <c r="H538" s="67"/>
      <c r="I538" s="68"/>
      <c r="J538" s="68"/>
      <c r="K538" s="67" t="s">
        <v>9386</v>
      </c>
      <c r="L538" s="71"/>
      <c r="M538" s="72"/>
      <c r="N538" s="72"/>
      <c r="O538" s="73"/>
      <c r="P538" s="74"/>
      <c r="Q538" s="74"/>
      <c r="R538" s="81"/>
      <c r="S538" s="81"/>
      <c r="T538" s="81"/>
      <c r="U538" s="81"/>
      <c r="V538" s="48"/>
      <c r="W538" s="48"/>
      <c r="X538" s="48"/>
      <c r="Y538" s="48"/>
      <c r="Z538" s="47"/>
      <c r="AA538" s="69"/>
      <c r="AB538" s="69"/>
      <c r="AC538" s="70"/>
      <c r="AD538" t="s">
        <v>493</v>
      </c>
      <c r="AE538" s="78" t="s">
        <v>6393</v>
      </c>
      <c r="AF538">
        <v>805</v>
      </c>
      <c r="AG538">
        <v>3233</v>
      </c>
      <c r="AH538">
        <v>4201</v>
      </c>
      <c r="AI538">
        <v>5250</v>
      </c>
      <c r="AK538" t="s">
        <v>7566</v>
      </c>
      <c r="AM538" s="79" t="str">
        <f>HYPERLINK("https://t.co/shDCIO5u7s")</f>
        <v>https://t.co/shDCIO5u7s</v>
      </c>
      <c r="AO538" s="76">
        <v>42873.554861111108</v>
      </c>
      <c r="AP538" s="79" t="str">
        <f>HYPERLINK("https://pbs.twimg.com/profile_banners/865195013998772226/1675097508")</f>
        <v>https://pbs.twimg.com/profile_banners/865195013998772226/1675097508</v>
      </c>
      <c r="AQ538" t="b">
        <v>1</v>
      </c>
      <c r="AR538" t="b">
        <v>0</v>
      </c>
      <c r="AS538" t="b">
        <v>0</v>
      </c>
      <c r="AU538">
        <v>7</v>
      </c>
      <c r="AW538" t="b">
        <v>0</v>
      </c>
      <c r="AX538" t="s">
        <v>9303</v>
      </c>
      <c r="AY538" s="79" t="str">
        <f>HYPERLINK("https://twitter.com/talkshoplive")</f>
        <v>https://twitter.com/talkshoplive</v>
      </c>
      <c r="AZ538" t="s">
        <v>66</v>
      </c>
      <c r="BA538" s="2"/>
    </row>
    <row r="539" spans="1:53" x14ac:dyDescent="0.45">
      <c r="A539" s="62" t="s">
        <v>356</v>
      </c>
      <c r="B539" s="63"/>
      <c r="C539" s="63"/>
      <c r="D539" s="64"/>
      <c r="E539" s="66"/>
      <c r="F539" s="98" t="str">
        <f>HYPERLINK("https://pbs.twimg.com/profile_images/1484909977710084098/kKKThHzD_normal.jpg")</f>
        <v>https://pbs.twimg.com/profile_images/1484909977710084098/kKKThHzD_normal.jpg</v>
      </c>
      <c r="G539" s="63"/>
      <c r="H539" s="67"/>
      <c r="I539" s="68"/>
      <c r="J539" s="68"/>
      <c r="K539" s="67" t="s">
        <v>9584</v>
      </c>
      <c r="L539" s="71"/>
      <c r="M539" s="72"/>
      <c r="N539" s="72"/>
      <c r="O539" s="73"/>
      <c r="P539" s="74"/>
      <c r="Q539" s="74"/>
      <c r="R539" s="81"/>
      <c r="S539" s="81"/>
      <c r="T539" s="81"/>
      <c r="U539" s="81"/>
      <c r="V539" s="48"/>
      <c r="W539" s="48"/>
      <c r="X539" s="48"/>
      <c r="Y539" s="48"/>
      <c r="Z539" s="47"/>
      <c r="AA539" s="69"/>
      <c r="AB539" s="69"/>
      <c r="AC539" s="70"/>
      <c r="AD539" t="s">
        <v>5277</v>
      </c>
      <c r="AE539" s="78" t="s">
        <v>6555</v>
      </c>
      <c r="AF539">
        <v>582</v>
      </c>
      <c r="AG539">
        <v>3232</v>
      </c>
      <c r="AH539">
        <v>12334</v>
      </c>
      <c r="AI539">
        <v>5523</v>
      </c>
      <c r="AK539" t="s">
        <v>7736</v>
      </c>
      <c r="AL539" t="s">
        <v>8824</v>
      </c>
      <c r="AM539" s="79" t="str">
        <f>HYPERLINK("https://t.co/23ABqPCAGU")</f>
        <v>https://t.co/23ABqPCAGU</v>
      </c>
      <c r="AO539" s="76">
        <v>42809.275671296295</v>
      </c>
      <c r="AP539" s="79" t="str">
        <f>HYPERLINK("https://pbs.twimg.com/profile_banners/841901016320737281/1642866185")</f>
        <v>https://pbs.twimg.com/profile_banners/841901016320737281/1642866185</v>
      </c>
      <c r="AQ539" t="b">
        <v>1</v>
      </c>
      <c r="AR539" t="b">
        <v>0</v>
      </c>
      <c r="AS539" t="b">
        <v>0</v>
      </c>
      <c r="AU539">
        <v>66</v>
      </c>
      <c r="AW539" t="b">
        <v>0</v>
      </c>
      <c r="AX539" t="s">
        <v>9303</v>
      </c>
      <c r="AY539" s="79" t="str">
        <f>HYPERLINK("https://twitter.com/rtih_retailtech")</f>
        <v>https://twitter.com/rtih_retailtech</v>
      </c>
      <c r="AZ539" t="s">
        <v>66</v>
      </c>
      <c r="BA539" s="2"/>
    </row>
    <row r="540" spans="1:53" x14ac:dyDescent="0.45">
      <c r="A540" s="62" t="s">
        <v>823</v>
      </c>
      <c r="B540" s="63"/>
      <c r="C540" s="63"/>
      <c r="D540" s="64"/>
      <c r="E540" s="66"/>
      <c r="F540" s="98" t="str">
        <f>HYPERLINK("https://pbs.twimg.com/profile_images/1356817694398504965/BDrT261V_normal.jpg")</f>
        <v>https://pbs.twimg.com/profile_images/1356817694398504965/BDrT261V_normal.jpg</v>
      </c>
      <c r="G540" s="63"/>
      <c r="H540" s="67"/>
      <c r="I540" s="68"/>
      <c r="J540" s="68"/>
      <c r="K540" s="67" t="s">
        <v>10207</v>
      </c>
      <c r="L540" s="71"/>
      <c r="M540" s="72"/>
      <c r="N540" s="72"/>
      <c r="O540" s="73"/>
      <c r="P540" s="74"/>
      <c r="Q540" s="74"/>
      <c r="R540" s="81"/>
      <c r="S540" s="81"/>
      <c r="T540" s="81"/>
      <c r="U540" s="81"/>
      <c r="V540" s="48"/>
      <c r="W540" s="48"/>
      <c r="X540" s="48"/>
      <c r="Y540" s="48"/>
      <c r="Z540" s="47"/>
      <c r="AA540" s="69"/>
      <c r="AB540" s="69"/>
      <c r="AC540" s="70"/>
      <c r="AD540" t="s">
        <v>5891</v>
      </c>
      <c r="AE540" s="78" t="s">
        <v>7110</v>
      </c>
      <c r="AF540">
        <v>3758</v>
      </c>
      <c r="AG540">
        <v>3229</v>
      </c>
      <c r="AH540">
        <v>20607</v>
      </c>
      <c r="AI540">
        <v>1302</v>
      </c>
      <c r="AK540" t="s">
        <v>8276</v>
      </c>
      <c r="AL540" t="s">
        <v>8895</v>
      </c>
      <c r="AO540" s="76">
        <v>39551.08216435185</v>
      </c>
      <c r="AP540" s="79" t="str">
        <f>HYPERLINK("https://pbs.twimg.com/profile_banners/14372259/1610123255")</f>
        <v>https://pbs.twimg.com/profile_banners/14372259/1610123255</v>
      </c>
      <c r="AQ540" t="b">
        <v>0</v>
      </c>
      <c r="AR540" t="b">
        <v>0</v>
      </c>
      <c r="AS540" t="b">
        <v>0</v>
      </c>
      <c r="AU540">
        <v>64</v>
      </c>
      <c r="AV540" s="79" t="str">
        <f>HYPERLINK("https://abs.twimg.com/images/themes/theme16/bg.gif")</f>
        <v>https://abs.twimg.com/images/themes/theme16/bg.gif</v>
      </c>
      <c r="AW540" t="b">
        <v>0</v>
      </c>
      <c r="AX540" t="s">
        <v>9303</v>
      </c>
      <c r="AY540" s="79" t="str">
        <f>HYPERLINK("https://twitter.com/jennifer57")</f>
        <v>https://twitter.com/jennifer57</v>
      </c>
      <c r="AZ540" t="s">
        <v>66</v>
      </c>
      <c r="BA540" s="2"/>
    </row>
    <row r="541" spans="1:53" x14ac:dyDescent="0.45">
      <c r="A541" s="62" t="s">
        <v>1012</v>
      </c>
      <c r="B541" s="63"/>
      <c r="C541" s="63"/>
      <c r="D541" s="64"/>
      <c r="E541" s="66"/>
      <c r="F541" s="98" t="str">
        <f>HYPERLINK("https://pbs.twimg.com/profile_images/1612132652735242242/BSTs2F1q_normal.jpg")</f>
        <v>https://pbs.twimg.com/profile_images/1612132652735242242/BSTs2F1q_normal.jpg</v>
      </c>
      <c r="G541" s="63"/>
      <c r="H541" s="67"/>
      <c r="I541" s="68"/>
      <c r="J541" s="68"/>
      <c r="K541" s="67" t="s">
        <v>10492</v>
      </c>
      <c r="L541" s="71"/>
      <c r="M541" s="72"/>
      <c r="N541" s="72"/>
      <c r="O541" s="73"/>
      <c r="P541" s="74"/>
      <c r="Q541" s="74"/>
      <c r="R541" s="81"/>
      <c r="S541" s="81"/>
      <c r="T541" s="81"/>
      <c r="U541" s="81"/>
      <c r="V541" s="48"/>
      <c r="W541" s="48"/>
      <c r="X541" s="48"/>
      <c r="Y541" s="48"/>
      <c r="Z541" s="47"/>
      <c r="AA541" s="69"/>
      <c r="AB541" s="69"/>
      <c r="AC541" s="70"/>
      <c r="AD541" t="s">
        <v>6170</v>
      </c>
      <c r="AE541" s="78" t="s">
        <v>7356</v>
      </c>
      <c r="AF541">
        <v>5004</v>
      </c>
      <c r="AG541">
        <v>3193</v>
      </c>
      <c r="AH541">
        <v>17797</v>
      </c>
      <c r="AI541">
        <v>28806</v>
      </c>
      <c r="AK541" t="s">
        <v>8528</v>
      </c>
      <c r="AO541" s="76">
        <v>44658.917280092595</v>
      </c>
      <c r="AP541" s="79" t="str">
        <f>HYPERLINK("https://pbs.twimg.com/profile_banners/1512188333509824516/1675322714")</f>
        <v>https://pbs.twimg.com/profile_banners/1512188333509824516/1675322714</v>
      </c>
      <c r="AQ541" t="b">
        <v>1</v>
      </c>
      <c r="AR541" t="b">
        <v>0</v>
      </c>
      <c r="AS541" t="b">
        <v>0</v>
      </c>
      <c r="AU541">
        <v>2</v>
      </c>
      <c r="AW541" t="b">
        <v>0</v>
      </c>
      <c r="AX541" t="s">
        <v>9303</v>
      </c>
      <c r="AY541" s="79" t="str">
        <f>HYPERLINK("https://twitter.com/amity_alpha")</f>
        <v>https://twitter.com/amity_alpha</v>
      </c>
      <c r="AZ541" t="s">
        <v>66</v>
      </c>
      <c r="BA541" s="2"/>
    </row>
    <row r="542" spans="1:53" x14ac:dyDescent="0.45">
      <c r="A542" s="62" t="s">
        <v>938</v>
      </c>
      <c r="B542" s="63"/>
      <c r="C542" s="63"/>
      <c r="D542" s="64"/>
      <c r="E542" s="66"/>
      <c r="F542" s="98" t="str">
        <f>HYPERLINK("https://pbs.twimg.com/profile_images/1618384076385165312/MGrCqexR_normal.jpg")</f>
        <v>https://pbs.twimg.com/profile_images/1618384076385165312/MGrCqexR_normal.jpg</v>
      </c>
      <c r="G542" s="63"/>
      <c r="H542" s="67"/>
      <c r="I542" s="68"/>
      <c r="J542" s="68"/>
      <c r="K542" s="67" t="s">
        <v>10376</v>
      </c>
      <c r="L542" s="71"/>
      <c r="M542" s="72"/>
      <c r="N542" s="72"/>
      <c r="O542" s="73"/>
      <c r="P542" s="74"/>
      <c r="Q542" s="74"/>
      <c r="R542" s="81"/>
      <c r="S542" s="81"/>
      <c r="T542" s="81"/>
      <c r="U542" s="81"/>
      <c r="V542" s="48"/>
      <c r="W542" s="48"/>
      <c r="X542" s="48"/>
      <c r="Y542" s="48"/>
      <c r="Z542" s="47"/>
      <c r="AA542" s="69"/>
      <c r="AB542" s="69"/>
      <c r="AC542" s="70"/>
      <c r="AD542" t="s">
        <v>6059</v>
      </c>
      <c r="AE542" s="78" t="s">
        <v>7261</v>
      </c>
      <c r="AF542">
        <v>1559</v>
      </c>
      <c r="AG542">
        <v>3138</v>
      </c>
      <c r="AH542">
        <v>32207</v>
      </c>
      <c r="AI542">
        <v>45600</v>
      </c>
      <c r="AK542" t="s">
        <v>8424</v>
      </c>
      <c r="AL542" t="s">
        <v>4899</v>
      </c>
      <c r="AM542" s="79" t="str">
        <f>HYPERLINK("https://t.co/4r1XEsQ9wb")</f>
        <v>https://t.co/4r1XEsQ9wb</v>
      </c>
      <c r="AO542" s="76">
        <v>43713.86074074074</v>
      </c>
      <c r="AP542" s="79" t="str">
        <f>HYPERLINK("https://pbs.twimg.com/profile_banners/1169711631250731009/1613533287")</f>
        <v>https://pbs.twimg.com/profile_banners/1169711631250731009/1613533287</v>
      </c>
      <c r="AQ542" t="b">
        <v>1</v>
      </c>
      <c r="AR542" t="b">
        <v>0</v>
      </c>
      <c r="AS542" t="b">
        <v>0</v>
      </c>
      <c r="AU542">
        <v>0</v>
      </c>
      <c r="AW542" t="b">
        <v>0</v>
      </c>
      <c r="AX542" t="s">
        <v>9303</v>
      </c>
      <c r="AY542" s="79" t="str">
        <f>HYPERLINK("https://twitter.com/beautybybrittn1")</f>
        <v>https://twitter.com/beautybybrittn1</v>
      </c>
      <c r="AZ542" t="s">
        <v>66</v>
      </c>
      <c r="BA542" s="2"/>
    </row>
    <row r="543" spans="1:53" x14ac:dyDescent="0.45">
      <c r="A543" s="62" t="s">
        <v>847</v>
      </c>
      <c r="B543" s="63"/>
      <c r="C543" s="63"/>
      <c r="D543" s="64"/>
      <c r="E543" s="66"/>
      <c r="F543" s="98" t="str">
        <f>HYPERLINK("https://pbs.twimg.com/profile_images/1082187565657141248/JisCxn46_normal.jpg")</f>
        <v>https://pbs.twimg.com/profile_images/1082187565657141248/JisCxn46_normal.jpg</v>
      </c>
      <c r="G543" s="63"/>
      <c r="H543" s="67"/>
      <c r="I543" s="68"/>
      <c r="J543" s="68"/>
      <c r="K543" s="67" t="s">
        <v>10243</v>
      </c>
      <c r="L543" s="71"/>
      <c r="M543" s="72"/>
      <c r="N543" s="72"/>
      <c r="O543" s="73"/>
      <c r="P543" s="74"/>
      <c r="Q543" s="74"/>
      <c r="R543" s="81"/>
      <c r="S543" s="81"/>
      <c r="T543" s="81"/>
      <c r="U543" s="81"/>
      <c r="V543" s="48"/>
      <c r="W543" s="48"/>
      <c r="X543" s="48"/>
      <c r="Y543" s="48"/>
      <c r="Z543" s="47"/>
      <c r="AA543" s="69"/>
      <c r="AB543" s="69"/>
      <c r="AC543" s="70"/>
      <c r="AD543" t="s">
        <v>5927</v>
      </c>
      <c r="AE543" s="78" t="s">
        <v>7142</v>
      </c>
      <c r="AF543">
        <v>5001</v>
      </c>
      <c r="AG543">
        <v>3122</v>
      </c>
      <c r="AH543">
        <v>1156190</v>
      </c>
      <c r="AI543">
        <v>195323</v>
      </c>
      <c r="AK543" t="s">
        <v>8307</v>
      </c>
      <c r="AL543" t="s">
        <v>9136</v>
      </c>
      <c r="AM543" s="79" t="str">
        <f>HYPERLINK("https://t.co/uk0RfOhFU1")</f>
        <v>https://t.co/uk0RfOhFU1</v>
      </c>
      <c r="AO543" s="76">
        <v>40971.457604166666</v>
      </c>
      <c r="AP543" s="79" t="str">
        <f>HYPERLINK("https://pbs.twimg.com/profile_banners/513051520/1546848686")</f>
        <v>https://pbs.twimg.com/profile_banners/513051520/1546848686</v>
      </c>
      <c r="AQ543" t="b">
        <v>0</v>
      </c>
      <c r="AR543" t="b">
        <v>0</v>
      </c>
      <c r="AS543" t="b">
        <v>1</v>
      </c>
      <c r="AU543">
        <v>1006</v>
      </c>
      <c r="AV543" s="79" t="str">
        <f>HYPERLINK("https://abs.twimg.com/images/themes/theme16/bg.gif")</f>
        <v>https://abs.twimg.com/images/themes/theme16/bg.gif</v>
      </c>
      <c r="AW543" t="b">
        <v>0</v>
      </c>
      <c r="AX543" t="s">
        <v>9303</v>
      </c>
      <c r="AY543" s="79" t="str">
        <f>HYPERLINK("https://twitter.com/john1966olsen")</f>
        <v>https://twitter.com/john1966olsen</v>
      </c>
      <c r="AZ543" t="s">
        <v>66</v>
      </c>
      <c r="BA543" s="2"/>
    </row>
    <row r="544" spans="1:53" x14ac:dyDescent="0.45">
      <c r="A544" s="62" t="s">
        <v>858</v>
      </c>
      <c r="B544" s="63"/>
      <c r="C544" s="63"/>
      <c r="D544" s="64"/>
      <c r="E544" s="66"/>
      <c r="F544" s="98" t="str">
        <f>HYPERLINK("https://pbs.twimg.com/profile_images/1565485914712707072/Lzr1j5Yv_normal.jpg")</f>
        <v>https://pbs.twimg.com/profile_images/1565485914712707072/Lzr1j5Yv_normal.jpg</v>
      </c>
      <c r="G544" s="63"/>
      <c r="H544" s="67"/>
      <c r="I544" s="68"/>
      <c r="J544" s="68"/>
      <c r="K544" s="67" t="s">
        <v>10257</v>
      </c>
      <c r="L544" s="71"/>
      <c r="M544" s="72"/>
      <c r="N544" s="72"/>
      <c r="O544" s="73"/>
      <c r="P544" s="74"/>
      <c r="Q544" s="74"/>
      <c r="R544" s="81"/>
      <c r="S544" s="81"/>
      <c r="T544" s="81"/>
      <c r="U544" s="81"/>
      <c r="V544" s="48"/>
      <c r="W544" s="48"/>
      <c r="X544" s="48"/>
      <c r="Y544" s="48"/>
      <c r="Z544" s="47"/>
      <c r="AA544" s="69"/>
      <c r="AB544" s="69"/>
      <c r="AC544" s="70"/>
      <c r="AD544" t="s">
        <v>5940</v>
      </c>
      <c r="AE544" s="78" t="s">
        <v>7154</v>
      </c>
      <c r="AF544">
        <v>2732</v>
      </c>
      <c r="AG544">
        <v>3091</v>
      </c>
      <c r="AH544">
        <v>41286</v>
      </c>
      <c r="AI544">
        <v>23273</v>
      </c>
      <c r="AK544" t="s">
        <v>8318</v>
      </c>
      <c r="AO544" s="76">
        <v>41307.763402777775</v>
      </c>
      <c r="AQ544" t="b">
        <v>0</v>
      </c>
      <c r="AR544" t="b">
        <v>0</v>
      </c>
      <c r="AS544" t="b">
        <v>1</v>
      </c>
      <c r="AU544">
        <v>9</v>
      </c>
      <c r="AV544" s="79" t="str">
        <f>HYPERLINK("https://abs.twimg.com/images/themes/theme10/bg.gif")</f>
        <v>https://abs.twimg.com/images/themes/theme10/bg.gif</v>
      </c>
      <c r="AW544" t="b">
        <v>0</v>
      </c>
      <c r="AX544" t="s">
        <v>9303</v>
      </c>
      <c r="AY544" s="79" t="str">
        <f>HYPERLINK("https://twitter.com/lolhelppls")</f>
        <v>https://twitter.com/lolhelppls</v>
      </c>
      <c r="AZ544" t="s">
        <v>66</v>
      </c>
      <c r="BA544" s="2"/>
    </row>
    <row r="545" spans="1:53" x14ac:dyDescent="0.45">
      <c r="A545" s="62" t="s">
        <v>886</v>
      </c>
      <c r="B545" s="63"/>
      <c r="C545" s="63"/>
      <c r="D545" s="64"/>
      <c r="E545" s="66"/>
      <c r="F545" s="98" t="str">
        <f>HYPERLINK("https://pbs.twimg.com/profile_images/1508266920780386316/3vuhX_lS_normal.jpg")</f>
        <v>https://pbs.twimg.com/profile_images/1508266920780386316/3vuhX_lS_normal.jpg</v>
      </c>
      <c r="G545" s="63"/>
      <c r="H545" s="67"/>
      <c r="I545" s="68"/>
      <c r="J545" s="68"/>
      <c r="K545" s="67" t="s">
        <v>10298</v>
      </c>
      <c r="L545" s="71"/>
      <c r="M545" s="72"/>
      <c r="N545" s="72"/>
      <c r="O545" s="73"/>
      <c r="P545" s="74"/>
      <c r="Q545" s="74"/>
      <c r="R545" s="81"/>
      <c r="S545" s="81"/>
      <c r="T545" s="81"/>
      <c r="U545" s="81"/>
      <c r="V545" s="48"/>
      <c r="W545" s="48"/>
      <c r="X545" s="48"/>
      <c r="Y545" s="48"/>
      <c r="Z545" s="47"/>
      <c r="AA545" s="69"/>
      <c r="AB545" s="69"/>
      <c r="AC545" s="70"/>
      <c r="AD545" t="s">
        <v>5981</v>
      </c>
      <c r="AE545" s="78" t="s">
        <v>7192</v>
      </c>
      <c r="AF545">
        <v>3133</v>
      </c>
      <c r="AG545">
        <v>3084</v>
      </c>
      <c r="AH545">
        <v>64984</v>
      </c>
      <c r="AI545">
        <v>174072</v>
      </c>
      <c r="AK545" t="s">
        <v>8358</v>
      </c>
      <c r="AL545" t="s">
        <v>9160</v>
      </c>
      <c r="AO545" s="76">
        <v>44062.704560185186</v>
      </c>
      <c r="AP545" s="79" t="str">
        <f>HYPERLINK("https://pbs.twimg.com/profile_banners/1296128387111682049/1609810081")</f>
        <v>https://pbs.twimg.com/profile_banners/1296128387111682049/1609810081</v>
      </c>
      <c r="AQ545" t="b">
        <v>1</v>
      </c>
      <c r="AR545" t="b">
        <v>0</v>
      </c>
      <c r="AS545" t="b">
        <v>0</v>
      </c>
      <c r="AU545">
        <v>8</v>
      </c>
      <c r="AW545" t="b">
        <v>0</v>
      </c>
      <c r="AX545" t="s">
        <v>9303</v>
      </c>
      <c r="AY545" s="79" t="str">
        <f>HYPERLINK("https://twitter.com/fabulousheathen")</f>
        <v>https://twitter.com/fabulousheathen</v>
      </c>
      <c r="AZ545" t="s">
        <v>66</v>
      </c>
      <c r="BA545" s="2"/>
    </row>
    <row r="546" spans="1:53" x14ac:dyDescent="0.45">
      <c r="A546" s="62" t="s">
        <v>1073</v>
      </c>
      <c r="B546" s="63"/>
      <c r="C546" s="63"/>
      <c r="D546" s="64"/>
      <c r="E546" s="66"/>
      <c r="F546" s="98" t="str">
        <f>HYPERLINK("https://pbs.twimg.com/profile_images/1469878043254661120/DtW4Lag3_normal.jpg")</f>
        <v>https://pbs.twimg.com/profile_images/1469878043254661120/DtW4Lag3_normal.jpg</v>
      </c>
      <c r="G546" s="63"/>
      <c r="H546" s="67"/>
      <c r="I546" s="68"/>
      <c r="J546" s="68"/>
      <c r="K546" s="67" t="s">
        <v>10604</v>
      </c>
      <c r="L546" s="71"/>
      <c r="M546" s="72"/>
      <c r="N546" s="72"/>
      <c r="O546" s="73"/>
      <c r="P546" s="74"/>
      <c r="Q546" s="74"/>
      <c r="R546" s="81"/>
      <c r="S546" s="81"/>
      <c r="T546" s="81"/>
      <c r="U546" s="81"/>
      <c r="V546" s="48"/>
      <c r="W546" s="48"/>
      <c r="X546" s="48"/>
      <c r="Y546" s="48"/>
      <c r="Z546" s="47"/>
      <c r="AA546" s="69"/>
      <c r="AB546" s="69"/>
      <c r="AC546" s="70"/>
      <c r="AD546" t="s">
        <v>6280</v>
      </c>
      <c r="AE546" s="78" t="s">
        <v>4821</v>
      </c>
      <c r="AF546">
        <v>576</v>
      </c>
      <c r="AG546">
        <v>3078</v>
      </c>
      <c r="AH546">
        <v>9375</v>
      </c>
      <c r="AI546">
        <v>7465</v>
      </c>
      <c r="AK546" t="s">
        <v>8628</v>
      </c>
      <c r="AL546" t="s">
        <v>4919</v>
      </c>
      <c r="AM546" s="79" t="str">
        <f>HYPERLINK("https://t.co/u29zSHfN6Q")</f>
        <v>https://t.co/u29zSHfN6Q</v>
      </c>
      <c r="AO546" s="76">
        <v>40910.098078703704</v>
      </c>
      <c r="AP546" s="79" t="str">
        <f>HYPERLINK("https://pbs.twimg.com/profile_banners/452622123/1667740625")</f>
        <v>https://pbs.twimg.com/profile_banners/452622123/1667740625</v>
      </c>
      <c r="AQ546" t="b">
        <v>0</v>
      </c>
      <c r="AR546" t="b">
        <v>0</v>
      </c>
      <c r="AS546" t="b">
        <v>1</v>
      </c>
      <c r="AU546">
        <v>37</v>
      </c>
      <c r="AV546" s="79" t="str">
        <f>HYPERLINK("https://abs.twimg.com/images/themes/theme1/bg.png")</f>
        <v>https://abs.twimg.com/images/themes/theme1/bg.png</v>
      </c>
      <c r="AW546" t="b">
        <v>0</v>
      </c>
      <c r="AX546" t="s">
        <v>9303</v>
      </c>
      <c r="AY546" s="79" t="str">
        <f>HYPERLINK("https://twitter.com/jeyodin")</f>
        <v>https://twitter.com/jeyodin</v>
      </c>
      <c r="AZ546" t="s">
        <v>66</v>
      </c>
      <c r="BA546" s="2"/>
    </row>
    <row r="547" spans="1:53" x14ac:dyDescent="0.45">
      <c r="A547" s="62" t="s">
        <v>632</v>
      </c>
      <c r="B547" s="63"/>
      <c r="C547" s="63"/>
      <c r="D547" s="64"/>
      <c r="E547" s="66"/>
      <c r="F547" s="98" t="str">
        <f>HYPERLINK("https://pbs.twimg.com/profile_images/816564289230295040/ysFhH8aY_normal.jpg")</f>
        <v>https://pbs.twimg.com/profile_images/816564289230295040/ysFhH8aY_normal.jpg</v>
      </c>
      <c r="G547" s="63"/>
      <c r="H547" s="67"/>
      <c r="I547" s="68"/>
      <c r="J547" s="68"/>
      <c r="K547" s="67" t="s">
        <v>9941</v>
      </c>
      <c r="L547" s="71"/>
      <c r="M547" s="72"/>
      <c r="N547" s="72"/>
      <c r="O547" s="73"/>
      <c r="P547" s="74"/>
      <c r="Q547" s="74"/>
      <c r="R547" s="81"/>
      <c r="S547" s="81"/>
      <c r="T547" s="81"/>
      <c r="U547" s="81"/>
      <c r="V547" s="48"/>
      <c r="W547" s="48"/>
      <c r="X547" s="48"/>
      <c r="Y547" s="48"/>
      <c r="Z547" s="47"/>
      <c r="AA547" s="69"/>
      <c r="AB547" s="69"/>
      <c r="AC547" s="70"/>
      <c r="AD547" t="s">
        <v>5632</v>
      </c>
      <c r="AE547" s="78" t="s">
        <v>6875</v>
      </c>
      <c r="AF547">
        <v>2778</v>
      </c>
      <c r="AG547">
        <v>3021</v>
      </c>
      <c r="AH547">
        <v>28193</v>
      </c>
      <c r="AI547">
        <v>31246</v>
      </c>
      <c r="AK547" t="s">
        <v>8048</v>
      </c>
      <c r="AL547" t="s">
        <v>8955</v>
      </c>
      <c r="AM547" s="79" t="str">
        <f>HYPERLINK("https://t.co/XTFFZUeG33")</f>
        <v>https://t.co/XTFFZUeG33</v>
      </c>
      <c r="AO547" s="76">
        <v>39565.643784722219</v>
      </c>
      <c r="AP547" s="79" t="str">
        <f>HYPERLINK("https://pbs.twimg.com/profile_banners/14558825/1599228796")</f>
        <v>https://pbs.twimg.com/profile_banners/14558825/1599228796</v>
      </c>
      <c r="AQ547" t="b">
        <v>0</v>
      </c>
      <c r="AR547" t="b">
        <v>0</v>
      </c>
      <c r="AS547" t="b">
        <v>1</v>
      </c>
      <c r="AU547">
        <v>208</v>
      </c>
      <c r="AV547" s="79" t="str">
        <f>HYPERLINK("https://abs.twimg.com/images/themes/theme9/bg.gif")</f>
        <v>https://abs.twimg.com/images/themes/theme9/bg.gif</v>
      </c>
      <c r="AW547" t="b">
        <v>1</v>
      </c>
      <c r="AX547" t="s">
        <v>9303</v>
      </c>
      <c r="AY547" s="79" t="str">
        <f>HYPERLINK("https://twitter.com/ianhillmedia")</f>
        <v>https://twitter.com/ianhillmedia</v>
      </c>
      <c r="AZ547" t="s">
        <v>66</v>
      </c>
      <c r="BA547" s="2"/>
    </row>
    <row r="548" spans="1:53" x14ac:dyDescent="0.45">
      <c r="A548" s="62" t="s">
        <v>1120</v>
      </c>
      <c r="B548" s="63"/>
      <c r="C548" s="63"/>
      <c r="D548" s="64"/>
      <c r="E548" s="66"/>
      <c r="F548" s="98" t="str">
        <f>HYPERLINK("https://pbs.twimg.com/profile_images/1078759762924265472/5s6HOx8A_normal.jpg")</f>
        <v>https://pbs.twimg.com/profile_images/1078759762924265472/5s6HOx8A_normal.jpg</v>
      </c>
      <c r="G548" s="63"/>
      <c r="H548" s="67"/>
      <c r="I548" s="68"/>
      <c r="J548" s="68"/>
      <c r="K548" s="67" t="s">
        <v>9333</v>
      </c>
      <c r="L548" s="71"/>
      <c r="M548" s="72"/>
      <c r="N548" s="72"/>
      <c r="O548" s="73"/>
      <c r="P548" s="74"/>
      <c r="Q548" s="74"/>
      <c r="R548" s="81"/>
      <c r="S548" s="81"/>
      <c r="T548" s="81"/>
      <c r="U548" s="81"/>
      <c r="V548" s="48"/>
      <c r="W548" s="48"/>
      <c r="X548" s="48"/>
      <c r="Y548" s="48"/>
      <c r="Z548" s="47"/>
      <c r="AA548" s="69"/>
      <c r="AB548" s="69"/>
      <c r="AC548" s="70"/>
      <c r="AD548" t="s">
        <v>5029</v>
      </c>
      <c r="AE548" s="78" t="s">
        <v>6347</v>
      </c>
      <c r="AF548">
        <v>980</v>
      </c>
      <c r="AG548">
        <v>2954</v>
      </c>
      <c r="AH548">
        <v>1549</v>
      </c>
      <c r="AI548">
        <v>804</v>
      </c>
      <c r="AK548" t="s">
        <v>7517</v>
      </c>
      <c r="AL548" t="s">
        <v>8691</v>
      </c>
      <c r="AM548" s="79" t="str">
        <f>HYPERLINK("https://t.co/4s5NGBjiBN")</f>
        <v>https://t.co/4s5NGBjiBN</v>
      </c>
      <c r="AO548" s="76">
        <v>41445.937916666669</v>
      </c>
      <c r="AP548" s="79" t="str">
        <f>HYPERLINK("https://pbs.twimg.com/profile_banners/1535197357/1620178328")</f>
        <v>https://pbs.twimg.com/profile_banners/1535197357/1620178328</v>
      </c>
      <c r="AQ548" t="b">
        <v>0</v>
      </c>
      <c r="AR548" t="b">
        <v>0</v>
      </c>
      <c r="AS548" t="b">
        <v>1</v>
      </c>
      <c r="AU548">
        <v>29</v>
      </c>
      <c r="AV548" s="79" t="str">
        <f>HYPERLINK("https://abs.twimg.com/images/themes/theme1/bg.png")</f>
        <v>https://abs.twimg.com/images/themes/theme1/bg.png</v>
      </c>
      <c r="AW548" t="b">
        <v>0</v>
      </c>
      <c r="AX548" t="s">
        <v>9303</v>
      </c>
      <c r="AY548" s="79" t="str">
        <f>HYPERLINK("https://twitter.com/oceanshalo")</f>
        <v>https://twitter.com/oceanshalo</v>
      </c>
      <c r="AZ548" t="s">
        <v>65</v>
      </c>
      <c r="BA548" s="2"/>
    </row>
    <row r="549" spans="1:53" x14ac:dyDescent="0.45">
      <c r="A549" s="62" t="s">
        <v>652</v>
      </c>
      <c r="B549" s="63"/>
      <c r="C549" s="63"/>
      <c r="D549" s="64"/>
      <c r="E549" s="66"/>
      <c r="F549" s="98" t="str">
        <f>HYPERLINK("https://pbs.twimg.com/profile_images/1246050247278653440/Y2LXTksH_normal.jpg")</f>
        <v>https://pbs.twimg.com/profile_images/1246050247278653440/Y2LXTksH_normal.jpg</v>
      </c>
      <c r="G549" s="63"/>
      <c r="H549" s="67"/>
      <c r="I549" s="68"/>
      <c r="J549" s="68"/>
      <c r="K549" s="67" t="s">
        <v>9963</v>
      </c>
      <c r="L549" s="71"/>
      <c r="M549" s="72"/>
      <c r="N549" s="72"/>
      <c r="O549" s="73"/>
      <c r="P549" s="74"/>
      <c r="Q549" s="74"/>
      <c r="R549" s="81"/>
      <c r="S549" s="81"/>
      <c r="T549" s="81"/>
      <c r="U549" s="81"/>
      <c r="V549" s="48"/>
      <c r="W549" s="48"/>
      <c r="X549" s="48"/>
      <c r="Y549" s="48"/>
      <c r="Z549" s="47"/>
      <c r="AA549" s="69"/>
      <c r="AB549" s="69"/>
      <c r="AC549" s="70"/>
      <c r="AD549" t="s">
        <v>5654</v>
      </c>
      <c r="AE549" s="78" t="s">
        <v>6896</v>
      </c>
      <c r="AF549">
        <v>476</v>
      </c>
      <c r="AG549">
        <v>2953</v>
      </c>
      <c r="AH549">
        <v>3970</v>
      </c>
      <c r="AI549">
        <v>1371</v>
      </c>
      <c r="AK549" t="s">
        <v>8064</v>
      </c>
      <c r="AL549" t="s">
        <v>8772</v>
      </c>
      <c r="AM549" s="79" t="str">
        <f>HYPERLINK("https://t.co/LC7Xi4H37s")</f>
        <v>https://t.co/LC7Xi4H37s</v>
      </c>
      <c r="AO549" s="76">
        <v>43923.581053240741</v>
      </c>
      <c r="AP549" s="79" t="str">
        <f>HYPERLINK("https://pbs.twimg.com/profile_banners/1245711540214431745/1669811323")</f>
        <v>https://pbs.twimg.com/profile_banners/1245711540214431745/1669811323</v>
      </c>
      <c r="AQ549" t="b">
        <v>1</v>
      </c>
      <c r="AR549" t="b">
        <v>0</v>
      </c>
      <c r="AS549" t="b">
        <v>0</v>
      </c>
      <c r="AU549">
        <v>22</v>
      </c>
      <c r="AW549" t="b">
        <v>0</v>
      </c>
      <c r="AX549" t="s">
        <v>9303</v>
      </c>
      <c r="AY549" s="79" t="str">
        <f>HYPERLINK("https://twitter.com/getreworked")</f>
        <v>https://twitter.com/getreworked</v>
      </c>
      <c r="AZ549" t="s">
        <v>66</v>
      </c>
      <c r="BA549" s="2"/>
    </row>
    <row r="550" spans="1:53" x14ac:dyDescent="0.45">
      <c r="A550" s="62" t="s">
        <v>583</v>
      </c>
      <c r="B550" s="63"/>
      <c r="C550" s="63"/>
      <c r="D550" s="64"/>
      <c r="E550" s="66"/>
      <c r="F550" s="98" t="str">
        <f>HYPERLINK("https://pbs.twimg.com/profile_images/1160954812663574529/P6NGk6u-_normal.jpg")</f>
        <v>https://pbs.twimg.com/profile_images/1160954812663574529/P6NGk6u-_normal.jpg</v>
      </c>
      <c r="G550" s="63"/>
      <c r="H550" s="67"/>
      <c r="I550" s="68"/>
      <c r="J550" s="68"/>
      <c r="K550" s="67" t="s">
        <v>9881</v>
      </c>
      <c r="L550" s="71"/>
      <c r="M550" s="72"/>
      <c r="N550" s="72"/>
      <c r="O550" s="73"/>
      <c r="P550" s="74"/>
      <c r="Q550" s="74"/>
      <c r="R550" s="81"/>
      <c r="S550" s="81"/>
      <c r="T550" s="81"/>
      <c r="U550" s="81"/>
      <c r="V550" s="48"/>
      <c r="W550" s="48"/>
      <c r="X550" s="48"/>
      <c r="Y550" s="48"/>
      <c r="Z550" s="47"/>
      <c r="AA550" s="69"/>
      <c r="AB550" s="69"/>
      <c r="AC550" s="70"/>
      <c r="AD550" t="s">
        <v>5572</v>
      </c>
      <c r="AE550" s="78" t="s">
        <v>6820</v>
      </c>
      <c r="AF550">
        <v>606</v>
      </c>
      <c r="AG550">
        <v>2915</v>
      </c>
      <c r="AH550">
        <v>74331</v>
      </c>
      <c r="AI550">
        <v>2243</v>
      </c>
      <c r="AK550" t="s">
        <v>7995</v>
      </c>
      <c r="AL550" t="s">
        <v>8859</v>
      </c>
      <c r="AM550" s="79" t="str">
        <f>HYPERLINK("https://t.co/Ht2MX4F7N7")</f>
        <v>https://t.co/Ht2MX4F7N7</v>
      </c>
      <c r="AO550" s="76">
        <v>41800.766481481478</v>
      </c>
      <c r="AP550" s="79" t="str">
        <f>HYPERLINK("https://pbs.twimg.com/profile_banners/2559535657/1565628172")</f>
        <v>https://pbs.twimg.com/profile_banners/2559535657/1565628172</v>
      </c>
      <c r="AQ550" t="b">
        <v>0</v>
      </c>
      <c r="AR550" t="b">
        <v>0</v>
      </c>
      <c r="AS550" t="b">
        <v>1</v>
      </c>
      <c r="AU550">
        <v>132</v>
      </c>
      <c r="AV550" s="79" t="str">
        <f>HYPERLINK("https://abs.twimg.com/images/themes/theme1/bg.png")</f>
        <v>https://abs.twimg.com/images/themes/theme1/bg.png</v>
      </c>
      <c r="AW550" t="b">
        <v>1</v>
      </c>
      <c r="AX550" t="s">
        <v>9303</v>
      </c>
      <c r="AY550" s="79" t="str">
        <f>HYPERLINK("https://twitter.com/foxwesttexas")</f>
        <v>https://twitter.com/foxwesttexas</v>
      </c>
      <c r="AZ550" t="s">
        <v>66</v>
      </c>
      <c r="BA550" s="2"/>
    </row>
    <row r="551" spans="1:53" x14ac:dyDescent="0.45">
      <c r="A551" s="62" t="s">
        <v>415</v>
      </c>
      <c r="B551" s="63"/>
      <c r="C551" s="63"/>
      <c r="D551" s="64"/>
      <c r="E551" s="66"/>
      <c r="F551" s="98" t="str">
        <f>HYPERLINK("https://pbs.twimg.com/profile_images/1620255827339665408/JWnb18jX_normal.jpg")</f>
        <v>https://pbs.twimg.com/profile_images/1620255827339665408/JWnb18jX_normal.jpg</v>
      </c>
      <c r="G551" s="63"/>
      <c r="H551" s="67"/>
      <c r="I551" s="68"/>
      <c r="J551" s="68"/>
      <c r="K551" s="67" t="s">
        <v>9666</v>
      </c>
      <c r="L551" s="71"/>
      <c r="M551" s="72"/>
      <c r="N551" s="72"/>
      <c r="O551" s="73"/>
      <c r="P551" s="74"/>
      <c r="Q551" s="74"/>
      <c r="R551" s="81"/>
      <c r="S551" s="81"/>
      <c r="T551" s="81"/>
      <c r="U551" s="81"/>
      <c r="V551" s="48"/>
      <c r="W551" s="48"/>
      <c r="X551" s="48"/>
      <c r="Y551" s="48"/>
      <c r="Z551" s="47"/>
      <c r="AA551" s="69"/>
      <c r="AB551" s="69"/>
      <c r="AC551" s="70"/>
      <c r="AD551" t="s">
        <v>5359</v>
      </c>
      <c r="AE551" s="78" t="s">
        <v>6633</v>
      </c>
      <c r="AF551">
        <v>2543</v>
      </c>
      <c r="AG551">
        <v>2914</v>
      </c>
      <c r="AH551">
        <v>34927</v>
      </c>
      <c r="AI551">
        <v>74701</v>
      </c>
      <c r="AK551" t="s">
        <v>7809</v>
      </c>
      <c r="AL551" t="s">
        <v>8865</v>
      </c>
      <c r="AO551" s="76">
        <v>44097.003946759258</v>
      </c>
      <c r="AP551" s="79" t="str">
        <f>HYPERLINK("https://pbs.twimg.com/profile_banners/1308558077168414721/1667329317")</f>
        <v>https://pbs.twimg.com/profile_banners/1308558077168414721/1667329317</v>
      </c>
      <c r="AQ551" t="b">
        <v>1</v>
      </c>
      <c r="AR551" t="b">
        <v>0</v>
      </c>
      <c r="AS551" t="b">
        <v>0</v>
      </c>
      <c r="AU551">
        <v>17</v>
      </c>
      <c r="AW551" t="b">
        <v>0</v>
      </c>
      <c r="AX551" t="s">
        <v>9303</v>
      </c>
      <c r="AY551" s="79" t="str">
        <f>HYPERLINK("https://twitter.com/space_dude3")</f>
        <v>https://twitter.com/space_dude3</v>
      </c>
      <c r="AZ551" t="s">
        <v>66</v>
      </c>
      <c r="BA551" s="2"/>
    </row>
    <row r="552" spans="1:53" x14ac:dyDescent="0.45">
      <c r="A552" s="62" t="s">
        <v>1087</v>
      </c>
      <c r="B552" s="63"/>
      <c r="C552" s="63"/>
      <c r="D552" s="64"/>
      <c r="E552" s="66"/>
      <c r="F552" s="98" t="str">
        <f>HYPERLINK("https://pbs.twimg.com/profile_images/1574435751546294275/Zod20ZD3_normal.jpg")</f>
        <v>https://pbs.twimg.com/profile_images/1574435751546294275/Zod20ZD3_normal.jpg</v>
      </c>
      <c r="G552" s="63"/>
      <c r="H552" s="67"/>
      <c r="I552" s="68"/>
      <c r="J552" s="68"/>
      <c r="K552" s="67" t="s">
        <v>10629</v>
      </c>
      <c r="L552" s="71"/>
      <c r="M552" s="72"/>
      <c r="N552" s="72"/>
      <c r="O552" s="73"/>
      <c r="P552" s="74"/>
      <c r="Q552" s="74"/>
      <c r="R552" s="81"/>
      <c r="S552" s="81"/>
      <c r="T552" s="81"/>
      <c r="U552" s="81"/>
      <c r="V552" s="48"/>
      <c r="W552" s="48"/>
      <c r="X552" s="48"/>
      <c r="Y552" s="48"/>
      <c r="Z552" s="47"/>
      <c r="AA552" s="69"/>
      <c r="AB552" s="69"/>
      <c r="AC552" s="70"/>
      <c r="AD552" t="s">
        <v>6305</v>
      </c>
      <c r="AE552" s="78" t="s">
        <v>7469</v>
      </c>
      <c r="AF552">
        <v>2939</v>
      </c>
      <c r="AG552">
        <v>2911</v>
      </c>
      <c r="AH552">
        <v>17258</v>
      </c>
      <c r="AI552">
        <v>10243</v>
      </c>
      <c r="AK552" t="s">
        <v>8650</v>
      </c>
      <c r="AL552" t="s">
        <v>9198</v>
      </c>
      <c r="AM552" s="79" t="str">
        <f>HYPERLINK("https://t.co/udZQSwBUOf")</f>
        <v>https://t.co/udZQSwBUOf</v>
      </c>
      <c r="AO552" s="76">
        <v>44407.050243055557</v>
      </c>
      <c r="AP552" s="79" t="str">
        <f>HYPERLINK("https://pbs.twimg.com/profile_banners/1420915076211650565/1627635260")</f>
        <v>https://pbs.twimg.com/profile_banners/1420915076211650565/1627635260</v>
      </c>
      <c r="AQ552" t="b">
        <v>1</v>
      </c>
      <c r="AR552" t="b">
        <v>0</v>
      </c>
      <c r="AS552" t="b">
        <v>1</v>
      </c>
      <c r="AU552">
        <v>10</v>
      </c>
      <c r="AW552" t="b">
        <v>0</v>
      </c>
      <c r="AX552" t="s">
        <v>9303</v>
      </c>
      <c r="AY552" s="79" t="str">
        <f>HYPERLINK("https://twitter.com/the_og_hipiap")</f>
        <v>https://twitter.com/the_og_hipiap</v>
      </c>
      <c r="AZ552" t="s">
        <v>66</v>
      </c>
      <c r="BA552" s="2"/>
    </row>
    <row r="553" spans="1:53" x14ac:dyDescent="0.45">
      <c r="A553" s="62" t="s">
        <v>1560</v>
      </c>
      <c r="B553" s="63"/>
      <c r="C553" s="63"/>
      <c r="D553" s="64"/>
      <c r="E553" s="66"/>
      <c r="F553" s="98" t="str">
        <f>HYPERLINK("https://pbs.twimg.com/profile_images/1326985831853092866/OJxxFjpB_normal.jpg")</f>
        <v>https://pbs.twimg.com/profile_images/1326985831853092866/OJxxFjpB_normal.jpg</v>
      </c>
      <c r="G553" s="63"/>
      <c r="H553" s="67"/>
      <c r="I553" s="68"/>
      <c r="J553" s="68"/>
      <c r="K553" s="67" t="s">
        <v>10630</v>
      </c>
      <c r="L553" s="71"/>
      <c r="M553" s="72"/>
      <c r="N553" s="72"/>
      <c r="O553" s="73"/>
      <c r="P553" s="74"/>
      <c r="Q553" s="74"/>
      <c r="R553" s="81"/>
      <c r="S553" s="81"/>
      <c r="T553" s="81"/>
      <c r="U553" s="81"/>
      <c r="V553" s="48"/>
      <c r="W553" s="48"/>
      <c r="X553" s="48"/>
      <c r="Y553" s="48"/>
      <c r="Z553" s="47"/>
      <c r="AA553" s="69"/>
      <c r="AB553" s="69"/>
      <c r="AC553" s="70"/>
      <c r="AD553" t="s">
        <v>6306</v>
      </c>
      <c r="AE553" s="78" t="s">
        <v>7470</v>
      </c>
      <c r="AF553">
        <v>447</v>
      </c>
      <c r="AG553">
        <v>2863</v>
      </c>
      <c r="AH553">
        <v>3069</v>
      </c>
      <c r="AI553">
        <v>1425</v>
      </c>
      <c r="AK553" t="s">
        <v>8651</v>
      </c>
      <c r="AL553" t="s">
        <v>8847</v>
      </c>
      <c r="AM553" s="79" t="str">
        <f>HYPERLINK("https://t.co/vJG7tqxHcX")</f>
        <v>https://t.co/vJG7tqxHcX</v>
      </c>
      <c r="AO553" s="76">
        <v>42563.72896990741</v>
      </c>
      <c r="AP553" s="79" t="str">
        <f>HYPERLINK("https://pbs.twimg.com/profile_banners/752917870598848512/1648048830")</f>
        <v>https://pbs.twimg.com/profile_banners/752917870598848512/1648048830</v>
      </c>
      <c r="AQ553" t="b">
        <v>0</v>
      </c>
      <c r="AR553" t="b">
        <v>0</v>
      </c>
      <c r="AS553" t="b">
        <v>1</v>
      </c>
      <c r="AU553">
        <v>28</v>
      </c>
      <c r="AV553" s="79" t="str">
        <f>HYPERLINK("https://abs.twimg.com/images/themes/theme1/bg.png")</f>
        <v>https://abs.twimg.com/images/themes/theme1/bg.png</v>
      </c>
      <c r="AW553" t="b">
        <v>0</v>
      </c>
      <c r="AX553" t="s">
        <v>9303</v>
      </c>
      <c r="AY553" s="79" t="str">
        <f>HYPERLINK("https://twitter.com/allieduniversal")</f>
        <v>https://twitter.com/allieduniversal</v>
      </c>
      <c r="AZ553" t="s">
        <v>65</v>
      </c>
      <c r="BA553" s="2"/>
    </row>
    <row r="554" spans="1:53" x14ac:dyDescent="0.45">
      <c r="A554" s="62" t="s">
        <v>789</v>
      </c>
      <c r="B554" s="63"/>
      <c r="C554" s="63"/>
      <c r="D554" s="64"/>
      <c r="E554" s="66"/>
      <c r="F554" s="98" t="str">
        <f>HYPERLINK("https://pbs.twimg.com/profile_images/1124772096062644224/M__G53Pt_normal.jpg")</f>
        <v>https://pbs.twimg.com/profile_images/1124772096062644224/M__G53Pt_normal.jpg</v>
      </c>
      <c r="G554" s="63"/>
      <c r="H554" s="67"/>
      <c r="I554" s="68"/>
      <c r="J554" s="68"/>
      <c r="K554" s="67" t="s">
        <v>10152</v>
      </c>
      <c r="L554" s="71"/>
      <c r="M554" s="72"/>
      <c r="N554" s="72"/>
      <c r="O554" s="73"/>
      <c r="P554" s="74"/>
      <c r="Q554" s="74"/>
      <c r="R554" s="81"/>
      <c r="S554" s="81"/>
      <c r="T554" s="81"/>
      <c r="U554" s="81"/>
      <c r="V554" s="48"/>
      <c r="W554" s="48"/>
      <c r="X554" s="48"/>
      <c r="Y554" s="48"/>
      <c r="Z554" s="47"/>
      <c r="AA554" s="69"/>
      <c r="AB554" s="69"/>
      <c r="AC554" s="70"/>
      <c r="AD554" t="s">
        <v>5838</v>
      </c>
      <c r="AE554" s="78" t="s">
        <v>7064</v>
      </c>
      <c r="AF554">
        <v>1600</v>
      </c>
      <c r="AG554">
        <v>2842</v>
      </c>
      <c r="AH554">
        <v>20676</v>
      </c>
      <c r="AI554">
        <v>65740</v>
      </c>
      <c r="AK554" t="s">
        <v>8229</v>
      </c>
      <c r="AO554" s="76">
        <v>41900.736921296295</v>
      </c>
      <c r="AP554" s="79" t="str">
        <f>HYPERLINK("https://pbs.twimg.com/profile_banners/2817454538/1589228448")</f>
        <v>https://pbs.twimg.com/profile_banners/2817454538/1589228448</v>
      </c>
      <c r="AQ554" t="b">
        <v>0</v>
      </c>
      <c r="AR554" t="b">
        <v>0</v>
      </c>
      <c r="AS554" t="b">
        <v>1</v>
      </c>
      <c r="AU554">
        <v>39</v>
      </c>
      <c r="AV554" s="79" t="str">
        <f>HYPERLINK("https://abs.twimg.com/images/themes/theme1/bg.png")</f>
        <v>https://abs.twimg.com/images/themes/theme1/bg.png</v>
      </c>
      <c r="AW554" t="b">
        <v>0</v>
      </c>
      <c r="AX554" t="s">
        <v>9303</v>
      </c>
      <c r="AY554" s="79" t="str">
        <f>HYPERLINK("https://twitter.com/jparker_cisd")</f>
        <v>https://twitter.com/jparker_cisd</v>
      </c>
      <c r="AZ554" t="s">
        <v>66</v>
      </c>
      <c r="BA554" s="2"/>
    </row>
    <row r="555" spans="1:53" x14ac:dyDescent="0.45">
      <c r="A555" s="62" t="s">
        <v>357</v>
      </c>
      <c r="B555" s="63"/>
      <c r="C555" s="63"/>
      <c r="D555" s="64"/>
      <c r="E555" s="66"/>
      <c r="F555" s="98" t="str">
        <f>HYPERLINK("https://pbs.twimg.com/profile_images/1071510054333861889/zrJ32HSV_normal.jpg")</f>
        <v>https://pbs.twimg.com/profile_images/1071510054333861889/zrJ32HSV_normal.jpg</v>
      </c>
      <c r="G555" s="63"/>
      <c r="H555" s="67"/>
      <c r="I555" s="68"/>
      <c r="J555" s="68"/>
      <c r="K555" s="67" t="s">
        <v>9586</v>
      </c>
      <c r="L555" s="71"/>
      <c r="M555" s="72"/>
      <c r="N555" s="72"/>
      <c r="O555" s="73"/>
      <c r="P555" s="74"/>
      <c r="Q555" s="74"/>
      <c r="R555" s="81"/>
      <c r="S555" s="81"/>
      <c r="T555" s="81"/>
      <c r="U555" s="81"/>
      <c r="V555" s="48"/>
      <c r="W555" s="48"/>
      <c r="X555" s="48"/>
      <c r="Y555" s="48"/>
      <c r="Z555" s="47"/>
      <c r="AA555" s="69"/>
      <c r="AB555" s="69"/>
      <c r="AC555" s="70"/>
      <c r="AD555" t="s">
        <v>5279</v>
      </c>
      <c r="AE555" s="78" t="s">
        <v>6557</v>
      </c>
      <c r="AF555">
        <v>2406</v>
      </c>
      <c r="AG555">
        <v>2837</v>
      </c>
      <c r="AH555">
        <v>41038</v>
      </c>
      <c r="AI555">
        <v>6130</v>
      </c>
      <c r="AK555" t="s">
        <v>7738</v>
      </c>
      <c r="AL555" t="s">
        <v>8825</v>
      </c>
      <c r="AM555" s="79" t="str">
        <f>HYPERLINK("https://t.co/sGmAnU2bKk")</f>
        <v>https://t.co/sGmAnU2bKk</v>
      </c>
      <c r="AO555" s="76">
        <v>39325.924826388888</v>
      </c>
      <c r="AP555" s="79" t="str">
        <f>HYPERLINK("https://pbs.twimg.com/profile_banners/8567932/1669227154")</f>
        <v>https://pbs.twimg.com/profile_banners/8567932/1669227154</v>
      </c>
      <c r="AQ555" t="b">
        <v>0</v>
      </c>
      <c r="AR555" t="b">
        <v>0</v>
      </c>
      <c r="AS555" t="b">
        <v>1</v>
      </c>
      <c r="AU555">
        <v>1022</v>
      </c>
      <c r="AV555" s="79" t="str">
        <f>HYPERLINK("https://abs.twimg.com/images/themes/theme9/bg.gif")</f>
        <v>https://abs.twimg.com/images/themes/theme9/bg.gif</v>
      </c>
      <c r="AW555" t="b">
        <v>0</v>
      </c>
      <c r="AX555" t="s">
        <v>9303</v>
      </c>
      <c r="AY555" s="79" t="str">
        <f>HYPERLINK("https://twitter.com/5h15h")</f>
        <v>https://twitter.com/5h15h</v>
      </c>
      <c r="AZ555" t="s">
        <v>66</v>
      </c>
      <c r="BA555" s="2"/>
    </row>
    <row r="556" spans="1:53" x14ac:dyDescent="0.45">
      <c r="A556" s="62" t="s">
        <v>604</v>
      </c>
      <c r="B556" s="63"/>
      <c r="C556" s="63"/>
      <c r="D556" s="64"/>
      <c r="E556" s="66"/>
      <c r="F556" s="98" t="str">
        <f>HYPERLINK("https://pbs.twimg.com/profile_images/1611035848610283525/ebPAifl8_normal.jpg")</f>
        <v>https://pbs.twimg.com/profile_images/1611035848610283525/ebPAifl8_normal.jpg</v>
      </c>
      <c r="G556" s="63"/>
      <c r="H556" s="67"/>
      <c r="I556" s="68"/>
      <c r="J556" s="68"/>
      <c r="K556" s="67" t="s">
        <v>9902</v>
      </c>
      <c r="L556" s="71"/>
      <c r="M556" s="72"/>
      <c r="N556" s="72"/>
      <c r="O556" s="73"/>
      <c r="P556" s="74"/>
      <c r="Q556" s="74"/>
      <c r="R556" s="81"/>
      <c r="S556" s="81"/>
      <c r="T556" s="81"/>
      <c r="U556" s="81"/>
      <c r="V556" s="48"/>
      <c r="W556" s="48"/>
      <c r="X556" s="48"/>
      <c r="Y556" s="48"/>
      <c r="Z556" s="47"/>
      <c r="AA556" s="69"/>
      <c r="AB556" s="69"/>
      <c r="AC556" s="70"/>
      <c r="AD556" t="s">
        <v>5593</v>
      </c>
      <c r="AE556" s="78" t="s">
        <v>4719</v>
      </c>
      <c r="AF556">
        <v>4529</v>
      </c>
      <c r="AG556">
        <v>2825</v>
      </c>
      <c r="AH556">
        <v>30059</v>
      </c>
      <c r="AI556">
        <v>65954</v>
      </c>
      <c r="AK556" t="s">
        <v>8016</v>
      </c>
      <c r="AL556" t="s">
        <v>8985</v>
      </c>
      <c r="AO556" s="76">
        <v>39970.872083333335</v>
      </c>
      <c r="AP556" s="79" t="str">
        <f>HYPERLINK("https://pbs.twimg.com/profile_banners/45212295/1634654316")</f>
        <v>https://pbs.twimg.com/profile_banners/45212295/1634654316</v>
      </c>
      <c r="AQ556" t="b">
        <v>0</v>
      </c>
      <c r="AR556" t="b">
        <v>0</v>
      </c>
      <c r="AS556" t="b">
        <v>1</v>
      </c>
      <c r="AU556">
        <v>15</v>
      </c>
      <c r="AV556" s="79" t="str">
        <f>HYPERLINK("https://abs.twimg.com/images/themes/theme2/bg.gif")</f>
        <v>https://abs.twimg.com/images/themes/theme2/bg.gif</v>
      </c>
      <c r="AW556" t="b">
        <v>0</v>
      </c>
      <c r="AX556" t="s">
        <v>9303</v>
      </c>
      <c r="AY556" s="79" t="str">
        <f>HYPERLINK("https://twitter.com/lakeloonatic")</f>
        <v>https://twitter.com/lakeloonatic</v>
      </c>
      <c r="AZ556" t="s">
        <v>66</v>
      </c>
      <c r="BA556" s="2"/>
    </row>
    <row r="557" spans="1:53" x14ac:dyDescent="0.45">
      <c r="A557" s="62" t="s">
        <v>409</v>
      </c>
      <c r="B557" s="63"/>
      <c r="C557" s="63"/>
      <c r="D557" s="64"/>
      <c r="E557" s="66"/>
      <c r="F557" s="98" t="str">
        <f>HYPERLINK("https://pbs.twimg.com/profile_images/1510016483992166426/ZHYjMNVe_normal.jpg")</f>
        <v>https://pbs.twimg.com/profile_images/1510016483992166426/ZHYjMNVe_normal.jpg</v>
      </c>
      <c r="G557" s="63"/>
      <c r="H557" s="67"/>
      <c r="I557" s="68"/>
      <c r="J557" s="68"/>
      <c r="K557" s="67" t="s">
        <v>9660</v>
      </c>
      <c r="L557" s="71"/>
      <c r="M557" s="72"/>
      <c r="N557" s="72"/>
      <c r="O557" s="73"/>
      <c r="P557" s="74"/>
      <c r="Q557" s="74"/>
      <c r="R557" s="81"/>
      <c r="S557" s="81"/>
      <c r="T557" s="81"/>
      <c r="U557" s="81"/>
      <c r="V557" s="48"/>
      <c r="W557" s="48"/>
      <c r="X557" s="48"/>
      <c r="Y557" s="48"/>
      <c r="Z557" s="47"/>
      <c r="AA557" s="69"/>
      <c r="AB557" s="69"/>
      <c r="AC557" s="70"/>
      <c r="AD557" t="s">
        <v>5353</v>
      </c>
      <c r="AE557" s="78" t="s">
        <v>6627</v>
      </c>
      <c r="AF557">
        <v>50</v>
      </c>
      <c r="AG557">
        <v>2816</v>
      </c>
      <c r="AH557">
        <v>385</v>
      </c>
      <c r="AI557">
        <v>252</v>
      </c>
      <c r="AK557" t="s">
        <v>7803</v>
      </c>
      <c r="AM557" s="79" t="str">
        <f>HYPERLINK("https://t.co/2GqaoWCbR5")</f>
        <v>https://t.co/2GqaoWCbR5</v>
      </c>
      <c r="AO557" s="76">
        <v>43565.657083333332</v>
      </c>
      <c r="AP557" s="79" t="str">
        <f>HYPERLINK("https://pbs.twimg.com/profile_banners/1116004460914970624/1645547281")</f>
        <v>https://pbs.twimg.com/profile_banners/1116004460914970624/1645547281</v>
      </c>
      <c r="AQ557" t="b">
        <v>1</v>
      </c>
      <c r="AR557" t="b">
        <v>0</v>
      </c>
      <c r="AS557" t="b">
        <v>0</v>
      </c>
      <c r="AU557">
        <v>16</v>
      </c>
      <c r="AW557" t="b">
        <v>1</v>
      </c>
      <c r="AX557" t="s">
        <v>9303</v>
      </c>
      <c r="AY557" s="79" t="str">
        <f>HYPERLINK("https://twitter.com/eatmagicspoon")</f>
        <v>https://twitter.com/eatmagicspoon</v>
      </c>
      <c r="AZ557" t="s">
        <v>66</v>
      </c>
      <c r="BA557" s="2"/>
    </row>
    <row r="558" spans="1:53" x14ac:dyDescent="0.45">
      <c r="A558" s="62" t="s">
        <v>1071</v>
      </c>
      <c r="B558" s="63"/>
      <c r="C558" s="63"/>
      <c r="D558" s="64"/>
      <c r="E558" s="66"/>
      <c r="F558" s="98" t="str">
        <f>HYPERLINK("https://pbs.twimg.com/profile_images/1392255552244363276/yCeLTPJb_normal.jpg")</f>
        <v>https://pbs.twimg.com/profile_images/1392255552244363276/yCeLTPJb_normal.jpg</v>
      </c>
      <c r="G558" s="63"/>
      <c r="H558" s="67"/>
      <c r="I558" s="68"/>
      <c r="J558" s="68"/>
      <c r="K558" s="67" t="s">
        <v>10602</v>
      </c>
      <c r="L558" s="71"/>
      <c r="M558" s="72"/>
      <c r="N558" s="72"/>
      <c r="O558" s="73"/>
      <c r="P558" s="74"/>
      <c r="Q558" s="74"/>
      <c r="R558" s="81"/>
      <c r="S558" s="81"/>
      <c r="T558" s="81"/>
      <c r="U558" s="81"/>
      <c r="V558" s="48"/>
      <c r="W558" s="48"/>
      <c r="X558" s="48"/>
      <c r="Y558" s="48"/>
      <c r="Z558" s="47"/>
      <c r="AA558" s="69"/>
      <c r="AB558" s="69"/>
      <c r="AC558" s="70"/>
      <c r="AD558" t="s">
        <v>1071</v>
      </c>
      <c r="AE558" s="78" t="s">
        <v>4820</v>
      </c>
      <c r="AF558">
        <v>376</v>
      </c>
      <c r="AG558">
        <v>2808</v>
      </c>
      <c r="AH558">
        <v>15561</v>
      </c>
      <c r="AI558">
        <v>9669</v>
      </c>
      <c r="AK558" t="s">
        <v>8626</v>
      </c>
      <c r="AL558" t="s">
        <v>9122</v>
      </c>
      <c r="AO558" s="76">
        <v>40517.952326388891</v>
      </c>
      <c r="AP558" s="79" t="str">
        <f>HYPERLINK("https://pbs.twimg.com/profile_banners/223277382/1609499780")</f>
        <v>https://pbs.twimg.com/profile_banners/223277382/1609499780</v>
      </c>
      <c r="AQ558" t="b">
        <v>0</v>
      </c>
      <c r="AR558" t="b">
        <v>0</v>
      </c>
      <c r="AS558" t="b">
        <v>1</v>
      </c>
      <c r="AU558">
        <v>67</v>
      </c>
      <c r="AV558" s="79" t="str">
        <f>HYPERLINK("https://abs.twimg.com/images/themes/theme1/bg.png")</f>
        <v>https://abs.twimg.com/images/themes/theme1/bg.png</v>
      </c>
      <c r="AW558" t="b">
        <v>1</v>
      </c>
      <c r="AX558" t="s">
        <v>9303</v>
      </c>
      <c r="AY558" s="79" t="str">
        <f>HYPERLINK("https://twitter.com/jeremysilbert")</f>
        <v>https://twitter.com/jeremysilbert</v>
      </c>
      <c r="AZ558" t="s">
        <v>66</v>
      </c>
      <c r="BA558" s="2"/>
    </row>
    <row r="559" spans="1:53" x14ac:dyDescent="0.45">
      <c r="A559" s="62" t="s">
        <v>287</v>
      </c>
      <c r="B559" s="63"/>
      <c r="C559" s="63"/>
      <c r="D559" s="64"/>
      <c r="E559" s="66"/>
      <c r="F559" s="98" t="str">
        <f>HYPERLINK("https://pbs.twimg.com/profile_images/1595111966988800010/HF4u7j41_normal.jpg")</f>
        <v>https://pbs.twimg.com/profile_images/1595111966988800010/HF4u7j41_normal.jpg</v>
      </c>
      <c r="G559" s="63"/>
      <c r="H559" s="67"/>
      <c r="I559" s="68"/>
      <c r="J559" s="68"/>
      <c r="K559" s="67" t="s">
        <v>9445</v>
      </c>
      <c r="L559" s="71"/>
      <c r="M559" s="72"/>
      <c r="N559" s="72"/>
      <c r="O559" s="73"/>
      <c r="P559" s="74"/>
      <c r="Q559" s="74"/>
      <c r="R559" s="81"/>
      <c r="S559" s="81"/>
      <c r="T559" s="81"/>
      <c r="U559" s="81"/>
      <c r="V559" s="48"/>
      <c r="W559" s="48"/>
      <c r="X559" s="48"/>
      <c r="Y559" s="48"/>
      <c r="Z559" s="47"/>
      <c r="AA559" s="69"/>
      <c r="AB559" s="69"/>
      <c r="AC559" s="70"/>
      <c r="AD559" t="s">
        <v>5139</v>
      </c>
      <c r="AE559" s="78" t="s">
        <v>6442</v>
      </c>
      <c r="AF559">
        <v>2609</v>
      </c>
      <c r="AG559">
        <v>2774</v>
      </c>
      <c r="AH559">
        <v>76964</v>
      </c>
      <c r="AI559">
        <v>168876</v>
      </c>
      <c r="AK559" t="s">
        <v>7613</v>
      </c>
      <c r="AL559" t="s">
        <v>8757</v>
      </c>
      <c r="AO559" s="76">
        <v>41224.072245370371</v>
      </c>
      <c r="AP559" s="79" t="str">
        <f>HYPERLINK("https://pbs.twimg.com/profile_banners/940344632/1501373877")</f>
        <v>https://pbs.twimg.com/profile_banners/940344632/1501373877</v>
      </c>
      <c r="AQ559" t="b">
        <v>1</v>
      </c>
      <c r="AR559" t="b">
        <v>0</v>
      </c>
      <c r="AS559" t="b">
        <v>1</v>
      </c>
      <c r="AU559">
        <v>65</v>
      </c>
      <c r="AV559" s="79" t="str">
        <f>HYPERLINK("https://abs.twimg.com/images/themes/theme1/bg.png")</f>
        <v>https://abs.twimg.com/images/themes/theme1/bg.png</v>
      </c>
      <c r="AW559" t="b">
        <v>0</v>
      </c>
      <c r="AX559" t="s">
        <v>9303</v>
      </c>
      <c r="AY559" s="79" t="str">
        <f>HYPERLINK("https://twitter.com/jaygoonetilleke")</f>
        <v>https://twitter.com/jaygoonetilleke</v>
      </c>
      <c r="AZ559" t="s">
        <v>66</v>
      </c>
      <c r="BA559" s="2"/>
    </row>
    <row r="560" spans="1:53" x14ac:dyDescent="0.45">
      <c r="A560" s="62" t="s">
        <v>892</v>
      </c>
      <c r="B560" s="63"/>
      <c r="C560" s="63"/>
      <c r="D560" s="64"/>
      <c r="E560" s="66"/>
      <c r="F560" s="98" t="str">
        <f>HYPERLINK("https://pbs.twimg.com/profile_images/1551469824286523393/-sPUTFy4_normal.jpg")</f>
        <v>https://pbs.twimg.com/profile_images/1551469824286523393/-sPUTFy4_normal.jpg</v>
      </c>
      <c r="G560" s="63"/>
      <c r="H560" s="67"/>
      <c r="I560" s="68"/>
      <c r="J560" s="68"/>
      <c r="K560" s="67" t="s">
        <v>10306</v>
      </c>
      <c r="L560" s="71"/>
      <c r="M560" s="72"/>
      <c r="N560" s="72"/>
      <c r="O560" s="73"/>
      <c r="P560" s="74"/>
      <c r="Q560" s="74"/>
      <c r="R560" s="81"/>
      <c r="S560" s="81"/>
      <c r="T560" s="81"/>
      <c r="U560" s="81"/>
      <c r="V560" s="48"/>
      <c r="W560" s="48"/>
      <c r="X560" s="48"/>
      <c r="Y560" s="48"/>
      <c r="Z560" s="47"/>
      <c r="AA560" s="69"/>
      <c r="AB560" s="69"/>
      <c r="AC560" s="70"/>
      <c r="AD560" t="s">
        <v>5989</v>
      </c>
      <c r="AE560" s="78" t="s">
        <v>7199</v>
      </c>
      <c r="AF560">
        <v>1232</v>
      </c>
      <c r="AG560">
        <v>2763</v>
      </c>
      <c r="AH560">
        <v>401906</v>
      </c>
      <c r="AI560">
        <v>289288</v>
      </c>
      <c r="AK560" t="s">
        <v>8363</v>
      </c>
      <c r="AL560" t="s">
        <v>9164</v>
      </c>
      <c r="AO560" s="76">
        <v>40146.802754629629</v>
      </c>
      <c r="AP560" s="79" t="str">
        <f>HYPERLINK("https://pbs.twimg.com/profile_banners/93460590/1672108009")</f>
        <v>https://pbs.twimg.com/profile_banners/93460590/1672108009</v>
      </c>
      <c r="AQ560" t="b">
        <v>0</v>
      </c>
      <c r="AR560" t="b">
        <v>0</v>
      </c>
      <c r="AS560" t="b">
        <v>1</v>
      </c>
      <c r="AU560">
        <v>86</v>
      </c>
      <c r="AV560" s="79" t="str">
        <f>HYPERLINK("https://abs.twimg.com/images/themes/theme10/bg.gif")</f>
        <v>https://abs.twimg.com/images/themes/theme10/bg.gif</v>
      </c>
      <c r="AW560" t="b">
        <v>0</v>
      </c>
      <c r="AX560" t="s">
        <v>9303</v>
      </c>
      <c r="AY560" s="79" t="str">
        <f>HYPERLINK("https://twitter.com/pattyplainjane")</f>
        <v>https://twitter.com/pattyplainjane</v>
      </c>
      <c r="AZ560" t="s">
        <v>66</v>
      </c>
      <c r="BA560" s="2"/>
    </row>
    <row r="561" spans="1:53" x14ac:dyDescent="0.45">
      <c r="A561" s="62" t="s">
        <v>1431</v>
      </c>
      <c r="B561" s="63"/>
      <c r="C561" s="63"/>
      <c r="D561" s="64"/>
      <c r="E561" s="66"/>
      <c r="F561" s="98" t="str">
        <f>HYPERLINK("https://pbs.twimg.com/profile_images/1240343991679356928/zgaTUsWx_normal.jpg")</f>
        <v>https://pbs.twimg.com/profile_images/1240343991679356928/zgaTUsWx_normal.jpg</v>
      </c>
      <c r="G561" s="63"/>
      <c r="H561" s="67"/>
      <c r="I561" s="68"/>
      <c r="J561" s="68"/>
      <c r="K561" s="67" t="s">
        <v>10337</v>
      </c>
      <c r="L561" s="71"/>
      <c r="M561" s="72"/>
      <c r="N561" s="72"/>
      <c r="O561" s="73"/>
      <c r="P561" s="74"/>
      <c r="Q561" s="74"/>
      <c r="R561" s="81"/>
      <c r="S561" s="81"/>
      <c r="T561" s="81"/>
      <c r="U561" s="81"/>
      <c r="V561" s="48"/>
      <c r="W561" s="48"/>
      <c r="X561" s="48"/>
      <c r="Y561" s="48"/>
      <c r="Z561" s="47"/>
      <c r="AA561" s="69"/>
      <c r="AB561" s="69"/>
      <c r="AC561" s="70"/>
      <c r="AD561" t="s">
        <v>6020</v>
      </c>
      <c r="AE561" s="78" t="s">
        <v>7228</v>
      </c>
      <c r="AF561">
        <v>1292</v>
      </c>
      <c r="AG561">
        <v>2761</v>
      </c>
      <c r="AH561">
        <v>1668</v>
      </c>
      <c r="AI561">
        <v>1722</v>
      </c>
      <c r="AK561" t="s">
        <v>8390</v>
      </c>
      <c r="AL561" t="s">
        <v>9180</v>
      </c>
      <c r="AM561" s="79" t="str">
        <f>HYPERLINK("https://t.co/bMSV5ziTjm")</f>
        <v>https://t.co/bMSV5ziTjm</v>
      </c>
      <c r="AO561" s="76">
        <v>41566.626574074071</v>
      </c>
      <c r="AP561" s="79" t="str">
        <f>HYPERLINK("https://pbs.twimg.com/profile_banners/1971886148/1667584791")</f>
        <v>https://pbs.twimg.com/profile_banners/1971886148/1667584791</v>
      </c>
      <c r="AQ561" t="b">
        <v>1</v>
      </c>
      <c r="AR561" t="b">
        <v>0</v>
      </c>
      <c r="AS561" t="b">
        <v>1</v>
      </c>
      <c r="AU561">
        <v>47</v>
      </c>
      <c r="AV561" s="79" t="str">
        <f>HYPERLINK("https://abs.twimg.com/images/themes/theme1/bg.png")</f>
        <v>https://abs.twimg.com/images/themes/theme1/bg.png</v>
      </c>
      <c r="AW561" t="b">
        <v>0</v>
      </c>
      <c r="AX561" t="s">
        <v>9303</v>
      </c>
      <c r="AY561" s="79" t="str">
        <f>HYPERLINK("https://twitter.com/clevelandkitchn")</f>
        <v>https://twitter.com/clevelandkitchn</v>
      </c>
      <c r="AZ561" t="s">
        <v>65</v>
      </c>
      <c r="BA561" s="2"/>
    </row>
    <row r="562" spans="1:53" x14ac:dyDescent="0.45">
      <c r="A562" s="62" t="s">
        <v>958</v>
      </c>
      <c r="B562" s="63"/>
      <c r="C562" s="63"/>
      <c r="D562" s="64"/>
      <c r="E562" s="66"/>
      <c r="F562" s="98" t="str">
        <f>HYPERLINK("https://pbs.twimg.com/profile_images/1493343693692153866/3dXk9NkF_normal.jpg")</f>
        <v>https://pbs.twimg.com/profile_images/1493343693692153866/3dXk9NkF_normal.jpg</v>
      </c>
      <c r="G562" s="63"/>
      <c r="H562" s="67"/>
      <c r="I562" s="68"/>
      <c r="J562" s="68"/>
      <c r="K562" s="67" t="s">
        <v>10414</v>
      </c>
      <c r="L562" s="71"/>
      <c r="M562" s="72"/>
      <c r="N562" s="72"/>
      <c r="O562" s="73"/>
      <c r="P562" s="74"/>
      <c r="Q562" s="74"/>
      <c r="R562" s="81"/>
      <c r="S562" s="81"/>
      <c r="T562" s="81"/>
      <c r="U562" s="81"/>
      <c r="V562" s="48"/>
      <c r="W562" s="48"/>
      <c r="X562" s="48"/>
      <c r="Y562" s="48"/>
      <c r="Z562" s="47"/>
      <c r="AA562" s="69"/>
      <c r="AB562" s="69"/>
      <c r="AC562" s="70"/>
      <c r="AD562" t="s">
        <v>6096</v>
      </c>
      <c r="AE562" s="78" t="s">
        <v>7294</v>
      </c>
      <c r="AF562">
        <v>1680</v>
      </c>
      <c r="AG562">
        <v>2760</v>
      </c>
      <c r="AH562">
        <v>8286</v>
      </c>
      <c r="AI562">
        <v>526</v>
      </c>
      <c r="AK562" t="s">
        <v>8458</v>
      </c>
      <c r="AL562" t="s">
        <v>9205</v>
      </c>
      <c r="AM562" s="79" t="str">
        <f>HYPERLINK("https://t.co/vUCydawTh0")</f>
        <v>https://t.co/vUCydawTh0</v>
      </c>
      <c r="AO562" s="76">
        <v>39772.650335648148</v>
      </c>
      <c r="AP562" s="79" t="str">
        <f>HYPERLINK("https://pbs.twimg.com/profile_banners/17513500/1644875833")</f>
        <v>https://pbs.twimg.com/profile_banners/17513500/1644875833</v>
      </c>
      <c r="AQ562" t="b">
        <v>0</v>
      </c>
      <c r="AR562" t="b">
        <v>0</v>
      </c>
      <c r="AS562" t="b">
        <v>1</v>
      </c>
      <c r="AU562">
        <v>257</v>
      </c>
      <c r="AV562" s="79" t="str">
        <f>HYPERLINK("https://abs.twimg.com/images/themes/theme1/bg.png")</f>
        <v>https://abs.twimg.com/images/themes/theme1/bg.png</v>
      </c>
      <c r="AW562" t="b">
        <v>0</v>
      </c>
      <c r="AX562" t="s">
        <v>9303</v>
      </c>
      <c r="AY562" s="79" t="str">
        <f>HYPERLINK("https://twitter.com/cuttertweets")</f>
        <v>https://twitter.com/cuttertweets</v>
      </c>
      <c r="AZ562" t="s">
        <v>66</v>
      </c>
      <c r="BA562" s="2"/>
    </row>
    <row r="563" spans="1:53" x14ac:dyDescent="0.45">
      <c r="A563" s="62" t="s">
        <v>964</v>
      </c>
      <c r="B563" s="63"/>
      <c r="C563" s="63"/>
      <c r="D563" s="64"/>
      <c r="E563" s="66"/>
      <c r="F563" s="98" t="str">
        <f>HYPERLINK("https://pbs.twimg.com/profile_images/1573642266253705218/FLkE4sw6_normal.jpg")</f>
        <v>https://pbs.twimg.com/profile_images/1573642266253705218/FLkE4sw6_normal.jpg</v>
      </c>
      <c r="G563" s="63"/>
      <c r="H563" s="67"/>
      <c r="I563" s="68"/>
      <c r="J563" s="68"/>
      <c r="K563" s="67" t="s">
        <v>10426</v>
      </c>
      <c r="L563" s="71"/>
      <c r="M563" s="72"/>
      <c r="N563" s="72"/>
      <c r="O563" s="73"/>
      <c r="P563" s="74"/>
      <c r="Q563" s="74"/>
      <c r="R563" s="81"/>
      <c r="S563" s="81"/>
      <c r="T563" s="81"/>
      <c r="U563" s="81"/>
      <c r="V563" s="48"/>
      <c r="W563" s="48"/>
      <c r="X563" s="48"/>
      <c r="Y563" s="48"/>
      <c r="Z563" s="47"/>
      <c r="AA563" s="69"/>
      <c r="AB563" s="69"/>
      <c r="AC563" s="70"/>
      <c r="AD563" t="s">
        <v>6108</v>
      </c>
      <c r="AE563" s="78" t="s">
        <v>4780</v>
      </c>
      <c r="AF563">
        <v>1329</v>
      </c>
      <c r="AG563">
        <v>2736</v>
      </c>
      <c r="AH563">
        <v>86280</v>
      </c>
      <c r="AI563">
        <v>35707</v>
      </c>
      <c r="AK563" t="s">
        <v>8469</v>
      </c>
      <c r="AL563" t="s">
        <v>8968</v>
      </c>
      <c r="AM563" s="79" t="str">
        <f>HYPERLINK("https://t.co/jAWl864l8d")</f>
        <v>https://t.co/jAWl864l8d</v>
      </c>
      <c r="AO563" s="76">
        <v>40072.494525462964</v>
      </c>
      <c r="AP563" s="79" t="str">
        <f>HYPERLINK("https://pbs.twimg.com/profile_banners/74712032/1632310017")</f>
        <v>https://pbs.twimg.com/profile_banners/74712032/1632310017</v>
      </c>
      <c r="AQ563" t="b">
        <v>0</v>
      </c>
      <c r="AR563" t="b">
        <v>0</v>
      </c>
      <c r="AS563" t="b">
        <v>1</v>
      </c>
      <c r="AU563">
        <v>60</v>
      </c>
      <c r="AV563" s="79" t="str">
        <f>HYPERLINK("https://abs.twimg.com/images/themes/theme2/bg.gif")</f>
        <v>https://abs.twimg.com/images/themes/theme2/bg.gif</v>
      </c>
      <c r="AW563" t="b">
        <v>0</v>
      </c>
      <c r="AX563" t="s">
        <v>9303</v>
      </c>
      <c r="AY563" s="79" t="str">
        <f>HYPERLINK("https://twitter.com/alkulaib")</f>
        <v>https://twitter.com/alkulaib</v>
      </c>
      <c r="AZ563" t="s">
        <v>66</v>
      </c>
      <c r="BA563" s="2"/>
    </row>
    <row r="564" spans="1:53" x14ac:dyDescent="0.45">
      <c r="A564" s="62" t="s">
        <v>516</v>
      </c>
      <c r="B564" s="63"/>
      <c r="C564" s="63"/>
      <c r="D564" s="64"/>
      <c r="E564" s="66"/>
      <c r="F564" s="98" t="str">
        <f>HYPERLINK("https://pbs.twimg.com/profile_images/1613710401648164867/CCHgbAzM_normal.jpg")</f>
        <v>https://pbs.twimg.com/profile_images/1613710401648164867/CCHgbAzM_normal.jpg</v>
      </c>
      <c r="G564" s="63"/>
      <c r="H564" s="67"/>
      <c r="I564" s="68"/>
      <c r="J564" s="68"/>
      <c r="K564" s="67" t="s">
        <v>9804</v>
      </c>
      <c r="L564" s="71"/>
      <c r="M564" s="72"/>
      <c r="N564" s="72"/>
      <c r="O564" s="73"/>
      <c r="P564" s="74"/>
      <c r="Q564" s="74"/>
      <c r="R564" s="81"/>
      <c r="S564" s="81"/>
      <c r="T564" s="81"/>
      <c r="U564" s="81"/>
      <c r="V564" s="48"/>
      <c r="W564" s="48"/>
      <c r="X564" s="48"/>
      <c r="Y564" s="48"/>
      <c r="Z564" s="47"/>
      <c r="AA564" s="69"/>
      <c r="AB564" s="69"/>
      <c r="AC564" s="70"/>
      <c r="AD564" t="s">
        <v>5495</v>
      </c>
      <c r="AE564" s="78" t="s">
        <v>6750</v>
      </c>
      <c r="AF564">
        <v>1708</v>
      </c>
      <c r="AG564">
        <v>2687</v>
      </c>
      <c r="AH564">
        <v>69440</v>
      </c>
      <c r="AI564">
        <v>107172</v>
      </c>
      <c r="AM564" s="79" t="str">
        <f>HYPERLINK("https://t.co/CzUS0rRhAE")</f>
        <v>https://t.co/CzUS0rRhAE</v>
      </c>
      <c r="AO564" s="76">
        <v>43329.951574074075</v>
      </c>
      <c r="AP564" s="79" t="str">
        <f>HYPERLINK("https://pbs.twimg.com/profile_banners/1030587644177252352/1674087742")</f>
        <v>https://pbs.twimg.com/profile_banners/1030587644177252352/1674087742</v>
      </c>
      <c r="AQ564" t="b">
        <v>0</v>
      </c>
      <c r="AR564" t="b">
        <v>0</v>
      </c>
      <c r="AS564" t="b">
        <v>1</v>
      </c>
      <c r="AU564">
        <v>21</v>
      </c>
      <c r="AV564" s="79" t="str">
        <f>HYPERLINK("https://abs.twimg.com/images/themes/theme1/bg.png")</f>
        <v>https://abs.twimg.com/images/themes/theme1/bg.png</v>
      </c>
      <c r="AW564" t="b">
        <v>0</v>
      </c>
      <c r="AX564" t="s">
        <v>9303</v>
      </c>
      <c r="AY564" s="79" t="str">
        <f>HYPERLINK("https://twitter.com/mcgiftz")</f>
        <v>https://twitter.com/mcgiftz</v>
      </c>
      <c r="AZ564" t="s">
        <v>66</v>
      </c>
      <c r="BA564" s="2"/>
    </row>
    <row r="565" spans="1:53" x14ac:dyDescent="0.45">
      <c r="A565" s="62" t="s">
        <v>1527</v>
      </c>
      <c r="B565" s="63"/>
      <c r="C565" s="63"/>
      <c r="D565" s="64"/>
      <c r="E565" s="66"/>
      <c r="F565" s="98" t="str">
        <f>HYPERLINK("https://pbs.twimg.com/profile_images/1536424572123332611/jK9GHBZs_normal.png")</f>
        <v>https://pbs.twimg.com/profile_images/1536424572123332611/jK9GHBZs_normal.png</v>
      </c>
      <c r="G565" s="63"/>
      <c r="H565" s="67"/>
      <c r="I565" s="68"/>
      <c r="J565" s="68"/>
      <c r="K565" s="67" t="s">
        <v>10560</v>
      </c>
      <c r="L565" s="71"/>
      <c r="M565" s="72"/>
      <c r="N565" s="72"/>
      <c r="O565" s="73"/>
      <c r="P565" s="74"/>
      <c r="Q565" s="74"/>
      <c r="R565" s="81"/>
      <c r="S565" s="81"/>
      <c r="T565" s="81"/>
      <c r="U565" s="81"/>
      <c r="V565" s="48"/>
      <c r="W565" s="48"/>
      <c r="X565" s="48"/>
      <c r="Y565" s="48"/>
      <c r="Z565" s="47"/>
      <c r="AA565" s="69"/>
      <c r="AB565" s="69"/>
      <c r="AC565" s="70"/>
      <c r="AD565" t="s">
        <v>6238</v>
      </c>
      <c r="AE565" s="78" t="s">
        <v>7414</v>
      </c>
      <c r="AF565">
        <v>1708</v>
      </c>
      <c r="AG565">
        <v>2686</v>
      </c>
      <c r="AH565">
        <v>8030</v>
      </c>
      <c r="AI565">
        <v>4191</v>
      </c>
      <c r="AK565" t="s">
        <v>8586</v>
      </c>
      <c r="AL565" t="s">
        <v>9259</v>
      </c>
      <c r="AM565" s="79" t="str">
        <f>HYPERLINK("https://t.co/gCIy3heHFa")</f>
        <v>https://t.co/gCIy3heHFa</v>
      </c>
      <c r="AO565" s="76">
        <v>40086.624201388891</v>
      </c>
      <c r="AP565" s="79" t="str">
        <f>HYPERLINK("https://pbs.twimg.com/profile_banners/78621564/1638478609")</f>
        <v>https://pbs.twimg.com/profile_banners/78621564/1638478609</v>
      </c>
      <c r="AQ565" t="b">
        <v>0</v>
      </c>
      <c r="AR565" t="b">
        <v>0</v>
      </c>
      <c r="AS565" t="b">
        <v>1</v>
      </c>
      <c r="AU565">
        <v>91</v>
      </c>
      <c r="AV565" s="79" t="str">
        <f>HYPERLINK("https://abs.twimg.com/images/themes/theme13/bg.gif")</f>
        <v>https://abs.twimg.com/images/themes/theme13/bg.gif</v>
      </c>
      <c r="AW565" t="b">
        <v>0</v>
      </c>
      <c r="AX565" t="s">
        <v>9303</v>
      </c>
      <c r="AY565" s="79" t="str">
        <f>HYPERLINK("https://twitter.com/girlscoutsin")</f>
        <v>https://twitter.com/girlscoutsin</v>
      </c>
      <c r="AZ565" t="s">
        <v>65</v>
      </c>
      <c r="BA565" s="2"/>
    </row>
    <row r="566" spans="1:53" x14ac:dyDescent="0.45">
      <c r="A566" s="62" t="s">
        <v>1065</v>
      </c>
      <c r="B566" s="63"/>
      <c r="C566" s="63"/>
      <c r="D566" s="64"/>
      <c r="E566" s="66"/>
      <c r="F566" s="98" t="str">
        <f>HYPERLINK("https://pbs.twimg.com/profile_images/1299995069005664256/6UMJ8Reb_normal.jpg")</f>
        <v>https://pbs.twimg.com/profile_images/1299995069005664256/6UMJ8Reb_normal.jpg</v>
      </c>
      <c r="G566" s="63"/>
      <c r="H566" s="67"/>
      <c r="I566" s="68"/>
      <c r="J566" s="68"/>
      <c r="K566" s="67" t="s">
        <v>10589</v>
      </c>
      <c r="L566" s="71"/>
      <c r="M566" s="72"/>
      <c r="N566" s="72"/>
      <c r="O566" s="73"/>
      <c r="P566" s="74"/>
      <c r="Q566" s="74"/>
      <c r="R566" s="81"/>
      <c r="S566" s="81"/>
      <c r="T566" s="81"/>
      <c r="U566" s="81"/>
      <c r="V566" s="48"/>
      <c r="W566" s="48"/>
      <c r="X566" s="48"/>
      <c r="Y566" s="48"/>
      <c r="Z566" s="47"/>
      <c r="AA566" s="69"/>
      <c r="AB566" s="69"/>
      <c r="AC566" s="70"/>
      <c r="AD566" t="s">
        <v>6267</v>
      </c>
      <c r="AE566" s="78" t="s">
        <v>7437</v>
      </c>
      <c r="AF566">
        <v>2362</v>
      </c>
      <c r="AG566">
        <v>2666</v>
      </c>
      <c r="AH566">
        <v>3250</v>
      </c>
      <c r="AI566">
        <v>6645</v>
      </c>
      <c r="AK566" t="s">
        <v>8613</v>
      </c>
      <c r="AL566" t="s">
        <v>9276</v>
      </c>
      <c r="AM566" s="79" t="str">
        <f>HYPERLINK("https://t.co/kP9sD6FpRV")</f>
        <v>https://t.co/kP9sD6FpRV</v>
      </c>
      <c r="AO566" s="76">
        <v>43959.303078703706</v>
      </c>
      <c r="AP566" s="79" t="str">
        <f>HYPERLINK("https://pbs.twimg.com/profile_banners/1258656944157491200/1673591046")</f>
        <v>https://pbs.twimg.com/profile_banners/1258656944157491200/1673591046</v>
      </c>
      <c r="AQ566" t="b">
        <v>1</v>
      </c>
      <c r="AR566" t="b">
        <v>0</v>
      </c>
      <c r="AS566" t="b">
        <v>1</v>
      </c>
      <c r="AU566">
        <v>6</v>
      </c>
      <c r="AW566" t="b">
        <v>0</v>
      </c>
      <c r="AX566" t="s">
        <v>9303</v>
      </c>
      <c r="AY566" s="79" t="str">
        <f>HYPERLINK("https://twitter.com/yourbestlifebiz")</f>
        <v>https://twitter.com/yourbestlifebiz</v>
      </c>
      <c r="AZ566" t="s">
        <v>66</v>
      </c>
      <c r="BA566" s="2"/>
    </row>
    <row r="567" spans="1:53" x14ac:dyDescent="0.45">
      <c r="A567" s="62" t="s">
        <v>862</v>
      </c>
      <c r="B567" s="63"/>
      <c r="C567" s="63"/>
      <c r="D567" s="64"/>
      <c r="E567" s="66"/>
      <c r="F567" s="98" t="str">
        <f>HYPERLINK("https://pbs.twimg.com/profile_images/1613912758101106691/WicIpCzz_normal.jpg")</f>
        <v>https://pbs.twimg.com/profile_images/1613912758101106691/WicIpCzz_normal.jpg</v>
      </c>
      <c r="G567" s="63"/>
      <c r="H567" s="67"/>
      <c r="I567" s="68"/>
      <c r="J567" s="68"/>
      <c r="K567" s="67" t="s">
        <v>10261</v>
      </c>
      <c r="L567" s="71"/>
      <c r="M567" s="72"/>
      <c r="N567" s="72"/>
      <c r="O567" s="73"/>
      <c r="P567" s="74"/>
      <c r="Q567" s="74"/>
      <c r="R567" s="81"/>
      <c r="S567" s="81"/>
      <c r="T567" s="81"/>
      <c r="U567" s="81"/>
      <c r="V567" s="48"/>
      <c r="W567" s="48"/>
      <c r="X567" s="48"/>
      <c r="Y567" s="48"/>
      <c r="Z567" s="47"/>
      <c r="AA567" s="69"/>
      <c r="AB567" s="69"/>
      <c r="AC567" s="70"/>
      <c r="AD567" t="s">
        <v>5944</v>
      </c>
      <c r="AE567" s="78" t="s">
        <v>7158</v>
      </c>
      <c r="AF567">
        <v>4999</v>
      </c>
      <c r="AG567">
        <v>2647</v>
      </c>
      <c r="AH567">
        <v>27602</v>
      </c>
      <c r="AI567">
        <v>27131</v>
      </c>
      <c r="AK567" t="s">
        <v>8322</v>
      </c>
      <c r="AO567" s="76">
        <v>44125.209918981483</v>
      </c>
      <c r="AP567" s="79" t="str">
        <f>HYPERLINK("https://pbs.twimg.com/profile_banners/1318779505855598592/1673626730")</f>
        <v>https://pbs.twimg.com/profile_banners/1318779505855598592/1673626730</v>
      </c>
      <c r="AQ567" t="b">
        <v>1</v>
      </c>
      <c r="AR567" t="b">
        <v>0</v>
      </c>
      <c r="AS567" t="b">
        <v>0</v>
      </c>
      <c r="AU567">
        <v>9</v>
      </c>
      <c r="AW567" t="b">
        <v>0</v>
      </c>
      <c r="AX567" t="s">
        <v>9303</v>
      </c>
      <c r="AY567" s="79" t="str">
        <f>HYPERLINK("https://twitter.com/thetealady574")</f>
        <v>https://twitter.com/thetealady574</v>
      </c>
      <c r="AZ567" t="s">
        <v>66</v>
      </c>
      <c r="BA567" s="2"/>
    </row>
    <row r="568" spans="1:53" x14ac:dyDescent="0.45">
      <c r="A568" s="62" t="s">
        <v>683</v>
      </c>
      <c r="B568" s="63"/>
      <c r="C568" s="63"/>
      <c r="D568" s="64"/>
      <c r="E568" s="66"/>
      <c r="F568" s="98" t="str">
        <f>HYPERLINK("https://pbs.twimg.com/profile_images/1095685997894029312/SuyDdSdJ_normal.jpg")</f>
        <v>https://pbs.twimg.com/profile_images/1095685997894029312/SuyDdSdJ_normal.jpg</v>
      </c>
      <c r="G568" s="63"/>
      <c r="H568" s="67"/>
      <c r="I568" s="68"/>
      <c r="J568" s="68"/>
      <c r="K568" s="67" t="s">
        <v>10006</v>
      </c>
      <c r="L568" s="71"/>
      <c r="M568" s="72"/>
      <c r="N568" s="72"/>
      <c r="O568" s="73"/>
      <c r="P568" s="74"/>
      <c r="Q568" s="74"/>
      <c r="R568" s="81"/>
      <c r="S568" s="81"/>
      <c r="T568" s="81"/>
      <c r="U568" s="81"/>
      <c r="V568" s="48"/>
      <c r="W568" s="48"/>
      <c r="X568" s="48"/>
      <c r="Y568" s="48"/>
      <c r="Z568" s="47"/>
      <c r="AA568" s="69"/>
      <c r="AB568" s="69"/>
      <c r="AC568" s="70"/>
      <c r="AD568" t="s">
        <v>5696</v>
      </c>
      <c r="AE568" s="78" t="s">
        <v>6937</v>
      </c>
      <c r="AF568">
        <v>787</v>
      </c>
      <c r="AG568">
        <v>2544</v>
      </c>
      <c r="AH568">
        <v>4370</v>
      </c>
      <c r="AI568">
        <v>1107</v>
      </c>
      <c r="AK568" t="s">
        <v>8102</v>
      </c>
      <c r="AL568" t="s">
        <v>8959</v>
      </c>
      <c r="AM568" s="79" t="str">
        <f>HYPERLINK("https://t.co/fmJiHNNDMu")</f>
        <v>https://t.co/fmJiHNNDMu</v>
      </c>
      <c r="AO568" s="76">
        <v>41412.562777777777</v>
      </c>
      <c r="AP568" s="79" t="str">
        <f>HYPERLINK("https://pbs.twimg.com/profile_banners/1438409804/1616784970")</f>
        <v>https://pbs.twimg.com/profile_banners/1438409804/1616784970</v>
      </c>
      <c r="AQ568" t="b">
        <v>1</v>
      </c>
      <c r="AR568" t="b">
        <v>0</v>
      </c>
      <c r="AS568" t="b">
        <v>1</v>
      </c>
      <c r="AU568">
        <v>95</v>
      </c>
      <c r="AV568" s="79" t="str">
        <f>HYPERLINK("https://abs.twimg.com/images/themes/theme1/bg.png")</f>
        <v>https://abs.twimg.com/images/themes/theme1/bg.png</v>
      </c>
      <c r="AW568" t="b">
        <v>0</v>
      </c>
      <c r="AX568" t="s">
        <v>9303</v>
      </c>
      <c r="AY568" s="79" t="str">
        <f>HYPERLINK("https://twitter.com/omnitalk")</f>
        <v>https://twitter.com/omnitalk</v>
      </c>
      <c r="AZ568" t="s">
        <v>66</v>
      </c>
      <c r="BA568" s="2"/>
    </row>
    <row r="569" spans="1:53" x14ac:dyDescent="0.45">
      <c r="A569" s="62" t="s">
        <v>1121</v>
      </c>
      <c r="B569" s="63"/>
      <c r="C569" s="63"/>
      <c r="D569" s="64"/>
      <c r="E569" s="66"/>
      <c r="F569" s="98" t="str">
        <f>HYPERLINK("https://pbs.twimg.com/profile_images/1487876492642197504/eX0g5kIC_normal.jpg")</f>
        <v>https://pbs.twimg.com/profile_images/1487876492642197504/eX0g5kIC_normal.jpg</v>
      </c>
      <c r="G569" s="63"/>
      <c r="H569" s="67"/>
      <c r="I569" s="68"/>
      <c r="J569" s="68"/>
      <c r="K569" s="67" t="s">
        <v>9335</v>
      </c>
      <c r="L569" s="71"/>
      <c r="M569" s="72"/>
      <c r="N569" s="72"/>
      <c r="O569" s="73"/>
      <c r="P569" s="74"/>
      <c r="Q569" s="74"/>
      <c r="R569" s="81"/>
      <c r="S569" s="81"/>
      <c r="T569" s="81"/>
      <c r="U569" s="81"/>
      <c r="V569" s="48"/>
      <c r="W569" s="48"/>
      <c r="X569" s="48"/>
      <c r="Y569" s="48"/>
      <c r="Z569" s="47"/>
      <c r="AA569" s="69"/>
      <c r="AB569" s="69"/>
      <c r="AC569" s="70"/>
      <c r="AD569" t="s">
        <v>5031</v>
      </c>
      <c r="AE569" s="78" t="s">
        <v>6349</v>
      </c>
      <c r="AF569">
        <v>1008</v>
      </c>
      <c r="AG569">
        <v>2525</v>
      </c>
      <c r="AH569">
        <v>1559</v>
      </c>
      <c r="AI569">
        <v>1678</v>
      </c>
      <c r="AK569" t="s">
        <v>7519</v>
      </c>
      <c r="AL569" t="s">
        <v>8693</v>
      </c>
      <c r="AM569" s="79" t="str">
        <f>HYPERLINK("https://t.co/LPNI8TPXvC")</f>
        <v>https://t.co/LPNI8TPXvC</v>
      </c>
      <c r="AO569" s="76">
        <v>42556.625416666669</v>
      </c>
      <c r="AP569" s="79" t="str">
        <f>HYPERLINK("https://pbs.twimg.com/profile_banners/750343626908135424/1643572374")</f>
        <v>https://pbs.twimg.com/profile_banners/750343626908135424/1643572374</v>
      </c>
      <c r="AQ569" t="b">
        <v>0</v>
      </c>
      <c r="AR569" t="b">
        <v>0</v>
      </c>
      <c r="AS569" t="b">
        <v>1</v>
      </c>
      <c r="AU569">
        <v>49</v>
      </c>
      <c r="AV569" s="79" t="str">
        <f>HYPERLINK("https://abs.twimg.com/images/themes/theme1/bg.png")</f>
        <v>https://abs.twimg.com/images/themes/theme1/bg.png</v>
      </c>
      <c r="AW569" t="b">
        <v>0</v>
      </c>
      <c r="AX569" t="s">
        <v>9303</v>
      </c>
      <c r="AY569" s="79" t="str">
        <f>HYPERLINK("https://twitter.com/godroneup")</f>
        <v>https://twitter.com/godroneup</v>
      </c>
      <c r="AZ569" t="s">
        <v>65</v>
      </c>
      <c r="BA569" s="2"/>
    </row>
    <row r="570" spans="1:53" x14ac:dyDescent="0.45">
      <c r="A570" s="62" t="s">
        <v>1553</v>
      </c>
      <c r="B570" s="63"/>
      <c r="C570" s="63"/>
      <c r="D570" s="64"/>
      <c r="E570" s="66"/>
      <c r="F570" s="98" t="str">
        <f>HYPERLINK("https://pbs.twimg.com/profile_images/1611107259307753476/9bfYskF3_normal.jpg")</f>
        <v>https://pbs.twimg.com/profile_images/1611107259307753476/9bfYskF3_normal.jpg</v>
      </c>
      <c r="G570" s="63"/>
      <c r="H570" s="67"/>
      <c r="I570" s="68"/>
      <c r="J570" s="68"/>
      <c r="K570" s="67" t="s">
        <v>10614</v>
      </c>
      <c r="L570" s="71"/>
      <c r="M570" s="72"/>
      <c r="N570" s="72"/>
      <c r="O570" s="73"/>
      <c r="P570" s="74"/>
      <c r="Q570" s="74"/>
      <c r="R570" s="81"/>
      <c r="S570" s="81"/>
      <c r="T570" s="81"/>
      <c r="U570" s="81"/>
      <c r="V570" s="48"/>
      <c r="W570" s="48"/>
      <c r="X570" s="48"/>
      <c r="Y570" s="48"/>
      <c r="Z570" s="47"/>
      <c r="AA570" s="69"/>
      <c r="AB570" s="69"/>
      <c r="AC570" s="70"/>
      <c r="AD570" t="s">
        <v>6290</v>
      </c>
      <c r="AE570" s="78" t="s">
        <v>7455</v>
      </c>
      <c r="AF570">
        <v>936</v>
      </c>
      <c r="AG570">
        <v>2523</v>
      </c>
      <c r="AH570">
        <v>15644</v>
      </c>
      <c r="AI570">
        <v>5235</v>
      </c>
      <c r="AK570" t="s">
        <v>8636</v>
      </c>
      <c r="AM570" s="79" t="str">
        <f>HYPERLINK("https://t.co/rF2cgjmcpE")</f>
        <v>https://t.co/rF2cgjmcpE</v>
      </c>
      <c r="AO570" s="76">
        <v>39938.743831018517</v>
      </c>
      <c r="AP570" s="79" t="str">
        <f>HYPERLINK("https://pbs.twimg.com/profile_banners/37976637/1670907644")</f>
        <v>https://pbs.twimg.com/profile_banners/37976637/1670907644</v>
      </c>
      <c r="AQ570" t="b">
        <v>1</v>
      </c>
      <c r="AR570" t="b">
        <v>0</v>
      </c>
      <c r="AS570" t="b">
        <v>0</v>
      </c>
      <c r="AU570">
        <v>15</v>
      </c>
      <c r="AV570" s="79" t="str">
        <f>HYPERLINK("https://abs.twimg.com/images/themes/theme1/bg.png")</f>
        <v>https://abs.twimg.com/images/themes/theme1/bg.png</v>
      </c>
      <c r="AW570" t="b">
        <v>0</v>
      </c>
      <c r="AX570" t="s">
        <v>9303</v>
      </c>
      <c r="AY570" s="79" t="str">
        <f>HYPERLINK("https://twitter.com/pactstopcrt")</f>
        <v>https://twitter.com/pactstopcrt</v>
      </c>
      <c r="AZ570" t="s">
        <v>65</v>
      </c>
      <c r="BA570" s="2"/>
    </row>
    <row r="571" spans="1:53" x14ac:dyDescent="0.45">
      <c r="A571" s="62" t="s">
        <v>1544</v>
      </c>
      <c r="B571" s="63"/>
      <c r="C571" s="63"/>
      <c r="D571" s="64"/>
      <c r="E571" s="66"/>
      <c r="F571" s="98" t="str">
        <f>HYPERLINK("https://pbs.twimg.com/profile_images/1458138608976629768/p4b5KT13_normal.jpg")</f>
        <v>https://pbs.twimg.com/profile_images/1458138608976629768/p4b5KT13_normal.jpg</v>
      </c>
      <c r="G571" s="63"/>
      <c r="H571" s="67"/>
      <c r="I571" s="68"/>
      <c r="J571" s="68"/>
      <c r="K571" s="67" t="s">
        <v>10595</v>
      </c>
      <c r="L571" s="71"/>
      <c r="M571" s="72"/>
      <c r="N571" s="72"/>
      <c r="O571" s="73"/>
      <c r="P571" s="74"/>
      <c r="Q571" s="74"/>
      <c r="R571" s="81"/>
      <c r="S571" s="81"/>
      <c r="T571" s="81"/>
      <c r="U571" s="81"/>
      <c r="V571" s="48"/>
      <c r="W571" s="48"/>
      <c r="X571" s="48"/>
      <c r="Y571" s="48"/>
      <c r="Z571" s="47"/>
      <c r="AA571" s="69"/>
      <c r="AB571" s="69"/>
      <c r="AC571" s="70"/>
      <c r="AD571" t="s">
        <v>6272</v>
      </c>
      <c r="AE571" s="78" t="s">
        <v>7441</v>
      </c>
      <c r="AF571">
        <v>345</v>
      </c>
      <c r="AG571">
        <v>2506</v>
      </c>
      <c r="AH571">
        <v>518</v>
      </c>
      <c r="AI571">
        <v>298</v>
      </c>
      <c r="AK571" t="s">
        <v>8619</v>
      </c>
      <c r="AL571" t="s">
        <v>8711</v>
      </c>
      <c r="AO571" s="76">
        <v>40325.394097222219</v>
      </c>
      <c r="AP571" s="79" t="str">
        <f>HYPERLINK("https://pbs.twimg.com/profile_banners/148675709/1519387637")</f>
        <v>https://pbs.twimg.com/profile_banners/148675709/1519387637</v>
      </c>
      <c r="AQ571" t="b">
        <v>0</v>
      </c>
      <c r="AR571" t="b">
        <v>0</v>
      </c>
      <c r="AS571" t="b">
        <v>1</v>
      </c>
      <c r="AU571">
        <v>21</v>
      </c>
      <c r="AV571" s="79" t="str">
        <f>HYPERLINK("https://abs.twimg.com/images/themes/theme2/bg.gif")</f>
        <v>https://abs.twimg.com/images/themes/theme2/bg.gif</v>
      </c>
      <c r="AW571" t="b">
        <v>0</v>
      </c>
      <c r="AX571" t="s">
        <v>9303</v>
      </c>
      <c r="AY571" s="79" t="str">
        <f>HYPERLINK("https://twitter.com/raghugnandan")</f>
        <v>https://twitter.com/raghugnandan</v>
      </c>
      <c r="AZ571" t="s">
        <v>65</v>
      </c>
      <c r="BA571" s="2"/>
    </row>
    <row r="572" spans="1:53" x14ac:dyDescent="0.45">
      <c r="A572" s="62" t="s">
        <v>363</v>
      </c>
      <c r="B572" s="63"/>
      <c r="C572" s="63"/>
      <c r="D572" s="64"/>
      <c r="E572" s="66"/>
      <c r="F572" s="98" t="str">
        <f>HYPERLINK("https://pbs.twimg.com/profile_images/1436169271067901953/C7F2iupd_normal.png")</f>
        <v>https://pbs.twimg.com/profile_images/1436169271067901953/C7F2iupd_normal.png</v>
      </c>
      <c r="G572" s="63"/>
      <c r="H572" s="67"/>
      <c r="I572" s="68"/>
      <c r="J572" s="68"/>
      <c r="K572" s="67" t="s">
        <v>9606</v>
      </c>
      <c r="L572" s="71"/>
      <c r="M572" s="72"/>
      <c r="N572" s="72"/>
      <c r="O572" s="73"/>
      <c r="P572" s="74"/>
      <c r="Q572" s="74"/>
      <c r="R572" s="81"/>
      <c r="S572" s="81"/>
      <c r="T572" s="81"/>
      <c r="U572" s="81"/>
      <c r="V572" s="48"/>
      <c r="W572" s="48"/>
      <c r="X572" s="48"/>
      <c r="Y572" s="48"/>
      <c r="Z572" s="47"/>
      <c r="AA572" s="69"/>
      <c r="AB572" s="69"/>
      <c r="AC572" s="70"/>
      <c r="AD572" t="s">
        <v>5299</v>
      </c>
      <c r="AE572" s="78" t="s">
        <v>6577</v>
      </c>
      <c r="AF572">
        <v>5001</v>
      </c>
      <c r="AG572">
        <v>2499</v>
      </c>
      <c r="AH572">
        <v>5157</v>
      </c>
      <c r="AI572">
        <v>6267</v>
      </c>
      <c r="AK572" t="s">
        <v>7755</v>
      </c>
      <c r="AO572" s="76">
        <v>44222.221597222226</v>
      </c>
      <c r="AP572" s="79" t="str">
        <f>HYPERLINK("https://pbs.twimg.com/profile_banners/1353935438671581184/1631411275")</f>
        <v>https://pbs.twimg.com/profile_banners/1353935438671581184/1631411275</v>
      </c>
      <c r="AQ572" t="b">
        <v>1</v>
      </c>
      <c r="AR572" t="b">
        <v>0</v>
      </c>
      <c r="AS572" t="b">
        <v>0</v>
      </c>
      <c r="AU572">
        <v>17</v>
      </c>
      <c r="AW572" t="b">
        <v>0</v>
      </c>
      <c r="AX572" t="s">
        <v>9303</v>
      </c>
      <c r="AY572" s="79" t="str">
        <f>HYPERLINK("https://twitter.com/seattledsalabor")</f>
        <v>https://twitter.com/seattledsalabor</v>
      </c>
      <c r="AZ572" t="s">
        <v>66</v>
      </c>
      <c r="BA572" s="2"/>
    </row>
    <row r="573" spans="1:53" x14ac:dyDescent="0.45">
      <c r="A573" s="62" t="s">
        <v>381</v>
      </c>
      <c r="B573" s="63"/>
      <c r="C573" s="63"/>
      <c r="D573" s="64"/>
      <c r="E573" s="66"/>
      <c r="F573" s="98" t="str">
        <f>HYPERLINK("https://pbs.twimg.com/profile_images/1616509224397246477/NDfIbONe_normal.jpg")</f>
        <v>https://pbs.twimg.com/profile_images/1616509224397246477/NDfIbONe_normal.jpg</v>
      </c>
      <c r="G573" s="63"/>
      <c r="H573" s="67"/>
      <c r="I573" s="68"/>
      <c r="J573" s="68"/>
      <c r="K573" s="67" t="s">
        <v>9627</v>
      </c>
      <c r="L573" s="71"/>
      <c r="M573" s="72"/>
      <c r="N573" s="72"/>
      <c r="O573" s="73"/>
      <c r="P573" s="74"/>
      <c r="Q573" s="74"/>
      <c r="R573" s="81"/>
      <c r="S573" s="81"/>
      <c r="T573" s="81"/>
      <c r="U573" s="81"/>
      <c r="V573" s="48"/>
      <c r="W573" s="48"/>
      <c r="X573" s="48"/>
      <c r="Y573" s="48"/>
      <c r="Z573" s="47"/>
      <c r="AA573" s="69"/>
      <c r="AB573" s="69"/>
      <c r="AC573" s="70"/>
      <c r="AD573" t="s">
        <v>5320</v>
      </c>
      <c r="AE573" s="78" t="s">
        <v>6596</v>
      </c>
      <c r="AF573">
        <v>1059</v>
      </c>
      <c r="AG573">
        <v>2487</v>
      </c>
      <c r="AH573">
        <v>67283</v>
      </c>
      <c r="AI573">
        <v>66638</v>
      </c>
      <c r="AK573" t="s">
        <v>7774</v>
      </c>
      <c r="AL573" t="s">
        <v>8846</v>
      </c>
      <c r="AM573" s="79" t="str">
        <f>HYPERLINK("https://t.co/x5GCka54nF")</f>
        <v>https://t.co/x5GCka54nF</v>
      </c>
      <c r="AO573" s="76">
        <v>41707.158993055556</v>
      </c>
      <c r="AP573" s="79" t="str">
        <f>HYPERLINK("https://pbs.twimg.com/profile_banners/2379761076/1602854517")</f>
        <v>https://pbs.twimg.com/profile_banners/2379761076/1602854517</v>
      </c>
      <c r="AQ573" t="b">
        <v>1</v>
      </c>
      <c r="AR573" t="b">
        <v>0</v>
      </c>
      <c r="AS573" t="b">
        <v>1</v>
      </c>
      <c r="AU573">
        <v>10</v>
      </c>
      <c r="AV573" s="79" t="str">
        <f>HYPERLINK("https://abs.twimg.com/images/themes/theme1/bg.png")</f>
        <v>https://abs.twimg.com/images/themes/theme1/bg.png</v>
      </c>
      <c r="AW573" t="b">
        <v>0</v>
      </c>
      <c r="AX573" t="s">
        <v>9303</v>
      </c>
      <c r="AY573" s="79" t="str">
        <f>HYPERLINK("https://twitter.com/midnightheartmc")</f>
        <v>https://twitter.com/midnightheartmc</v>
      </c>
      <c r="AZ573" t="s">
        <v>66</v>
      </c>
      <c r="BA573" s="2"/>
    </row>
    <row r="574" spans="1:53" x14ac:dyDescent="0.45">
      <c r="A574" s="62" t="s">
        <v>608</v>
      </c>
      <c r="B574" s="63"/>
      <c r="C574" s="63"/>
      <c r="D574" s="64"/>
      <c r="E574" s="66"/>
      <c r="F574" s="98" t="str">
        <f>HYPERLINK("https://pbs.twimg.com/profile_images/875905992302616576/KpCeJnLb_normal.jpg")</f>
        <v>https://pbs.twimg.com/profile_images/875905992302616576/KpCeJnLb_normal.jpg</v>
      </c>
      <c r="G574" s="63"/>
      <c r="H574" s="67"/>
      <c r="I574" s="68"/>
      <c r="J574" s="68"/>
      <c r="K574" s="67" t="s">
        <v>9906</v>
      </c>
      <c r="L574" s="71"/>
      <c r="M574" s="72"/>
      <c r="N574" s="72"/>
      <c r="O574" s="73"/>
      <c r="P574" s="74"/>
      <c r="Q574" s="74"/>
      <c r="R574" s="81"/>
      <c r="S574" s="81"/>
      <c r="T574" s="81"/>
      <c r="U574" s="81"/>
      <c r="V574" s="48"/>
      <c r="W574" s="48"/>
      <c r="X574" s="48"/>
      <c r="Y574" s="48"/>
      <c r="Z574" s="47"/>
      <c r="AA574" s="69"/>
      <c r="AB574" s="69"/>
      <c r="AC574" s="70"/>
      <c r="AD574" t="s">
        <v>5597</v>
      </c>
      <c r="AE574" s="78" t="s">
        <v>6842</v>
      </c>
      <c r="AF574">
        <v>4075</v>
      </c>
      <c r="AG574">
        <v>2468</v>
      </c>
      <c r="AH574">
        <v>27969</v>
      </c>
      <c r="AI574">
        <v>40</v>
      </c>
      <c r="AK574" t="s">
        <v>8020</v>
      </c>
      <c r="AL574" t="s">
        <v>8989</v>
      </c>
      <c r="AM574" s="79" t="str">
        <f>HYPERLINK("https://t.co/L9fpXpmfyz")</f>
        <v>https://t.co/L9fpXpmfyz</v>
      </c>
      <c r="AO574" s="76">
        <v>39685.119212962964</v>
      </c>
      <c r="AP574" s="79" t="str">
        <f>HYPERLINK("https://pbs.twimg.com/profile_banners/15976691/1497668582")</f>
        <v>https://pbs.twimg.com/profile_banners/15976691/1497668582</v>
      </c>
      <c r="AQ574" t="b">
        <v>0</v>
      </c>
      <c r="AR574" t="b">
        <v>0</v>
      </c>
      <c r="AS574" t="b">
        <v>0</v>
      </c>
      <c r="AU574">
        <v>36</v>
      </c>
      <c r="AV574" s="79" t="str">
        <f>HYPERLINK("https://abs.twimg.com/images/themes/theme9/bg.gif")</f>
        <v>https://abs.twimg.com/images/themes/theme9/bg.gif</v>
      </c>
      <c r="AW574" t="b">
        <v>0</v>
      </c>
      <c r="AX574" t="s">
        <v>9303</v>
      </c>
      <c r="AY574" s="79" t="str">
        <f>HYPERLINK("https://twitter.com/snakemannn")</f>
        <v>https://twitter.com/snakemannn</v>
      </c>
      <c r="AZ574" t="s">
        <v>66</v>
      </c>
      <c r="BA574" s="2"/>
    </row>
    <row r="575" spans="1:53" x14ac:dyDescent="0.45">
      <c r="A575" s="62" t="s">
        <v>518</v>
      </c>
      <c r="B575" s="63"/>
      <c r="C575" s="63"/>
      <c r="D575" s="64"/>
      <c r="E575" s="66"/>
      <c r="F575" s="98" t="str">
        <f>HYPERLINK("https://pbs.twimg.com/profile_images/1335026243511541760/Ne-Y3Cif_normal.jpg")</f>
        <v>https://pbs.twimg.com/profile_images/1335026243511541760/Ne-Y3Cif_normal.jpg</v>
      </c>
      <c r="G575" s="63"/>
      <c r="H575" s="67"/>
      <c r="I575" s="68"/>
      <c r="J575" s="68"/>
      <c r="K575" s="67" t="s">
        <v>9807</v>
      </c>
      <c r="L575" s="71"/>
      <c r="M575" s="72"/>
      <c r="N575" s="72"/>
      <c r="O575" s="73"/>
      <c r="P575" s="74"/>
      <c r="Q575" s="74"/>
      <c r="R575" s="81"/>
      <c r="S575" s="81"/>
      <c r="T575" s="81"/>
      <c r="U575" s="81"/>
      <c r="V575" s="48"/>
      <c r="W575" s="48"/>
      <c r="X575" s="48"/>
      <c r="Y575" s="48"/>
      <c r="Z575" s="47"/>
      <c r="AA575" s="69"/>
      <c r="AB575" s="69"/>
      <c r="AC575" s="70"/>
      <c r="AD575" t="s">
        <v>5498</v>
      </c>
      <c r="AE575" s="78" t="s">
        <v>6753</v>
      </c>
      <c r="AF575">
        <v>4992</v>
      </c>
      <c r="AG575">
        <v>2442</v>
      </c>
      <c r="AH575">
        <v>26718</v>
      </c>
      <c r="AI575">
        <v>26730</v>
      </c>
      <c r="AK575" t="s">
        <v>7926</v>
      </c>
      <c r="AL575" t="s">
        <v>8761</v>
      </c>
      <c r="AO575" s="76">
        <v>42619.087245370371</v>
      </c>
      <c r="AP575" s="79" t="str">
        <f>HYPERLINK("https://pbs.twimg.com/profile_banners/772979035164975106/1612376194")</f>
        <v>https://pbs.twimg.com/profile_banners/772979035164975106/1612376194</v>
      </c>
      <c r="AQ575" t="b">
        <v>0</v>
      </c>
      <c r="AR575" t="b">
        <v>0</v>
      </c>
      <c r="AS575" t="b">
        <v>1</v>
      </c>
      <c r="AU575">
        <v>25</v>
      </c>
      <c r="AV575" s="79" t="str">
        <f>HYPERLINK("https://abs.twimg.com/images/themes/theme1/bg.png")</f>
        <v>https://abs.twimg.com/images/themes/theme1/bg.png</v>
      </c>
      <c r="AW575" t="b">
        <v>0</v>
      </c>
      <c r="AX575" t="s">
        <v>9303</v>
      </c>
      <c r="AY575" s="79" t="str">
        <f>HYPERLINK("https://twitter.com/408nate")</f>
        <v>https://twitter.com/408nate</v>
      </c>
      <c r="AZ575" t="s">
        <v>66</v>
      </c>
      <c r="BA575" s="2"/>
    </row>
    <row r="576" spans="1:53" x14ac:dyDescent="0.45">
      <c r="A576" s="62" t="s">
        <v>610</v>
      </c>
      <c r="B576" s="63"/>
      <c r="C576" s="63"/>
      <c r="D576" s="64"/>
      <c r="E576" s="66"/>
      <c r="F576" s="98" t="str">
        <f>HYPERLINK("https://pbs.twimg.com/profile_images/1603599858748624898/1TTguING_normal.jpg")</f>
        <v>https://pbs.twimg.com/profile_images/1603599858748624898/1TTguING_normal.jpg</v>
      </c>
      <c r="G576" s="63"/>
      <c r="H576" s="67"/>
      <c r="I576" s="68"/>
      <c r="J576" s="68"/>
      <c r="K576" s="67" t="s">
        <v>9910</v>
      </c>
      <c r="L576" s="71"/>
      <c r="M576" s="72"/>
      <c r="N576" s="72"/>
      <c r="O576" s="73"/>
      <c r="P576" s="74"/>
      <c r="Q576" s="74"/>
      <c r="R576" s="81"/>
      <c r="S576" s="81"/>
      <c r="T576" s="81"/>
      <c r="U576" s="81"/>
      <c r="V576" s="48"/>
      <c r="W576" s="48"/>
      <c r="X576" s="48"/>
      <c r="Y576" s="48"/>
      <c r="Z576" s="47"/>
      <c r="AA576" s="69"/>
      <c r="AB576" s="69"/>
      <c r="AC576" s="70"/>
      <c r="AD576" t="s">
        <v>5601</v>
      </c>
      <c r="AE576" s="78" t="s">
        <v>6846</v>
      </c>
      <c r="AF576">
        <v>137</v>
      </c>
      <c r="AG576">
        <v>2428</v>
      </c>
      <c r="AH576">
        <v>122848</v>
      </c>
      <c r="AI576">
        <v>1734</v>
      </c>
      <c r="AK576" t="s">
        <v>8024</v>
      </c>
      <c r="AL576" t="s">
        <v>8993</v>
      </c>
      <c r="AO576" s="76">
        <v>40417.139525462961</v>
      </c>
      <c r="AP576" s="79" t="str">
        <f>HYPERLINK("https://pbs.twimg.com/profile_banners/183488012/1651132891")</f>
        <v>https://pbs.twimg.com/profile_banners/183488012/1651132891</v>
      </c>
      <c r="AQ576" t="b">
        <v>0</v>
      </c>
      <c r="AR576" t="b">
        <v>0</v>
      </c>
      <c r="AS576" t="b">
        <v>1</v>
      </c>
      <c r="AU576">
        <v>42</v>
      </c>
      <c r="AV576" s="79" t="str">
        <f>HYPERLINK("https://abs.twimg.com/images/themes/theme10/bg.gif")</f>
        <v>https://abs.twimg.com/images/themes/theme10/bg.gif</v>
      </c>
      <c r="AW576" t="b">
        <v>0</v>
      </c>
      <c r="AX576" t="s">
        <v>9303</v>
      </c>
      <c r="AY576" s="79" t="str">
        <f>HYPERLINK("https://twitter.com/dcomcustomized")</f>
        <v>https://twitter.com/dcomcustomized</v>
      </c>
      <c r="AZ576" t="s">
        <v>66</v>
      </c>
      <c r="BA576" s="2"/>
    </row>
    <row r="577" spans="1:53" x14ac:dyDescent="0.45">
      <c r="A577" s="62" t="s">
        <v>482</v>
      </c>
      <c r="B577" s="63"/>
      <c r="C577" s="63"/>
      <c r="D577" s="64"/>
      <c r="E577" s="66"/>
      <c r="F577" s="98" t="str">
        <f>HYPERLINK("https://pbs.twimg.com/profile_images/1619916030100312065/atVIacty_normal.jpg")</f>
        <v>https://pbs.twimg.com/profile_images/1619916030100312065/atVIacty_normal.jpg</v>
      </c>
      <c r="G577" s="63"/>
      <c r="H577" s="67"/>
      <c r="I577" s="68"/>
      <c r="J577" s="68"/>
      <c r="K577" s="67" t="s">
        <v>9754</v>
      </c>
      <c r="L577" s="71"/>
      <c r="M577" s="72"/>
      <c r="N577" s="72"/>
      <c r="O577" s="73"/>
      <c r="P577" s="74"/>
      <c r="Q577" s="74"/>
      <c r="R577" s="81"/>
      <c r="S577" s="81"/>
      <c r="T577" s="81"/>
      <c r="U577" s="81"/>
      <c r="V577" s="48"/>
      <c r="W577" s="48"/>
      <c r="X577" s="48"/>
      <c r="Y577" s="48"/>
      <c r="Z577" s="47"/>
      <c r="AA577" s="69"/>
      <c r="AB577" s="69"/>
      <c r="AC577" s="70"/>
      <c r="AD577" t="s">
        <v>5446</v>
      </c>
      <c r="AE577" s="78" t="s">
        <v>6711</v>
      </c>
      <c r="AF577">
        <v>3468</v>
      </c>
      <c r="AG577">
        <v>2426</v>
      </c>
      <c r="AH577">
        <v>44502</v>
      </c>
      <c r="AI577">
        <v>320225</v>
      </c>
      <c r="AK577" t="s">
        <v>7881</v>
      </c>
      <c r="AL577" t="s">
        <v>8902</v>
      </c>
      <c r="AM577" s="79" t="str">
        <f>HYPERLINK("https://t.co/SESvaLxiP9")</f>
        <v>https://t.co/SESvaLxiP9</v>
      </c>
      <c r="AO577" s="76">
        <v>42389.199664351851</v>
      </c>
      <c r="AP577" s="79" t="str">
        <f>HYPERLINK("https://pbs.twimg.com/profile_banners/4828694644/1675053052")</f>
        <v>https://pbs.twimg.com/profile_banners/4828694644/1675053052</v>
      </c>
      <c r="AQ577" t="b">
        <v>0</v>
      </c>
      <c r="AR577" t="b">
        <v>0</v>
      </c>
      <c r="AS577" t="b">
        <v>1</v>
      </c>
      <c r="AU577">
        <v>7</v>
      </c>
      <c r="AV577" s="79" t="str">
        <f>HYPERLINK("https://abs.twimg.com/images/themes/theme1/bg.png")</f>
        <v>https://abs.twimg.com/images/themes/theme1/bg.png</v>
      </c>
      <c r="AW577" t="b">
        <v>0</v>
      </c>
      <c r="AX577" t="s">
        <v>9303</v>
      </c>
      <c r="AY577" s="79" t="str">
        <f>HYPERLINK("https://twitter.com/youngerbluess")</f>
        <v>https://twitter.com/youngerbluess</v>
      </c>
      <c r="AZ577" t="s">
        <v>66</v>
      </c>
      <c r="BA577" s="2"/>
    </row>
    <row r="578" spans="1:53" x14ac:dyDescent="0.45">
      <c r="A578" s="62" t="s">
        <v>695</v>
      </c>
      <c r="B578" s="63"/>
      <c r="C578" s="63"/>
      <c r="D578" s="64"/>
      <c r="E578" s="66"/>
      <c r="F578" s="98" t="str">
        <f>HYPERLINK("https://pbs.twimg.com/profile_images/1614593051191836674/bQ_ql2gz_normal.jpg")</f>
        <v>https://pbs.twimg.com/profile_images/1614593051191836674/bQ_ql2gz_normal.jpg</v>
      </c>
      <c r="G578" s="63"/>
      <c r="H578" s="67"/>
      <c r="I578" s="68"/>
      <c r="J578" s="68"/>
      <c r="K578" s="67" t="s">
        <v>10030</v>
      </c>
      <c r="L578" s="71"/>
      <c r="M578" s="72"/>
      <c r="N578" s="72"/>
      <c r="O578" s="73"/>
      <c r="P578" s="74"/>
      <c r="Q578" s="74"/>
      <c r="R578" s="81"/>
      <c r="S578" s="81"/>
      <c r="T578" s="81"/>
      <c r="U578" s="81"/>
      <c r="V578" s="48"/>
      <c r="W578" s="48"/>
      <c r="X578" s="48"/>
      <c r="Y578" s="48"/>
      <c r="Z578" s="47"/>
      <c r="AA578" s="69"/>
      <c r="AB578" s="69"/>
      <c r="AC578" s="70"/>
      <c r="AD578" t="s">
        <v>5720</v>
      </c>
      <c r="AE578" s="78" t="s">
        <v>6957</v>
      </c>
      <c r="AF578">
        <v>2193</v>
      </c>
      <c r="AG578">
        <v>2400</v>
      </c>
      <c r="AH578">
        <v>57930</v>
      </c>
      <c r="AI578">
        <v>959</v>
      </c>
      <c r="AL578" t="s">
        <v>9019</v>
      </c>
      <c r="AM578" s="79" t="str">
        <f>HYPERLINK("https://t.co/E1EtYtJVOW")</f>
        <v>https://t.co/E1EtYtJVOW</v>
      </c>
      <c r="AO578" s="76">
        <v>40651.116851851853</v>
      </c>
      <c r="AP578" s="79" t="str">
        <f>HYPERLINK("https://pbs.twimg.com/profile_banners/283818290/1673783967")</f>
        <v>https://pbs.twimg.com/profile_banners/283818290/1673783967</v>
      </c>
      <c r="AQ578" t="b">
        <v>0</v>
      </c>
      <c r="AR578" t="b">
        <v>0</v>
      </c>
      <c r="AS578" t="b">
        <v>1</v>
      </c>
      <c r="AU578">
        <v>17</v>
      </c>
      <c r="AV578" s="79" t="str">
        <f>HYPERLINK("https://abs.twimg.com/images/themes/theme3/bg.gif")</f>
        <v>https://abs.twimg.com/images/themes/theme3/bg.gif</v>
      </c>
      <c r="AW578" t="b">
        <v>0</v>
      </c>
      <c r="AX578" t="s">
        <v>9303</v>
      </c>
      <c r="AY578" s="79" t="str">
        <f>HYPERLINK("https://twitter.com/irespectmiley")</f>
        <v>https://twitter.com/irespectmiley</v>
      </c>
      <c r="AZ578" t="s">
        <v>66</v>
      </c>
      <c r="BA578" s="2"/>
    </row>
    <row r="579" spans="1:53" x14ac:dyDescent="0.45">
      <c r="A579" s="62" t="s">
        <v>1156</v>
      </c>
      <c r="B579" s="63"/>
      <c r="C579" s="63"/>
      <c r="D579" s="64"/>
      <c r="E579" s="66"/>
      <c r="F579" s="98" t="str">
        <f>HYPERLINK("https://pbs.twimg.com/profile_images/893574901180895233/RIOzHNEh_normal.jpg")</f>
        <v>https://pbs.twimg.com/profile_images/893574901180895233/RIOzHNEh_normal.jpg</v>
      </c>
      <c r="G579" s="63"/>
      <c r="H579" s="67"/>
      <c r="I579" s="68"/>
      <c r="J579" s="68"/>
      <c r="K579" s="67" t="s">
        <v>9415</v>
      </c>
      <c r="L579" s="71"/>
      <c r="M579" s="72"/>
      <c r="N579" s="72"/>
      <c r="O579" s="73"/>
      <c r="P579" s="74"/>
      <c r="Q579" s="74"/>
      <c r="R579" s="81"/>
      <c r="S579" s="81"/>
      <c r="T579" s="81"/>
      <c r="U579" s="81"/>
      <c r="V579" s="48"/>
      <c r="W579" s="48"/>
      <c r="X579" s="48"/>
      <c r="Y579" s="48"/>
      <c r="Z579" s="47"/>
      <c r="AA579" s="69"/>
      <c r="AB579" s="69"/>
      <c r="AC579" s="70"/>
      <c r="AD579" t="s">
        <v>5109</v>
      </c>
      <c r="AE579" s="78" t="s">
        <v>6418</v>
      </c>
      <c r="AF579">
        <v>55</v>
      </c>
      <c r="AG579">
        <v>2376</v>
      </c>
      <c r="AH579">
        <v>658</v>
      </c>
      <c r="AI579">
        <v>427</v>
      </c>
      <c r="AK579" t="s">
        <v>7589</v>
      </c>
      <c r="AL579" t="s">
        <v>8740</v>
      </c>
      <c r="AM579" s="79" t="str">
        <f>HYPERLINK("https://t.co/1KEIomELQ7")</f>
        <v>https://t.co/1KEIomELQ7</v>
      </c>
      <c r="AO579" s="76">
        <v>42936.889085648145</v>
      </c>
      <c r="AP579" s="79" t="str">
        <f>HYPERLINK("https://pbs.twimg.com/profile_banners/888146566405648386/1501879823")</f>
        <v>https://pbs.twimg.com/profile_banners/888146566405648386/1501879823</v>
      </c>
      <c r="AQ579" t="b">
        <v>0</v>
      </c>
      <c r="AR579" t="b">
        <v>0</v>
      </c>
      <c r="AS579" t="b">
        <v>1</v>
      </c>
      <c r="AU579">
        <v>10</v>
      </c>
      <c r="AV579" s="79" t="str">
        <f>HYPERLINK("https://abs.twimg.com/images/themes/theme1/bg.png")</f>
        <v>https://abs.twimg.com/images/themes/theme1/bg.png</v>
      </c>
      <c r="AW579" t="b">
        <v>0</v>
      </c>
      <c r="AX579" t="s">
        <v>9303</v>
      </c>
      <c r="AY579" s="79" t="str">
        <f>HYPERLINK("https://twitter.com/bigloud")</f>
        <v>https://twitter.com/bigloud</v>
      </c>
      <c r="AZ579" t="s">
        <v>65</v>
      </c>
      <c r="BA579" s="2"/>
    </row>
    <row r="580" spans="1:53" x14ac:dyDescent="0.45">
      <c r="A580" s="62" t="s">
        <v>898</v>
      </c>
      <c r="B580" s="63"/>
      <c r="C580" s="63"/>
      <c r="D580" s="64"/>
      <c r="E580" s="66"/>
      <c r="F580" s="98" t="str">
        <f>HYPERLINK("https://pbs.twimg.com/profile_images/1215427007825104901/M7l7S-Y6_normal.jpg")</f>
        <v>https://pbs.twimg.com/profile_images/1215427007825104901/M7l7S-Y6_normal.jpg</v>
      </c>
      <c r="G580" s="63"/>
      <c r="H580" s="67"/>
      <c r="I580" s="68"/>
      <c r="J580" s="68"/>
      <c r="K580" s="67" t="s">
        <v>10317</v>
      </c>
      <c r="L580" s="71"/>
      <c r="M580" s="72"/>
      <c r="N580" s="72"/>
      <c r="O580" s="73"/>
      <c r="P580" s="74"/>
      <c r="Q580" s="74"/>
      <c r="R580" s="81"/>
      <c r="S580" s="81"/>
      <c r="T580" s="81"/>
      <c r="U580" s="81"/>
      <c r="V580" s="48"/>
      <c r="W580" s="48"/>
      <c r="X580" s="48"/>
      <c r="Y580" s="48"/>
      <c r="Z580" s="47"/>
      <c r="AA580" s="69"/>
      <c r="AB580" s="69"/>
      <c r="AC580" s="70"/>
      <c r="AD580" t="s">
        <v>6000</v>
      </c>
      <c r="AE580" s="78" t="s">
        <v>7208</v>
      </c>
      <c r="AF580">
        <v>1271</v>
      </c>
      <c r="AG580">
        <v>2374</v>
      </c>
      <c r="AH580">
        <v>95605</v>
      </c>
      <c r="AI580">
        <v>174906</v>
      </c>
      <c r="AL580" t="s">
        <v>9171</v>
      </c>
      <c r="AO580" s="76">
        <v>42755.401284722226</v>
      </c>
      <c r="AP580" s="79" t="str">
        <f>HYPERLINK("https://pbs.twimg.com/profile_banners/822377592409833472/1638511560")</f>
        <v>https://pbs.twimg.com/profile_banners/822377592409833472/1638511560</v>
      </c>
      <c r="AQ580" t="b">
        <v>0</v>
      </c>
      <c r="AR580" t="b">
        <v>0</v>
      </c>
      <c r="AS580" t="b">
        <v>0</v>
      </c>
      <c r="AU580">
        <v>17</v>
      </c>
      <c r="AV580" s="79" t="str">
        <f>HYPERLINK("https://abs.twimg.com/images/themes/theme1/bg.png")</f>
        <v>https://abs.twimg.com/images/themes/theme1/bg.png</v>
      </c>
      <c r="AW580" t="b">
        <v>0</v>
      </c>
      <c r="AX580" t="s">
        <v>9303</v>
      </c>
      <c r="AY580" s="79" t="str">
        <f>HYPERLINK("https://twitter.com/uscallday1")</f>
        <v>https://twitter.com/uscallday1</v>
      </c>
      <c r="AZ580" t="s">
        <v>66</v>
      </c>
      <c r="BA580" s="2"/>
    </row>
    <row r="581" spans="1:53" x14ac:dyDescent="0.45">
      <c r="A581" s="62" t="s">
        <v>410</v>
      </c>
      <c r="B581" s="63"/>
      <c r="C581" s="63"/>
      <c r="D581" s="64"/>
      <c r="E581" s="66"/>
      <c r="F581" s="98" t="str">
        <f>HYPERLINK("https://pbs.twimg.com/profile_images/1510035091036250115/03Er5xS-_normal.jpg")</f>
        <v>https://pbs.twimg.com/profile_images/1510035091036250115/03Er5xS-_normal.jpg</v>
      </c>
      <c r="G581" s="63"/>
      <c r="H581" s="67"/>
      <c r="I581" s="68"/>
      <c r="J581" s="68"/>
      <c r="K581" s="67" t="s">
        <v>9661</v>
      </c>
      <c r="L581" s="71"/>
      <c r="M581" s="72"/>
      <c r="N581" s="72"/>
      <c r="O581" s="73"/>
      <c r="P581" s="74"/>
      <c r="Q581" s="74"/>
      <c r="R581" s="81"/>
      <c r="S581" s="81"/>
      <c r="T581" s="81"/>
      <c r="U581" s="81"/>
      <c r="V581" s="48"/>
      <c r="W581" s="48"/>
      <c r="X581" s="48"/>
      <c r="Y581" s="48"/>
      <c r="Z581" s="47"/>
      <c r="AA581" s="69"/>
      <c r="AB581" s="69"/>
      <c r="AC581" s="70"/>
      <c r="AD581" t="s">
        <v>5354</v>
      </c>
      <c r="AE581" s="78" t="s">
        <v>6628</v>
      </c>
      <c r="AF581">
        <v>1278</v>
      </c>
      <c r="AG581">
        <v>2362</v>
      </c>
      <c r="AH581">
        <v>8983</v>
      </c>
      <c r="AI581">
        <v>65439</v>
      </c>
      <c r="AK581" t="s">
        <v>7804</v>
      </c>
      <c r="AO581" s="76">
        <v>44054.563043981485</v>
      </c>
      <c r="AP581" s="79" t="str">
        <f>HYPERLINK("https://pbs.twimg.com/profile_banners/1293178015526948865/1648039829")</f>
        <v>https://pbs.twimg.com/profile_banners/1293178015526948865/1648039829</v>
      </c>
      <c r="AQ581" t="b">
        <v>1</v>
      </c>
      <c r="AR581" t="b">
        <v>0</v>
      </c>
      <c r="AS581" t="b">
        <v>0</v>
      </c>
      <c r="AU581">
        <v>11</v>
      </c>
      <c r="AW581" t="b">
        <v>0</v>
      </c>
      <c r="AX581" t="s">
        <v>9303</v>
      </c>
      <c r="AY581" s="79" t="str">
        <f>HYPERLINK("https://twitter.com/spacesmiier")</f>
        <v>https://twitter.com/spacesmiier</v>
      </c>
      <c r="AZ581" t="s">
        <v>66</v>
      </c>
      <c r="BA581" s="2"/>
    </row>
    <row r="582" spans="1:53" x14ac:dyDescent="0.45">
      <c r="A582" s="62" t="s">
        <v>1179</v>
      </c>
      <c r="B582" s="63"/>
      <c r="C582" s="63"/>
      <c r="D582" s="64"/>
      <c r="E582" s="66"/>
      <c r="F582" s="98" t="str">
        <f>HYPERLINK("https://pbs.twimg.com/profile_images/426853627395731456/dXeQSRLd_normal.png")</f>
        <v>https://pbs.twimg.com/profile_images/426853627395731456/dXeQSRLd_normal.png</v>
      </c>
      <c r="G582" s="63"/>
      <c r="H582" s="67"/>
      <c r="I582" s="68"/>
      <c r="J582" s="68"/>
      <c r="K582" s="67" t="s">
        <v>9462</v>
      </c>
      <c r="L582" s="71"/>
      <c r="M582" s="72"/>
      <c r="N582" s="72"/>
      <c r="O582" s="73"/>
      <c r="P582" s="74"/>
      <c r="Q582" s="74"/>
      <c r="R582" s="81"/>
      <c r="S582" s="81"/>
      <c r="T582" s="81"/>
      <c r="U582" s="81"/>
      <c r="V582" s="48"/>
      <c r="W582" s="48"/>
      <c r="X582" s="48"/>
      <c r="Y582" s="48"/>
      <c r="Z582" s="47"/>
      <c r="AA582" s="69"/>
      <c r="AB582" s="69"/>
      <c r="AC582" s="70"/>
      <c r="AD582" t="s">
        <v>5156</v>
      </c>
      <c r="AE582" s="78" t="s">
        <v>6457</v>
      </c>
      <c r="AF582">
        <v>3222</v>
      </c>
      <c r="AG582">
        <v>2340</v>
      </c>
      <c r="AH582">
        <v>8698</v>
      </c>
      <c r="AI582">
        <v>11578</v>
      </c>
      <c r="AK582" t="s">
        <v>7628</v>
      </c>
      <c r="AL582" t="s">
        <v>8765</v>
      </c>
      <c r="AM582" s="79" t="str">
        <f>HYPERLINK("https://t.co/0nQF1IlpGK")</f>
        <v>https://t.co/0nQF1IlpGK</v>
      </c>
      <c r="AO582" s="76">
        <v>41058.958692129629</v>
      </c>
      <c r="AP582" s="79" t="str">
        <f>HYPERLINK("https://pbs.twimg.com/profile_banners/594189300/1469228391")</f>
        <v>https://pbs.twimg.com/profile_banners/594189300/1469228391</v>
      </c>
      <c r="AQ582" t="b">
        <v>0</v>
      </c>
      <c r="AR582" t="b">
        <v>0</v>
      </c>
      <c r="AS582" t="b">
        <v>1</v>
      </c>
      <c r="AU582">
        <v>52</v>
      </c>
      <c r="AV582" s="79" t="str">
        <f>HYPERLINK("https://abs.twimg.com/images/themes/theme1/bg.png")</f>
        <v>https://abs.twimg.com/images/themes/theme1/bg.png</v>
      </c>
      <c r="AW582" t="b">
        <v>0</v>
      </c>
      <c r="AX582" t="s">
        <v>9303</v>
      </c>
      <c r="AY582" s="79" t="str">
        <f>HYPERLINK("https://twitter.com/familiustalk")</f>
        <v>https://twitter.com/familiustalk</v>
      </c>
      <c r="AZ582" t="s">
        <v>65</v>
      </c>
      <c r="BA582" s="2"/>
    </row>
    <row r="583" spans="1:53" x14ac:dyDescent="0.45">
      <c r="A583" s="62" t="s">
        <v>496</v>
      </c>
      <c r="B583" s="63"/>
      <c r="C583" s="63"/>
      <c r="D583" s="64"/>
      <c r="E583" s="66"/>
      <c r="F583" s="98" t="str">
        <f>HYPERLINK("https://pbs.twimg.com/profile_images/1507307104507473924/i8IayUlK_normal.png")</f>
        <v>https://pbs.twimg.com/profile_images/1507307104507473924/i8IayUlK_normal.png</v>
      </c>
      <c r="G583" s="63"/>
      <c r="H583" s="67"/>
      <c r="I583" s="68"/>
      <c r="J583" s="68"/>
      <c r="K583" s="67" t="s">
        <v>9772</v>
      </c>
      <c r="L583" s="71"/>
      <c r="M583" s="72"/>
      <c r="N583" s="72"/>
      <c r="O583" s="73"/>
      <c r="P583" s="74"/>
      <c r="Q583" s="74"/>
      <c r="R583" s="81"/>
      <c r="S583" s="81"/>
      <c r="T583" s="81"/>
      <c r="U583" s="81"/>
      <c r="V583" s="48"/>
      <c r="W583" s="48"/>
      <c r="X583" s="48"/>
      <c r="Y583" s="48"/>
      <c r="Z583" s="47"/>
      <c r="AA583" s="69"/>
      <c r="AB583" s="69"/>
      <c r="AC583" s="70"/>
      <c r="AD583" t="s">
        <v>5464</v>
      </c>
      <c r="AE583" s="78" t="s">
        <v>4705</v>
      </c>
      <c r="AF583">
        <v>298</v>
      </c>
      <c r="AG583">
        <v>2318</v>
      </c>
      <c r="AH583">
        <v>2638</v>
      </c>
      <c r="AI583">
        <v>21032</v>
      </c>
      <c r="AK583" t="s">
        <v>7896</v>
      </c>
      <c r="AL583" t="s">
        <v>8910</v>
      </c>
      <c r="AM583" s="79" t="str">
        <f>HYPERLINK("https://t.co/CSRkMLlKQo")</f>
        <v>https://t.co/CSRkMLlKQo</v>
      </c>
      <c r="AO583" s="76">
        <v>44185.999421296299</v>
      </c>
      <c r="AP583" s="79" t="str">
        <f>HYPERLINK("https://pbs.twimg.com/profile_banners/1340808694867476480/1648123384")</f>
        <v>https://pbs.twimg.com/profile_banners/1340808694867476480/1648123384</v>
      </c>
      <c r="AQ583" t="b">
        <v>1</v>
      </c>
      <c r="AR583" t="b">
        <v>0</v>
      </c>
      <c r="AS583" t="b">
        <v>0</v>
      </c>
      <c r="AU583">
        <v>11</v>
      </c>
      <c r="AW583" t="b">
        <v>0</v>
      </c>
      <c r="AX583" t="s">
        <v>9303</v>
      </c>
      <c r="AY583" s="79" t="str">
        <f>HYPERLINK("https://twitter.com/prolewiki")</f>
        <v>https://twitter.com/prolewiki</v>
      </c>
      <c r="AZ583" t="s">
        <v>66</v>
      </c>
      <c r="BA583" s="2"/>
    </row>
    <row r="584" spans="1:53" x14ac:dyDescent="0.45">
      <c r="A584" s="62" t="s">
        <v>517</v>
      </c>
      <c r="B584" s="63"/>
      <c r="C584" s="63"/>
      <c r="D584" s="64"/>
      <c r="E584" s="66"/>
      <c r="F584" s="98" t="str">
        <f>HYPERLINK("https://pbs.twimg.com/profile_images/1611402928496984082/dDgHN86O_normal.jpg")</f>
        <v>https://pbs.twimg.com/profile_images/1611402928496984082/dDgHN86O_normal.jpg</v>
      </c>
      <c r="G584" s="63"/>
      <c r="H584" s="67"/>
      <c r="I584" s="68"/>
      <c r="J584" s="68"/>
      <c r="K584" s="67" t="s">
        <v>9805</v>
      </c>
      <c r="L584" s="71"/>
      <c r="M584" s="72"/>
      <c r="N584" s="72"/>
      <c r="O584" s="73"/>
      <c r="P584" s="74"/>
      <c r="Q584" s="74"/>
      <c r="R584" s="81"/>
      <c r="S584" s="81"/>
      <c r="T584" s="81"/>
      <c r="U584" s="81"/>
      <c r="V584" s="48"/>
      <c r="W584" s="48"/>
      <c r="X584" s="48"/>
      <c r="Y584" s="48"/>
      <c r="Z584" s="47"/>
      <c r="AA584" s="69"/>
      <c r="AB584" s="69"/>
      <c r="AC584" s="70"/>
      <c r="AD584" t="s">
        <v>5496</v>
      </c>
      <c r="AE584" s="78" t="s">
        <v>6751</v>
      </c>
      <c r="AF584">
        <v>2839</v>
      </c>
      <c r="AG584">
        <v>2314</v>
      </c>
      <c r="AH584">
        <v>3183</v>
      </c>
      <c r="AI584">
        <v>2517</v>
      </c>
      <c r="AK584" t="s">
        <v>7924</v>
      </c>
      <c r="AL584" t="s">
        <v>4899</v>
      </c>
      <c r="AM584" s="79" t="str">
        <f>HYPERLINK("https://t.co/20qOFlZhRX")</f>
        <v>https://t.co/20qOFlZhRX</v>
      </c>
      <c r="AO584" s="76">
        <v>43396.935243055559</v>
      </c>
      <c r="AP584" s="79" t="str">
        <f>HYPERLINK("https://pbs.twimg.com/profile_banners/1054861710849302528/1667226043")</f>
        <v>https://pbs.twimg.com/profile_banners/1054861710849302528/1667226043</v>
      </c>
      <c r="AQ584" t="b">
        <v>0</v>
      </c>
      <c r="AR584" t="b">
        <v>0</v>
      </c>
      <c r="AS584" t="b">
        <v>0</v>
      </c>
      <c r="AU584">
        <v>43</v>
      </c>
      <c r="AV584" s="79" t="str">
        <f>HYPERLINK("https://abs.twimg.com/images/themes/theme1/bg.png")</f>
        <v>https://abs.twimg.com/images/themes/theme1/bg.png</v>
      </c>
      <c r="AW584" t="b">
        <v>0</v>
      </c>
      <c r="AX584" t="s">
        <v>9303</v>
      </c>
      <c r="AY584" s="79" t="str">
        <f>HYPERLINK("https://twitter.com/placer_ai")</f>
        <v>https://twitter.com/placer_ai</v>
      </c>
      <c r="AZ584" t="s">
        <v>66</v>
      </c>
      <c r="BA584" s="2"/>
    </row>
    <row r="585" spans="1:53" x14ac:dyDescent="0.45">
      <c r="A585" s="62" t="s">
        <v>868</v>
      </c>
      <c r="B585" s="63"/>
      <c r="C585" s="63"/>
      <c r="D585" s="64"/>
      <c r="E585" s="66"/>
      <c r="F585" s="98" t="str">
        <f>HYPERLINK("https://pbs.twimg.com/profile_images/1614434227524608003/00VGmWne_normal.jpg")</f>
        <v>https://pbs.twimg.com/profile_images/1614434227524608003/00VGmWne_normal.jpg</v>
      </c>
      <c r="G585" s="63"/>
      <c r="H585" s="67"/>
      <c r="I585" s="68"/>
      <c r="J585" s="68"/>
      <c r="K585" s="67" t="s">
        <v>10271</v>
      </c>
      <c r="L585" s="71"/>
      <c r="M585" s="72"/>
      <c r="N585" s="72"/>
      <c r="O585" s="73"/>
      <c r="P585" s="74"/>
      <c r="Q585" s="74"/>
      <c r="R585" s="81"/>
      <c r="S585" s="81"/>
      <c r="T585" s="81"/>
      <c r="U585" s="81"/>
      <c r="V585" s="48"/>
      <c r="W585" s="48"/>
      <c r="X585" s="48"/>
      <c r="Y585" s="48"/>
      <c r="Z585" s="47"/>
      <c r="AA585" s="69"/>
      <c r="AB585" s="69"/>
      <c r="AC585" s="70"/>
      <c r="AD585" t="s">
        <v>5954</v>
      </c>
      <c r="AE585" s="78" t="s">
        <v>7166</v>
      </c>
      <c r="AF585">
        <v>3963</v>
      </c>
      <c r="AG585">
        <v>2294</v>
      </c>
      <c r="AH585">
        <v>123966</v>
      </c>
      <c r="AI585">
        <v>100943</v>
      </c>
      <c r="AK585" t="s">
        <v>8332</v>
      </c>
      <c r="AL585" t="s">
        <v>9148</v>
      </c>
      <c r="AM585" s="79" t="str">
        <f>HYPERLINK("https://t.co/YzzMtnVJcC")</f>
        <v>https://t.co/YzzMtnVJcC</v>
      </c>
      <c r="AO585" s="76">
        <v>43472.382372685184</v>
      </c>
      <c r="AP585" s="79" t="str">
        <f>HYPERLINK("https://pbs.twimg.com/profile_banners/1082202837407416321/1673650392")</f>
        <v>https://pbs.twimg.com/profile_banners/1082202837407416321/1673650392</v>
      </c>
      <c r="AQ585" t="b">
        <v>1</v>
      </c>
      <c r="AR585" t="b">
        <v>0</v>
      </c>
      <c r="AS585" t="b">
        <v>1</v>
      </c>
      <c r="AU585">
        <v>4</v>
      </c>
      <c r="AW585" t="b">
        <v>0</v>
      </c>
      <c r="AX585" t="s">
        <v>9303</v>
      </c>
      <c r="AY585" s="79" t="str">
        <f>HYPERLINK("https://twitter.com/vikingirishgod")</f>
        <v>https://twitter.com/vikingirishgod</v>
      </c>
      <c r="AZ585" t="s">
        <v>66</v>
      </c>
      <c r="BA585" s="2"/>
    </row>
    <row r="586" spans="1:53" x14ac:dyDescent="0.45">
      <c r="A586" s="62" t="s">
        <v>694</v>
      </c>
      <c r="B586" s="63"/>
      <c r="C586" s="63"/>
      <c r="D586" s="64"/>
      <c r="E586" s="66"/>
      <c r="F586" s="98" t="str">
        <f>HYPERLINK("https://pbs.twimg.com/profile_images/1609756109073518593/QyON5YzN_normal.jpg")</f>
        <v>https://pbs.twimg.com/profile_images/1609756109073518593/QyON5YzN_normal.jpg</v>
      </c>
      <c r="G586" s="63"/>
      <c r="H586" s="67"/>
      <c r="I586" s="68"/>
      <c r="J586" s="68"/>
      <c r="K586" s="67" t="s">
        <v>10029</v>
      </c>
      <c r="L586" s="71"/>
      <c r="M586" s="72"/>
      <c r="N586" s="72"/>
      <c r="O586" s="73"/>
      <c r="P586" s="74"/>
      <c r="Q586" s="74"/>
      <c r="R586" s="81"/>
      <c r="S586" s="81"/>
      <c r="T586" s="81"/>
      <c r="U586" s="81"/>
      <c r="V586" s="48"/>
      <c r="W586" s="48"/>
      <c r="X586" s="48"/>
      <c r="Y586" s="48"/>
      <c r="Z586" s="47"/>
      <c r="AA586" s="69"/>
      <c r="AB586" s="69"/>
      <c r="AC586" s="70"/>
      <c r="AD586" t="s">
        <v>5719</v>
      </c>
      <c r="AE586" s="78" t="s">
        <v>6956</v>
      </c>
      <c r="AF586">
        <v>1546</v>
      </c>
      <c r="AG586">
        <v>2240</v>
      </c>
      <c r="AH586">
        <v>5639</v>
      </c>
      <c r="AI586">
        <v>25840</v>
      </c>
      <c r="AK586" t="s">
        <v>8121</v>
      </c>
      <c r="AL586" t="s">
        <v>9048</v>
      </c>
      <c r="AM586" s="79" t="str">
        <f>HYPERLINK("https://t.co/eeV0ssMEeV")</f>
        <v>https://t.co/eeV0ssMEeV</v>
      </c>
      <c r="AO586" s="76">
        <v>44357.989733796298</v>
      </c>
      <c r="AP586" s="79" t="str">
        <f>HYPERLINK("https://pbs.twimg.com/profile_banners/1403136164358414337/1668381739")</f>
        <v>https://pbs.twimg.com/profile_banners/1403136164358414337/1668381739</v>
      </c>
      <c r="AQ586" t="b">
        <v>1</v>
      </c>
      <c r="AR586" t="b">
        <v>0</v>
      </c>
      <c r="AS586" t="b">
        <v>1</v>
      </c>
      <c r="AU586">
        <v>3</v>
      </c>
      <c r="AW586" t="b">
        <v>0</v>
      </c>
      <c r="AX586" t="s">
        <v>9303</v>
      </c>
      <c r="AY586" s="79" t="str">
        <f>HYPERLINK("https://twitter.com/danielbeoni")</f>
        <v>https://twitter.com/danielbeoni</v>
      </c>
      <c r="AZ586" t="s">
        <v>66</v>
      </c>
      <c r="BA586" s="2"/>
    </row>
    <row r="587" spans="1:53" x14ac:dyDescent="0.45">
      <c r="A587" s="62" t="s">
        <v>1136</v>
      </c>
      <c r="B587" s="63"/>
      <c r="C587" s="63"/>
      <c r="D587" s="64"/>
      <c r="E587" s="66"/>
      <c r="F587" s="98" t="str">
        <f>HYPERLINK("https://pbs.twimg.com/profile_images/1534935961867542528/yfbf2wJN_normal.jpg")</f>
        <v>https://pbs.twimg.com/profile_images/1534935961867542528/yfbf2wJN_normal.jpg</v>
      </c>
      <c r="G587" s="63"/>
      <c r="H587" s="67"/>
      <c r="I587" s="68"/>
      <c r="J587" s="68"/>
      <c r="K587" s="67" t="s">
        <v>9361</v>
      </c>
      <c r="L587" s="71"/>
      <c r="M587" s="72"/>
      <c r="N587" s="72"/>
      <c r="O587" s="73"/>
      <c r="P587" s="74"/>
      <c r="Q587" s="74"/>
      <c r="R587" s="81"/>
      <c r="S587" s="81"/>
      <c r="T587" s="81"/>
      <c r="U587" s="81"/>
      <c r="V587" s="48"/>
      <c r="W587" s="48"/>
      <c r="X587" s="48"/>
      <c r="Y587" s="48"/>
      <c r="Z587" s="47"/>
      <c r="AA587" s="69"/>
      <c r="AB587" s="69"/>
      <c r="AC587" s="70"/>
      <c r="AD587" t="s">
        <v>5057</v>
      </c>
      <c r="AE587" s="78" t="s">
        <v>6372</v>
      </c>
      <c r="AF587">
        <v>2199</v>
      </c>
      <c r="AG587">
        <v>2208</v>
      </c>
      <c r="AH587">
        <v>24473</v>
      </c>
      <c r="AI587">
        <v>50802</v>
      </c>
      <c r="AK587" t="s">
        <v>7543</v>
      </c>
      <c r="AL587" t="s">
        <v>8713</v>
      </c>
      <c r="AO587" s="76">
        <v>43804.482060185182</v>
      </c>
      <c r="AP587" s="79" t="str">
        <f>HYPERLINK("https://pbs.twimg.com/profile_banners/1202551645470638080/1654790918")</f>
        <v>https://pbs.twimg.com/profile_banners/1202551645470638080/1654790918</v>
      </c>
      <c r="AQ587" t="b">
        <v>1</v>
      </c>
      <c r="AR587" t="b">
        <v>0</v>
      </c>
      <c r="AS587" t="b">
        <v>1</v>
      </c>
      <c r="AU587">
        <v>12</v>
      </c>
      <c r="AW587" t="b">
        <v>0</v>
      </c>
      <c r="AX587" t="s">
        <v>9303</v>
      </c>
      <c r="AY587" s="79" t="str">
        <f>HYPERLINK("https://twitter.com/estelamandela")</f>
        <v>https://twitter.com/estelamandela</v>
      </c>
      <c r="AZ587" t="s">
        <v>65</v>
      </c>
      <c r="BA587" s="2"/>
    </row>
    <row r="588" spans="1:53" x14ac:dyDescent="0.45">
      <c r="A588" s="62" t="s">
        <v>436</v>
      </c>
      <c r="B588" s="63"/>
      <c r="C588" s="63"/>
      <c r="D588" s="64"/>
      <c r="E588" s="66"/>
      <c r="F588" s="98" t="str">
        <f>HYPERLINK("https://pbs.twimg.com/profile_images/1569926167242706944/9R14cp4j_normal.jpg")</f>
        <v>https://pbs.twimg.com/profile_images/1569926167242706944/9R14cp4j_normal.jpg</v>
      </c>
      <c r="G588" s="63"/>
      <c r="H588" s="67"/>
      <c r="I588" s="68"/>
      <c r="J588" s="68"/>
      <c r="K588" s="67" t="s">
        <v>9691</v>
      </c>
      <c r="L588" s="71"/>
      <c r="M588" s="72"/>
      <c r="N588" s="72"/>
      <c r="O588" s="73"/>
      <c r="P588" s="74"/>
      <c r="Q588" s="74"/>
      <c r="R588" s="81"/>
      <c r="S588" s="81"/>
      <c r="T588" s="81"/>
      <c r="U588" s="81"/>
      <c r="V588" s="48"/>
      <c r="W588" s="48"/>
      <c r="X588" s="48"/>
      <c r="Y588" s="48"/>
      <c r="Z588" s="47"/>
      <c r="AA588" s="69"/>
      <c r="AB588" s="69"/>
      <c r="AC588" s="70"/>
      <c r="AD588" t="s">
        <v>5384</v>
      </c>
      <c r="AE588" s="78" t="s">
        <v>6657</v>
      </c>
      <c r="AF588">
        <v>1534</v>
      </c>
      <c r="AG588">
        <v>2202</v>
      </c>
      <c r="AH588">
        <v>72061</v>
      </c>
      <c r="AI588">
        <v>51551</v>
      </c>
      <c r="AK588" s="97">
        <v>45238</v>
      </c>
      <c r="AL588" t="s">
        <v>8873</v>
      </c>
      <c r="AO588" s="76">
        <v>42034.760416666664</v>
      </c>
      <c r="AP588" s="79" t="str">
        <f>HYPERLINK("https://pbs.twimg.com/profile_banners/3006079599/1663134561")</f>
        <v>https://pbs.twimg.com/profile_banners/3006079599/1663134561</v>
      </c>
      <c r="AQ588" t="b">
        <v>0</v>
      </c>
      <c r="AR588" t="b">
        <v>0</v>
      </c>
      <c r="AS588" t="b">
        <v>1</v>
      </c>
      <c r="AU588">
        <v>4</v>
      </c>
      <c r="AV588" s="79" t="str">
        <f>HYPERLINK("https://abs.twimg.com/images/themes/theme1/bg.png")</f>
        <v>https://abs.twimg.com/images/themes/theme1/bg.png</v>
      </c>
      <c r="AW588" t="b">
        <v>0</v>
      </c>
      <c r="AX588" t="s">
        <v>9303</v>
      </c>
      <c r="AY588" s="79" t="str">
        <f>HYPERLINK("https://twitter.com/jussshaunnaa")</f>
        <v>https://twitter.com/jussshaunnaa</v>
      </c>
      <c r="AZ588" t="s">
        <v>66</v>
      </c>
      <c r="BA588" s="2"/>
    </row>
    <row r="589" spans="1:53" x14ac:dyDescent="0.45">
      <c r="A589" s="62" t="s">
        <v>1329</v>
      </c>
      <c r="B589" s="63"/>
      <c r="C589" s="63"/>
      <c r="D589" s="64"/>
      <c r="E589" s="66"/>
      <c r="F589" s="98" t="str">
        <f>HYPERLINK("https://pbs.twimg.com/profile_images/1588239646147887104/7SiD-g5O_normal.jpg")</f>
        <v>https://pbs.twimg.com/profile_images/1588239646147887104/7SiD-g5O_normal.jpg</v>
      </c>
      <c r="G589" s="63"/>
      <c r="H589" s="67"/>
      <c r="I589" s="68"/>
      <c r="J589" s="68"/>
      <c r="K589" s="67" t="s">
        <v>10009</v>
      </c>
      <c r="L589" s="71"/>
      <c r="M589" s="72"/>
      <c r="N589" s="72"/>
      <c r="O589" s="73"/>
      <c r="P589" s="74"/>
      <c r="Q589" s="74"/>
      <c r="R589" s="81"/>
      <c r="S589" s="81"/>
      <c r="T589" s="81"/>
      <c r="U589" s="81"/>
      <c r="V589" s="48"/>
      <c r="W589" s="48"/>
      <c r="X589" s="48"/>
      <c r="Y589" s="48"/>
      <c r="Z589" s="47"/>
      <c r="AA589" s="69"/>
      <c r="AB589" s="69"/>
      <c r="AC589" s="70"/>
      <c r="AD589" t="s">
        <v>5699</v>
      </c>
      <c r="AE589" s="78" t="s">
        <v>6940</v>
      </c>
      <c r="AF589">
        <v>36</v>
      </c>
      <c r="AG589">
        <v>2176</v>
      </c>
      <c r="AH589">
        <v>2108</v>
      </c>
      <c r="AI589">
        <v>315</v>
      </c>
      <c r="AK589" t="s">
        <v>8105</v>
      </c>
      <c r="AL589" t="s">
        <v>4899</v>
      </c>
      <c r="AM589" s="79" t="str">
        <f>HYPERLINK("https://t.co/cooHvHMhoE")</f>
        <v>https://t.co/cooHvHMhoE</v>
      </c>
      <c r="AO589" s="76">
        <v>40687.167557870373</v>
      </c>
      <c r="AP589" s="79" t="str">
        <f>HYPERLINK("https://pbs.twimg.com/profile_banners/304216267/1664811570")</f>
        <v>https://pbs.twimg.com/profile_banners/304216267/1664811570</v>
      </c>
      <c r="AQ589" t="b">
        <v>0</v>
      </c>
      <c r="AR589" t="b">
        <v>0</v>
      </c>
      <c r="AS589" t="b">
        <v>0</v>
      </c>
      <c r="AU589">
        <v>27</v>
      </c>
      <c r="AV589" s="79" t="str">
        <f>HYPERLINK("https://abs.twimg.com/images/themes/theme1/bg.png")</f>
        <v>https://abs.twimg.com/images/themes/theme1/bg.png</v>
      </c>
      <c r="AW589" t="b">
        <v>0</v>
      </c>
      <c r="AX589" t="s">
        <v>9303</v>
      </c>
      <c r="AY589" s="79" t="str">
        <f>HYPERLINK("https://twitter.com/wasteconnection")</f>
        <v>https://twitter.com/wasteconnection</v>
      </c>
      <c r="AZ589" t="s">
        <v>65</v>
      </c>
      <c r="BA589" s="2"/>
    </row>
    <row r="590" spans="1:53" x14ac:dyDescent="0.45">
      <c r="A590" s="62" t="s">
        <v>607</v>
      </c>
      <c r="B590" s="63"/>
      <c r="C590" s="63"/>
      <c r="D590" s="64"/>
      <c r="E590" s="66"/>
      <c r="F590" s="98" t="str">
        <f>HYPERLINK("https://pbs.twimg.com/profile_images/1612300750096400389/Qo2ZpPuB_normal.jpg")</f>
        <v>https://pbs.twimg.com/profile_images/1612300750096400389/Qo2ZpPuB_normal.jpg</v>
      </c>
      <c r="G590" s="63"/>
      <c r="H590" s="67"/>
      <c r="I590" s="68"/>
      <c r="J590" s="68"/>
      <c r="K590" s="67" t="s">
        <v>9905</v>
      </c>
      <c r="L590" s="71"/>
      <c r="M590" s="72"/>
      <c r="N590" s="72"/>
      <c r="O590" s="73"/>
      <c r="P590" s="74"/>
      <c r="Q590" s="74"/>
      <c r="R590" s="81"/>
      <c r="S590" s="81"/>
      <c r="T590" s="81"/>
      <c r="U590" s="81"/>
      <c r="V590" s="48"/>
      <c r="W590" s="48"/>
      <c r="X590" s="48"/>
      <c r="Y590" s="48"/>
      <c r="Z590" s="47"/>
      <c r="AA590" s="69"/>
      <c r="AB590" s="69"/>
      <c r="AC590" s="70"/>
      <c r="AD590" t="s">
        <v>5596</v>
      </c>
      <c r="AE590" s="78" t="s">
        <v>6841</v>
      </c>
      <c r="AF590">
        <v>412</v>
      </c>
      <c r="AG590">
        <v>2175</v>
      </c>
      <c r="AH590">
        <v>17544</v>
      </c>
      <c r="AI590">
        <v>42117</v>
      </c>
      <c r="AK590" t="s">
        <v>8019</v>
      </c>
      <c r="AL590" t="s">
        <v>8988</v>
      </c>
      <c r="AO590" s="76">
        <v>44779.902372685188</v>
      </c>
      <c r="AP590" s="79" t="str">
        <f>HYPERLINK("https://pbs.twimg.com/profile_banners/1556032144698392578/1674024116")</f>
        <v>https://pbs.twimg.com/profile_banners/1556032144698392578/1674024116</v>
      </c>
      <c r="AQ590" t="b">
        <v>1</v>
      </c>
      <c r="AR590" t="b">
        <v>0</v>
      </c>
      <c r="AS590" t="b">
        <v>0</v>
      </c>
      <c r="AU590">
        <v>16</v>
      </c>
      <c r="AW590" t="b">
        <v>0</v>
      </c>
      <c r="AX590" t="s">
        <v>9303</v>
      </c>
      <c r="AY590" s="79" t="str">
        <f>HYPERLINK("https://twitter.com/glamorouge")</f>
        <v>https://twitter.com/glamorouge</v>
      </c>
      <c r="AZ590" t="s">
        <v>66</v>
      </c>
      <c r="BA590" s="2"/>
    </row>
    <row r="591" spans="1:53" x14ac:dyDescent="0.45">
      <c r="A591" s="62" t="s">
        <v>822</v>
      </c>
      <c r="B591" s="63"/>
      <c r="C591" s="63"/>
      <c r="D591" s="64"/>
      <c r="E591" s="66"/>
      <c r="F591" s="98" t="str">
        <f>HYPERLINK("https://pbs.twimg.com/profile_images/1054294969886953473/ewt8u_bh_normal.jpg")</f>
        <v>https://pbs.twimg.com/profile_images/1054294969886953473/ewt8u_bh_normal.jpg</v>
      </c>
      <c r="G591" s="63"/>
      <c r="H591" s="67"/>
      <c r="I591" s="68"/>
      <c r="J591" s="68"/>
      <c r="K591" s="67" t="s">
        <v>10206</v>
      </c>
      <c r="L591" s="71"/>
      <c r="M591" s="72"/>
      <c r="N591" s="72"/>
      <c r="O591" s="73"/>
      <c r="P591" s="74"/>
      <c r="Q591" s="74"/>
      <c r="R591" s="81"/>
      <c r="S591" s="81"/>
      <c r="T591" s="81"/>
      <c r="U591" s="81"/>
      <c r="V591" s="48"/>
      <c r="W591" s="48"/>
      <c r="X591" s="48"/>
      <c r="Y591" s="48"/>
      <c r="Z591" s="47"/>
      <c r="AA591" s="69"/>
      <c r="AB591" s="69"/>
      <c r="AC591" s="70"/>
      <c r="AD591" t="s">
        <v>5890</v>
      </c>
      <c r="AE591" s="78" t="s">
        <v>7109</v>
      </c>
      <c r="AF591">
        <v>5000</v>
      </c>
      <c r="AG591">
        <v>2151</v>
      </c>
      <c r="AH591">
        <v>137047</v>
      </c>
      <c r="AI591">
        <v>19297</v>
      </c>
      <c r="AK591" t="s">
        <v>8275</v>
      </c>
      <c r="AL591" t="s">
        <v>9123</v>
      </c>
      <c r="AO591" s="76">
        <v>40264.966851851852</v>
      </c>
      <c r="AP591" s="79" t="str">
        <f>HYPERLINK("https://pbs.twimg.com/profile_banners/127063826/1532725171")</f>
        <v>https://pbs.twimg.com/profile_banners/127063826/1532725171</v>
      </c>
      <c r="AQ591" t="b">
        <v>0</v>
      </c>
      <c r="AR591" t="b">
        <v>0</v>
      </c>
      <c r="AS591" t="b">
        <v>0</v>
      </c>
      <c r="AU591">
        <v>165</v>
      </c>
      <c r="AV591" s="79" t="str">
        <f>HYPERLINK("https://abs.twimg.com/images/themes/theme11/bg.gif")</f>
        <v>https://abs.twimg.com/images/themes/theme11/bg.gif</v>
      </c>
      <c r="AW591" t="b">
        <v>0</v>
      </c>
      <c r="AX591" t="s">
        <v>9303</v>
      </c>
      <c r="AY591" s="79" t="str">
        <f>HYPERLINK("https://twitter.com/brielleprincess")</f>
        <v>https://twitter.com/brielleprincess</v>
      </c>
      <c r="AZ591" t="s">
        <v>66</v>
      </c>
      <c r="BA591" s="2"/>
    </row>
    <row r="592" spans="1:53" x14ac:dyDescent="0.45">
      <c r="A592" s="62" t="s">
        <v>1082</v>
      </c>
      <c r="B592" s="63"/>
      <c r="C592" s="63"/>
      <c r="D592" s="64"/>
      <c r="E592" s="66"/>
      <c r="F592" s="98" t="str">
        <f>HYPERLINK("https://pbs.twimg.com/profile_images/1339973673508335617/wgPqa1O__normal.jpg")</f>
        <v>https://pbs.twimg.com/profile_images/1339973673508335617/wgPqa1O__normal.jpg</v>
      </c>
      <c r="G592" s="63"/>
      <c r="H592" s="67"/>
      <c r="I592" s="68"/>
      <c r="J592" s="68"/>
      <c r="K592" s="67" t="s">
        <v>10619</v>
      </c>
      <c r="L592" s="71"/>
      <c r="M592" s="72"/>
      <c r="N592" s="72"/>
      <c r="O592" s="73"/>
      <c r="P592" s="74"/>
      <c r="Q592" s="74"/>
      <c r="R592" s="81"/>
      <c r="S592" s="81"/>
      <c r="T592" s="81"/>
      <c r="U592" s="81"/>
      <c r="V592" s="48"/>
      <c r="W592" s="48"/>
      <c r="X592" s="48"/>
      <c r="Y592" s="48"/>
      <c r="Z592" s="47"/>
      <c r="AA592" s="69"/>
      <c r="AB592" s="69"/>
      <c r="AC592" s="70"/>
      <c r="AD592" t="s">
        <v>6295</v>
      </c>
      <c r="AE592" s="78" t="s">
        <v>7460</v>
      </c>
      <c r="AF592">
        <v>84</v>
      </c>
      <c r="AG592">
        <v>2141</v>
      </c>
      <c r="AH592">
        <v>10664</v>
      </c>
      <c r="AI592">
        <v>893</v>
      </c>
      <c r="AK592" t="s">
        <v>8641</v>
      </c>
      <c r="AL592" t="s">
        <v>9292</v>
      </c>
      <c r="AM592" s="79" t="str">
        <f>HYPERLINK("https://t.co/FxMgaHxvYL")</f>
        <v>https://t.co/FxMgaHxvYL</v>
      </c>
      <c r="AO592" s="76">
        <v>39899.526724537034</v>
      </c>
      <c r="AP592" s="79" t="str">
        <f>HYPERLINK("https://pbs.twimg.com/profile_banners/26994938/1607624632")</f>
        <v>https://pbs.twimg.com/profile_banners/26994938/1607624632</v>
      </c>
      <c r="AQ592" t="b">
        <v>0</v>
      </c>
      <c r="AR592" t="b">
        <v>0</v>
      </c>
      <c r="AS592" t="b">
        <v>1</v>
      </c>
      <c r="AU592">
        <v>14</v>
      </c>
      <c r="AV592" s="79" t="str">
        <f>HYPERLINK("https://abs.twimg.com/images/themes/theme9/bg.gif")</f>
        <v>https://abs.twimg.com/images/themes/theme9/bg.gif</v>
      </c>
      <c r="AW592" t="b">
        <v>0</v>
      </c>
      <c r="AX592" t="s">
        <v>9303</v>
      </c>
      <c r="AY592" s="79" t="str">
        <f>HYPERLINK("https://twitter.com/richlandrams")</f>
        <v>https://twitter.com/richlandrams</v>
      </c>
      <c r="AZ592" t="s">
        <v>66</v>
      </c>
      <c r="BA592" s="2"/>
    </row>
    <row r="593" spans="1:53" x14ac:dyDescent="0.45">
      <c r="A593" s="62" t="s">
        <v>1085</v>
      </c>
      <c r="B593" s="63"/>
      <c r="C593" s="63"/>
      <c r="D593" s="64"/>
      <c r="E593" s="66"/>
      <c r="F593" s="98" t="str">
        <f>HYPERLINK("https://pbs.twimg.com/profile_images/1283863282927968258/2LWz7-78_normal.jpg")</f>
        <v>https://pbs.twimg.com/profile_images/1283863282927968258/2LWz7-78_normal.jpg</v>
      </c>
      <c r="G593" s="63"/>
      <c r="H593" s="67"/>
      <c r="I593" s="68"/>
      <c r="J593" s="68"/>
      <c r="K593" s="67" t="s">
        <v>10627</v>
      </c>
      <c r="L593" s="71"/>
      <c r="M593" s="72"/>
      <c r="N593" s="72"/>
      <c r="O593" s="73"/>
      <c r="P593" s="74"/>
      <c r="Q593" s="74"/>
      <c r="R593" s="81"/>
      <c r="S593" s="81"/>
      <c r="T593" s="81"/>
      <c r="U593" s="81"/>
      <c r="V593" s="48"/>
      <c r="W593" s="48"/>
      <c r="X593" s="48"/>
      <c r="Y593" s="48"/>
      <c r="Z593" s="47"/>
      <c r="AA593" s="69"/>
      <c r="AB593" s="69"/>
      <c r="AC593" s="70"/>
      <c r="AD593" t="s">
        <v>6303</v>
      </c>
      <c r="AE593" s="78" t="s">
        <v>7467</v>
      </c>
      <c r="AF593">
        <v>5005</v>
      </c>
      <c r="AG593">
        <v>2123</v>
      </c>
      <c r="AH593">
        <v>83942</v>
      </c>
      <c r="AI593">
        <v>95756</v>
      </c>
      <c r="AK593" t="s">
        <v>8648</v>
      </c>
      <c r="AL593" t="s">
        <v>8919</v>
      </c>
      <c r="AO593" s="76">
        <v>40227.826215277775</v>
      </c>
      <c r="AP593" s="79" t="str">
        <f>HYPERLINK("https://pbs.twimg.com/profile_banners/115478138/1477508115")</f>
        <v>https://pbs.twimg.com/profile_banners/115478138/1477508115</v>
      </c>
      <c r="AQ593" t="b">
        <v>0</v>
      </c>
      <c r="AR593" t="b">
        <v>0</v>
      </c>
      <c r="AS593" t="b">
        <v>1</v>
      </c>
      <c r="AU593">
        <v>12</v>
      </c>
      <c r="AV593" s="79" t="str">
        <f>HYPERLINK("https://abs.twimg.com/images/themes/theme1/bg.png")</f>
        <v>https://abs.twimg.com/images/themes/theme1/bg.png</v>
      </c>
      <c r="AW593" t="b">
        <v>0</v>
      </c>
      <c r="AX593" t="s">
        <v>9303</v>
      </c>
      <c r="AY593" s="79" t="str">
        <f>HYPERLINK("https://twitter.com/dextercmason")</f>
        <v>https://twitter.com/dextercmason</v>
      </c>
      <c r="AZ593" t="s">
        <v>66</v>
      </c>
      <c r="BA593" s="2"/>
    </row>
    <row r="594" spans="1:53" x14ac:dyDescent="0.45">
      <c r="A594" s="62" t="s">
        <v>960</v>
      </c>
      <c r="B594" s="63"/>
      <c r="C594" s="63"/>
      <c r="D594" s="64"/>
      <c r="E594" s="66"/>
      <c r="F594" s="98" t="str">
        <f>HYPERLINK("https://pbs.twimg.com/profile_images/606081072770646016/npc_gQfn_normal.jpg")</f>
        <v>https://pbs.twimg.com/profile_images/606081072770646016/npc_gQfn_normal.jpg</v>
      </c>
      <c r="G594" s="63"/>
      <c r="H594" s="67"/>
      <c r="I594" s="68"/>
      <c r="J594" s="68"/>
      <c r="K594" s="67" t="s">
        <v>10417</v>
      </c>
      <c r="L594" s="71"/>
      <c r="M594" s="72"/>
      <c r="N594" s="72"/>
      <c r="O594" s="73"/>
      <c r="P594" s="74"/>
      <c r="Q594" s="74"/>
      <c r="R594" s="81"/>
      <c r="S594" s="81"/>
      <c r="T594" s="81"/>
      <c r="U594" s="81"/>
      <c r="V594" s="48"/>
      <c r="W594" s="48"/>
      <c r="X594" s="48"/>
      <c r="Y594" s="48"/>
      <c r="Z594" s="47"/>
      <c r="AA594" s="69"/>
      <c r="AB594" s="69"/>
      <c r="AC594" s="70"/>
      <c r="AD594" t="s">
        <v>6099</v>
      </c>
      <c r="AE594" s="78" t="s">
        <v>7297</v>
      </c>
      <c r="AF594">
        <v>729</v>
      </c>
      <c r="AG594">
        <v>2103</v>
      </c>
      <c r="AH594">
        <v>483168</v>
      </c>
      <c r="AI594">
        <v>537351</v>
      </c>
      <c r="AK594" t="s">
        <v>8461</v>
      </c>
      <c r="AO594" s="76">
        <v>41523.681250000001</v>
      </c>
      <c r="AP594" s="79" t="str">
        <f>HYPERLINK("https://pbs.twimg.com/profile_banners/1735550358/1556642296")</f>
        <v>https://pbs.twimg.com/profile_banners/1735550358/1556642296</v>
      </c>
      <c r="AQ594" t="b">
        <v>1</v>
      </c>
      <c r="AR594" t="b">
        <v>0</v>
      </c>
      <c r="AS594" t="b">
        <v>0</v>
      </c>
      <c r="AU594">
        <v>234</v>
      </c>
      <c r="AV594" s="79" t="str">
        <f>HYPERLINK("https://abs.twimg.com/images/themes/theme1/bg.png")</f>
        <v>https://abs.twimg.com/images/themes/theme1/bg.png</v>
      </c>
      <c r="AW594" t="b">
        <v>0</v>
      </c>
      <c r="AX594" t="s">
        <v>9303</v>
      </c>
      <c r="AY594" s="79" t="str">
        <f>HYPERLINK("https://twitter.com/gyancita")</f>
        <v>https://twitter.com/gyancita</v>
      </c>
      <c r="AZ594" t="s">
        <v>66</v>
      </c>
      <c r="BA594" s="2"/>
    </row>
    <row r="595" spans="1:53" x14ac:dyDescent="0.45">
      <c r="A595" s="62" t="s">
        <v>1235</v>
      </c>
      <c r="B595" s="63"/>
      <c r="C595" s="63"/>
      <c r="D595" s="64"/>
      <c r="E595" s="66"/>
      <c r="F595" s="98" t="str">
        <f>HYPERLINK("https://pbs.twimg.com/profile_images/1240028945757724675/mcdYRzeb_normal.jpg")</f>
        <v>https://pbs.twimg.com/profile_images/1240028945757724675/mcdYRzeb_normal.jpg</v>
      </c>
      <c r="G595" s="63"/>
      <c r="H595" s="67"/>
      <c r="I595" s="68"/>
      <c r="J595" s="68"/>
      <c r="K595" s="67" t="s">
        <v>9588</v>
      </c>
      <c r="L595" s="71"/>
      <c r="M595" s="72"/>
      <c r="N595" s="72"/>
      <c r="O595" s="73"/>
      <c r="P595" s="74"/>
      <c r="Q595" s="74"/>
      <c r="R595" s="81"/>
      <c r="S595" s="81"/>
      <c r="T595" s="81"/>
      <c r="U595" s="81"/>
      <c r="V595" s="48"/>
      <c r="W595" s="48"/>
      <c r="X595" s="48"/>
      <c r="Y595" s="48"/>
      <c r="Z595" s="47"/>
      <c r="AA595" s="69"/>
      <c r="AB595" s="69"/>
      <c r="AC595" s="70"/>
      <c r="AD595" t="s">
        <v>5281</v>
      </c>
      <c r="AE595" s="78" t="s">
        <v>6559</v>
      </c>
      <c r="AF595">
        <v>242</v>
      </c>
      <c r="AG595">
        <v>2077</v>
      </c>
      <c r="AH595">
        <v>843</v>
      </c>
      <c r="AI595">
        <v>854</v>
      </c>
      <c r="AK595" t="s">
        <v>7740</v>
      </c>
      <c r="AL595" t="s">
        <v>8719</v>
      </c>
      <c r="AM595" s="79" t="str">
        <f>HYPERLINK("https://t.co/peqE5WF9dW")</f>
        <v>https://t.co/peqE5WF9dW</v>
      </c>
      <c r="AO595" s="76">
        <v>42549.105787037035</v>
      </c>
      <c r="AP595" s="79" t="str">
        <f>HYPERLINK("https://pbs.twimg.com/profile_banners/747618607727779840/1565102446")</f>
        <v>https://pbs.twimg.com/profile_banners/747618607727779840/1565102446</v>
      </c>
      <c r="AQ595" t="b">
        <v>0</v>
      </c>
      <c r="AR595" t="b">
        <v>0</v>
      </c>
      <c r="AS595" t="b">
        <v>1</v>
      </c>
      <c r="AU595">
        <v>80</v>
      </c>
      <c r="AV595" s="79" t="str">
        <f>HYPERLINK("https://abs.twimg.com/images/themes/theme1/bg.png")</f>
        <v>https://abs.twimg.com/images/themes/theme1/bg.png</v>
      </c>
      <c r="AW595" t="b">
        <v>0</v>
      </c>
      <c r="AX595" t="s">
        <v>9303</v>
      </c>
      <c r="AY595" s="79" t="str">
        <f>HYPERLINK("https://twitter.com/obsessvr")</f>
        <v>https://twitter.com/obsessvr</v>
      </c>
      <c r="AZ595" t="s">
        <v>65</v>
      </c>
      <c r="BA595" s="2"/>
    </row>
    <row r="596" spans="1:53" x14ac:dyDescent="0.45">
      <c r="A596" s="62" t="s">
        <v>399</v>
      </c>
      <c r="B596" s="63"/>
      <c r="C596" s="63"/>
      <c r="D596" s="64"/>
      <c r="E596" s="66"/>
      <c r="F596" s="98" t="str">
        <f>HYPERLINK("https://pbs.twimg.com/profile_images/1613694646785568768/4a3_YhAO_normal.jpg")</f>
        <v>https://pbs.twimg.com/profile_images/1613694646785568768/4a3_YhAO_normal.jpg</v>
      </c>
      <c r="G596" s="63"/>
      <c r="H596" s="67"/>
      <c r="I596" s="68"/>
      <c r="J596" s="68"/>
      <c r="K596" s="67" t="s">
        <v>9649</v>
      </c>
      <c r="L596" s="71"/>
      <c r="M596" s="72"/>
      <c r="N596" s="72"/>
      <c r="O596" s="73"/>
      <c r="P596" s="74"/>
      <c r="Q596" s="74"/>
      <c r="R596" s="81"/>
      <c r="S596" s="81"/>
      <c r="T596" s="81"/>
      <c r="U596" s="81"/>
      <c r="V596" s="48"/>
      <c r="W596" s="48"/>
      <c r="X596" s="48"/>
      <c r="Y596" s="48"/>
      <c r="Z596" s="47"/>
      <c r="AA596" s="69"/>
      <c r="AB596" s="69"/>
      <c r="AC596" s="70"/>
      <c r="AD596" t="s">
        <v>5342</v>
      </c>
      <c r="AE596" s="78" t="s">
        <v>6617</v>
      </c>
      <c r="AF596">
        <v>1413</v>
      </c>
      <c r="AG596">
        <v>2040</v>
      </c>
      <c r="AH596">
        <v>122038</v>
      </c>
      <c r="AI596">
        <v>194296</v>
      </c>
      <c r="AK596" t="s">
        <v>7793</v>
      </c>
      <c r="AL596" t="s">
        <v>8855</v>
      </c>
      <c r="AM596" s="79" t="str">
        <f>HYPERLINK("https://t.co/dWvDUAdUvH")</f>
        <v>https://t.co/dWvDUAdUvH</v>
      </c>
      <c r="AO596" s="76">
        <v>43113.260034722225</v>
      </c>
      <c r="AP596" s="79" t="str">
        <f>HYPERLINK("https://pbs.twimg.com/profile_banners/952061260647903232/1672944796")</f>
        <v>https://pbs.twimg.com/profile_banners/952061260647903232/1672944796</v>
      </c>
      <c r="AQ596" t="b">
        <v>1</v>
      </c>
      <c r="AR596" t="b">
        <v>0</v>
      </c>
      <c r="AS596" t="b">
        <v>0</v>
      </c>
      <c r="AU596">
        <v>14</v>
      </c>
      <c r="AW596" t="b">
        <v>0</v>
      </c>
      <c r="AX596" t="s">
        <v>9303</v>
      </c>
      <c r="AY596" s="79" t="str">
        <f>HYPERLINK("https://twitter.com/mileyscmalibu")</f>
        <v>https://twitter.com/mileyscmalibu</v>
      </c>
      <c r="AZ596" t="s">
        <v>66</v>
      </c>
      <c r="BA596" s="2"/>
    </row>
    <row r="597" spans="1:53" x14ac:dyDescent="0.45">
      <c r="A597" s="62" t="s">
        <v>531</v>
      </c>
      <c r="B597" s="63"/>
      <c r="C597" s="63"/>
      <c r="D597" s="64"/>
      <c r="E597" s="66"/>
      <c r="F597" s="98" t="str">
        <f>HYPERLINK("https://pbs.twimg.com/profile_images/1541751670891319296/QLVwOWR7_normal.jpg")</f>
        <v>https://pbs.twimg.com/profile_images/1541751670891319296/QLVwOWR7_normal.jpg</v>
      </c>
      <c r="G597" s="63"/>
      <c r="H597" s="67"/>
      <c r="I597" s="68"/>
      <c r="J597" s="68"/>
      <c r="K597" s="67" t="s">
        <v>9824</v>
      </c>
      <c r="L597" s="71"/>
      <c r="M597" s="72"/>
      <c r="N597" s="72"/>
      <c r="O597" s="73"/>
      <c r="P597" s="74"/>
      <c r="Q597" s="74"/>
      <c r="R597" s="81"/>
      <c r="S597" s="81"/>
      <c r="T597" s="81"/>
      <c r="U597" s="81"/>
      <c r="V597" s="48"/>
      <c r="W597" s="48"/>
      <c r="X597" s="48"/>
      <c r="Y597" s="48"/>
      <c r="Z597" s="47"/>
      <c r="AA597" s="69"/>
      <c r="AB597" s="69"/>
      <c r="AC597" s="70"/>
      <c r="AD597" t="s">
        <v>5515</v>
      </c>
      <c r="AE597" s="78" t="s">
        <v>6766</v>
      </c>
      <c r="AF597">
        <v>550</v>
      </c>
      <c r="AG597">
        <v>2028</v>
      </c>
      <c r="AH597">
        <v>3231</v>
      </c>
      <c r="AI597">
        <v>7714</v>
      </c>
      <c r="AK597" t="s">
        <v>7941</v>
      </c>
      <c r="AL597" t="s">
        <v>8932</v>
      </c>
      <c r="AM597" s="79" t="str">
        <f>HYPERLINK("https://t.co/daOFQlpAih")</f>
        <v>https://t.co/daOFQlpAih</v>
      </c>
      <c r="AO597" s="76">
        <v>41235.88690972222</v>
      </c>
      <c r="AP597" s="79" t="str">
        <f>HYPERLINK("https://pbs.twimg.com/profile_banners/964971054/1656417228")</f>
        <v>https://pbs.twimg.com/profile_banners/964971054/1656417228</v>
      </c>
      <c r="AQ597" t="b">
        <v>0</v>
      </c>
      <c r="AR597" t="b">
        <v>0</v>
      </c>
      <c r="AS597" t="b">
        <v>1</v>
      </c>
      <c r="AU597">
        <v>8</v>
      </c>
      <c r="AV597" s="79" t="str">
        <f>HYPERLINK("https://abs.twimg.com/images/themes/theme1/bg.png")</f>
        <v>https://abs.twimg.com/images/themes/theme1/bg.png</v>
      </c>
      <c r="AW597" t="b">
        <v>0</v>
      </c>
      <c r="AX597" t="s">
        <v>9303</v>
      </c>
      <c r="AY597" s="79" t="str">
        <f>HYPERLINK("https://twitter.com/cristian_merigo")</f>
        <v>https://twitter.com/cristian_merigo</v>
      </c>
      <c r="AZ597" t="s">
        <v>66</v>
      </c>
      <c r="BA597" s="2"/>
    </row>
    <row r="598" spans="1:53" x14ac:dyDescent="0.45">
      <c r="A598" s="62" t="s">
        <v>1401</v>
      </c>
      <c r="B598" s="63"/>
      <c r="C598" s="63"/>
      <c r="D598" s="64"/>
      <c r="E598" s="66"/>
      <c r="F598" s="98" t="str">
        <f>HYPERLINK("https://pbs.twimg.com/profile_images/759088882306600960/xMwU3tOd_normal.jpg")</f>
        <v>https://pbs.twimg.com/profile_images/759088882306600960/xMwU3tOd_normal.jpg</v>
      </c>
      <c r="G598" s="63"/>
      <c r="H598" s="67"/>
      <c r="I598" s="68"/>
      <c r="J598" s="68"/>
      <c r="K598" s="67" t="s">
        <v>10240</v>
      </c>
      <c r="L598" s="71"/>
      <c r="M598" s="72"/>
      <c r="N598" s="72"/>
      <c r="O598" s="73"/>
      <c r="P598" s="74"/>
      <c r="Q598" s="74"/>
      <c r="R598" s="81"/>
      <c r="S598" s="81"/>
      <c r="T598" s="81"/>
      <c r="U598" s="81"/>
      <c r="V598" s="48"/>
      <c r="W598" s="48"/>
      <c r="X598" s="48"/>
      <c r="Y598" s="48"/>
      <c r="Z598" s="47"/>
      <c r="AA598" s="69"/>
      <c r="AB598" s="69"/>
      <c r="AC598" s="70"/>
      <c r="AD598" t="s">
        <v>5924</v>
      </c>
      <c r="AE598" s="78" t="s">
        <v>4758</v>
      </c>
      <c r="AF598">
        <v>88</v>
      </c>
      <c r="AG598">
        <v>2014</v>
      </c>
      <c r="AH598">
        <v>20107</v>
      </c>
      <c r="AI598">
        <v>87</v>
      </c>
      <c r="AK598" t="s">
        <v>8305</v>
      </c>
      <c r="AL598" t="s">
        <v>4899</v>
      </c>
      <c r="AO598" s="76">
        <v>42560.162997685184</v>
      </c>
      <c r="AP598" s="79" t="str">
        <f>HYPERLINK("https://pbs.twimg.com/profile_banners/751625603191697409/1469815859")</f>
        <v>https://pbs.twimg.com/profile_banners/751625603191697409/1469815859</v>
      </c>
      <c r="AQ598" t="b">
        <v>0</v>
      </c>
      <c r="AR598" t="b">
        <v>0</v>
      </c>
      <c r="AS598" t="b">
        <v>0</v>
      </c>
      <c r="AU598">
        <v>12</v>
      </c>
      <c r="AV598" s="79" t="str">
        <f>HYPERLINK("https://abs.twimg.com/images/themes/theme1/bg.png")</f>
        <v>https://abs.twimg.com/images/themes/theme1/bg.png</v>
      </c>
      <c r="AW598" t="b">
        <v>1</v>
      </c>
      <c r="AX598" t="s">
        <v>9303</v>
      </c>
      <c r="AY598" s="79" t="str">
        <f>HYPERLINK("https://twitter.com/chilissupport")</f>
        <v>https://twitter.com/chilissupport</v>
      </c>
      <c r="AZ598" t="s">
        <v>65</v>
      </c>
      <c r="BA598" s="2"/>
    </row>
    <row r="599" spans="1:53" x14ac:dyDescent="0.45">
      <c r="A599" s="62" t="s">
        <v>358</v>
      </c>
      <c r="B599" s="63"/>
      <c r="C599" s="63"/>
      <c r="D599" s="64"/>
      <c r="E599" s="66"/>
      <c r="F599" s="98" t="str">
        <f>HYPERLINK("https://pbs.twimg.com/profile_images/1027236642854264837/wuUPiPIa_normal.jpg")</f>
        <v>https://pbs.twimg.com/profile_images/1027236642854264837/wuUPiPIa_normal.jpg</v>
      </c>
      <c r="G599" s="63"/>
      <c r="H599" s="67"/>
      <c r="I599" s="68"/>
      <c r="J599" s="68"/>
      <c r="K599" s="67" t="s">
        <v>9587</v>
      </c>
      <c r="L599" s="71"/>
      <c r="M599" s="72"/>
      <c r="N599" s="72"/>
      <c r="O599" s="73"/>
      <c r="P599" s="74"/>
      <c r="Q599" s="74"/>
      <c r="R599" s="81"/>
      <c r="S599" s="81"/>
      <c r="T599" s="81"/>
      <c r="U599" s="81"/>
      <c r="V599" s="48"/>
      <c r="W599" s="48"/>
      <c r="X599" s="48"/>
      <c r="Y599" s="48"/>
      <c r="Z599" s="47"/>
      <c r="AA599" s="69"/>
      <c r="AB599" s="69"/>
      <c r="AC599" s="70"/>
      <c r="AD599" t="s">
        <v>5280</v>
      </c>
      <c r="AE599" s="78" t="s">
        <v>6558</v>
      </c>
      <c r="AF599">
        <v>340</v>
      </c>
      <c r="AG599">
        <v>1993</v>
      </c>
      <c r="AH599">
        <v>12126</v>
      </c>
      <c r="AI599">
        <v>17451</v>
      </c>
      <c r="AK599" t="s">
        <v>7739</v>
      </c>
      <c r="AL599" t="s">
        <v>8824</v>
      </c>
      <c r="AM599" s="79" t="str">
        <f>HYPERLINK("https://t.co/N3wVCWZTu1")</f>
        <v>https://t.co/N3wVCWZTu1</v>
      </c>
      <c r="AO599" s="76">
        <v>40647.816180555557</v>
      </c>
      <c r="AP599" s="79" t="str">
        <f>HYPERLINK("https://pbs.twimg.com/profile_banners/282212265/1519551906")</f>
        <v>https://pbs.twimg.com/profile_banners/282212265/1519551906</v>
      </c>
      <c r="AQ599" t="b">
        <v>0</v>
      </c>
      <c r="AR599" t="b">
        <v>0</v>
      </c>
      <c r="AS599" t="b">
        <v>1</v>
      </c>
      <c r="AU599">
        <v>269</v>
      </c>
      <c r="AV599" s="79" t="str">
        <f>HYPERLINK("https://abs.twimg.com/images/themes/theme1/bg.png")</f>
        <v>https://abs.twimg.com/images/themes/theme1/bg.png</v>
      </c>
      <c r="AW599" t="b">
        <v>0</v>
      </c>
      <c r="AX599" t="s">
        <v>9303</v>
      </c>
      <c r="AY599" s="79" t="str">
        <f>HYPERLINK("https://twitter.com/scottthomps74")</f>
        <v>https://twitter.com/scottthomps74</v>
      </c>
      <c r="AZ599" t="s">
        <v>66</v>
      </c>
      <c r="BA599" s="2"/>
    </row>
    <row r="600" spans="1:53" x14ac:dyDescent="0.45">
      <c r="A600" s="62" t="s">
        <v>542</v>
      </c>
      <c r="B600" s="63"/>
      <c r="C600" s="63"/>
      <c r="D600" s="64"/>
      <c r="E600" s="66"/>
      <c r="F600" s="98" t="str">
        <f>HYPERLINK("https://pbs.twimg.com/profile_images/993496311151329281/XimAzESX_normal.jpg")</f>
        <v>https://pbs.twimg.com/profile_images/993496311151329281/XimAzESX_normal.jpg</v>
      </c>
      <c r="G600" s="63"/>
      <c r="H600" s="67"/>
      <c r="I600" s="68"/>
      <c r="J600" s="68"/>
      <c r="K600" s="67" t="s">
        <v>9835</v>
      </c>
      <c r="L600" s="71"/>
      <c r="M600" s="72"/>
      <c r="N600" s="72"/>
      <c r="O600" s="73"/>
      <c r="P600" s="74"/>
      <c r="Q600" s="74"/>
      <c r="R600" s="81"/>
      <c r="S600" s="81"/>
      <c r="T600" s="81"/>
      <c r="U600" s="81"/>
      <c r="V600" s="48"/>
      <c r="W600" s="48"/>
      <c r="X600" s="48"/>
      <c r="Y600" s="48"/>
      <c r="Z600" s="47"/>
      <c r="AA600" s="69"/>
      <c r="AB600" s="69"/>
      <c r="AC600" s="70"/>
      <c r="AD600" t="s">
        <v>5526</v>
      </c>
      <c r="AE600" s="78" t="s">
        <v>6776</v>
      </c>
      <c r="AF600">
        <v>415</v>
      </c>
      <c r="AG600">
        <v>1985</v>
      </c>
      <c r="AH600">
        <v>2956</v>
      </c>
      <c r="AI600">
        <v>4479</v>
      </c>
      <c r="AK600" t="s">
        <v>7951</v>
      </c>
      <c r="AL600" t="s">
        <v>8938</v>
      </c>
      <c r="AM600" s="79" t="str">
        <f>HYPERLINK("https://t.co/6EZhWixyMd")</f>
        <v>https://t.co/6EZhWixyMd</v>
      </c>
      <c r="AO600" s="76">
        <v>41540.775868055556</v>
      </c>
      <c r="AP600" s="79" t="str">
        <f>HYPERLINK("https://pbs.twimg.com/profile_banners/1898050458/1458855339")</f>
        <v>https://pbs.twimg.com/profile_banners/1898050458/1458855339</v>
      </c>
      <c r="AQ600" t="b">
        <v>0</v>
      </c>
      <c r="AR600" t="b">
        <v>0</v>
      </c>
      <c r="AS600" t="b">
        <v>1</v>
      </c>
      <c r="AU600">
        <v>82</v>
      </c>
      <c r="AV600" s="79" t="str">
        <f>HYPERLINK("https://abs.twimg.com/images/themes/theme1/bg.png")</f>
        <v>https://abs.twimg.com/images/themes/theme1/bg.png</v>
      </c>
      <c r="AW600" t="b">
        <v>0</v>
      </c>
      <c r="AX600" t="s">
        <v>9303</v>
      </c>
      <c r="AY600" s="79" t="str">
        <f>HYPERLINK("https://twitter.com/investdetroitvc")</f>
        <v>https://twitter.com/investdetroitvc</v>
      </c>
      <c r="AZ600" t="s">
        <v>66</v>
      </c>
      <c r="BA600" s="2"/>
    </row>
    <row r="601" spans="1:53" x14ac:dyDescent="0.45">
      <c r="A601" s="62" t="s">
        <v>931</v>
      </c>
      <c r="B601" s="63"/>
      <c r="C601" s="63"/>
      <c r="D601" s="64"/>
      <c r="E601" s="66"/>
      <c r="F601" s="98" t="str">
        <f>HYPERLINK("https://pbs.twimg.com/profile_images/1616812550989172736/EP7L5l2r_normal.jpg")</f>
        <v>https://pbs.twimg.com/profile_images/1616812550989172736/EP7L5l2r_normal.jpg</v>
      </c>
      <c r="G601" s="63"/>
      <c r="H601" s="67"/>
      <c r="I601" s="68"/>
      <c r="J601" s="68"/>
      <c r="K601" s="67" t="s">
        <v>10365</v>
      </c>
      <c r="L601" s="71"/>
      <c r="M601" s="72"/>
      <c r="N601" s="72"/>
      <c r="O601" s="73"/>
      <c r="P601" s="74"/>
      <c r="Q601" s="74"/>
      <c r="R601" s="81"/>
      <c r="S601" s="81"/>
      <c r="T601" s="81"/>
      <c r="U601" s="81"/>
      <c r="V601" s="48"/>
      <c r="W601" s="48"/>
      <c r="X601" s="48"/>
      <c r="Y601" s="48"/>
      <c r="Z601" s="47"/>
      <c r="AA601" s="69"/>
      <c r="AB601" s="69"/>
      <c r="AC601" s="70"/>
      <c r="AD601" t="s">
        <v>6048</v>
      </c>
      <c r="AE601" s="78" t="s">
        <v>7253</v>
      </c>
      <c r="AF601">
        <v>1977</v>
      </c>
      <c r="AG601">
        <v>1964</v>
      </c>
      <c r="AH601">
        <v>28717</v>
      </c>
      <c r="AI601">
        <v>340</v>
      </c>
      <c r="AK601" t="s">
        <v>8414</v>
      </c>
      <c r="AL601" t="s">
        <v>8700</v>
      </c>
      <c r="AO601" s="76">
        <v>44036.11278935185</v>
      </c>
      <c r="AP601" s="79" t="str">
        <f>HYPERLINK("https://pbs.twimg.com/profile_banners/1286491840926175232/1665337598")</f>
        <v>https://pbs.twimg.com/profile_banners/1286491840926175232/1665337598</v>
      </c>
      <c r="AQ601" t="b">
        <v>1</v>
      </c>
      <c r="AR601" t="b">
        <v>0</v>
      </c>
      <c r="AS601" t="b">
        <v>1</v>
      </c>
      <c r="AU601">
        <v>0</v>
      </c>
      <c r="AW601" t="b">
        <v>0</v>
      </c>
      <c r="AX601" t="s">
        <v>9303</v>
      </c>
      <c r="AY601" s="79" t="str">
        <f>HYPERLINK("https://twitter.com/vgag77")</f>
        <v>https://twitter.com/vgag77</v>
      </c>
      <c r="AZ601" t="s">
        <v>66</v>
      </c>
      <c r="BA601" s="2"/>
    </row>
    <row r="602" spans="1:53" x14ac:dyDescent="0.45">
      <c r="A602" s="62" t="s">
        <v>1070</v>
      </c>
      <c r="B602" s="63"/>
      <c r="C602" s="63"/>
      <c r="D602" s="64"/>
      <c r="E602" s="66"/>
      <c r="F602" s="98" t="str">
        <f>HYPERLINK("https://pbs.twimg.com/profile_images/1611479392617652224/VxUozo9u_normal.jpg")</f>
        <v>https://pbs.twimg.com/profile_images/1611479392617652224/VxUozo9u_normal.jpg</v>
      </c>
      <c r="G602" s="63"/>
      <c r="H602" s="67"/>
      <c r="I602" s="68"/>
      <c r="J602" s="68"/>
      <c r="K602" s="67" t="s">
        <v>10235</v>
      </c>
      <c r="L602" s="71"/>
      <c r="M602" s="72"/>
      <c r="N602" s="72"/>
      <c r="O602" s="73"/>
      <c r="P602" s="74"/>
      <c r="Q602" s="74"/>
      <c r="R602" s="81"/>
      <c r="S602" s="81"/>
      <c r="T602" s="81"/>
      <c r="U602" s="81"/>
      <c r="V602" s="48"/>
      <c r="W602" s="48"/>
      <c r="X602" s="48"/>
      <c r="Y602" s="48"/>
      <c r="Z602" s="47"/>
      <c r="AA602" s="69"/>
      <c r="AB602" s="69"/>
      <c r="AC602" s="70"/>
      <c r="AD602" t="s">
        <v>5919</v>
      </c>
      <c r="AE602" s="78" t="s">
        <v>4817</v>
      </c>
      <c r="AF602">
        <v>1831</v>
      </c>
      <c r="AG602">
        <v>1955</v>
      </c>
      <c r="AH602">
        <v>27396</v>
      </c>
      <c r="AI602">
        <v>114817</v>
      </c>
      <c r="AK602" t="s">
        <v>8301</v>
      </c>
      <c r="AL602" t="s">
        <v>9133</v>
      </c>
      <c r="AO602" s="76">
        <v>44002.398078703707</v>
      </c>
      <c r="AP602" s="79" t="str">
        <f>HYPERLINK("https://pbs.twimg.com/profile_banners/1274274034826518528/1674738940")</f>
        <v>https://pbs.twimg.com/profile_banners/1274274034826518528/1674738940</v>
      </c>
      <c r="AQ602" t="b">
        <v>1</v>
      </c>
      <c r="AR602" t="b">
        <v>0</v>
      </c>
      <c r="AS602" t="b">
        <v>1</v>
      </c>
      <c r="AU602">
        <v>13</v>
      </c>
      <c r="AW602" t="b">
        <v>0</v>
      </c>
      <c r="AX602" t="s">
        <v>9303</v>
      </c>
      <c r="AY602" s="79" t="str">
        <f>HYPERLINK("https://twitter.com/spaceaur0ras")</f>
        <v>https://twitter.com/spaceaur0ras</v>
      </c>
      <c r="AZ602" t="s">
        <v>66</v>
      </c>
      <c r="BA602" s="2"/>
    </row>
    <row r="603" spans="1:53" x14ac:dyDescent="0.45">
      <c r="A603" s="62" t="s">
        <v>1233</v>
      </c>
      <c r="B603" s="63"/>
      <c r="C603" s="63"/>
      <c r="D603" s="64"/>
      <c r="E603" s="66"/>
      <c r="F603" s="98" t="str">
        <f>HYPERLINK("https://pbs.twimg.com/profile_images/1445099913826689032/gjZm8UFL_normal.jpg")</f>
        <v>https://pbs.twimg.com/profile_images/1445099913826689032/gjZm8UFL_normal.jpg</v>
      </c>
      <c r="G603" s="63"/>
      <c r="H603" s="67"/>
      <c r="I603" s="68"/>
      <c r="J603" s="68"/>
      <c r="K603" s="67" t="s">
        <v>9581</v>
      </c>
      <c r="L603" s="71"/>
      <c r="M603" s="72"/>
      <c r="N603" s="72"/>
      <c r="O603" s="73"/>
      <c r="P603" s="74"/>
      <c r="Q603" s="74"/>
      <c r="R603" s="81"/>
      <c r="S603" s="81"/>
      <c r="T603" s="81"/>
      <c r="U603" s="81"/>
      <c r="V603" s="48"/>
      <c r="W603" s="48"/>
      <c r="X603" s="48"/>
      <c r="Y603" s="48"/>
      <c r="Z603" s="47"/>
      <c r="AA603" s="69"/>
      <c r="AB603" s="69"/>
      <c r="AC603" s="70"/>
      <c r="AD603" t="s">
        <v>5274</v>
      </c>
      <c r="AE603" s="78" t="s">
        <v>6552</v>
      </c>
      <c r="AF603">
        <v>452</v>
      </c>
      <c r="AG603">
        <v>1951</v>
      </c>
      <c r="AH603">
        <v>5475</v>
      </c>
      <c r="AI603">
        <v>612</v>
      </c>
      <c r="AK603" t="s">
        <v>7735</v>
      </c>
      <c r="AL603" t="s">
        <v>8763</v>
      </c>
      <c r="AM603" s="79" t="str">
        <f>HYPERLINK("https://t.co/zLYC7RrDFC")</f>
        <v>https://t.co/zLYC7RrDFC</v>
      </c>
      <c r="AO603" s="76">
        <v>40046.640138888892</v>
      </c>
      <c r="AP603" s="79" t="str">
        <f>HYPERLINK("https://pbs.twimg.com/profile_banners/67632514/1675276135")</f>
        <v>https://pbs.twimg.com/profile_banners/67632514/1675276135</v>
      </c>
      <c r="AQ603" t="b">
        <v>0</v>
      </c>
      <c r="AR603" t="b">
        <v>0</v>
      </c>
      <c r="AS603" t="b">
        <v>1</v>
      </c>
      <c r="AU603">
        <v>79</v>
      </c>
      <c r="AV603" s="79" t="str">
        <f>HYPERLINK("https://abs.twimg.com/images/themes/theme4/bg.gif")</f>
        <v>https://abs.twimg.com/images/themes/theme4/bg.gif</v>
      </c>
      <c r="AW603" t="b">
        <v>0</v>
      </c>
      <c r="AX603" t="s">
        <v>9303</v>
      </c>
      <c r="AY603" s="79" t="str">
        <f>HYPERLINK("https://twitter.com/fcsn")</f>
        <v>https://twitter.com/fcsn</v>
      </c>
      <c r="AZ603" t="s">
        <v>65</v>
      </c>
      <c r="BA603" s="2"/>
    </row>
    <row r="604" spans="1:53" x14ac:dyDescent="0.45">
      <c r="A604" s="62" t="s">
        <v>523</v>
      </c>
      <c r="B604" s="63"/>
      <c r="C604" s="63"/>
      <c r="D604" s="64"/>
      <c r="E604" s="66"/>
      <c r="F604" s="98" t="str">
        <f>HYPERLINK("https://pbs.twimg.com/profile_images/755071143984308224/j8N6sP1i_normal.jpg")</f>
        <v>https://pbs.twimg.com/profile_images/755071143984308224/j8N6sP1i_normal.jpg</v>
      </c>
      <c r="G604" s="63"/>
      <c r="H604" s="67"/>
      <c r="I604" s="68"/>
      <c r="J604" s="68"/>
      <c r="K604" s="67" t="s">
        <v>9814</v>
      </c>
      <c r="L604" s="71"/>
      <c r="M604" s="72"/>
      <c r="N604" s="72"/>
      <c r="O604" s="73"/>
      <c r="P604" s="74"/>
      <c r="Q604" s="74"/>
      <c r="R604" s="81"/>
      <c r="S604" s="81"/>
      <c r="T604" s="81"/>
      <c r="U604" s="81"/>
      <c r="V604" s="48"/>
      <c r="W604" s="48"/>
      <c r="X604" s="48"/>
      <c r="Y604" s="48"/>
      <c r="Z604" s="47"/>
      <c r="AA604" s="69"/>
      <c r="AB604" s="69"/>
      <c r="AC604" s="70"/>
      <c r="AD604" t="s">
        <v>5505</v>
      </c>
      <c r="AE604" s="78" t="s">
        <v>6759</v>
      </c>
      <c r="AF604">
        <v>2339</v>
      </c>
      <c r="AG604">
        <v>1949</v>
      </c>
      <c r="AH604">
        <v>58108</v>
      </c>
      <c r="AI604">
        <v>14019</v>
      </c>
      <c r="AK604" t="s">
        <v>7933</v>
      </c>
      <c r="AL604" t="s">
        <v>8708</v>
      </c>
      <c r="AO604" s="76">
        <v>39551.857766203706</v>
      </c>
      <c r="AP604" s="79" t="str">
        <f>HYPERLINK("https://pbs.twimg.com/profile_banners/14377702/1475645028")</f>
        <v>https://pbs.twimg.com/profile_banners/14377702/1475645028</v>
      </c>
      <c r="AQ604" t="b">
        <v>1</v>
      </c>
      <c r="AR604" t="b">
        <v>0</v>
      </c>
      <c r="AS604" t="b">
        <v>0</v>
      </c>
      <c r="AU604">
        <v>87</v>
      </c>
      <c r="AV604" s="79" t="str">
        <f>HYPERLINK("https://abs.twimg.com/images/themes/theme1/bg.png")</f>
        <v>https://abs.twimg.com/images/themes/theme1/bg.png</v>
      </c>
      <c r="AW604" t="b">
        <v>0</v>
      </c>
      <c r="AX604" t="s">
        <v>9303</v>
      </c>
      <c r="AY604" s="79" t="str">
        <f>HYPERLINK("https://twitter.com/leftysunite")</f>
        <v>https://twitter.com/leftysunite</v>
      </c>
      <c r="AZ604" t="s">
        <v>66</v>
      </c>
      <c r="BA604" s="2"/>
    </row>
    <row r="605" spans="1:53" x14ac:dyDescent="0.45">
      <c r="A605" s="62" t="s">
        <v>1552</v>
      </c>
      <c r="B605" s="63"/>
      <c r="C605" s="63"/>
      <c r="D605" s="64"/>
      <c r="E605" s="66"/>
      <c r="F605" s="98" t="str">
        <f>HYPERLINK("https://pbs.twimg.com/profile_images/988505247466352642/DCo7A7Bi_normal.jpg")</f>
        <v>https://pbs.twimg.com/profile_images/988505247466352642/DCo7A7Bi_normal.jpg</v>
      </c>
      <c r="G605" s="63"/>
      <c r="H605" s="67"/>
      <c r="I605" s="68"/>
      <c r="J605" s="68"/>
      <c r="K605" s="67" t="s">
        <v>10613</v>
      </c>
      <c r="L605" s="71"/>
      <c r="M605" s="72"/>
      <c r="N605" s="72"/>
      <c r="O605" s="73"/>
      <c r="P605" s="74"/>
      <c r="Q605" s="74"/>
      <c r="R605" s="81"/>
      <c r="S605" s="81"/>
      <c r="T605" s="81"/>
      <c r="U605" s="81"/>
      <c r="V605" s="48"/>
      <c r="W605" s="48"/>
      <c r="X605" s="48"/>
      <c r="Y605" s="48"/>
      <c r="Z605" s="47"/>
      <c r="AA605" s="69"/>
      <c r="AB605" s="69"/>
      <c r="AC605" s="70"/>
      <c r="AD605" t="s">
        <v>6289</v>
      </c>
      <c r="AE605" s="78" t="s">
        <v>7454</v>
      </c>
      <c r="AF605">
        <v>546</v>
      </c>
      <c r="AG605">
        <v>1934</v>
      </c>
      <c r="AH605">
        <v>6112</v>
      </c>
      <c r="AI605">
        <v>7713</v>
      </c>
      <c r="AK605" t="s">
        <v>8635</v>
      </c>
      <c r="AL605" t="s">
        <v>9288</v>
      </c>
      <c r="AM605" s="79" t="str">
        <f>HYPERLINK("https://t.co/0NNwEstutH")</f>
        <v>https://t.co/0NNwEstutH</v>
      </c>
      <c r="AO605" s="76">
        <v>43199.447638888887</v>
      </c>
      <c r="AP605" s="79" t="str">
        <f>HYPERLINK("https://pbs.twimg.com/profile_banners/983294602953265152/1644529971")</f>
        <v>https://pbs.twimg.com/profile_banners/983294602953265152/1644529971</v>
      </c>
      <c r="AQ605" t="b">
        <v>1</v>
      </c>
      <c r="AR605" t="b">
        <v>0</v>
      </c>
      <c r="AS605" t="b">
        <v>1</v>
      </c>
      <c r="AU605">
        <v>23</v>
      </c>
      <c r="AW605" t="b">
        <v>0</v>
      </c>
      <c r="AX605" t="s">
        <v>9303</v>
      </c>
      <c r="AY605" s="79" t="str">
        <f>HYPERLINK("https://twitter.com/suv_gop")</f>
        <v>https://twitter.com/suv_gop</v>
      </c>
      <c r="AZ605" t="s">
        <v>65</v>
      </c>
      <c r="BA605" s="2"/>
    </row>
    <row r="606" spans="1:53" x14ac:dyDescent="0.45">
      <c r="A606" s="62" t="s">
        <v>1423</v>
      </c>
      <c r="B606" s="63"/>
      <c r="C606" s="63"/>
      <c r="D606" s="64"/>
      <c r="E606" s="66"/>
      <c r="F606" s="98" t="str">
        <f>HYPERLINK("https://pbs.twimg.com/profile_images/1003438775215841281/jAPi9Acd_normal.jpg")</f>
        <v>https://pbs.twimg.com/profile_images/1003438775215841281/jAPi9Acd_normal.jpg</v>
      </c>
      <c r="G606" s="63"/>
      <c r="H606" s="67"/>
      <c r="I606" s="68"/>
      <c r="J606" s="68"/>
      <c r="K606" s="67" t="s">
        <v>10313</v>
      </c>
      <c r="L606" s="71"/>
      <c r="M606" s="72"/>
      <c r="N606" s="72"/>
      <c r="O606" s="73"/>
      <c r="P606" s="74"/>
      <c r="Q606" s="74"/>
      <c r="R606" s="81"/>
      <c r="S606" s="81"/>
      <c r="T606" s="81"/>
      <c r="U606" s="81"/>
      <c r="V606" s="48"/>
      <c r="W606" s="48"/>
      <c r="X606" s="48"/>
      <c r="Y606" s="48"/>
      <c r="Z606" s="47"/>
      <c r="AA606" s="69"/>
      <c r="AB606" s="69"/>
      <c r="AC606" s="70"/>
      <c r="AD606" t="s">
        <v>5996</v>
      </c>
      <c r="AE606" s="78" t="s">
        <v>4766</v>
      </c>
      <c r="AF606">
        <v>224</v>
      </c>
      <c r="AG606">
        <v>1901</v>
      </c>
      <c r="AH606">
        <v>16105</v>
      </c>
      <c r="AI606">
        <v>19528</v>
      </c>
      <c r="AK606" t="s">
        <v>8370</v>
      </c>
      <c r="AL606" t="s">
        <v>9026</v>
      </c>
      <c r="AM606" s="79" t="str">
        <f>HYPERLINK("https://t.co/uKXQ4dlswm")</f>
        <v>https://t.co/uKXQ4dlswm</v>
      </c>
      <c r="AO606" s="76">
        <v>42630.681157407409</v>
      </c>
      <c r="AP606" s="79" t="str">
        <f>HYPERLINK("https://pbs.twimg.com/profile_banners/777180530735517696/1581352621")</f>
        <v>https://pbs.twimg.com/profile_banners/777180530735517696/1581352621</v>
      </c>
      <c r="AQ606" t="b">
        <v>1</v>
      </c>
      <c r="AR606" t="b">
        <v>0</v>
      </c>
      <c r="AS606" t="b">
        <v>0</v>
      </c>
      <c r="AU606">
        <v>6</v>
      </c>
      <c r="AW606" t="b">
        <v>0</v>
      </c>
      <c r="AX606" t="s">
        <v>9303</v>
      </c>
      <c r="AY606" s="79" t="str">
        <f>HYPERLINK("https://twitter.com/mayanprofit")</f>
        <v>https://twitter.com/mayanprofit</v>
      </c>
      <c r="AZ606" t="s">
        <v>65</v>
      </c>
      <c r="BA606" s="2"/>
    </row>
    <row r="607" spans="1:53" x14ac:dyDescent="0.45">
      <c r="A607" s="62" t="s">
        <v>663</v>
      </c>
      <c r="B607" s="63"/>
      <c r="C607" s="63"/>
      <c r="D607" s="64"/>
      <c r="E607" s="66"/>
      <c r="F607" s="98" t="str">
        <f>HYPERLINK("https://pbs.twimg.com/profile_images/1412204956380106770/MQvLQxXH_normal.jpg")</f>
        <v>https://pbs.twimg.com/profile_images/1412204956380106770/MQvLQxXH_normal.jpg</v>
      </c>
      <c r="G607" s="63"/>
      <c r="H607" s="67"/>
      <c r="I607" s="68"/>
      <c r="J607" s="68"/>
      <c r="K607" s="67" t="s">
        <v>9983</v>
      </c>
      <c r="L607" s="71"/>
      <c r="M607" s="72"/>
      <c r="N607" s="72"/>
      <c r="O607" s="73"/>
      <c r="P607" s="74"/>
      <c r="Q607" s="74"/>
      <c r="R607" s="81"/>
      <c r="S607" s="81"/>
      <c r="T607" s="81"/>
      <c r="U607" s="81"/>
      <c r="V607" s="48"/>
      <c r="W607" s="48"/>
      <c r="X607" s="48"/>
      <c r="Y607" s="48"/>
      <c r="Z607" s="47"/>
      <c r="AA607" s="69"/>
      <c r="AB607" s="69"/>
      <c r="AC607" s="70"/>
      <c r="AD607" t="s">
        <v>5674</v>
      </c>
      <c r="AE607" s="78" t="s">
        <v>6916</v>
      </c>
      <c r="AF607">
        <v>1753</v>
      </c>
      <c r="AG607">
        <v>1896</v>
      </c>
      <c r="AH607">
        <v>12849</v>
      </c>
      <c r="AI607">
        <v>1458</v>
      </c>
      <c r="AK607" t="s">
        <v>8082</v>
      </c>
      <c r="AL607" t="s">
        <v>9025</v>
      </c>
      <c r="AM607" s="79" t="str">
        <f>HYPERLINK("https://t.co/uEisyITowc")</f>
        <v>https://t.co/uEisyITowc</v>
      </c>
      <c r="AO607" s="76">
        <v>40278.461793981478</v>
      </c>
      <c r="AP607" s="79" t="str">
        <f>HYPERLINK("https://pbs.twimg.com/profile_banners/131472870/1608103517")</f>
        <v>https://pbs.twimg.com/profile_banners/131472870/1608103517</v>
      </c>
      <c r="AQ607" t="b">
        <v>1</v>
      </c>
      <c r="AR607" t="b">
        <v>0</v>
      </c>
      <c r="AS607" t="b">
        <v>1</v>
      </c>
      <c r="AU607">
        <v>219</v>
      </c>
      <c r="AV607" s="79" t="str">
        <f>HYPERLINK("https://abs.twimg.com/images/themes/theme1/bg.png")</f>
        <v>https://abs.twimg.com/images/themes/theme1/bg.png</v>
      </c>
      <c r="AW607" t="b">
        <v>0</v>
      </c>
      <c r="AX607" t="s">
        <v>9303</v>
      </c>
      <c r="AY607" s="79" t="str">
        <f>HYPERLINK("https://twitter.com/austinuzama")</f>
        <v>https://twitter.com/austinuzama</v>
      </c>
      <c r="AZ607" t="s">
        <v>66</v>
      </c>
      <c r="BA607" s="2"/>
    </row>
    <row r="608" spans="1:53" x14ac:dyDescent="0.45">
      <c r="A608" s="62" t="s">
        <v>757</v>
      </c>
      <c r="B608" s="63"/>
      <c r="C608" s="63"/>
      <c r="D608" s="64"/>
      <c r="E608" s="66"/>
      <c r="F608" s="98" t="str">
        <f>HYPERLINK("https://pbs.twimg.com/profile_images/1614642465079984129/oATnBfH0_normal.jpg")</f>
        <v>https://pbs.twimg.com/profile_images/1614642465079984129/oATnBfH0_normal.jpg</v>
      </c>
      <c r="G608" s="63"/>
      <c r="H608" s="67"/>
      <c r="I608" s="68"/>
      <c r="J608" s="68"/>
      <c r="K608" s="67" t="s">
        <v>10108</v>
      </c>
      <c r="L608" s="71"/>
      <c r="M608" s="72"/>
      <c r="N608" s="72"/>
      <c r="O608" s="73"/>
      <c r="P608" s="74"/>
      <c r="Q608" s="74"/>
      <c r="R608" s="81"/>
      <c r="S608" s="81"/>
      <c r="T608" s="81"/>
      <c r="U608" s="81"/>
      <c r="V608" s="48"/>
      <c r="W608" s="48"/>
      <c r="X608" s="48"/>
      <c r="Y608" s="48"/>
      <c r="Z608" s="47"/>
      <c r="AA608" s="69"/>
      <c r="AB608" s="69"/>
      <c r="AC608" s="70"/>
      <c r="AD608" t="s">
        <v>5796</v>
      </c>
      <c r="AE608" s="78" t="s">
        <v>7028</v>
      </c>
      <c r="AF608">
        <v>867</v>
      </c>
      <c r="AG608">
        <v>1867</v>
      </c>
      <c r="AH608">
        <v>45880</v>
      </c>
      <c r="AI608">
        <v>129369</v>
      </c>
      <c r="AK608" t="s">
        <v>8191</v>
      </c>
      <c r="AL608" t="s">
        <v>9085</v>
      </c>
      <c r="AM608" s="79" t="str">
        <f>HYPERLINK("https://t.co/9rGLmgpbOb")</f>
        <v>https://t.co/9rGLmgpbOb</v>
      </c>
      <c r="AO608" s="76">
        <v>41928.765462962961</v>
      </c>
      <c r="AP608" s="79" t="str">
        <f>HYPERLINK("https://pbs.twimg.com/profile_banners/2858345257/1660292056")</f>
        <v>https://pbs.twimg.com/profile_banners/2858345257/1660292056</v>
      </c>
      <c r="AQ608" t="b">
        <v>0</v>
      </c>
      <c r="AR608" t="b">
        <v>0</v>
      </c>
      <c r="AS608" t="b">
        <v>1</v>
      </c>
      <c r="AU608">
        <v>46</v>
      </c>
      <c r="AV608" s="79" t="str">
        <f>HYPERLINK("https://abs.twimg.com/images/themes/theme1/bg.png")</f>
        <v>https://abs.twimg.com/images/themes/theme1/bg.png</v>
      </c>
      <c r="AW608" t="b">
        <v>0</v>
      </c>
      <c r="AX608" t="s">
        <v>9303</v>
      </c>
      <c r="AY608" s="79" t="str">
        <f>HYPERLINK("https://twitter.com/codjunkiedotcom")</f>
        <v>https://twitter.com/codjunkiedotcom</v>
      </c>
      <c r="AZ608" t="s">
        <v>66</v>
      </c>
      <c r="BA608" s="2"/>
    </row>
    <row r="609" spans="1:53" x14ac:dyDescent="0.45">
      <c r="A609" s="62" t="s">
        <v>692</v>
      </c>
      <c r="B609" s="63"/>
      <c r="C609" s="63"/>
      <c r="D609" s="64"/>
      <c r="E609" s="66"/>
      <c r="F609" s="98" t="str">
        <f>HYPERLINK("https://pbs.twimg.com/profile_images/772187583493267456/Qq1Ht0w9_normal.jpg")</f>
        <v>https://pbs.twimg.com/profile_images/772187583493267456/Qq1Ht0w9_normal.jpg</v>
      </c>
      <c r="G609" s="63"/>
      <c r="H609" s="67"/>
      <c r="I609" s="68"/>
      <c r="J609" s="68"/>
      <c r="K609" s="67" t="s">
        <v>10027</v>
      </c>
      <c r="L609" s="71"/>
      <c r="M609" s="72"/>
      <c r="N609" s="72"/>
      <c r="O609" s="73"/>
      <c r="P609" s="74"/>
      <c r="Q609" s="74"/>
      <c r="R609" s="81"/>
      <c r="S609" s="81"/>
      <c r="T609" s="81"/>
      <c r="U609" s="81"/>
      <c r="V609" s="48"/>
      <c r="W609" s="48"/>
      <c r="X609" s="48"/>
      <c r="Y609" s="48"/>
      <c r="Z609" s="47"/>
      <c r="AA609" s="69"/>
      <c r="AB609" s="69"/>
      <c r="AC609" s="70"/>
      <c r="AD609" t="s">
        <v>5717</v>
      </c>
      <c r="AE609" s="78" t="s">
        <v>6954</v>
      </c>
      <c r="AF609">
        <v>1558</v>
      </c>
      <c r="AG609">
        <v>1860</v>
      </c>
      <c r="AH609">
        <v>2277</v>
      </c>
      <c r="AI609">
        <v>5</v>
      </c>
      <c r="AK609" t="s">
        <v>8120</v>
      </c>
      <c r="AL609" t="s">
        <v>9046</v>
      </c>
      <c r="AM609" s="79" t="str">
        <f>HYPERLINK("https://t.co/aMeKsqZ2sx")</f>
        <v>https://t.co/aMeKsqZ2sx</v>
      </c>
      <c r="AO609" s="76">
        <v>41051.679131944446</v>
      </c>
      <c r="AP609" s="79" t="str">
        <f>HYPERLINK("https://pbs.twimg.com/profile_banners/587624628/1466895847")</f>
        <v>https://pbs.twimg.com/profile_banners/587624628/1466895847</v>
      </c>
      <c r="AQ609" t="b">
        <v>0</v>
      </c>
      <c r="AR609" t="b">
        <v>0</v>
      </c>
      <c r="AS609" t="b">
        <v>0</v>
      </c>
      <c r="AU609">
        <v>2</v>
      </c>
      <c r="AV609" s="79" t="str">
        <f>HYPERLINK("https://abs.twimg.com/images/themes/theme1/bg.png")</f>
        <v>https://abs.twimg.com/images/themes/theme1/bg.png</v>
      </c>
      <c r="AW609" t="b">
        <v>0</v>
      </c>
      <c r="AX609" t="s">
        <v>9303</v>
      </c>
      <c r="AY609" s="79" t="str">
        <f>HYPERLINK("https://twitter.com/alyssaottaviani")</f>
        <v>https://twitter.com/alyssaottaviani</v>
      </c>
      <c r="AZ609" t="s">
        <v>66</v>
      </c>
      <c r="BA609" s="2"/>
    </row>
    <row r="610" spans="1:53" x14ac:dyDescent="0.45">
      <c r="A610" s="62" t="s">
        <v>549</v>
      </c>
      <c r="B610" s="63"/>
      <c r="C610" s="63"/>
      <c r="D610" s="64"/>
      <c r="E610" s="66"/>
      <c r="F610" s="98" t="str">
        <f>HYPERLINK("https://pbs.twimg.com/profile_images/1616855909711454209/CAcRLu86_normal.jpg")</f>
        <v>https://pbs.twimg.com/profile_images/1616855909711454209/CAcRLu86_normal.jpg</v>
      </c>
      <c r="G610" s="63"/>
      <c r="H610" s="67"/>
      <c r="I610" s="68"/>
      <c r="J610" s="68"/>
      <c r="K610" s="67" t="s">
        <v>9846</v>
      </c>
      <c r="L610" s="71"/>
      <c r="M610" s="72"/>
      <c r="N610" s="72"/>
      <c r="O610" s="73"/>
      <c r="P610" s="74"/>
      <c r="Q610" s="74"/>
      <c r="R610" s="81"/>
      <c r="S610" s="81"/>
      <c r="T610" s="81"/>
      <c r="U610" s="81"/>
      <c r="V610" s="48"/>
      <c r="W610" s="48"/>
      <c r="X610" s="48"/>
      <c r="Y610" s="48"/>
      <c r="Z610" s="47"/>
      <c r="AA610" s="69"/>
      <c r="AB610" s="69"/>
      <c r="AC610" s="70"/>
      <c r="AD610" t="s">
        <v>5537</v>
      </c>
      <c r="AE610" s="78" t="s">
        <v>6786</v>
      </c>
      <c r="AF610">
        <v>1751</v>
      </c>
      <c r="AG610">
        <v>1849</v>
      </c>
      <c r="AH610">
        <v>109807</v>
      </c>
      <c r="AI610">
        <v>1848</v>
      </c>
      <c r="AK610" t="s">
        <v>7960</v>
      </c>
      <c r="AL610" t="s">
        <v>8943</v>
      </c>
      <c r="AO610" s="76">
        <v>40031.174340277779</v>
      </c>
      <c r="AP610" s="79" t="str">
        <f>HYPERLINK("https://pbs.twimg.com/profile_banners/63366408/1484623532")</f>
        <v>https://pbs.twimg.com/profile_banners/63366408/1484623532</v>
      </c>
      <c r="AQ610" t="b">
        <v>0</v>
      </c>
      <c r="AR610" t="b">
        <v>0</v>
      </c>
      <c r="AS610" t="b">
        <v>0</v>
      </c>
      <c r="AU610">
        <v>126</v>
      </c>
      <c r="AV610" s="79" t="str">
        <f>HYPERLINK("https://abs.twimg.com/images/themes/theme9/bg.gif")</f>
        <v>https://abs.twimg.com/images/themes/theme9/bg.gif</v>
      </c>
      <c r="AW610" t="b">
        <v>0</v>
      </c>
      <c r="AX610" t="s">
        <v>9303</v>
      </c>
      <c r="AY610" s="79" t="str">
        <f>HYPERLINK("https://twitter.com/gypsydesert")</f>
        <v>https://twitter.com/gypsydesert</v>
      </c>
      <c r="AZ610" t="s">
        <v>66</v>
      </c>
      <c r="BA610" s="2"/>
    </row>
    <row r="611" spans="1:53" x14ac:dyDescent="0.45">
      <c r="A611" s="62" t="s">
        <v>1174</v>
      </c>
      <c r="B611" s="63"/>
      <c r="C611" s="63"/>
      <c r="D611" s="64"/>
      <c r="E611" s="66"/>
      <c r="F611" s="98" t="str">
        <f>HYPERLINK("https://pbs.twimg.com/profile_images/1458602019577483268/lKR5DjnM_normal.jpg")</f>
        <v>https://pbs.twimg.com/profile_images/1458602019577483268/lKR5DjnM_normal.jpg</v>
      </c>
      <c r="G611" s="63"/>
      <c r="H611" s="67"/>
      <c r="I611" s="68"/>
      <c r="J611" s="68"/>
      <c r="K611" s="67" t="s">
        <v>9453</v>
      </c>
      <c r="L611" s="71"/>
      <c r="M611" s="72"/>
      <c r="N611" s="72"/>
      <c r="O611" s="73"/>
      <c r="P611" s="74"/>
      <c r="Q611" s="74"/>
      <c r="R611" s="81"/>
      <c r="S611" s="81"/>
      <c r="T611" s="81"/>
      <c r="U611" s="81"/>
      <c r="V611" s="48"/>
      <c r="W611" s="48"/>
      <c r="X611" s="48"/>
      <c r="Y611" s="48"/>
      <c r="Z611" s="47"/>
      <c r="AA611" s="69"/>
      <c r="AB611" s="69"/>
      <c r="AC611" s="70"/>
      <c r="AD611" t="s">
        <v>5147</v>
      </c>
      <c r="AE611" s="78" t="s">
        <v>4665</v>
      </c>
      <c r="AF611">
        <v>530</v>
      </c>
      <c r="AG611">
        <v>1826</v>
      </c>
      <c r="AH611">
        <v>35179</v>
      </c>
      <c r="AI611">
        <v>39239</v>
      </c>
      <c r="AK611" t="s">
        <v>7620</v>
      </c>
      <c r="AL611" t="s">
        <v>4924</v>
      </c>
      <c r="AM611" s="79" t="str">
        <f>HYPERLINK("https://t.co/CKFtoew97h")</f>
        <v>https://t.co/CKFtoew97h</v>
      </c>
      <c r="AO611" s="76">
        <v>41513.928564814814</v>
      </c>
      <c r="AP611" s="79" t="str">
        <f>HYPERLINK("https://pbs.twimg.com/profile_banners/1705758403/1636593156")</f>
        <v>https://pbs.twimg.com/profile_banners/1705758403/1636593156</v>
      </c>
      <c r="AQ611" t="b">
        <v>1</v>
      </c>
      <c r="AR611" t="b">
        <v>0</v>
      </c>
      <c r="AS611" t="b">
        <v>0</v>
      </c>
      <c r="AU611">
        <v>14</v>
      </c>
      <c r="AV611" s="79" t="str">
        <f>HYPERLINK("https://abs.twimg.com/images/themes/theme1/bg.png")</f>
        <v>https://abs.twimg.com/images/themes/theme1/bg.png</v>
      </c>
      <c r="AW611" t="b">
        <v>0</v>
      </c>
      <c r="AX611" t="s">
        <v>9303</v>
      </c>
      <c r="AY611" s="79" t="str">
        <f>HYPERLINK("https://twitter.com/counterfeit_rpt")</f>
        <v>https://twitter.com/counterfeit_rpt</v>
      </c>
      <c r="AZ611" t="s">
        <v>65</v>
      </c>
      <c r="BA611" s="2"/>
    </row>
    <row r="612" spans="1:53" x14ac:dyDescent="0.45">
      <c r="A612" s="62" t="s">
        <v>1502</v>
      </c>
      <c r="B612" s="63"/>
      <c r="C612" s="63"/>
      <c r="D612" s="64"/>
      <c r="E612" s="66"/>
      <c r="F612" s="98" t="str">
        <f>HYPERLINK("https://pbs.twimg.com/profile_images/1445617021912158212/-mFKXohp_normal.jpg")</f>
        <v>https://pbs.twimg.com/profile_images/1445617021912158212/-mFKXohp_normal.jpg</v>
      </c>
      <c r="G612" s="63"/>
      <c r="H612" s="67"/>
      <c r="I612" s="68"/>
      <c r="J612" s="68"/>
      <c r="K612" s="67" t="s">
        <v>10517</v>
      </c>
      <c r="L612" s="71"/>
      <c r="M612" s="72"/>
      <c r="N612" s="72"/>
      <c r="O612" s="73"/>
      <c r="P612" s="74"/>
      <c r="Q612" s="74"/>
      <c r="R612" s="81"/>
      <c r="S612" s="81"/>
      <c r="T612" s="81"/>
      <c r="U612" s="81"/>
      <c r="V612" s="48"/>
      <c r="W612" s="48"/>
      <c r="X612" s="48"/>
      <c r="Y612" s="48"/>
      <c r="Z612" s="47"/>
      <c r="AA612" s="69"/>
      <c r="AB612" s="69"/>
      <c r="AC612" s="70"/>
      <c r="AD612" t="s">
        <v>6195</v>
      </c>
      <c r="AE612" s="78" t="s">
        <v>7377</v>
      </c>
      <c r="AF612">
        <v>6</v>
      </c>
      <c r="AG612">
        <v>1824</v>
      </c>
      <c r="AH612">
        <v>618</v>
      </c>
      <c r="AI612">
        <v>1225</v>
      </c>
      <c r="AK612" t="s">
        <v>8548</v>
      </c>
      <c r="AM612" s="79" t="str">
        <f>HYPERLINK("https://t.co/bstgBzhkhT")</f>
        <v>https://t.co/bstgBzhkhT</v>
      </c>
      <c r="AO612" s="76">
        <v>44427.042314814818</v>
      </c>
      <c r="AP612" s="79" t="str">
        <f>HYPERLINK("https://pbs.twimg.com/profile_banners/1428159990049640448/1638485162")</f>
        <v>https://pbs.twimg.com/profile_banners/1428159990049640448/1638485162</v>
      </c>
      <c r="AQ612" t="b">
        <v>1</v>
      </c>
      <c r="AR612" t="b">
        <v>0</v>
      </c>
      <c r="AS612" t="b">
        <v>0</v>
      </c>
      <c r="AU612">
        <v>2</v>
      </c>
      <c r="AW612" t="b">
        <v>0</v>
      </c>
      <c r="AX612" t="s">
        <v>9303</v>
      </c>
      <c r="AY612" s="79" t="str">
        <f>HYPERLINK("https://twitter.com/robspopcorn")</f>
        <v>https://twitter.com/robspopcorn</v>
      </c>
      <c r="AZ612" t="s">
        <v>65</v>
      </c>
      <c r="BA612" s="2"/>
    </row>
    <row r="613" spans="1:53" x14ac:dyDescent="0.45">
      <c r="A613" s="62" t="s">
        <v>1107</v>
      </c>
      <c r="B613" s="63"/>
      <c r="C613" s="63"/>
      <c r="D613" s="64"/>
      <c r="E613" s="66"/>
      <c r="F613" s="98" t="str">
        <f>HYPERLINK("https://pbs.twimg.com/profile_images/1599995354187022341/B2fALzGu_normal.jpg")</f>
        <v>https://pbs.twimg.com/profile_images/1599995354187022341/B2fALzGu_normal.jpg</v>
      </c>
      <c r="G613" s="63"/>
      <c r="H613" s="67"/>
      <c r="I613" s="68"/>
      <c r="J613" s="68"/>
      <c r="K613" s="67" t="s">
        <v>9310</v>
      </c>
      <c r="L613" s="71"/>
      <c r="M613" s="72"/>
      <c r="N613" s="72"/>
      <c r="O613" s="73"/>
      <c r="P613" s="74"/>
      <c r="Q613" s="74"/>
      <c r="R613" s="81"/>
      <c r="S613" s="81"/>
      <c r="T613" s="81"/>
      <c r="U613" s="81"/>
      <c r="V613" s="48"/>
      <c r="W613" s="48"/>
      <c r="X613" s="48"/>
      <c r="Y613" s="48"/>
      <c r="Z613" s="47"/>
      <c r="AA613" s="69"/>
      <c r="AB613" s="69"/>
      <c r="AC613" s="70"/>
      <c r="AD613" t="s">
        <v>5006</v>
      </c>
      <c r="AE613" s="78" t="s">
        <v>4641</v>
      </c>
      <c r="AF613">
        <v>1055</v>
      </c>
      <c r="AG613">
        <v>1821</v>
      </c>
      <c r="AH613">
        <v>85221</v>
      </c>
      <c r="AI613">
        <v>101174</v>
      </c>
      <c r="AK613" t="s">
        <v>7496</v>
      </c>
      <c r="AL613" t="s">
        <v>8677</v>
      </c>
      <c r="AM613" s="79" t="str">
        <f>HYPERLINK("https://t.co/2Y9t1n5h6q")</f>
        <v>https://t.co/2Y9t1n5h6q</v>
      </c>
      <c r="AO613" s="76">
        <v>40038.097025462965</v>
      </c>
      <c r="AP613" s="79" t="str">
        <f>HYPERLINK("https://pbs.twimg.com/profile_banners/65243485/1673055755")</f>
        <v>https://pbs.twimg.com/profile_banners/65243485/1673055755</v>
      </c>
      <c r="AQ613" t="b">
        <v>0</v>
      </c>
      <c r="AR613" t="b">
        <v>0</v>
      </c>
      <c r="AS613" t="b">
        <v>1</v>
      </c>
      <c r="AU613">
        <v>17</v>
      </c>
      <c r="AV613" s="79" t="str">
        <f>HYPERLINK("https://abs.twimg.com/images/themes/theme14/bg.gif")</f>
        <v>https://abs.twimg.com/images/themes/theme14/bg.gif</v>
      </c>
      <c r="AW613" t="b">
        <v>0</v>
      </c>
      <c r="AX613" t="s">
        <v>9303</v>
      </c>
      <c r="AY613" s="79" t="str">
        <f>HYPERLINK("https://twitter.com/xrockytrejo")</f>
        <v>https://twitter.com/xrockytrejo</v>
      </c>
      <c r="AZ613" t="s">
        <v>65</v>
      </c>
      <c r="BA613" s="2"/>
    </row>
    <row r="614" spans="1:53" x14ac:dyDescent="0.45">
      <c r="A614" s="62" t="s">
        <v>888</v>
      </c>
      <c r="B614" s="63"/>
      <c r="C614" s="63"/>
      <c r="D614" s="64"/>
      <c r="E614" s="66"/>
      <c r="F614" s="98" t="str">
        <f>HYPERLINK("https://pbs.twimg.com/profile_images/1027003197519364096/uz_fhupW_normal.jpg")</f>
        <v>https://pbs.twimg.com/profile_images/1027003197519364096/uz_fhupW_normal.jpg</v>
      </c>
      <c r="G614" s="63"/>
      <c r="H614" s="67"/>
      <c r="I614" s="68"/>
      <c r="J614" s="68"/>
      <c r="K614" s="67" t="s">
        <v>10302</v>
      </c>
      <c r="L614" s="71"/>
      <c r="M614" s="72"/>
      <c r="N614" s="72"/>
      <c r="O614" s="73"/>
      <c r="P614" s="74"/>
      <c r="Q614" s="74"/>
      <c r="R614" s="81"/>
      <c r="S614" s="81"/>
      <c r="T614" s="81"/>
      <c r="U614" s="81"/>
      <c r="V614" s="48"/>
      <c r="W614" s="48"/>
      <c r="X614" s="48"/>
      <c r="Y614" s="48"/>
      <c r="Z614" s="47"/>
      <c r="AA614" s="69"/>
      <c r="AB614" s="69"/>
      <c r="AC614" s="70"/>
      <c r="AD614" t="s">
        <v>5985</v>
      </c>
      <c r="AE614" s="78" t="s">
        <v>7195</v>
      </c>
      <c r="AF614">
        <v>257</v>
      </c>
      <c r="AG614">
        <v>1813</v>
      </c>
      <c r="AH614">
        <v>87615</v>
      </c>
      <c r="AI614">
        <v>3232</v>
      </c>
      <c r="AK614" t="s">
        <v>7786</v>
      </c>
      <c r="AL614" t="s">
        <v>9162</v>
      </c>
      <c r="AM614" s="79" t="str">
        <f>HYPERLINK("https://t.co/kJAmhOrk3b")</f>
        <v>https://t.co/kJAmhOrk3b</v>
      </c>
      <c r="AO614" s="76">
        <v>40226.44740740741</v>
      </c>
      <c r="AP614" s="79" t="str">
        <f>HYPERLINK("https://pbs.twimg.com/profile_banners/115022492/1675276998")</f>
        <v>https://pbs.twimg.com/profile_banners/115022492/1675276998</v>
      </c>
      <c r="AQ614" t="b">
        <v>0</v>
      </c>
      <c r="AR614" t="b">
        <v>0</v>
      </c>
      <c r="AS614" t="b">
        <v>1</v>
      </c>
      <c r="AU614">
        <v>4</v>
      </c>
      <c r="AV614" s="79" t="str">
        <f>HYPERLINK("https://abs.twimg.com/images/themes/theme15/bg.png")</f>
        <v>https://abs.twimg.com/images/themes/theme15/bg.png</v>
      </c>
      <c r="AW614" t="b">
        <v>0</v>
      </c>
      <c r="AX614" t="s">
        <v>9303</v>
      </c>
      <c r="AY614" s="79" t="str">
        <f>HYPERLINK("https://twitter.com/sururdarmadi")</f>
        <v>https://twitter.com/sururdarmadi</v>
      </c>
      <c r="AZ614" t="s">
        <v>66</v>
      </c>
      <c r="BA614" s="2"/>
    </row>
    <row r="615" spans="1:53" x14ac:dyDescent="0.45">
      <c r="A615" s="62" t="s">
        <v>459</v>
      </c>
      <c r="B615" s="63"/>
      <c r="C615" s="63"/>
      <c r="D615" s="64"/>
      <c r="E615" s="66"/>
      <c r="F615" s="98" t="str">
        <f>HYPERLINK("https://pbs.twimg.com/profile_images/1609526758327435264/dpSxILBa_normal.jpg")</f>
        <v>https://pbs.twimg.com/profile_images/1609526758327435264/dpSxILBa_normal.jpg</v>
      </c>
      <c r="G615" s="63"/>
      <c r="H615" s="67"/>
      <c r="I615" s="68"/>
      <c r="J615" s="68"/>
      <c r="K615" s="67" t="s">
        <v>9725</v>
      </c>
      <c r="L615" s="71"/>
      <c r="M615" s="72"/>
      <c r="N615" s="72"/>
      <c r="O615" s="73"/>
      <c r="P615" s="74"/>
      <c r="Q615" s="74"/>
      <c r="R615" s="81"/>
      <c r="S615" s="81"/>
      <c r="T615" s="81"/>
      <c r="U615" s="81"/>
      <c r="V615" s="48"/>
      <c r="W615" s="48"/>
      <c r="X615" s="48"/>
      <c r="Y615" s="48"/>
      <c r="Z615" s="47"/>
      <c r="AA615" s="69"/>
      <c r="AB615" s="69"/>
      <c r="AC615" s="70"/>
      <c r="AD615" t="s">
        <v>5417</v>
      </c>
      <c r="AE615" s="78" t="s">
        <v>6689</v>
      </c>
      <c r="AF615">
        <v>891</v>
      </c>
      <c r="AG615">
        <v>1797</v>
      </c>
      <c r="AH615">
        <v>58298</v>
      </c>
      <c r="AI615">
        <v>100093</v>
      </c>
      <c r="AK615" t="s">
        <v>7857</v>
      </c>
      <c r="AL615" t="s">
        <v>1482</v>
      </c>
      <c r="AO615" s="76">
        <v>41452.335439814815</v>
      </c>
      <c r="AP615" s="79" t="str">
        <f>HYPERLINK("https://pbs.twimg.com/profile_banners/1550086951/1675274853")</f>
        <v>https://pbs.twimg.com/profile_banners/1550086951/1675274853</v>
      </c>
      <c r="AQ615" t="b">
        <v>0</v>
      </c>
      <c r="AR615" t="b">
        <v>0</v>
      </c>
      <c r="AS615" t="b">
        <v>1</v>
      </c>
      <c r="AU615">
        <v>14</v>
      </c>
      <c r="AV615" s="79" t="str">
        <f>HYPERLINK("https://abs.twimg.com/images/themes/theme1/bg.png")</f>
        <v>https://abs.twimg.com/images/themes/theme1/bg.png</v>
      </c>
      <c r="AW615" t="b">
        <v>0</v>
      </c>
      <c r="AX615" t="s">
        <v>9303</v>
      </c>
      <c r="AY615" s="79" t="str">
        <f>HYPERLINK("https://twitter.com/cakesonmiley")</f>
        <v>https://twitter.com/cakesonmiley</v>
      </c>
      <c r="AZ615" t="s">
        <v>66</v>
      </c>
      <c r="BA615" s="2"/>
    </row>
    <row r="616" spans="1:53" x14ac:dyDescent="0.45">
      <c r="A616" s="62" t="s">
        <v>1419</v>
      </c>
      <c r="B616" s="63"/>
      <c r="C616" s="63"/>
      <c r="D616" s="64"/>
      <c r="E616" s="66"/>
      <c r="F616" s="98" t="str">
        <f>HYPERLINK("https://pbs.twimg.com/profile_images/1593730841590603778/_NapHz-C_normal.jpg")</f>
        <v>https://pbs.twimg.com/profile_images/1593730841590603778/_NapHz-C_normal.jpg</v>
      </c>
      <c r="G616" s="63"/>
      <c r="H616" s="67"/>
      <c r="I616" s="68"/>
      <c r="J616" s="68"/>
      <c r="K616" s="67" t="s">
        <v>10299</v>
      </c>
      <c r="L616" s="71"/>
      <c r="M616" s="72"/>
      <c r="N616" s="72"/>
      <c r="O616" s="73"/>
      <c r="P616" s="74"/>
      <c r="Q616" s="74"/>
      <c r="R616" s="81"/>
      <c r="S616" s="81"/>
      <c r="T616" s="81"/>
      <c r="U616" s="81"/>
      <c r="V616" s="48"/>
      <c r="W616" s="48"/>
      <c r="X616" s="48"/>
      <c r="Y616" s="48"/>
      <c r="Z616" s="47"/>
      <c r="AA616" s="69"/>
      <c r="AB616" s="69"/>
      <c r="AC616" s="70"/>
      <c r="AD616" t="s">
        <v>5982</v>
      </c>
      <c r="AE616" s="78" t="s">
        <v>4764</v>
      </c>
      <c r="AF616">
        <v>1769</v>
      </c>
      <c r="AG616">
        <v>1794</v>
      </c>
      <c r="AH616">
        <v>10529</v>
      </c>
      <c r="AI616">
        <v>57987</v>
      </c>
      <c r="AK616" t="s">
        <v>8359</v>
      </c>
      <c r="AL616" t="s">
        <v>9161</v>
      </c>
      <c r="AO616" s="76">
        <v>44491.292037037034</v>
      </c>
      <c r="AP616" s="79" t="str">
        <f>HYPERLINK("https://pbs.twimg.com/profile_banners/1451443261655167000/1672691183")</f>
        <v>https://pbs.twimg.com/profile_banners/1451443261655167000/1672691183</v>
      </c>
      <c r="AQ616" t="b">
        <v>1</v>
      </c>
      <c r="AR616" t="b">
        <v>0</v>
      </c>
      <c r="AS616" t="b">
        <v>0</v>
      </c>
      <c r="AU616">
        <v>5</v>
      </c>
      <c r="AW616" t="b">
        <v>0</v>
      </c>
      <c r="AX616" t="s">
        <v>9303</v>
      </c>
      <c r="AY616" s="79" t="str">
        <f>HYPERLINK("https://twitter.com/_bilaire")</f>
        <v>https://twitter.com/_bilaire</v>
      </c>
      <c r="AZ616" t="s">
        <v>65</v>
      </c>
      <c r="BA616" s="2"/>
    </row>
    <row r="617" spans="1:53" x14ac:dyDescent="0.45">
      <c r="A617" s="62" t="s">
        <v>673</v>
      </c>
      <c r="B617" s="63"/>
      <c r="C617" s="63"/>
      <c r="D617" s="64"/>
      <c r="E617" s="66"/>
      <c r="F617" s="98" t="str">
        <f>HYPERLINK("https://pbs.twimg.com/profile_images/1611034534383861760/TFtstxuh_normal.jpg")</f>
        <v>https://pbs.twimg.com/profile_images/1611034534383861760/TFtstxuh_normal.jpg</v>
      </c>
      <c r="G617" s="63"/>
      <c r="H617" s="67"/>
      <c r="I617" s="68"/>
      <c r="J617" s="68"/>
      <c r="K617" s="67" t="s">
        <v>9994</v>
      </c>
      <c r="L617" s="71"/>
      <c r="M617" s="72"/>
      <c r="N617" s="72"/>
      <c r="O617" s="73"/>
      <c r="P617" s="74"/>
      <c r="Q617" s="74"/>
      <c r="R617" s="81"/>
      <c r="S617" s="81"/>
      <c r="T617" s="81"/>
      <c r="U617" s="81"/>
      <c r="V617" s="48"/>
      <c r="W617" s="48"/>
      <c r="X617" s="48"/>
      <c r="Y617" s="48"/>
      <c r="Z617" s="47"/>
      <c r="AA617" s="69"/>
      <c r="AB617" s="69"/>
      <c r="AC617" s="70"/>
      <c r="AD617" t="s">
        <v>5684</v>
      </c>
      <c r="AE617" s="78" t="s">
        <v>6927</v>
      </c>
      <c r="AF617">
        <v>1064</v>
      </c>
      <c r="AG617">
        <v>1770</v>
      </c>
      <c r="AH617">
        <v>91782</v>
      </c>
      <c r="AI617">
        <v>18955</v>
      </c>
      <c r="AK617" t="s">
        <v>8091</v>
      </c>
      <c r="AL617" t="s">
        <v>9033</v>
      </c>
      <c r="AO617" s="76">
        <v>40388.014374999999</v>
      </c>
      <c r="AP617" s="79" t="str">
        <f>HYPERLINK("https://pbs.twimg.com/profile_banners/172135297/1672935024")</f>
        <v>https://pbs.twimg.com/profile_banners/172135297/1672935024</v>
      </c>
      <c r="AQ617" t="b">
        <v>0</v>
      </c>
      <c r="AR617" t="b">
        <v>0</v>
      </c>
      <c r="AS617" t="b">
        <v>1</v>
      </c>
      <c r="AU617">
        <v>8</v>
      </c>
      <c r="AV617" s="79" t="str">
        <f>HYPERLINK("https://abs.twimg.com/images/themes/theme14/bg.gif")</f>
        <v>https://abs.twimg.com/images/themes/theme14/bg.gif</v>
      </c>
      <c r="AW617" t="b">
        <v>0</v>
      </c>
      <c r="AX617" t="s">
        <v>9303</v>
      </c>
      <c r="AY617" s="79" t="str">
        <f>HYPERLINK("https://twitter.com/saartorijr")</f>
        <v>https://twitter.com/saartorijr</v>
      </c>
      <c r="AZ617" t="s">
        <v>66</v>
      </c>
      <c r="BA617" s="2"/>
    </row>
    <row r="618" spans="1:53" x14ac:dyDescent="0.45">
      <c r="A618" s="62" t="s">
        <v>825</v>
      </c>
      <c r="B618" s="63"/>
      <c r="C618" s="63"/>
      <c r="D618" s="64"/>
      <c r="E618" s="66"/>
      <c r="F618" s="98" t="str">
        <f>HYPERLINK("https://pbs.twimg.com/profile_images/1226624331280719873/rY32jdgU_normal.jpg")</f>
        <v>https://pbs.twimg.com/profile_images/1226624331280719873/rY32jdgU_normal.jpg</v>
      </c>
      <c r="G618" s="63"/>
      <c r="H618" s="67"/>
      <c r="I618" s="68"/>
      <c r="J618" s="68"/>
      <c r="K618" s="67" t="s">
        <v>10209</v>
      </c>
      <c r="L618" s="71"/>
      <c r="M618" s="72"/>
      <c r="N618" s="72"/>
      <c r="O618" s="73"/>
      <c r="P618" s="74"/>
      <c r="Q618" s="74"/>
      <c r="R618" s="81"/>
      <c r="S618" s="81"/>
      <c r="T618" s="81"/>
      <c r="U618" s="81"/>
      <c r="V618" s="48"/>
      <c r="W618" s="48"/>
      <c r="X618" s="48"/>
      <c r="Y618" s="48"/>
      <c r="Z618" s="47"/>
      <c r="AA618" s="69"/>
      <c r="AB618" s="69"/>
      <c r="AC618" s="70"/>
      <c r="AD618" t="s">
        <v>5893</v>
      </c>
      <c r="AE618" s="78" t="s">
        <v>7112</v>
      </c>
      <c r="AF618">
        <v>137</v>
      </c>
      <c r="AG618">
        <v>1744</v>
      </c>
      <c r="AH618">
        <v>524</v>
      </c>
      <c r="AI618">
        <v>265</v>
      </c>
      <c r="AK618" t="s">
        <v>8277</v>
      </c>
      <c r="AL618" t="s">
        <v>4899</v>
      </c>
      <c r="AM618" s="79" t="str">
        <f>HYPERLINK("https://t.co/pu7Hscoled")</f>
        <v>https://t.co/pu7Hscoled</v>
      </c>
      <c r="AO618" s="76">
        <v>43424.696331018517</v>
      </c>
      <c r="AP618" s="79" t="str">
        <f>HYPERLINK("https://pbs.twimg.com/profile_banners/1064921993085181955/1581284894")</f>
        <v>https://pbs.twimg.com/profile_banners/1064921993085181955/1581284894</v>
      </c>
      <c r="AQ618" t="b">
        <v>1</v>
      </c>
      <c r="AR618" t="b">
        <v>0</v>
      </c>
      <c r="AS618" t="b">
        <v>1</v>
      </c>
      <c r="AU618">
        <v>0</v>
      </c>
      <c r="AW618" t="b">
        <v>0</v>
      </c>
      <c r="AX618" t="s">
        <v>9303</v>
      </c>
      <c r="AY618" s="79" t="str">
        <f>HYPERLINK("https://twitter.com/drthomasfalls")</f>
        <v>https://twitter.com/drthomasfalls</v>
      </c>
      <c r="AZ618" t="s">
        <v>66</v>
      </c>
      <c r="BA618" s="2"/>
    </row>
    <row r="619" spans="1:53" x14ac:dyDescent="0.45">
      <c r="A619" s="62" t="s">
        <v>911</v>
      </c>
      <c r="B619" s="63"/>
      <c r="C619" s="63"/>
      <c r="D619" s="64"/>
      <c r="E619" s="66"/>
      <c r="F619" s="98" t="str">
        <f>HYPERLINK("https://pbs.twimg.com/profile_images/1617356182414581760/U4W3QzQq_normal.jpg")</f>
        <v>https://pbs.twimg.com/profile_images/1617356182414581760/U4W3QzQq_normal.jpg</v>
      </c>
      <c r="G619" s="63"/>
      <c r="H619" s="67"/>
      <c r="I619" s="68"/>
      <c r="J619" s="68"/>
      <c r="K619" s="67" t="s">
        <v>10332</v>
      </c>
      <c r="L619" s="71"/>
      <c r="M619" s="72"/>
      <c r="N619" s="72"/>
      <c r="O619" s="73"/>
      <c r="P619" s="74"/>
      <c r="Q619" s="74"/>
      <c r="R619" s="81"/>
      <c r="S619" s="81"/>
      <c r="T619" s="81"/>
      <c r="U619" s="81"/>
      <c r="V619" s="48"/>
      <c r="W619" s="48"/>
      <c r="X619" s="48"/>
      <c r="Y619" s="48"/>
      <c r="Z619" s="47"/>
      <c r="AA619" s="69"/>
      <c r="AB619" s="69"/>
      <c r="AC619" s="70"/>
      <c r="AD619" t="s">
        <v>6015</v>
      </c>
      <c r="AE619" s="78" t="s">
        <v>7223</v>
      </c>
      <c r="AF619">
        <v>1186</v>
      </c>
      <c r="AG619">
        <v>1726</v>
      </c>
      <c r="AH619">
        <v>6088</v>
      </c>
      <c r="AI619">
        <v>10086</v>
      </c>
      <c r="AK619" t="s">
        <v>8386</v>
      </c>
      <c r="AL619" t="s">
        <v>9179</v>
      </c>
      <c r="AM619" s="79" t="str">
        <f>HYPERLINK("https://t.co/XLFa04Pqmd")</f>
        <v>https://t.co/XLFa04Pqmd</v>
      </c>
      <c r="AO619" s="76">
        <v>43942.354351851849</v>
      </c>
      <c r="AP619" s="79" t="str">
        <f>HYPERLINK("https://pbs.twimg.com/profile_banners/1252514921125994496/1673749809")</f>
        <v>https://pbs.twimg.com/profile_banners/1252514921125994496/1673749809</v>
      </c>
      <c r="AQ619" t="b">
        <v>1</v>
      </c>
      <c r="AR619" t="b">
        <v>0</v>
      </c>
      <c r="AS619" t="b">
        <v>0</v>
      </c>
      <c r="AU619">
        <v>11</v>
      </c>
      <c r="AW619" t="b">
        <v>0</v>
      </c>
      <c r="AX619" t="s">
        <v>9303</v>
      </c>
      <c r="AY619" s="79" t="str">
        <f>HYPERLINK("https://twitter.com/_mileywood")</f>
        <v>https://twitter.com/_mileywood</v>
      </c>
      <c r="AZ619" t="s">
        <v>66</v>
      </c>
      <c r="BA619" s="2"/>
    </row>
    <row r="620" spans="1:53" x14ac:dyDescent="0.45">
      <c r="A620" s="62" t="s">
        <v>1353</v>
      </c>
      <c r="B620" s="63"/>
      <c r="C620" s="63"/>
      <c r="D620" s="64"/>
      <c r="E620" s="66"/>
      <c r="F620" s="98" t="str">
        <f>HYPERLINK("https://pbs.twimg.com/profile_images/1449372855888646152/iE7f-zJo_normal.jpg")</f>
        <v>https://pbs.twimg.com/profile_images/1449372855888646152/iE7f-zJo_normal.jpg</v>
      </c>
      <c r="G620" s="63"/>
      <c r="H620" s="67"/>
      <c r="I620" s="68"/>
      <c r="J620" s="68"/>
      <c r="K620" s="67" t="s">
        <v>10076</v>
      </c>
      <c r="L620" s="71"/>
      <c r="M620" s="72"/>
      <c r="N620" s="72"/>
      <c r="O620" s="73"/>
      <c r="P620" s="74"/>
      <c r="Q620" s="74"/>
      <c r="R620" s="81"/>
      <c r="S620" s="81"/>
      <c r="T620" s="81"/>
      <c r="U620" s="81"/>
      <c r="V620" s="48"/>
      <c r="W620" s="48"/>
      <c r="X620" s="48"/>
      <c r="Y620" s="48"/>
      <c r="Z620" s="47"/>
      <c r="AA620" s="69"/>
      <c r="AB620" s="69"/>
      <c r="AC620" s="70"/>
      <c r="AD620" t="s">
        <v>5765</v>
      </c>
      <c r="AE620" s="78" t="s">
        <v>4735</v>
      </c>
      <c r="AF620">
        <v>1555</v>
      </c>
      <c r="AG620">
        <v>1719</v>
      </c>
      <c r="AH620">
        <v>14541</v>
      </c>
      <c r="AI620">
        <v>83711</v>
      </c>
      <c r="AK620" t="s">
        <v>8161</v>
      </c>
      <c r="AL620" t="s">
        <v>9067</v>
      </c>
      <c r="AO620" s="76">
        <v>41153.740914351853</v>
      </c>
      <c r="AP620" s="79" t="str">
        <f>HYPERLINK("https://pbs.twimg.com/profile_banners/796547376/1622602291")</f>
        <v>https://pbs.twimg.com/profile_banners/796547376/1622602291</v>
      </c>
      <c r="AQ620" t="b">
        <v>0</v>
      </c>
      <c r="AR620" t="b">
        <v>0</v>
      </c>
      <c r="AS620" t="b">
        <v>1</v>
      </c>
      <c r="AU620">
        <v>22</v>
      </c>
      <c r="AV620" s="79" t="str">
        <f>HYPERLINK("https://abs.twimg.com/images/themes/theme1/bg.png")</f>
        <v>https://abs.twimg.com/images/themes/theme1/bg.png</v>
      </c>
      <c r="AW620" t="b">
        <v>0</v>
      </c>
      <c r="AX620" t="s">
        <v>9303</v>
      </c>
      <c r="AY620" s="79" t="str">
        <f>HYPERLINK("https://twitter.com/shelleyblodgett")</f>
        <v>https://twitter.com/shelleyblodgett</v>
      </c>
      <c r="AZ620" t="s">
        <v>65</v>
      </c>
      <c r="BA620" s="2"/>
    </row>
    <row r="621" spans="1:53" x14ac:dyDescent="0.45">
      <c r="A621" s="62" t="s">
        <v>345</v>
      </c>
      <c r="B621" s="63"/>
      <c r="C621" s="63"/>
      <c r="D621" s="64"/>
      <c r="E621" s="66"/>
      <c r="F621" s="98" t="str">
        <f>HYPERLINK("https://pbs.twimg.com/profile_images/1618309983917019138/eAFZDMin_normal.jpg")</f>
        <v>https://pbs.twimg.com/profile_images/1618309983917019138/eAFZDMin_normal.jpg</v>
      </c>
      <c r="G621" s="63"/>
      <c r="H621" s="67"/>
      <c r="I621" s="68"/>
      <c r="J621" s="68"/>
      <c r="K621" s="67" t="s">
        <v>9569</v>
      </c>
      <c r="L621" s="71"/>
      <c r="M621" s="72"/>
      <c r="N621" s="72"/>
      <c r="O621" s="73"/>
      <c r="P621" s="74"/>
      <c r="Q621" s="74"/>
      <c r="R621" s="81"/>
      <c r="S621" s="81"/>
      <c r="T621" s="81"/>
      <c r="U621" s="81"/>
      <c r="V621" s="48"/>
      <c r="W621" s="48"/>
      <c r="X621" s="48"/>
      <c r="Y621" s="48"/>
      <c r="Z621" s="47"/>
      <c r="AA621" s="69"/>
      <c r="AB621" s="69"/>
      <c r="AC621" s="70"/>
      <c r="AD621" t="s">
        <v>5262</v>
      </c>
      <c r="AE621" s="78" t="s">
        <v>6540</v>
      </c>
      <c r="AF621">
        <v>4938</v>
      </c>
      <c r="AG621">
        <v>1714</v>
      </c>
      <c r="AH621">
        <v>21957</v>
      </c>
      <c r="AI621">
        <v>77356</v>
      </c>
      <c r="AK621" t="s">
        <v>7726</v>
      </c>
      <c r="AL621" t="s">
        <v>8818</v>
      </c>
      <c r="AO621" s="76">
        <v>44092.921342592592</v>
      </c>
      <c r="AP621" s="79" t="str">
        <f>HYPERLINK("https://pbs.twimg.com/profile_banners/1307078548637786112/1675199481")</f>
        <v>https://pbs.twimg.com/profile_banners/1307078548637786112/1675199481</v>
      </c>
      <c r="AQ621" t="b">
        <v>1</v>
      </c>
      <c r="AR621" t="b">
        <v>0</v>
      </c>
      <c r="AS621" t="b">
        <v>0</v>
      </c>
      <c r="AU621">
        <v>0</v>
      </c>
      <c r="AW621" t="b">
        <v>0</v>
      </c>
      <c r="AX621" t="s">
        <v>9303</v>
      </c>
      <c r="AY621" s="79" t="str">
        <f>HYPERLINK("https://twitter.com/jamalsm61856492")</f>
        <v>https://twitter.com/jamalsm61856492</v>
      </c>
      <c r="AZ621" t="s">
        <v>66</v>
      </c>
      <c r="BA621" s="2"/>
    </row>
    <row r="622" spans="1:53" x14ac:dyDescent="0.45">
      <c r="A622" s="62" t="s">
        <v>1514</v>
      </c>
      <c r="B622" s="63"/>
      <c r="C622" s="63"/>
      <c r="D622" s="64"/>
      <c r="E622" s="66"/>
      <c r="F622" s="98" t="str">
        <f>HYPERLINK("https://pbs.twimg.com/profile_images/1511586033628225538/IdYWpbbv_normal.jpg")</f>
        <v>https://pbs.twimg.com/profile_images/1511586033628225538/IdYWpbbv_normal.jpg</v>
      </c>
      <c r="G622" s="63"/>
      <c r="H622" s="67"/>
      <c r="I622" s="68"/>
      <c r="J622" s="68"/>
      <c r="K622" s="67" t="s">
        <v>10533</v>
      </c>
      <c r="L622" s="71"/>
      <c r="M622" s="72"/>
      <c r="N622" s="72"/>
      <c r="O622" s="73"/>
      <c r="P622" s="74"/>
      <c r="Q622" s="74"/>
      <c r="R622" s="81"/>
      <c r="S622" s="81"/>
      <c r="T622" s="81"/>
      <c r="U622" s="81"/>
      <c r="V622" s="48"/>
      <c r="W622" s="48"/>
      <c r="X622" s="48"/>
      <c r="Y622" s="48"/>
      <c r="Z622" s="47"/>
      <c r="AA622" s="69"/>
      <c r="AB622" s="69"/>
      <c r="AC622" s="70"/>
      <c r="AD622" t="s">
        <v>6211</v>
      </c>
      <c r="AE622" s="78" t="s">
        <v>7392</v>
      </c>
      <c r="AF622">
        <v>39</v>
      </c>
      <c r="AG622">
        <v>1707</v>
      </c>
      <c r="AH622">
        <v>3336</v>
      </c>
      <c r="AI622">
        <v>494</v>
      </c>
      <c r="AK622" t="s">
        <v>8563</v>
      </c>
      <c r="AL622" t="s">
        <v>4898</v>
      </c>
      <c r="AM622" s="79" t="str">
        <f>HYPERLINK("https://t.co/cDNZUN3aEu")</f>
        <v>https://t.co/cDNZUN3aEu</v>
      </c>
      <c r="AO622" s="76">
        <v>41564.274456018517</v>
      </c>
      <c r="AP622" s="79" t="str">
        <f>HYPERLINK("https://pbs.twimg.com/profile_banners/1966184364/1669719508")</f>
        <v>https://pbs.twimg.com/profile_banners/1966184364/1669719508</v>
      </c>
      <c r="AQ622" t="b">
        <v>1</v>
      </c>
      <c r="AR622" t="b">
        <v>0</v>
      </c>
      <c r="AS622" t="b">
        <v>1</v>
      </c>
      <c r="AU622">
        <v>20</v>
      </c>
      <c r="AV622" s="79" t="str">
        <f>HYPERLINK("https://abs.twimg.com/images/themes/theme1/bg.png")</f>
        <v>https://abs.twimg.com/images/themes/theme1/bg.png</v>
      </c>
      <c r="AW622" t="b">
        <v>1</v>
      </c>
      <c r="AX622" t="s">
        <v>9303</v>
      </c>
      <c r="AY622" s="79" t="str">
        <f>HYPERLINK("https://twitter.com/flipkarthealth")</f>
        <v>https://twitter.com/flipkarthealth</v>
      </c>
      <c r="AZ622" t="s">
        <v>65</v>
      </c>
      <c r="BA622" s="2"/>
    </row>
    <row r="623" spans="1:53" x14ac:dyDescent="0.45">
      <c r="A623" s="62" t="s">
        <v>227</v>
      </c>
      <c r="B623" s="63"/>
      <c r="C623" s="63"/>
      <c r="D623" s="64"/>
      <c r="E623" s="66"/>
      <c r="F623" s="98" t="str">
        <f>HYPERLINK("https://pbs.twimg.com/profile_images/1533674818255454209/xCfvaAnV_normal.jpg")</f>
        <v>https://pbs.twimg.com/profile_images/1533674818255454209/xCfvaAnV_normal.jpg</v>
      </c>
      <c r="G623" s="63"/>
      <c r="H623" s="67"/>
      <c r="I623" s="68"/>
      <c r="J623" s="68"/>
      <c r="K623" s="67" t="s">
        <v>9329</v>
      </c>
      <c r="L623" s="71"/>
      <c r="M623" s="72"/>
      <c r="N623" s="72"/>
      <c r="O623" s="73"/>
      <c r="P623" s="74"/>
      <c r="Q623" s="74"/>
      <c r="R623" s="81"/>
      <c r="S623" s="81"/>
      <c r="T623" s="81"/>
      <c r="U623" s="81"/>
      <c r="V623" s="48"/>
      <c r="W623" s="48"/>
      <c r="X623" s="48"/>
      <c r="Y623" s="48"/>
      <c r="Z623" s="47"/>
      <c r="AA623" s="69"/>
      <c r="AB623" s="69"/>
      <c r="AC623" s="70"/>
      <c r="AD623" t="s">
        <v>5025</v>
      </c>
      <c r="AE623" s="78" t="s">
        <v>6344</v>
      </c>
      <c r="AF623">
        <v>1653</v>
      </c>
      <c r="AG623">
        <v>1703</v>
      </c>
      <c r="AH623">
        <v>45856</v>
      </c>
      <c r="AI623">
        <v>140947</v>
      </c>
      <c r="AK623" t="s">
        <v>7514</v>
      </c>
      <c r="AL623" t="s">
        <v>8688</v>
      </c>
      <c r="AO623" s="76">
        <v>41815.563564814816</v>
      </c>
      <c r="AP623" s="79" t="str">
        <f>HYPERLINK("https://pbs.twimg.com/profile_banners/2587554037/1669574437")</f>
        <v>https://pbs.twimg.com/profile_banners/2587554037/1669574437</v>
      </c>
      <c r="AQ623" t="b">
        <v>0</v>
      </c>
      <c r="AR623" t="b">
        <v>0</v>
      </c>
      <c r="AS623" t="b">
        <v>0</v>
      </c>
      <c r="AU623">
        <v>3</v>
      </c>
      <c r="AV623" s="79" t="str">
        <f>HYPERLINK("https://abs.twimg.com/images/themes/theme1/bg.png")</f>
        <v>https://abs.twimg.com/images/themes/theme1/bg.png</v>
      </c>
      <c r="AW623" t="b">
        <v>0</v>
      </c>
      <c r="AX623" t="s">
        <v>9303</v>
      </c>
      <c r="AY623" s="79" t="str">
        <f>HYPERLINK("https://twitter.com/oldtehanu")</f>
        <v>https://twitter.com/oldtehanu</v>
      </c>
      <c r="AZ623" t="s">
        <v>66</v>
      </c>
      <c r="BA623" s="2"/>
    </row>
    <row r="624" spans="1:53" x14ac:dyDescent="0.45">
      <c r="A624" s="62" t="s">
        <v>659</v>
      </c>
      <c r="B624" s="63"/>
      <c r="C624" s="63"/>
      <c r="D624" s="64"/>
      <c r="E624" s="66"/>
      <c r="F624" s="98" t="str">
        <f>HYPERLINK("https://pbs.twimg.com/profile_images/1016414284610449409/8bAYLbgx_normal.jpg")</f>
        <v>https://pbs.twimg.com/profile_images/1016414284610449409/8bAYLbgx_normal.jpg</v>
      </c>
      <c r="G624" s="63"/>
      <c r="H624" s="67"/>
      <c r="I624" s="68"/>
      <c r="J624" s="68"/>
      <c r="K624" s="67" t="s">
        <v>9972</v>
      </c>
      <c r="L624" s="71"/>
      <c r="M624" s="72"/>
      <c r="N624" s="72"/>
      <c r="O624" s="73"/>
      <c r="P624" s="74"/>
      <c r="Q624" s="74"/>
      <c r="R624" s="81"/>
      <c r="S624" s="81"/>
      <c r="T624" s="81"/>
      <c r="U624" s="81"/>
      <c r="V624" s="48"/>
      <c r="W624" s="48"/>
      <c r="X624" s="48"/>
      <c r="Y624" s="48"/>
      <c r="Z624" s="47"/>
      <c r="AA624" s="69"/>
      <c r="AB624" s="69"/>
      <c r="AC624" s="70"/>
      <c r="AD624" t="s">
        <v>5663</v>
      </c>
      <c r="AE624" s="78" t="s">
        <v>6905</v>
      </c>
      <c r="AF624">
        <v>3483</v>
      </c>
      <c r="AG624">
        <v>1694</v>
      </c>
      <c r="AH624">
        <v>2470</v>
      </c>
      <c r="AI624">
        <v>2320</v>
      </c>
      <c r="AK624" t="s">
        <v>8072</v>
      </c>
      <c r="AL624" t="s">
        <v>8759</v>
      </c>
      <c r="AM624" s="79" t="str">
        <f>HYPERLINK("https://t.co/w9bw2Mb6sR")</f>
        <v>https://t.co/w9bw2Mb6sR</v>
      </c>
      <c r="AO624" s="76">
        <v>43245.694618055553</v>
      </c>
      <c r="AP624" s="79" t="str">
        <f>HYPERLINK("https://pbs.twimg.com/profile_banners/1000053945937682433/1532356618")</f>
        <v>https://pbs.twimg.com/profile_banners/1000053945937682433/1532356618</v>
      </c>
      <c r="AQ624" t="b">
        <v>0</v>
      </c>
      <c r="AR624" t="b">
        <v>0</v>
      </c>
      <c r="AS624" t="b">
        <v>0</v>
      </c>
      <c r="AU624">
        <v>4</v>
      </c>
      <c r="AV624" s="79" t="str">
        <f>HYPERLINK("https://abs.twimg.com/images/themes/theme1/bg.png")</f>
        <v>https://abs.twimg.com/images/themes/theme1/bg.png</v>
      </c>
      <c r="AW624" t="b">
        <v>0</v>
      </c>
      <c r="AX624" t="s">
        <v>9303</v>
      </c>
      <c r="AY624" s="79" t="str">
        <f>HYPERLINK("https://twitter.com/unconsciousi")</f>
        <v>https://twitter.com/unconsciousi</v>
      </c>
      <c r="AZ624" t="s">
        <v>66</v>
      </c>
      <c r="BA624" s="2"/>
    </row>
    <row r="625" spans="1:53" x14ac:dyDescent="0.45">
      <c r="A625" s="62" t="s">
        <v>738</v>
      </c>
      <c r="B625" s="63"/>
      <c r="C625" s="63"/>
      <c r="D625" s="64"/>
      <c r="E625" s="66"/>
      <c r="F625" s="98" t="str">
        <f>HYPERLINK("https://pbs.twimg.com/profile_images/1620900016297775105/Z7mkeAPI_normal.jpg")</f>
        <v>https://pbs.twimg.com/profile_images/1620900016297775105/Z7mkeAPI_normal.jpg</v>
      </c>
      <c r="G625" s="63"/>
      <c r="H625" s="67"/>
      <c r="I625" s="68"/>
      <c r="J625" s="68"/>
      <c r="K625" s="67" t="s">
        <v>10086</v>
      </c>
      <c r="L625" s="71"/>
      <c r="M625" s="72"/>
      <c r="N625" s="72"/>
      <c r="O625" s="73"/>
      <c r="P625" s="74"/>
      <c r="Q625" s="74"/>
      <c r="R625" s="81"/>
      <c r="S625" s="81"/>
      <c r="T625" s="81"/>
      <c r="U625" s="81"/>
      <c r="V625" s="48"/>
      <c r="W625" s="48"/>
      <c r="X625" s="48"/>
      <c r="Y625" s="48"/>
      <c r="Z625" s="47"/>
      <c r="AA625" s="69"/>
      <c r="AB625" s="69"/>
      <c r="AC625" s="70"/>
      <c r="AD625" t="s">
        <v>5775</v>
      </c>
      <c r="AE625" s="78" t="s">
        <v>7008</v>
      </c>
      <c r="AF625">
        <v>177</v>
      </c>
      <c r="AG625">
        <v>1687</v>
      </c>
      <c r="AH625">
        <v>11255</v>
      </c>
      <c r="AI625">
        <v>25371</v>
      </c>
      <c r="AK625" t="s">
        <v>8169</v>
      </c>
      <c r="AL625" t="s">
        <v>4917</v>
      </c>
      <c r="AO625" s="76">
        <v>43859.287349537037</v>
      </c>
      <c r="AP625" s="79" t="str">
        <f>HYPERLINK("https://pbs.twimg.com/profile_banners/1222412466090598400/1674123465")</f>
        <v>https://pbs.twimg.com/profile_banners/1222412466090598400/1674123465</v>
      </c>
      <c r="AQ625" t="b">
        <v>1</v>
      </c>
      <c r="AR625" t="b">
        <v>0</v>
      </c>
      <c r="AS625" t="b">
        <v>1</v>
      </c>
      <c r="AU625">
        <v>3</v>
      </c>
      <c r="AW625" t="b">
        <v>0</v>
      </c>
      <c r="AX625" t="s">
        <v>9303</v>
      </c>
      <c r="AY625" s="79" t="str">
        <f>HYPERLINK("https://twitter.com/cunnygriffin")</f>
        <v>https://twitter.com/cunnygriffin</v>
      </c>
      <c r="AZ625" t="s">
        <v>66</v>
      </c>
      <c r="BA625" s="2"/>
    </row>
    <row r="626" spans="1:53" x14ac:dyDescent="0.45">
      <c r="A626" s="62" t="s">
        <v>1098</v>
      </c>
      <c r="B626" s="63"/>
      <c r="C626" s="63"/>
      <c r="D626" s="64"/>
      <c r="E626" s="66"/>
      <c r="F626" s="98" t="str">
        <f>HYPERLINK("https://pbs.twimg.com/profile_images/1619733008080060421/G-IQK6bj_normal.jpg")</f>
        <v>https://pbs.twimg.com/profile_images/1619733008080060421/G-IQK6bj_normal.jpg</v>
      </c>
      <c r="G626" s="63"/>
      <c r="H626" s="67"/>
      <c r="I626" s="68"/>
      <c r="J626" s="68"/>
      <c r="K626" s="67" t="s">
        <v>10645</v>
      </c>
      <c r="L626" s="71"/>
      <c r="M626" s="72"/>
      <c r="N626" s="72"/>
      <c r="O626" s="73"/>
      <c r="P626" s="74"/>
      <c r="Q626" s="74"/>
      <c r="R626" s="81"/>
      <c r="S626" s="81"/>
      <c r="T626" s="81"/>
      <c r="U626" s="81"/>
      <c r="V626" s="48"/>
      <c r="W626" s="48"/>
      <c r="X626" s="48"/>
      <c r="Y626" s="48"/>
      <c r="Z626" s="47"/>
      <c r="AA626" s="69"/>
      <c r="AB626" s="69"/>
      <c r="AC626" s="70"/>
      <c r="AD626" t="s">
        <v>6320</v>
      </c>
      <c r="AE626" s="78" t="s">
        <v>7482</v>
      </c>
      <c r="AF626">
        <v>98</v>
      </c>
      <c r="AG626">
        <v>1674</v>
      </c>
      <c r="AH626">
        <v>70980</v>
      </c>
      <c r="AI626">
        <v>13863</v>
      </c>
      <c r="AK626" t="s">
        <v>8665</v>
      </c>
      <c r="AL626" t="s">
        <v>9298</v>
      </c>
      <c r="AO626" s="76">
        <v>39913.212500000001</v>
      </c>
      <c r="AP626" s="79" t="str">
        <f>HYPERLINK("https://pbs.twimg.com/profile_banners/30166471/1407562643")</f>
        <v>https://pbs.twimg.com/profile_banners/30166471/1407562643</v>
      </c>
      <c r="AQ626" t="b">
        <v>0</v>
      </c>
      <c r="AR626" t="b">
        <v>0</v>
      </c>
      <c r="AS626" t="b">
        <v>0</v>
      </c>
      <c r="AU626">
        <v>66</v>
      </c>
      <c r="AV626" s="79" t="str">
        <f>HYPERLINK("https://abs.twimg.com/images/themes/theme11/bg.gif")</f>
        <v>https://abs.twimg.com/images/themes/theme11/bg.gif</v>
      </c>
      <c r="AW626" t="b">
        <v>0</v>
      </c>
      <c r="AX626" t="s">
        <v>9303</v>
      </c>
      <c r="AY626" s="79" t="str">
        <f>HYPERLINK("https://twitter.com/onceatweeter")</f>
        <v>https://twitter.com/onceatweeter</v>
      </c>
      <c r="AZ626" t="s">
        <v>66</v>
      </c>
      <c r="BA626" s="2"/>
    </row>
    <row r="627" spans="1:53" x14ac:dyDescent="0.45">
      <c r="A627" s="62" t="s">
        <v>467</v>
      </c>
      <c r="B627" s="63"/>
      <c r="C627" s="63"/>
      <c r="D627" s="64"/>
      <c r="E627" s="66"/>
      <c r="F627" s="98" t="str">
        <f>HYPERLINK("https://pbs.twimg.com/profile_images/864984124989341696/HMP_gk-x_normal.jpg")</f>
        <v>https://pbs.twimg.com/profile_images/864984124989341696/HMP_gk-x_normal.jpg</v>
      </c>
      <c r="G627" s="63"/>
      <c r="H627" s="67"/>
      <c r="I627" s="68"/>
      <c r="J627" s="68"/>
      <c r="K627" s="67" t="s">
        <v>9737</v>
      </c>
      <c r="L627" s="71"/>
      <c r="M627" s="72"/>
      <c r="N627" s="72"/>
      <c r="O627" s="73"/>
      <c r="P627" s="74"/>
      <c r="Q627" s="74"/>
      <c r="R627" s="81"/>
      <c r="S627" s="81"/>
      <c r="T627" s="81"/>
      <c r="U627" s="81"/>
      <c r="V627" s="48"/>
      <c r="W627" s="48"/>
      <c r="X627" s="48"/>
      <c r="Y627" s="48"/>
      <c r="Z627" s="47"/>
      <c r="AA627" s="69"/>
      <c r="AB627" s="69"/>
      <c r="AC627" s="70"/>
      <c r="AD627" t="s">
        <v>5429</v>
      </c>
      <c r="AE627" s="78" t="s">
        <v>4696</v>
      </c>
      <c r="AF627">
        <v>1357</v>
      </c>
      <c r="AG627">
        <v>1672</v>
      </c>
      <c r="AH627">
        <v>7571</v>
      </c>
      <c r="AI627">
        <v>3385</v>
      </c>
      <c r="AK627" t="s">
        <v>7867</v>
      </c>
      <c r="AL627" t="s">
        <v>4920</v>
      </c>
      <c r="AM627" s="79" t="str">
        <f>HYPERLINK("https://t.co/S5OONNraGJ")</f>
        <v>https://t.co/S5OONNraGJ</v>
      </c>
      <c r="AO627" s="76">
        <v>39548.906678240739</v>
      </c>
      <c r="AP627" s="79" t="str">
        <f>HYPERLINK("https://pbs.twimg.com/profile_banners/14355611/1642873256")</f>
        <v>https://pbs.twimg.com/profile_banners/14355611/1642873256</v>
      </c>
      <c r="AQ627" t="b">
        <v>0</v>
      </c>
      <c r="AR627" t="b">
        <v>0</v>
      </c>
      <c r="AS627" t="b">
        <v>0</v>
      </c>
      <c r="AU627">
        <v>31</v>
      </c>
      <c r="AV627" s="79" t="str">
        <f>HYPERLINK("https://abs.twimg.com/images/themes/theme1/bg.png")</f>
        <v>https://abs.twimg.com/images/themes/theme1/bg.png</v>
      </c>
      <c r="AW627" t="b">
        <v>0</v>
      </c>
      <c r="AX627" t="s">
        <v>9303</v>
      </c>
      <c r="AY627" s="79" t="str">
        <f>HYPERLINK("https://twitter.com/jasonstarr")</f>
        <v>https://twitter.com/jasonstarr</v>
      </c>
      <c r="AZ627" t="s">
        <v>66</v>
      </c>
      <c r="BA627" s="2"/>
    </row>
    <row r="628" spans="1:53" x14ac:dyDescent="0.45">
      <c r="A628" s="62" t="s">
        <v>422</v>
      </c>
      <c r="B628" s="63"/>
      <c r="C628" s="63"/>
      <c r="D628" s="64"/>
      <c r="E628" s="66"/>
      <c r="F628" s="98" t="str">
        <f>HYPERLINK("https://pbs.twimg.com/profile_images/1330270394180317187/iflEzmiq_normal.jpg")</f>
        <v>https://pbs.twimg.com/profile_images/1330270394180317187/iflEzmiq_normal.jpg</v>
      </c>
      <c r="G628" s="63"/>
      <c r="H628" s="67"/>
      <c r="I628" s="68"/>
      <c r="J628" s="68"/>
      <c r="K628" s="67" t="s">
        <v>9673</v>
      </c>
      <c r="L628" s="71"/>
      <c r="M628" s="72"/>
      <c r="N628" s="72"/>
      <c r="O628" s="73"/>
      <c r="P628" s="74"/>
      <c r="Q628" s="74"/>
      <c r="R628" s="81"/>
      <c r="S628" s="81"/>
      <c r="T628" s="81"/>
      <c r="U628" s="81"/>
      <c r="V628" s="48"/>
      <c r="W628" s="48"/>
      <c r="X628" s="48"/>
      <c r="Y628" s="48"/>
      <c r="Z628" s="47"/>
      <c r="AA628" s="69"/>
      <c r="AB628" s="69"/>
      <c r="AC628" s="70"/>
      <c r="AD628" t="s">
        <v>5366</v>
      </c>
      <c r="AE628" s="78" t="s">
        <v>6640</v>
      </c>
      <c r="AF628">
        <v>1281</v>
      </c>
      <c r="AG628">
        <v>1651</v>
      </c>
      <c r="AH628">
        <v>18820</v>
      </c>
      <c r="AI628">
        <v>25302</v>
      </c>
      <c r="AK628" t="s">
        <v>7815</v>
      </c>
      <c r="AL628" t="s">
        <v>8867</v>
      </c>
      <c r="AM628" s="79" t="str">
        <f>HYPERLINK("https://t.co/w5oy1cvtvL")</f>
        <v>https://t.co/w5oy1cvtvL</v>
      </c>
      <c r="AO628" s="76">
        <v>42971.82236111111</v>
      </c>
      <c r="AP628" s="79" t="str">
        <f>HYPERLINK("https://pbs.twimg.com/profile_banners/900805963346784256/1671522570")</f>
        <v>https://pbs.twimg.com/profile_banners/900805963346784256/1671522570</v>
      </c>
      <c r="AQ628" t="b">
        <v>1</v>
      </c>
      <c r="AR628" t="b">
        <v>0</v>
      </c>
      <c r="AS628" t="b">
        <v>0</v>
      </c>
      <c r="AU628">
        <v>5</v>
      </c>
      <c r="AW628" t="b">
        <v>0</v>
      </c>
      <c r="AX628" t="s">
        <v>9303</v>
      </c>
      <c r="AY628" s="79" t="str">
        <f>HYPERLINK("https://twitter.com/mcsmiler18")</f>
        <v>https://twitter.com/mcsmiler18</v>
      </c>
      <c r="AZ628" t="s">
        <v>66</v>
      </c>
      <c r="BA628" s="2"/>
    </row>
    <row r="629" spans="1:53" x14ac:dyDescent="0.45">
      <c r="A629" s="62" t="s">
        <v>1001</v>
      </c>
      <c r="B629" s="63"/>
      <c r="C629" s="63"/>
      <c r="D629" s="64"/>
      <c r="E629" s="66"/>
      <c r="F629" s="98" t="str">
        <f>HYPERLINK("https://pbs.twimg.com/profile_images/1145053271989587968/HNc78V2Z_normal.jpg")</f>
        <v>https://pbs.twimg.com/profile_images/1145053271989587968/HNc78V2Z_normal.jpg</v>
      </c>
      <c r="G629" s="63"/>
      <c r="H629" s="67"/>
      <c r="I629" s="68"/>
      <c r="J629" s="68"/>
      <c r="K629" s="67" t="s">
        <v>10234</v>
      </c>
      <c r="L629" s="71"/>
      <c r="M629" s="72"/>
      <c r="N629" s="72"/>
      <c r="O629" s="73"/>
      <c r="P629" s="74"/>
      <c r="Q629" s="74"/>
      <c r="R629" s="81"/>
      <c r="S629" s="81"/>
      <c r="T629" s="81"/>
      <c r="U629" s="81"/>
      <c r="V629" s="48"/>
      <c r="W629" s="48"/>
      <c r="X629" s="48"/>
      <c r="Y629" s="48"/>
      <c r="Z629" s="47"/>
      <c r="AA629" s="69"/>
      <c r="AB629" s="69"/>
      <c r="AC629" s="70"/>
      <c r="AD629" t="s">
        <v>5918</v>
      </c>
      <c r="AE629" s="78" t="s">
        <v>7135</v>
      </c>
      <c r="AF629">
        <v>2888</v>
      </c>
      <c r="AG629">
        <v>1640</v>
      </c>
      <c r="AH629">
        <v>25538</v>
      </c>
      <c r="AI629">
        <v>48681</v>
      </c>
      <c r="AK629" t="s">
        <v>8300</v>
      </c>
      <c r="AL629" t="s">
        <v>9132</v>
      </c>
      <c r="AM629" s="79" t="str">
        <f>HYPERLINK("https://t.co/dBTGbtW6w0")</f>
        <v>https://t.co/dBTGbtW6w0</v>
      </c>
      <c r="AO629" s="76">
        <v>41105.771643518521</v>
      </c>
      <c r="AP629" s="79" t="str">
        <f>HYPERLINK("https://pbs.twimg.com/profile_banners/636367711/1675275018")</f>
        <v>https://pbs.twimg.com/profile_banners/636367711/1675275018</v>
      </c>
      <c r="AQ629" t="b">
        <v>0</v>
      </c>
      <c r="AR629" t="b">
        <v>0</v>
      </c>
      <c r="AS629" t="b">
        <v>1</v>
      </c>
      <c r="AU629">
        <v>4</v>
      </c>
      <c r="AV629" s="79" t="str">
        <f>HYPERLINK("https://abs.twimg.com/images/themes/theme1/bg.png")</f>
        <v>https://abs.twimg.com/images/themes/theme1/bg.png</v>
      </c>
      <c r="AW629" t="b">
        <v>0</v>
      </c>
      <c r="AX629" t="s">
        <v>9303</v>
      </c>
      <c r="AY629" s="79" t="str">
        <f>HYPERLINK("https://twitter.com/eugivola")</f>
        <v>https://twitter.com/eugivola</v>
      </c>
      <c r="AZ629" t="s">
        <v>66</v>
      </c>
      <c r="BA629" s="2"/>
    </row>
    <row r="630" spans="1:53" x14ac:dyDescent="0.45">
      <c r="A630" s="62" t="s">
        <v>555</v>
      </c>
      <c r="B630" s="63"/>
      <c r="C630" s="63"/>
      <c r="D630" s="64"/>
      <c r="E630" s="66"/>
      <c r="F630" s="98" t="str">
        <f>HYPERLINK("https://pbs.twimg.com/profile_images/1612361530770849793/VpZwMVTJ_normal.jpg")</f>
        <v>https://pbs.twimg.com/profile_images/1612361530770849793/VpZwMVTJ_normal.jpg</v>
      </c>
      <c r="G630" s="63"/>
      <c r="H630" s="67"/>
      <c r="I630" s="68"/>
      <c r="J630" s="68"/>
      <c r="K630" s="67" t="s">
        <v>9852</v>
      </c>
      <c r="L630" s="71"/>
      <c r="M630" s="72"/>
      <c r="N630" s="72"/>
      <c r="O630" s="73"/>
      <c r="P630" s="74"/>
      <c r="Q630" s="74"/>
      <c r="R630" s="81"/>
      <c r="S630" s="81"/>
      <c r="T630" s="81"/>
      <c r="U630" s="81"/>
      <c r="V630" s="48"/>
      <c r="W630" s="48"/>
      <c r="X630" s="48"/>
      <c r="Y630" s="48"/>
      <c r="Z630" s="47"/>
      <c r="AA630" s="69"/>
      <c r="AB630" s="69"/>
      <c r="AC630" s="70"/>
      <c r="AD630" t="s">
        <v>5543</v>
      </c>
      <c r="AE630" s="78" t="s">
        <v>6792</v>
      </c>
      <c r="AF630">
        <v>682</v>
      </c>
      <c r="AG630">
        <v>1610</v>
      </c>
      <c r="AH630">
        <v>14213</v>
      </c>
      <c r="AI630">
        <v>16598</v>
      </c>
      <c r="AK630" t="s">
        <v>7966</v>
      </c>
      <c r="AL630" t="s">
        <v>8946</v>
      </c>
      <c r="AM630" s="79" t="str">
        <f>HYPERLINK("https://t.co/vlxST0MmCg")</f>
        <v>https://t.co/vlxST0MmCg</v>
      </c>
      <c r="AO630" s="76">
        <v>40738.136597222219</v>
      </c>
      <c r="AP630" s="79" t="str">
        <f>HYPERLINK("https://pbs.twimg.com/profile_banners/335072080/1673251975")</f>
        <v>https://pbs.twimg.com/profile_banners/335072080/1673251975</v>
      </c>
      <c r="AQ630" t="b">
        <v>0</v>
      </c>
      <c r="AR630" t="b">
        <v>0</v>
      </c>
      <c r="AS630" t="b">
        <v>1</v>
      </c>
      <c r="AU630">
        <v>3</v>
      </c>
      <c r="AV630" s="79" t="str">
        <f>HYPERLINK("https://abs.twimg.com/images/themes/theme14/bg.gif")</f>
        <v>https://abs.twimg.com/images/themes/theme14/bg.gif</v>
      </c>
      <c r="AW630" t="b">
        <v>0</v>
      </c>
      <c r="AX630" t="s">
        <v>9303</v>
      </c>
      <c r="AY630" s="79" t="str">
        <f>HYPERLINK("https://twitter.com/mileycyrussf")</f>
        <v>https://twitter.com/mileycyrussf</v>
      </c>
      <c r="AZ630" t="s">
        <v>66</v>
      </c>
      <c r="BA630" s="2"/>
    </row>
    <row r="631" spans="1:53" x14ac:dyDescent="0.45">
      <c r="A631" s="62" t="s">
        <v>810</v>
      </c>
      <c r="B631" s="63"/>
      <c r="C631" s="63"/>
      <c r="D631" s="64"/>
      <c r="E631" s="66"/>
      <c r="F631" s="98" t="str">
        <f>HYPERLINK("https://pbs.twimg.com/profile_images/1600525309069115404/QJM8vulU_normal.jpg")</f>
        <v>https://pbs.twimg.com/profile_images/1600525309069115404/QJM8vulU_normal.jpg</v>
      </c>
      <c r="G631" s="63"/>
      <c r="H631" s="67"/>
      <c r="I631" s="68"/>
      <c r="J631" s="68"/>
      <c r="K631" s="67" t="s">
        <v>10191</v>
      </c>
      <c r="L631" s="71"/>
      <c r="M631" s="72"/>
      <c r="N631" s="72"/>
      <c r="O631" s="73"/>
      <c r="P631" s="74"/>
      <c r="Q631" s="74"/>
      <c r="R631" s="81"/>
      <c r="S631" s="81"/>
      <c r="T631" s="81"/>
      <c r="U631" s="81"/>
      <c r="V631" s="48"/>
      <c r="W631" s="48"/>
      <c r="X631" s="48"/>
      <c r="Y631" s="48"/>
      <c r="Z631" s="47"/>
      <c r="AA631" s="69"/>
      <c r="AB631" s="69"/>
      <c r="AC631" s="70"/>
      <c r="AD631" t="s">
        <v>5875</v>
      </c>
      <c r="AE631" s="78" t="s">
        <v>7097</v>
      </c>
      <c r="AF631">
        <v>4041</v>
      </c>
      <c r="AG631">
        <v>1605</v>
      </c>
      <c r="AH631">
        <v>19353</v>
      </c>
      <c r="AI631">
        <v>19260</v>
      </c>
      <c r="AK631" t="s">
        <v>8263</v>
      </c>
      <c r="AO631" s="76">
        <v>44601.092766203707</v>
      </c>
      <c r="AP631" s="79" t="str">
        <f>HYPERLINK("https://pbs.twimg.com/profile_banners/1491233742215651328/1670012225")</f>
        <v>https://pbs.twimg.com/profile_banners/1491233742215651328/1670012225</v>
      </c>
      <c r="AQ631" t="b">
        <v>1</v>
      </c>
      <c r="AR631" t="b">
        <v>0</v>
      </c>
      <c r="AS631" t="b">
        <v>0</v>
      </c>
      <c r="AU631">
        <v>5</v>
      </c>
      <c r="AW631" t="b">
        <v>0</v>
      </c>
      <c r="AX631" t="s">
        <v>9303</v>
      </c>
      <c r="AY631" s="79" t="str">
        <f>HYPERLINK("https://twitter.com/notmachine2")</f>
        <v>https://twitter.com/notmachine2</v>
      </c>
      <c r="AZ631" t="s">
        <v>66</v>
      </c>
      <c r="BA631" s="2"/>
    </row>
    <row r="632" spans="1:53" x14ac:dyDescent="0.45">
      <c r="A632" s="62" t="s">
        <v>867</v>
      </c>
      <c r="B632" s="63"/>
      <c r="C632" s="63"/>
      <c r="D632" s="64"/>
      <c r="E632" s="66"/>
      <c r="F632" s="98" t="str">
        <f>HYPERLINK("https://pbs.twimg.com/profile_images/578295555211677696/tiFgFHbp_normal.jpeg")</f>
        <v>https://pbs.twimg.com/profile_images/578295555211677696/tiFgFHbp_normal.jpeg</v>
      </c>
      <c r="G632" s="63"/>
      <c r="H632" s="67"/>
      <c r="I632" s="68"/>
      <c r="J632" s="68"/>
      <c r="K632" s="67" t="s">
        <v>10269</v>
      </c>
      <c r="L632" s="71"/>
      <c r="M632" s="72"/>
      <c r="N632" s="72"/>
      <c r="O632" s="73"/>
      <c r="P632" s="74"/>
      <c r="Q632" s="74"/>
      <c r="R632" s="81"/>
      <c r="S632" s="81"/>
      <c r="T632" s="81"/>
      <c r="U632" s="81"/>
      <c r="V632" s="48"/>
      <c r="W632" s="48"/>
      <c r="X632" s="48"/>
      <c r="Y632" s="48"/>
      <c r="Z632" s="47"/>
      <c r="AA632" s="69"/>
      <c r="AB632" s="69"/>
      <c r="AC632" s="70"/>
      <c r="AD632" t="s">
        <v>5952</v>
      </c>
      <c r="AE632" s="78" t="s">
        <v>7164</v>
      </c>
      <c r="AF632">
        <v>1851</v>
      </c>
      <c r="AG632">
        <v>1594</v>
      </c>
      <c r="AH632">
        <v>2720</v>
      </c>
      <c r="AI632">
        <v>613</v>
      </c>
      <c r="AK632" t="s">
        <v>8330</v>
      </c>
      <c r="AL632" t="s">
        <v>9146</v>
      </c>
      <c r="AM632" s="79" t="str">
        <f>HYPERLINK("https://t.co/6L0w0rVkIP")</f>
        <v>https://t.co/6L0w0rVkIP</v>
      </c>
      <c r="AO632" s="76">
        <v>39990.853483796294</v>
      </c>
      <c r="AP632" s="79" t="str">
        <f>HYPERLINK("https://pbs.twimg.com/profile_banners/51212088/1638987797")</f>
        <v>https://pbs.twimg.com/profile_banners/51212088/1638987797</v>
      </c>
      <c r="AQ632" t="b">
        <v>0</v>
      </c>
      <c r="AR632" t="b">
        <v>0</v>
      </c>
      <c r="AS632" t="b">
        <v>0</v>
      </c>
      <c r="AU632">
        <v>31</v>
      </c>
      <c r="AV632" s="79" t="str">
        <f>HYPERLINK("https://abs.twimg.com/images/themes/theme15/bg.png")</f>
        <v>https://abs.twimg.com/images/themes/theme15/bg.png</v>
      </c>
      <c r="AW632" t="b">
        <v>0</v>
      </c>
      <c r="AX632" t="s">
        <v>9303</v>
      </c>
      <c r="AY632" s="79" t="str">
        <f>HYPERLINK("https://twitter.com/artskills")</f>
        <v>https://twitter.com/artskills</v>
      </c>
      <c r="AZ632" t="s">
        <v>66</v>
      </c>
      <c r="BA632" s="2"/>
    </row>
    <row r="633" spans="1:53" x14ac:dyDescent="0.45">
      <c r="A633" s="62" t="s">
        <v>1053</v>
      </c>
      <c r="B633" s="63"/>
      <c r="C633" s="63"/>
      <c r="D633" s="64"/>
      <c r="E633" s="66"/>
      <c r="F633" s="98" t="str">
        <f>HYPERLINK("https://pbs.twimg.com/profile_images/1251425324367327233/fd_7nvdm_normal.jpg")</f>
        <v>https://pbs.twimg.com/profile_images/1251425324367327233/fd_7nvdm_normal.jpg</v>
      </c>
      <c r="G633" s="63"/>
      <c r="H633" s="67"/>
      <c r="I633" s="68"/>
      <c r="J633" s="68"/>
      <c r="K633" s="67" t="s">
        <v>10568</v>
      </c>
      <c r="L633" s="71"/>
      <c r="M633" s="72"/>
      <c r="N633" s="72"/>
      <c r="O633" s="73"/>
      <c r="P633" s="74"/>
      <c r="Q633" s="74"/>
      <c r="R633" s="81"/>
      <c r="S633" s="81"/>
      <c r="T633" s="81"/>
      <c r="U633" s="81"/>
      <c r="V633" s="48"/>
      <c r="W633" s="48"/>
      <c r="X633" s="48"/>
      <c r="Y633" s="48"/>
      <c r="Z633" s="47"/>
      <c r="AA633" s="69"/>
      <c r="AB633" s="69"/>
      <c r="AC633" s="70"/>
      <c r="AD633" t="s">
        <v>6246</v>
      </c>
      <c r="AE633" s="78" t="s">
        <v>7419</v>
      </c>
      <c r="AF633">
        <v>5001</v>
      </c>
      <c r="AG633">
        <v>1591</v>
      </c>
      <c r="AH633">
        <v>373858</v>
      </c>
      <c r="AI633">
        <v>93472</v>
      </c>
      <c r="AK633" t="s">
        <v>8593</v>
      </c>
      <c r="AM633" s="79" t="str">
        <f>HYPERLINK("https://t.co/nYcOF5BK4s")</f>
        <v>https://t.co/nYcOF5BK4s</v>
      </c>
      <c r="AO633" s="76">
        <v>42154.956828703704</v>
      </c>
      <c r="AP633" s="79" t="str">
        <f>HYPERLINK("https://pbs.twimg.com/profile_banners/3304211182/1508435814")</f>
        <v>https://pbs.twimg.com/profile_banners/3304211182/1508435814</v>
      </c>
      <c r="AQ633" t="b">
        <v>0</v>
      </c>
      <c r="AR633" t="b">
        <v>0</v>
      </c>
      <c r="AS633" t="b">
        <v>0</v>
      </c>
      <c r="AU633">
        <v>79</v>
      </c>
      <c r="AV633" s="79" t="str">
        <f>HYPERLINK("https://abs.twimg.com/images/themes/theme1/bg.png")</f>
        <v>https://abs.twimg.com/images/themes/theme1/bg.png</v>
      </c>
      <c r="AW633" t="b">
        <v>0</v>
      </c>
      <c r="AX633" t="s">
        <v>9303</v>
      </c>
      <c r="AY633" s="79" t="str">
        <f>HYPERLINK("https://twitter.com/hinatauzumakipo")</f>
        <v>https://twitter.com/hinatauzumakipo</v>
      </c>
      <c r="AZ633" t="s">
        <v>66</v>
      </c>
      <c r="BA633" s="2"/>
    </row>
    <row r="634" spans="1:53" x14ac:dyDescent="0.45">
      <c r="A634" s="62" t="s">
        <v>504</v>
      </c>
      <c r="B634" s="63"/>
      <c r="C634" s="63"/>
      <c r="D634" s="64"/>
      <c r="E634" s="66"/>
      <c r="F634" s="98" t="str">
        <f>HYPERLINK("https://pbs.twimg.com/profile_images/1610559101196533764/it18Z5mJ_normal.jpg")</f>
        <v>https://pbs.twimg.com/profile_images/1610559101196533764/it18Z5mJ_normal.jpg</v>
      </c>
      <c r="G634" s="63"/>
      <c r="H634" s="67"/>
      <c r="I634" s="68"/>
      <c r="J634" s="68"/>
      <c r="K634" s="67" t="s">
        <v>9781</v>
      </c>
      <c r="L634" s="71"/>
      <c r="M634" s="72"/>
      <c r="N634" s="72"/>
      <c r="O634" s="73"/>
      <c r="P634" s="74"/>
      <c r="Q634" s="74"/>
      <c r="R634" s="81"/>
      <c r="S634" s="81"/>
      <c r="T634" s="81"/>
      <c r="U634" s="81"/>
      <c r="V634" s="48"/>
      <c r="W634" s="48"/>
      <c r="X634" s="48"/>
      <c r="Y634" s="48"/>
      <c r="Z634" s="47"/>
      <c r="AA634" s="69"/>
      <c r="AB634" s="69"/>
      <c r="AC634" s="70"/>
      <c r="AD634" t="s">
        <v>5473</v>
      </c>
      <c r="AE634" s="78" t="s">
        <v>6730</v>
      </c>
      <c r="AF634">
        <v>2676</v>
      </c>
      <c r="AG634">
        <v>1576</v>
      </c>
      <c r="AH634">
        <v>137248</v>
      </c>
      <c r="AI634">
        <v>141547</v>
      </c>
      <c r="AK634" t="s">
        <v>7903</v>
      </c>
      <c r="AL634" t="s">
        <v>8915</v>
      </c>
      <c r="AO634" s="76">
        <v>40178.781898148147</v>
      </c>
      <c r="AP634" s="79" t="str">
        <f>HYPERLINK("https://pbs.twimg.com/profile_banners/100822668/1671399400")</f>
        <v>https://pbs.twimg.com/profile_banners/100822668/1671399400</v>
      </c>
      <c r="AQ634" t="b">
        <v>0</v>
      </c>
      <c r="AR634" t="b">
        <v>0</v>
      </c>
      <c r="AS634" t="b">
        <v>1</v>
      </c>
      <c r="AU634">
        <v>27</v>
      </c>
      <c r="AV634" s="79" t="str">
        <f>HYPERLINK("https://abs.twimg.com/images/themes/theme14/bg.gif")</f>
        <v>https://abs.twimg.com/images/themes/theme14/bg.gif</v>
      </c>
      <c r="AW634" t="b">
        <v>0</v>
      </c>
      <c r="AX634" t="s">
        <v>9303</v>
      </c>
      <c r="AY634" s="79" t="str">
        <f>HYPERLINK("https://twitter.com/shadmiller13")</f>
        <v>https://twitter.com/shadmiller13</v>
      </c>
      <c r="AZ634" t="s">
        <v>66</v>
      </c>
      <c r="BA634" s="2"/>
    </row>
    <row r="635" spans="1:53" x14ac:dyDescent="0.45">
      <c r="A635" s="62" t="s">
        <v>1068</v>
      </c>
      <c r="B635" s="63"/>
      <c r="C635" s="63"/>
      <c r="D635" s="64"/>
      <c r="E635" s="66"/>
      <c r="F635" s="98" t="str">
        <f>HYPERLINK("https://pbs.twimg.com/profile_images/1344016857771044864/Ne_2H9yO_normal.jpg")</f>
        <v>https://pbs.twimg.com/profile_images/1344016857771044864/Ne_2H9yO_normal.jpg</v>
      </c>
      <c r="G635" s="63"/>
      <c r="H635" s="67"/>
      <c r="I635" s="68"/>
      <c r="J635" s="68"/>
      <c r="K635" s="67" t="s">
        <v>10600</v>
      </c>
      <c r="L635" s="71"/>
      <c r="M635" s="72"/>
      <c r="N635" s="72"/>
      <c r="O635" s="73"/>
      <c r="P635" s="74"/>
      <c r="Q635" s="74"/>
      <c r="R635" s="81"/>
      <c r="S635" s="81"/>
      <c r="T635" s="81"/>
      <c r="U635" s="81"/>
      <c r="V635" s="48"/>
      <c r="W635" s="48"/>
      <c r="X635" s="48"/>
      <c r="Y635" s="48"/>
      <c r="Z635" s="47"/>
      <c r="AA635" s="69"/>
      <c r="AB635" s="69"/>
      <c r="AC635" s="70"/>
      <c r="AD635" t="s">
        <v>6277</v>
      </c>
      <c r="AE635" s="78" t="s">
        <v>7446</v>
      </c>
      <c r="AF635">
        <v>1876</v>
      </c>
      <c r="AG635">
        <v>1569</v>
      </c>
      <c r="AH635">
        <v>50329</v>
      </c>
      <c r="AI635">
        <v>65085</v>
      </c>
      <c r="AK635" t="s">
        <v>8624</v>
      </c>
      <c r="AL635" t="s">
        <v>9283</v>
      </c>
      <c r="AO635" s="76">
        <v>44167.865428240744</v>
      </c>
      <c r="AQ635" t="b">
        <v>1</v>
      </c>
      <c r="AR635" t="b">
        <v>0</v>
      </c>
      <c r="AS635" t="b">
        <v>0</v>
      </c>
      <c r="AU635">
        <v>2</v>
      </c>
      <c r="AW635" t="b">
        <v>0</v>
      </c>
      <c r="AX635" t="s">
        <v>9303</v>
      </c>
      <c r="AY635" s="79" t="str">
        <f>HYPERLINK("https://twitter.com/karonwilson4")</f>
        <v>https://twitter.com/karonwilson4</v>
      </c>
      <c r="AZ635" t="s">
        <v>66</v>
      </c>
      <c r="BA635" s="2"/>
    </row>
    <row r="636" spans="1:53" x14ac:dyDescent="0.45">
      <c r="A636" s="62" t="s">
        <v>645</v>
      </c>
      <c r="B636" s="63"/>
      <c r="C636" s="63"/>
      <c r="D636" s="64"/>
      <c r="E636" s="66"/>
      <c r="F636" s="98" t="str">
        <f>HYPERLINK("https://pbs.twimg.com/profile_images/1609794482114797571/4J-aiWbr_normal.jpg")</f>
        <v>https://pbs.twimg.com/profile_images/1609794482114797571/4J-aiWbr_normal.jpg</v>
      </c>
      <c r="G636" s="63"/>
      <c r="H636" s="67"/>
      <c r="I636" s="68"/>
      <c r="J636" s="68"/>
      <c r="K636" s="67" t="s">
        <v>9955</v>
      </c>
      <c r="L636" s="71"/>
      <c r="M636" s="72"/>
      <c r="N636" s="72"/>
      <c r="O636" s="73"/>
      <c r="P636" s="74"/>
      <c r="Q636" s="74"/>
      <c r="R636" s="81"/>
      <c r="S636" s="81"/>
      <c r="T636" s="81"/>
      <c r="U636" s="81"/>
      <c r="V636" s="48"/>
      <c r="W636" s="48"/>
      <c r="X636" s="48"/>
      <c r="Y636" s="48"/>
      <c r="Z636" s="47"/>
      <c r="AA636" s="69"/>
      <c r="AB636" s="69"/>
      <c r="AC636" s="70"/>
      <c r="AD636" t="s">
        <v>5646</v>
      </c>
      <c r="AE636" s="78" t="s">
        <v>6888</v>
      </c>
      <c r="AF636">
        <v>2370</v>
      </c>
      <c r="AG636">
        <v>1560</v>
      </c>
      <c r="AH636">
        <v>20253</v>
      </c>
      <c r="AI636">
        <v>34267</v>
      </c>
      <c r="AK636" t="s">
        <v>8057</v>
      </c>
      <c r="AL636" t="s">
        <v>9013</v>
      </c>
      <c r="AO636" s="76">
        <v>40906.759583333333</v>
      </c>
      <c r="AP636" s="79" t="str">
        <f>HYPERLINK("https://pbs.twimg.com/profile_banners/449962936/1634240532")</f>
        <v>https://pbs.twimg.com/profile_banners/449962936/1634240532</v>
      </c>
      <c r="AQ636" t="b">
        <v>0</v>
      </c>
      <c r="AR636" t="b">
        <v>0</v>
      </c>
      <c r="AS636" t="b">
        <v>1</v>
      </c>
      <c r="AU636">
        <v>7</v>
      </c>
      <c r="AV636" s="79" t="str">
        <f>HYPERLINK("https://abs.twimg.com/images/themes/theme1/bg.png")</f>
        <v>https://abs.twimg.com/images/themes/theme1/bg.png</v>
      </c>
      <c r="AW636" t="b">
        <v>0</v>
      </c>
      <c r="AX636" t="s">
        <v>9303</v>
      </c>
      <c r="AY636" s="79" t="str">
        <f>HYPERLINK("https://twitter.com/mcyruscuba")</f>
        <v>https://twitter.com/mcyruscuba</v>
      </c>
      <c r="AZ636" t="s">
        <v>66</v>
      </c>
      <c r="BA636" s="2"/>
    </row>
    <row r="637" spans="1:53" x14ac:dyDescent="0.45">
      <c r="A637" s="62" t="s">
        <v>717</v>
      </c>
      <c r="B637" s="63"/>
      <c r="C637" s="63"/>
      <c r="D637" s="64"/>
      <c r="E637" s="66"/>
      <c r="F637" s="98" t="str">
        <f>HYPERLINK("https://pbs.twimg.com/profile_images/1620950182052364292/CX6KF3le_normal.jpg")</f>
        <v>https://pbs.twimg.com/profile_images/1620950182052364292/CX6KF3le_normal.jpg</v>
      </c>
      <c r="G637" s="63"/>
      <c r="H637" s="67"/>
      <c r="I637" s="68"/>
      <c r="J637" s="68"/>
      <c r="K637" s="67" t="s">
        <v>10060</v>
      </c>
      <c r="L637" s="71"/>
      <c r="M637" s="72"/>
      <c r="N637" s="72"/>
      <c r="O637" s="73"/>
      <c r="P637" s="74"/>
      <c r="Q637" s="74"/>
      <c r="R637" s="81"/>
      <c r="S637" s="81"/>
      <c r="T637" s="81"/>
      <c r="U637" s="81"/>
      <c r="V637" s="48"/>
      <c r="W637" s="48"/>
      <c r="X637" s="48"/>
      <c r="Y637" s="48"/>
      <c r="Z637" s="47"/>
      <c r="AA637" s="69"/>
      <c r="AB637" s="69"/>
      <c r="AC637" s="70"/>
      <c r="AD637" t="s">
        <v>5749</v>
      </c>
      <c r="AE637" s="78" t="s">
        <v>6985</v>
      </c>
      <c r="AF637">
        <v>2022</v>
      </c>
      <c r="AG637">
        <v>1548</v>
      </c>
      <c r="AH637">
        <v>60268</v>
      </c>
      <c r="AI637">
        <v>38899</v>
      </c>
      <c r="AK637" t="s">
        <v>8147</v>
      </c>
      <c r="AL637" t="s">
        <v>9059</v>
      </c>
      <c r="AO637" s="76">
        <v>39884.804143518515</v>
      </c>
      <c r="AP637" s="79" t="str">
        <f>HYPERLINK("https://pbs.twimg.com/profile_banners/24011405/1675302615")</f>
        <v>https://pbs.twimg.com/profile_banners/24011405/1675302615</v>
      </c>
      <c r="AQ637" t="b">
        <v>0</v>
      </c>
      <c r="AR637" t="b">
        <v>0</v>
      </c>
      <c r="AS637" t="b">
        <v>0</v>
      </c>
      <c r="AU637">
        <v>9</v>
      </c>
      <c r="AV637" s="79" t="str">
        <f>HYPERLINK("https://abs.twimg.com/images/themes/theme1/bg.png")</f>
        <v>https://abs.twimg.com/images/themes/theme1/bg.png</v>
      </c>
      <c r="AW637" t="b">
        <v>0</v>
      </c>
      <c r="AX637" t="s">
        <v>9303</v>
      </c>
      <c r="AY637" s="79" t="str">
        <f>HYPERLINK("https://twitter.com/nagitokomaeba")</f>
        <v>https://twitter.com/nagitokomaeba</v>
      </c>
      <c r="AZ637" t="s">
        <v>66</v>
      </c>
      <c r="BA637" s="2"/>
    </row>
    <row r="638" spans="1:53" x14ac:dyDescent="0.45">
      <c r="A638" s="62" t="s">
        <v>697</v>
      </c>
      <c r="B638" s="63"/>
      <c r="C638" s="63"/>
      <c r="D638" s="64"/>
      <c r="E638" s="66"/>
      <c r="F638" s="98" t="str">
        <f>HYPERLINK("https://pbs.twimg.com/profile_images/1616406050181373952/bH8BbKIn_normal.jpg")</f>
        <v>https://pbs.twimg.com/profile_images/1616406050181373952/bH8BbKIn_normal.jpg</v>
      </c>
      <c r="G638" s="63"/>
      <c r="H638" s="67"/>
      <c r="I638" s="68"/>
      <c r="J638" s="68"/>
      <c r="K638" s="67" t="s">
        <v>10031</v>
      </c>
      <c r="L638" s="71"/>
      <c r="M638" s="72"/>
      <c r="N638" s="72"/>
      <c r="O638" s="73"/>
      <c r="P638" s="74"/>
      <c r="Q638" s="74"/>
      <c r="R638" s="81"/>
      <c r="S638" s="81"/>
      <c r="T638" s="81"/>
      <c r="U638" s="81"/>
      <c r="V638" s="48"/>
      <c r="W638" s="48"/>
      <c r="X638" s="48"/>
      <c r="Y638" s="48"/>
      <c r="Z638" s="47"/>
      <c r="AA638" s="69"/>
      <c r="AB638" s="69"/>
      <c r="AC638" s="70"/>
      <c r="AD638" t="s">
        <v>5721</v>
      </c>
      <c r="AE638" s="78" t="s">
        <v>6958</v>
      </c>
      <c r="AF638">
        <v>794</v>
      </c>
      <c r="AG638">
        <v>1543</v>
      </c>
      <c r="AH638">
        <v>75192</v>
      </c>
      <c r="AI638">
        <v>148013</v>
      </c>
      <c r="AK638" t="s">
        <v>8122</v>
      </c>
      <c r="AL638" t="s">
        <v>9049</v>
      </c>
      <c r="AM638" s="79" t="str">
        <f>HYPERLINK("https://t.co/FtC7xIoqu1")</f>
        <v>https://t.co/FtC7xIoqu1</v>
      </c>
      <c r="AO638" s="76">
        <v>42867.580810185187</v>
      </c>
      <c r="AP638" s="79" t="str">
        <f>HYPERLINK("https://pbs.twimg.com/profile_banners/863030088605945856/1671464089")</f>
        <v>https://pbs.twimg.com/profile_banners/863030088605945856/1671464089</v>
      </c>
      <c r="AQ638" t="b">
        <v>1</v>
      </c>
      <c r="AR638" t="b">
        <v>0</v>
      </c>
      <c r="AS638" t="b">
        <v>0</v>
      </c>
      <c r="AU638">
        <v>10</v>
      </c>
      <c r="AW638" t="b">
        <v>0</v>
      </c>
      <c r="AX638" t="s">
        <v>9303</v>
      </c>
      <c r="AY638" s="79" t="str">
        <f>HYPERLINK("https://twitter.com/mileymutual")</f>
        <v>https://twitter.com/mileymutual</v>
      </c>
      <c r="AZ638" t="s">
        <v>66</v>
      </c>
      <c r="BA638" s="2"/>
    </row>
    <row r="639" spans="1:53" x14ac:dyDescent="0.45">
      <c r="A639" s="62" t="s">
        <v>762</v>
      </c>
      <c r="B639" s="63"/>
      <c r="C639" s="63"/>
      <c r="D639" s="64"/>
      <c r="E639" s="66"/>
      <c r="F639" s="98" t="str">
        <f>HYPERLINK("https://pbs.twimg.com/profile_images/1613942340372107267/rsG5V_8H_normal.jpg")</f>
        <v>https://pbs.twimg.com/profile_images/1613942340372107267/rsG5V_8H_normal.jpg</v>
      </c>
      <c r="G639" s="63"/>
      <c r="H639" s="67"/>
      <c r="I639" s="68"/>
      <c r="J639" s="68"/>
      <c r="K639" s="67" t="s">
        <v>10117</v>
      </c>
      <c r="L639" s="71"/>
      <c r="M639" s="72"/>
      <c r="N639" s="72"/>
      <c r="O639" s="73"/>
      <c r="P639" s="74"/>
      <c r="Q639" s="74"/>
      <c r="R639" s="81"/>
      <c r="S639" s="81"/>
      <c r="T639" s="81"/>
      <c r="U639" s="81"/>
      <c r="V639" s="48"/>
      <c r="W639" s="48"/>
      <c r="X639" s="48"/>
      <c r="Y639" s="48"/>
      <c r="Z639" s="47"/>
      <c r="AA639" s="69"/>
      <c r="AB639" s="69"/>
      <c r="AC639" s="70"/>
      <c r="AD639" t="s">
        <v>5805</v>
      </c>
      <c r="AE639" s="78" t="s">
        <v>7035</v>
      </c>
      <c r="AF639">
        <v>839</v>
      </c>
      <c r="AG639">
        <v>1528</v>
      </c>
      <c r="AH639">
        <v>11803</v>
      </c>
      <c r="AI639">
        <v>115289</v>
      </c>
      <c r="AK639" t="s">
        <v>8200</v>
      </c>
      <c r="AL639" t="s">
        <v>9088</v>
      </c>
      <c r="AO639" s="76">
        <v>43973.801226851851</v>
      </c>
      <c r="AP639" s="79" t="str">
        <f>HYPERLINK("https://pbs.twimg.com/profile_banners/1263910907928870915/1673629522")</f>
        <v>https://pbs.twimg.com/profile_banners/1263910907928870915/1673629522</v>
      </c>
      <c r="AQ639" t="b">
        <v>1</v>
      </c>
      <c r="AR639" t="b">
        <v>0</v>
      </c>
      <c r="AS639" t="b">
        <v>0</v>
      </c>
      <c r="AU639">
        <v>8</v>
      </c>
      <c r="AW639" t="b">
        <v>0</v>
      </c>
      <c r="AX639" t="s">
        <v>9303</v>
      </c>
      <c r="AY639" s="79" t="str">
        <f>HYPERLINK("https://twitter.com/deadestpet")</f>
        <v>https://twitter.com/deadestpet</v>
      </c>
      <c r="AZ639" t="s">
        <v>66</v>
      </c>
      <c r="BA639" s="2"/>
    </row>
    <row r="640" spans="1:53" x14ac:dyDescent="0.45">
      <c r="A640" s="62" t="s">
        <v>616</v>
      </c>
      <c r="B640" s="63"/>
      <c r="C640" s="63"/>
      <c r="D640" s="64"/>
      <c r="E640" s="66"/>
      <c r="F640" s="98" t="str">
        <f>HYPERLINK("https://pbs.twimg.com/profile_images/378800000310848122/5f6b05a048162d6b264edef716ef3d2e_normal.jpeg")</f>
        <v>https://pbs.twimg.com/profile_images/378800000310848122/5f6b05a048162d6b264edef716ef3d2e_normal.jpeg</v>
      </c>
      <c r="G640" s="63"/>
      <c r="H640" s="67"/>
      <c r="I640" s="68"/>
      <c r="J640" s="68"/>
      <c r="K640" s="67" t="s">
        <v>9916</v>
      </c>
      <c r="L640" s="71"/>
      <c r="M640" s="72"/>
      <c r="N640" s="72"/>
      <c r="O640" s="73"/>
      <c r="P640" s="74"/>
      <c r="Q640" s="74"/>
      <c r="R640" s="81"/>
      <c r="S640" s="81"/>
      <c r="T640" s="81"/>
      <c r="U640" s="81"/>
      <c r="V640" s="48"/>
      <c r="W640" s="48"/>
      <c r="X640" s="48"/>
      <c r="Y640" s="48"/>
      <c r="Z640" s="47"/>
      <c r="AA640" s="69"/>
      <c r="AB640" s="69"/>
      <c r="AC640" s="70"/>
      <c r="AD640" t="s">
        <v>5607</v>
      </c>
      <c r="AE640" s="78" t="s">
        <v>6852</v>
      </c>
      <c r="AF640">
        <v>1401</v>
      </c>
      <c r="AG640">
        <v>1514</v>
      </c>
      <c r="AH640">
        <v>89707</v>
      </c>
      <c r="AI640">
        <v>584</v>
      </c>
      <c r="AK640" t="s">
        <v>8028</v>
      </c>
      <c r="AL640" t="s">
        <v>8996</v>
      </c>
      <c r="AM640" s="79" t="str">
        <f>HYPERLINK("https://t.co/z5hJIEdr4s")</f>
        <v>https://t.co/z5hJIEdr4s</v>
      </c>
      <c r="AO640" s="76">
        <v>40268.036944444444</v>
      </c>
      <c r="AP640" s="79" t="str">
        <f>HYPERLINK("https://pbs.twimg.com/profile_banners/128068150/1355722322")</f>
        <v>https://pbs.twimg.com/profile_banners/128068150/1355722322</v>
      </c>
      <c r="AQ640" t="b">
        <v>0</v>
      </c>
      <c r="AR640" t="b">
        <v>0</v>
      </c>
      <c r="AS640" t="b">
        <v>1</v>
      </c>
      <c r="AU640">
        <v>38</v>
      </c>
      <c r="AV640" s="79" t="str">
        <f>HYPERLINK("https://abs.twimg.com/images/themes/theme1/bg.png")</f>
        <v>https://abs.twimg.com/images/themes/theme1/bg.png</v>
      </c>
      <c r="AW640" t="b">
        <v>0</v>
      </c>
      <c r="AX640" t="s">
        <v>9303</v>
      </c>
      <c r="AY640" s="79" t="str">
        <f>HYPERLINK("https://twitter.com/11nightsinjune")</f>
        <v>https://twitter.com/11nightsinjune</v>
      </c>
      <c r="AZ640" t="s">
        <v>66</v>
      </c>
      <c r="BA640" s="2"/>
    </row>
    <row r="641" spans="1:53" x14ac:dyDescent="0.45">
      <c r="A641" s="62" t="s">
        <v>900</v>
      </c>
      <c r="B641" s="63"/>
      <c r="C641" s="63"/>
      <c r="D641" s="64"/>
      <c r="E641" s="66"/>
      <c r="F641" s="98" t="str">
        <f>HYPERLINK("https://pbs.twimg.com/profile_images/1619860308993908737/dD0mlgS9_normal.jpg")</f>
        <v>https://pbs.twimg.com/profile_images/1619860308993908737/dD0mlgS9_normal.jpg</v>
      </c>
      <c r="G641" s="63"/>
      <c r="H641" s="67"/>
      <c r="I641" s="68"/>
      <c r="J641" s="68"/>
      <c r="K641" s="67" t="s">
        <v>10318</v>
      </c>
      <c r="L641" s="71"/>
      <c r="M641" s="72"/>
      <c r="N641" s="72"/>
      <c r="O641" s="73"/>
      <c r="P641" s="74"/>
      <c r="Q641" s="74"/>
      <c r="R641" s="81"/>
      <c r="S641" s="81"/>
      <c r="T641" s="81"/>
      <c r="U641" s="81"/>
      <c r="V641" s="48"/>
      <c r="W641" s="48"/>
      <c r="X641" s="48"/>
      <c r="Y641" s="48"/>
      <c r="Z641" s="47"/>
      <c r="AA641" s="69"/>
      <c r="AB641" s="69"/>
      <c r="AC641" s="70"/>
      <c r="AD641" t="s">
        <v>6001</v>
      </c>
      <c r="AE641" s="78" t="s">
        <v>7209</v>
      </c>
      <c r="AF641">
        <v>94</v>
      </c>
      <c r="AG641">
        <v>1504</v>
      </c>
      <c r="AH641">
        <v>297982</v>
      </c>
      <c r="AI641">
        <v>1075077</v>
      </c>
      <c r="AK641" t="s">
        <v>8374</v>
      </c>
      <c r="AL641" t="s">
        <v>9172</v>
      </c>
      <c r="AO641" s="76">
        <v>41967.284733796296</v>
      </c>
      <c r="AP641" s="79" t="str">
        <f>HYPERLINK("https://pbs.twimg.com/profile_banners/2890326945/1675039768")</f>
        <v>https://pbs.twimg.com/profile_banners/2890326945/1675039768</v>
      </c>
      <c r="AQ641" t="b">
        <v>0</v>
      </c>
      <c r="AR641" t="b">
        <v>0</v>
      </c>
      <c r="AS641" t="b">
        <v>0</v>
      </c>
      <c r="AU641">
        <v>58</v>
      </c>
      <c r="AV641" s="79" t="str">
        <f>HYPERLINK("https://abs.twimg.com/images/themes/theme19/bg.gif")</f>
        <v>https://abs.twimg.com/images/themes/theme19/bg.gif</v>
      </c>
      <c r="AW641" t="b">
        <v>0</v>
      </c>
      <c r="AX641" t="s">
        <v>9303</v>
      </c>
      <c r="AY641" s="79" t="str">
        <f>HYPERLINK("https://twitter.com/o_aidee")</f>
        <v>https://twitter.com/o_aidee</v>
      </c>
      <c r="AZ641" t="s">
        <v>66</v>
      </c>
      <c r="BA641" s="2"/>
    </row>
    <row r="642" spans="1:53" x14ac:dyDescent="0.45">
      <c r="A642" s="62" t="s">
        <v>998</v>
      </c>
      <c r="B642" s="63"/>
      <c r="C642" s="63"/>
      <c r="D642" s="64"/>
      <c r="E642" s="66"/>
      <c r="F642" s="98" t="str">
        <f>HYPERLINK("https://pbs.twimg.com/profile_images/1615273782893228035/jo4qM2j0_normal.jpg")</f>
        <v>https://pbs.twimg.com/profile_images/1615273782893228035/jo4qM2j0_normal.jpg</v>
      </c>
      <c r="G642" s="63"/>
      <c r="H642" s="67"/>
      <c r="I642" s="68"/>
      <c r="J642" s="68"/>
      <c r="K642" s="67" t="s">
        <v>10473</v>
      </c>
      <c r="L642" s="71"/>
      <c r="M642" s="72"/>
      <c r="N642" s="72"/>
      <c r="O642" s="73"/>
      <c r="P642" s="74"/>
      <c r="Q642" s="74"/>
      <c r="R642" s="81"/>
      <c r="S642" s="81"/>
      <c r="T642" s="81"/>
      <c r="U642" s="81"/>
      <c r="V642" s="48"/>
      <c r="W642" s="48"/>
      <c r="X642" s="48"/>
      <c r="Y642" s="48"/>
      <c r="Z642" s="47"/>
      <c r="AA642" s="69"/>
      <c r="AB642" s="69"/>
      <c r="AC642" s="70"/>
      <c r="AD642" t="s">
        <v>6153</v>
      </c>
      <c r="AE642" s="78" t="s">
        <v>4794</v>
      </c>
      <c r="AF642">
        <v>1467</v>
      </c>
      <c r="AG642">
        <v>1493</v>
      </c>
      <c r="AH642">
        <v>3779</v>
      </c>
      <c r="AI642">
        <v>8998</v>
      </c>
      <c r="AK642" t="s">
        <v>8512</v>
      </c>
      <c r="AL642" t="s">
        <v>9231</v>
      </c>
      <c r="AO642" s="76">
        <v>42937.912789351853</v>
      </c>
      <c r="AP642" s="79" t="str">
        <f>HYPERLINK("https://pbs.twimg.com/profile_banners/888517543899549697/1674835738")</f>
        <v>https://pbs.twimg.com/profile_banners/888517543899549697/1674835738</v>
      </c>
      <c r="AQ642" t="b">
        <v>1</v>
      </c>
      <c r="AR642" t="b">
        <v>0</v>
      </c>
      <c r="AS642" t="b">
        <v>0</v>
      </c>
      <c r="AU642">
        <v>0</v>
      </c>
      <c r="AW642" t="b">
        <v>0</v>
      </c>
      <c r="AX642" t="s">
        <v>9303</v>
      </c>
      <c r="AY642" s="79" t="str">
        <f>HYPERLINK("https://twitter.com/deadpeul")</f>
        <v>https://twitter.com/deadpeul</v>
      </c>
      <c r="AZ642" t="s">
        <v>66</v>
      </c>
      <c r="BA642" s="2"/>
    </row>
    <row r="643" spans="1:53" x14ac:dyDescent="0.45">
      <c r="A643" s="62" t="s">
        <v>1060</v>
      </c>
      <c r="B643" s="63"/>
      <c r="C643" s="63"/>
      <c r="D643" s="64"/>
      <c r="E643" s="66"/>
      <c r="F643" s="98" t="str">
        <f>HYPERLINK("https://pbs.twimg.com/profile_images/1141946583946280960/QECu0FHO_normal.png")</f>
        <v>https://pbs.twimg.com/profile_images/1141946583946280960/QECu0FHO_normal.png</v>
      </c>
      <c r="G643" s="63"/>
      <c r="H643" s="67"/>
      <c r="I643" s="68"/>
      <c r="J643" s="68"/>
      <c r="K643" s="67" t="s">
        <v>10582</v>
      </c>
      <c r="L643" s="71"/>
      <c r="M643" s="72"/>
      <c r="N643" s="72"/>
      <c r="O643" s="73"/>
      <c r="P643" s="74"/>
      <c r="Q643" s="74"/>
      <c r="R643" s="81"/>
      <c r="S643" s="81"/>
      <c r="T643" s="81"/>
      <c r="U643" s="81"/>
      <c r="V643" s="48"/>
      <c r="W643" s="48"/>
      <c r="X643" s="48"/>
      <c r="Y643" s="48"/>
      <c r="Z643" s="47"/>
      <c r="AA643" s="69"/>
      <c r="AB643" s="69"/>
      <c r="AC643" s="70"/>
      <c r="AD643" t="s">
        <v>6260</v>
      </c>
      <c r="AE643" s="78" t="s">
        <v>4813</v>
      </c>
      <c r="AF643">
        <v>5019</v>
      </c>
      <c r="AG643">
        <v>1491</v>
      </c>
      <c r="AH643">
        <v>53636</v>
      </c>
      <c r="AI643">
        <v>136503</v>
      </c>
      <c r="AK643" t="s">
        <v>8606</v>
      </c>
      <c r="AL643" t="s">
        <v>8719</v>
      </c>
      <c r="AM643" s="79" t="str">
        <f>HYPERLINK("https://t.co/Uz9fxun45s")</f>
        <v>https://t.co/Uz9fxun45s</v>
      </c>
      <c r="AO643" s="76">
        <v>39832.227048611108</v>
      </c>
      <c r="AP643" s="79" t="str">
        <f>HYPERLINK("https://pbs.twimg.com/profile_banners/19173563/1366822592")</f>
        <v>https://pbs.twimg.com/profile_banners/19173563/1366822592</v>
      </c>
      <c r="AQ643" t="b">
        <v>1</v>
      </c>
      <c r="AR643" t="b">
        <v>0</v>
      </c>
      <c r="AS643" t="b">
        <v>0</v>
      </c>
      <c r="AU643">
        <v>7</v>
      </c>
      <c r="AV643" s="79" t="str">
        <f>HYPERLINK("https://abs.twimg.com/images/themes/theme1/bg.png")</f>
        <v>https://abs.twimg.com/images/themes/theme1/bg.png</v>
      </c>
      <c r="AW643" t="b">
        <v>0</v>
      </c>
      <c r="AX643" t="s">
        <v>9303</v>
      </c>
      <c r="AY643" s="79" t="str">
        <f>HYPERLINK("https://twitter.com/jboogiebrown")</f>
        <v>https://twitter.com/jboogiebrown</v>
      </c>
      <c r="AZ643" t="s">
        <v>66</v>
      </c>
      <c r="BA643" s="2"/>
    </row>
    <row r="644" spans="1:53" x14ac:dyDescent="0.45">
      <c r="A644" s="62" t="s">
        <v>533</v>
      </c>
      <c r="B644" s="63"/>
      <c r="C644" s="63"/>
      <c r="D644" s="64"/>
      <c r="E644" s="66"/>
      <c r="F644" s="98" t="str">
        <f>HYPERLINK("https://pbs.twimg.com/profile_images/1620164208150159365/h8nmL_KZ_normal.jpg")</f>
        <v>https://pbs.twimg.com/profile_images/1620164208150159365/h8nmL_KZ_normal.jpg</v>
      </c>
      <c r="G644" s="63"/>
      <c r="H644" s="67"/>
      <c r="I644" s="68"/>
      <c r="J644" s="68"/>
      <c r="K644" s="67" t="s">
        <v>9826</v>
      </c>
      <c r="L644" s="71"/>
      <c r="M644" s="72"/>
      <c r="N644" s="72"/>
      <c r="O644" s="73"/>
      <c r="P644" s="74"/>
      <c r="Q644" s="74"/>
      <c r="R644" s="81"/>
      <c r="S644" s="81"/>
      <c r="T644" s="81"/>
      <c r="U644" s="81"/>
      <c r="V644" s="48"/>
      <c r="W644" s="48"/>
      <c r="X644" s="48"/>
      <c r="Y644" s="48"/>
      <c r="Z644" s="47"/>
      <c r="AA644" s="69"/>
      <c r="AB644" s="69"/>
      <c r="AC644" s="70"/>
      <c r="AD644" t="s">
        <v>5517</v>
      </c>
      <c r="AE644" s="78" t="s">
        <v>6768</v>
      </c>
      <c r="AF644">
        <v>2470</v>
      </c>
      <c r="AG644">
        <v>1488</v>
      </c>
      <c r="AH644">
        <v>96136</v>
      </c>
      <c r="AI644">
        <v>176614</v>
      </c>
      <c r="AK644" t="s">
        <v>7943</v>
      </c>
      <c r="AL644" t="s">
        <v>8934</v>
      </c>
      <c r="AM644" s="79" t="str">
        <f>HYPERLINK("https://t.co/E1t822Uv9I")</f>
        <v>https://t.co/E1t822Uv9I</v>
      </c>
      <c r="AO644" s="76">
        <v>41025.59684027778</v>
      </c>
      <c r="AP644" s="79" t="str">
        <f>HYPERLINK("https://pbs.twimg.com/profile_banners/563759273/1673728927")</f>
        <v>https://pbs.twimg.com/profile_banners/563759273/1673728927</v>
      </c>
      <c r="AQ644" t="b">
        <v>0</v>
      </c>
      <c r="AR644" t="b">
        <v>0</v>
      </c>
      <c r="AS644" t="b">
        <v>0</v>
      </c>
      <c r="AU644">
        <v>3</v>
      </c>
      <c r="AV644" s="79" t="str">
        <f>HYPERLINK("https://abs.twimg.com/images/themes/theme1/bg.png")</f>
        <v>https://abs.twimg.com/images/themes/theme1/bg.png</v>
      </c>
      <c r="AW644" t="b">
        <v>0</v>
      </c>
      <c r="AX644" t="s">
        <v>9303</v>
      </c>
      <c r="AY644" s="79" t="str">
        <f>HYPERLINK("https://twitter.com/mzhydedark")</f>
        <v>https://twitter.com/mzhydedark</v>
      </c>
      <c r="AZ644" t="s">
        <v>66</v>
      </c>
      <c r="BA644" s="2"/>
    </row>
    <row r="645" spans="1:53" x14ac:dyDescent="0.45">
      <c r="A645" s="62" t="s">
        <v>1145</v>
      </c>
      <c r="B645" s="63"/>
      <c r="C645" s="63"/>
      <c r="D645" s="64"/>
      <c r="E645" s="66"/>
      <c r="F645" s="98" t="str">
        <f>HYPERLINK("https://pbs.twimg.com/profile_images/1576760452062789632/41nkp0VT_normal.jpg")</f>
        <v>https://pbs.twimg.com/profile_images/1576760452062789632/41nkp0VT_normal.jpg</v>
      </c>
      <c r="G645" s="63"/>
      <c r="H645" s="67"/>
      <c r="I645" s="68"/>
      <c r="J645" s="68"/>
      <c r="K645" s="67" t="s">
        <v>9371</v>
      </c>
      <c r="L645" s="71"/>
      <c r="M645" s="72"/>
      <c r="N645" s="72"/>
      <c r="O645" s="73"/>
      <c r="P645" s="74"/>
      <c r="Q645" s="74"/>
      <c r="R645" s="81"/>
      <c r="S645" s="81"/>
      <c r="T645" s="81"/>
      <c r="U645" s="81"/>
      <c r="V645" s="48"/>
      <c r="W645" s="48"/>
      <c r="X645" s="48"/>
      <c r="Y645" s="48"/>
      <c r="Z645" s="47"/>
      <c r="AA645" s="69"/>
      <c r="AB645" s="69"/>
      <c r="AC645" s="70"/>
      <c r="AD645" t="s">
        <v>5067</v>
      </c>
      <c r="AE645" s="78" t="s">
        <v>4651</v>
      </c>
      <c r="AF645">
        <v>3115</v>
      </c>
      <c r="AG645">
        <v>1480</v>
      </c>
      <c r="AH645">
        <v>28555</v>
      </c>
      <c r="AI645">
        <v>27389</v>
      </c>
      <c r="AK645" t="s">
        <v>7553</v>
      </c>
      <c r="AL645" t="s">
        <v>8721</v>
      </c>
      <c r="AM645" s="79" t="str">
        <f>HYPERLINK("https://t.co/aDVV7FLaxT")</f>
        <v>https://t.co/aDVV7FLaxT</v>
      </c>
      <c r="AO645" s="76">
        <v>44145.938634259262</v>
      </c>
      <c r="AP645" s="79" t="str">
        <f>HYPERLINK("https://pbs.twimg.com/profile_banners/1326291409587081218/1664761592")</f>
        <v>https://pbs.twimg.com/profile_banners/1326291409587081218/1664761592</v>
      </c>
      <c r="AQ645" t="b">
        <v>1</v>
      </c>
      <c r="AR645" t="b">
        <v>0</v>
      </c>
      <c r="AS645" t="b">
        <v>0</v>
      </c>
      <c r="AU645">
        <v>5</v>
      </c>
      <c r="AW645" t="b">
        <v>0</v>
      </c>
      <c r="AX645" t="s">
        <v>9303</v>
      </c>
      <c r="AY645" s="79" t="str">
        <f>HYPERLINK("https://twitter.com/uzlak69")</f>
        <v>https://twitter.com/uzlak69</v>
      </c>
      <c r="AZ645" t="s">
        <v>65</v>
      </c>
      <c r="BA645" s="2"/>
    </row>
    <row r="646" spans="1:53" x14ac:dyDescent="0.45">
      <c r="A646" s="62" t="s">
        <v>896</v>
      </c>
      <c r="B646" s="63"/>
      <c r="C646" s="63"/>
      <c r="D646" s="64"/>
      <c r="E646" s="66"/>
      <c r="F646" s="98" t="str">
        <f>HYPERLINK("https://pbs.twimg.com/profile_images/1157721285297881089/CNY5sAEG_normal.jpg")</f>
        <v>https://pbs.twimg.com/profile_images/1157721285297881089/CNY5sAEG_normal.jpg</v>
      </c>
      <c r="G646" s="63"/>
      <c r="H646" s="67"/>
      <c r="I646" s="68"/>
      <c r="J646" s="68"/>
      <c r="K646" s="67" t="s">
        <v>10312</v>
      </c>
      <c r="L646" s="71"/>
      <c r="M646" s="72"/>
      <c r="N646" s="72"/>
      <c r="O646" s="73"/>
      <c r="P646" s="74"/>
      <c r="Q646" s="74"/>
      <c r="R646" s="81"/>
      <c r="S646" s="81"/>
      <c r="T646" s="81"/>
      <c r="U646" s="81"/>
      <c r="V646" s="48"/>
      <c r="W646" s="48"/>
      <c r="X646" s="48"/>
      <c r="Y646" s="48"/>
      <c r="Z646" s="47"/>
      <c r="AA646" s="69"/>
      <c r="AB646" s="69"/>
      <c r="AC646" s="70"/>
      <c r="AD646" t="s">
        <v>5995</v>
      </c>
      <c r="AE646" s="78" t="s">
        <v>7205</v>
      </c>
      <c r="AF646">
        <v>983</v>
      </c>
      <c r="AG646">
        <v>1476</v>
      </c>
      <c r="AH646">
        <v>3286</v>
      </c>
      <c r="AI646">
        <v>3113</v>
      </c>
      <c r="AK646" t="s">
        <v>8369</v>
      </c>
      <c r="AL646" t="s">
        <v>9169</v>
      </c>
      <c r="AM646" s="79" t="str">
        <f>HYPERLINK("https://t.co/JR7lYaiVPn")</f>
        <v>https://t.co/JR7lYaiVPn</v>
      </c>
      <c r="AO646" s="76">
        <v>42041.714050925926</v>
      </c>
      <c r="AP646" s="79" t="str">
        <f>HYPERLINK("https://pbs.twimg.com/profile_banners/3021771052/1634431606")</f>
        <v>https://pbs.twimg.com/profile_banners/3021771052/1634431606</v>
      </c>
      <c r="AQ646" t="b">
        <v>0</v>
      </c>
      <c r="AR646" t="b">
        <v>0</v>
      </c>
      <c r="AS646" t="b">
        <v>1</v>
      </c>
      <c r="AU646">
        <v>6</v>
      </c>
      <c r="AV646" s="79" t="str">
        <f>HYPERLINK("https://abs.twimg.com/images/themes/theme1/bg.png")</f>
        <v>https://abs.twimg.com/images/themes/theme1/bg.png</v>
      </c>
      <c r="AW646" t="b">
        <v>0</v>
      </c>
      <c r="AX646" t="s">
        <v>9303</v>
      </c>
      <c r="AY646" s="79" t="str">
        <f>HYPERLINK("https://twitter.com/earwaxcandy")</f>
        <v>https://twitter.com/earwaxcandy</v>
      </c>
      <c r="AZ646" t="s">
        <v>66</v>
      </c>
      <c r="BA646" s="2"/>
    </row>
    <row r="647" spans="1:53" x14ac:dyDescent="0.45">
      <c r="A647" s="62" t="s">
        <v>925</v>
      </c>
      <c r="B647" s="63"/>
      <c r="C647" s="63"/>
      <c r="D647" s="64"/>
      <c r="E647" s="66"/>
      <c r="F647" s="98" t="str">
        <f>HYPERLINK("https://pbs.twimg.com/profile_images/1547450861164576768/Pfxs3w2l_normal.jpg")</f>
        <v>https://pbs.twimg.com/profile_images/1547450861164576768/Pfxs3w2l_normal.jpg</v>
      </c>
      <c r="G647" s="63"/>
      <c r="H647" s="67"/>
      <c r="I647" s="68"/>
      <c r="J647" s="68"/>
      <c r="K647" s="67" t="s">
        <v>10358</v>
      </c>
      <c r="L647" s="71"/>
      <c r="M647" s="72"/>
      <c r="N647" s="72"/>
      <c r="O647" s="73"/>
      <c r="P647" s="74"/>
      <c r="Q647" s="74"/>
      <c r="R647" s="81"/>
      <c r="S647" s="81"/>
      <c r="T647" s="81"/>
      <c r="U647" s="81"/>
      <c r="V647" s="48"/>
      <c r="W647" s="48"/>
      <c r="X647" s="48"/>
      <c r="Y647" s="48"/>
      <c r="Z647" s="47"/>
      <c r="AA647" s="69"/>
      <c r="AB647" s="69"/>
      <c r="AC647" s="70"/>
      <c r="AD647" t="s">
        <v>6041</v>
      </c>
      <c r="AE647" s="78" t="s">
        <v>7246</v>
      </c>
      <c r="AF647">
        <v>874</v>
      </c>
      <c r="AG647">
        <v>1474</v>
      </c>
      <c r="AH647">
        <v>223848</v>
      </c>
      <c r="AI647">
        <v>3262</v>
      </c>
      <c r="AK647" t="s">
        <v>8408</v>
      </c>
      <c r="AL647" t="s">
        <v>9188</v>
      </c>
      <c r="AO647" s="76">
        <v>40512.135324074072</v>
      </c>
      <c r="AP647" s="79" t="str">
        <f>HYPERLINK("https://pbs.twimg.com/profile_banners/221238241/1657776036")</f>
        <v>https://pbs.twimg.com/profile_banners/221238241/1657776036</v>
      </c>
      <c r="AQ647" t="b">
        <v>0</v>
      </c>
      <c r="AR647" t="b">
        <v>0</v>
      </c>
      <c r="AS647" t="b">
        <v>1</v>
      </c>
      <c r="AU647">
        <v>24</v>
      </c>
      <c r="AV647" s="79" t="str">
        <f>HYPERLINK("https://abs.twimg.com/images/themes/theme1/bg.png")</f>
        <v>https://abs.twimg.com/images/themes/theme1/bg.png</v>
      </c>
      <c r="AW647" t="b">
        <v>0</v>
      </c>
      <c r="AX647" t="s">
        <v>9303</v>
      </c>
      <c r="AY647" s="79" t="str">
        <f>HYPERLINK("https://twitter.com/smilingtomiley")</f>
        <v>https://twitter.com/smilingtomiley</v>
      </c>
      <c r="AZ647" t="s">
        <v>66</v>
      </c>
      <c r="BA647" s="2"/>
    </row>
    <row r="648" spans="1:53" x14ac:dyDescent="0.45">
      <c r="A648" s="62" t="s">
        <v>253</v>
      </c>
      <c r="B648" s="63"/>
      <c r="C648" s="63"/>
      <c r="D648" s="64"/>
      <c r="E648" s="66"/>
      <c r="F648" s="98" t="str">
        <f>HYPERLINK("https://pbs.twimg.com/profile_images/1620759722935865344/-ZjGSWta_normal.jpg")</f>
        <v>https://pbs.twimg.com/profile_images/1620759722935865344/-ZjGSWta_normal.jpg</v>
      </c>
      <c r="G648" s="63"/>
      <c r="H648" s="67"/>
      <c r="I648" s="68"/>
      <c r="J648" s="68"/>
      <c r="K648" s="67" t="s">
        <v>9394</v>
      </c>
      <c r="L648" s="71"/>
      <c r="M648" s="72"/>
      <c r="N648" s="72"/>
      <c r="O648" s="73"/>
      <c r="P648" s="74"/>
      <c r="Q648" s="74"/>
      <c r="R648" s="81"/>
      <c r="S648" s="81"/>
      <c r="T648" s="81"/>
      <c r="U648" s="81"/>
      <c r="V648" s="48"/>
      <c r="W648" s="48"/>
      <c r="X648" s="48"/>
      <c r="Y648" s="48"/>
      <c r="Z648" s="47"/>
      <c r="AA648" s="69"/>
      <c r="AB648" s="69"/>
      <c r="AC648" s="70"/>
      <c r="AD648" t="s">
        <v>5089</v>
      </c>
      <c r="AE648" s="78" t="s">
        <v>6400</v>
      </c>
      <c r="AF648">
        <v>349</v>
      </c>
      <c r="AG648">
        <v>1474</v>
      </c>
      <c r="AH648">
        <v>13730</v>
      </c>
      <c r="AI648">
        <v>11816</v>
      </c>
      <c r="AK648" t="s">
        <v>7573</v>
      </c>
      <c r="AL648" t="s">
        <v>8730</v>
      </c>
      <c r="AM648" s="79" t="str">
        <f>HYPERLINK("https://t.co/n6FxAI5PO3")</f>
        <v>https://t.co/n6FxAI5PO3</v>
      </c>
      <c r="AO648" s="76">
        <v>44681.315995370373</v>
      </c>
      <c r="AP648" s="79" t="str">
        <f>HYPERLINK("https://pbs.twimg.com/profile_banners/1520305657144287233/1674907393")</f>
        <v>https://pbs.twimg.com/profile_banners/1520305657144287233/1674907393</v>
      </c>
      <c r="AQ648" t="b">
        <v>1</v>
      </c>
      <c r="AR648" t="b">
        <v>0</v>
      </c>
      <c r="AS648" t="b">
        <v>0</v>
      </c>
      <c r="AU648">
        <v>0</v>
      </c>
      <c r="AW648" t="b">
        <v>0</v>
      </c>
      <c r="AX648" t="s">
        <v>9303</v>
      </c>
      <c r="AY648" s="79" t="str">
        <f>HYPERLINK("https://twitter.com/digicess")</f>
        <v>https://twitter.com/digicess</v>
      </c>
      <c r="AZ648" t="s">
        <v>66</v>
      </c>
      <c r="BA648" s="2"/>
    </row>
    <row r="649" spans="1:53" x14ac:dyDescent="0.45">
      <c r="A649" s="62" t="s">
        <v>803</v>
      </c>
      <c r="B649" s="63"/>
      <c r="C649" s="63"/>
      <c r="D649" s="64"/>
      <c r="E649" s="66"/>
      <c r="F649" s="98" t="str">
        <f>HYPERLINK("https://pbs.twimg.com/profile_images/1473759264158142484/4VTRT7JR_normal.jpg")</f>
        <v>https://pbs.twimg.com/profile_images/1473759264158142484/4VTRT7JR_normal.jpg</v>
      </c>
      <c r="G649" s="63"/>
      <c r="H649" s="67"/>
      <c r="I649" s="68"/>
      <c r="J649" s="68"/>
      <c r="K649" s="67" t="s">
        <v>10182</v>
      </c>
      <c r="L649" s="71"/>
      <c r="M649" s="72"/>
      <c r="N649" s="72"/>
      <c r="O649" s="73"/>
      <c r="P649" s="74"/>
      <c r="Q649" s="74"/>
      <c r="R649" s="81"/>
      <c r="S649" s="81"/>
      <c r="T649" s="81"/>
      <c r="U649" s="81"/>
      <c r="V649" s="48"/>
      <c r="W649" s="48"/>
      <c r="X649" s="48"/>
      <c r="Y649" s="48"/>
      <c r="Z649" s="47"/>
      <c r="AA649" s="69"/>
      <c r="AB649" s="69"/>
      <c r="AC649" s="70"/>
      <c r="AD649" t="s">
        <v>5867</v>
      </c>
      <c r="AE649" s="78" t="s">
        <v>7090</v>
      </c>
      <c r="AF649">
        <v>1998</v>
      </c>
      <c r="AG649">
        <v>1473</v>
      </c>
      <c r="AH649">
        <v>22662</v>
      </c>
      <c r="AI649">
        <v>2014</v>
      </c>
      <c r="AK649" t="s">
        <v>8255</v>
      </c>
      <c r="AL649" t="s">
        <v>4920</v>
      </c>
      <c r="AO649" s="76">
        <v>40319.685763888891</v>
      </c>
      <c r="AP649" s="79" t="str">
        <f>HYPERLINK("https://pbs.twimg.com/profile_banners/146511861/1648759845")</f>
        <v>https://pbs.twimg.com/profile_banners/146511861/1648759845</v>
      </c>
      <c r="AQ649" t="b">
        <v>0</v>
      </c>
      <c r="AR649" t="b">
        <v>0</v>
      </c>
      <c r="AS649" t="b">
        <v>1</v>
      </c>
      <c r="AU649">
        <v>24</v>
      </c>
      <c r="AV649" s="79" t="str">
        <f>HYPERLINK("https://abs.twimg.com/images/themes/theme9/bg.gif")</f>
        <v>https://abs.twimg.com/images/themes/theme9/bg.gif</v>
      </c>
      <c r="AW649" t="b">
        <v>0</v>
      </c>
      <c r="AX649" t="s">
        <v>9303</v>
      </c>
      <c r="AY649" s="79" t="str">
        <f>HYPERLINK("https://twitter.com/mstinamarii")</f>
        <v>https://twitter.com/mstinamarii</v>
      </c>
      <c r="AZ649" t="s">
        <v>66</v>
      </c>
      <c r="BA649" s="2"/>
    </row>
    <row r="650" spans="1:53" x14ac:dyDescent="0.45">
      <c r="A650" s="62" t="s">
        <v>987</v>
      </c>
      <c r="B650" s="63"/>
      <c r="C650" s="63"/>
      <c r="D650" s="64"/>
      <c r="E650" s="66"/>
      <c r="F650" s="98" t="str">
        <f>HYPERLINK("https://pbs.twimg.com/profile_images/1402289012522557446/_1y8b4hl_normal.jpg")</f>
        <v>https://pbs.twimg.com/profile_images/1402289012522557446/_1y8b4hl_normal.jpg</v>
      </c>
      <c r="G650" s="63"/>
      <c r="H650" s="67"/>
      <c r="I650" s="68"/>
      <c r="J650" s="68"/>
      <c r="K650" s="67" t="s">
        <v>10452</v>
      </c>
      <c r="L650" s="71"/>
      <c r="M650" s="72"/>
      <c r="N650" s="72"/>
      <c r="O650" s="73"/>
      <c r="P650" s="74"/>
      <c r="Q650" s="74"/>
      <c r="R650" s="81"/>
      <c r="S650" s="81"/>
      <c r="T650" s="81"/>
      <c r="U650" s="81"/>
      <c r="V650" s="48"/>
      <c r="W650" s="48"/>
      <c r="X650" s="48"/>
      <c r="Y650" s="48"/>
      <c r="Z650" s="47"/>
      <c r="AA650" s="69"/>
      <c r="AB650" s="69"/>
      <c r="AC650" s="70"/>
      <c r="AD650" t="s">
        <v>6133</v>
      </c>
      <c r="AE650" s="78" t="s">
        <v>7325</v>
      </c>
      <c r="AF650">
        <v>1595</v>
      </c>
      <c r="AG650">
        <v>1467</v>
      </c>
      <c r="AH650">
        <v>119860</v>
      </c>
      <c r="AI650">
        <v>231133</v>
      </c>
      <c r="AK650" t="s">
        <v>8492</v>
      </c>
      <c r="AL650" t="s">
        <v>9220</v>
      </c>
      <c r="AM650" s="79" t="str">
        <f>HYPERLINK("https://t.co/Kl8dTSsYLX")</f>
        <v>https://t.co/Kl8dTSsYLX</v>
      </c>
      <c r="AO650" s="76">
        <v>40950.08189814815</v>
      </c>
      <c r="AP650" s="79" t="str">
        <f>HYPERLINK("https://pbs.twimg.com/profile_banners/488979103/1651559654")</f>
        <v>https://pbs.twimg.com/profile_banners/488979103/1651559654</v>
      </c>
      <c r="AQ650" t="b">
        <v>0</v>
      </c>
      <c r="AR650" t="b">
        <v>0</v>
      </c>
      <c r="AS650" t="b">
        <v>1</v>
      </c>
      <c r="AU650">
        <v>3</v>
      </c>
      <c r="AV650" s="79" t="str">
        <f>HYPERLINK("https://abs.twimg.com/images/themes/theme1/bg.png")</f>
        <v>https://abs.twimg.com/images/themes/theme1/bg.png</v>
      </c>
      <c r="AW650" t="b">
        <v>0</v>
      </c>
      <c r="AX650" t="s">
        <v>9303</v>
      </c>
      <c r="AY650" s="79" t="str">
        <f>HYPERLINK("https://twitter.com/gobuxgal")</f>
        <v>https://twitter.com/gobuxgal</v>
      </c>
      <c r="AZ650" t="s">
        <v>66</v>
      </c>
      <c r="BA650" s="2"/>
    </row>
    <row r="651" spans="1:53" x14ac:dyDescent="0.45">
      <c r="A651" s="62" t="s">
        <v>1453</v>
      </c>
      <c r="B651" s="63"/>
      <c r="C651" s="63"/>
      <c r="D651" s="64"/>
      <c r="E651" s="66"/>
      <c r="F651" s="98" t="str">
        <f>HYPERLINK("https://pbs.twimg.com/profile_images/1363508931310608385/FzS_Do6i_normal.jpg")</f>
        <v>https://pbs.twimg.com/profile_images/1363508931310608385/FzS_Do6i_normal.jpg</v>
      </c>
      <c r="G651" s="63"/>
      <c r="H651" s="67"/>
      <c r="I651" s="68"/>
      <c r="J651" s="68"/>
      <c r="K651" s="67" t="s">
        <v>10390</v>
      </c>
      <c r="L651" s="71"/>
      <c r="M651" s="72"/>
      <c r="N651" s="72"/>
      <c r="O651" s="73"/>
      <c r="P651" s="74"/>
      <c r="Q651" s="74"/>
      <c r="R651" s="81"/>
      <c r="S651" s="81"/>
      <c r="T651" s="81"/>
      <c r="U651" s="81"/>
      <c r="V651" s="48"/>
      <c r="W651" s="48"/>
      <c r="X651" s="48"/>
      <c r="Y651" s="48"/>
      <c r="Z651" s="47"/>
      <c r="AA651" s="69"/>
      <c r="AB651" s="69"/>
      <c r="AC651" s="70"/>
      <c r="AD651" t="s">
        <v>6072</v>
      </c>
      <c r="AE651" s="78" t="s">
        <v>7274</v>
      </c>
      <c r="AF651">
        <v>1110</v>
      </c>
      <c r="AG651">
        <v>1465</v>
      </c>
      <c r="AH651">
        <v>3679</v>
      </c>
      <c r="AI651">
        <v>988</v>
      </c>
      <c r="AK651" t="s">
        <v>8436</v>
      </c>
      <c r="AL651" t="s">
        <v>8692</v>
      </c>
      <c r="AM651" s="79" t="str">
        <f>HYPERLINK("https://t.co/pzwOdxy8q3")</f>
        <v>https://t.co/pzwOdxy8q3</v>
      </c>
      <c r="AO651" s="76">
        <v>41443.728981481479</v>
      </c>
      <c r="AP651" s="79" t="str">
        <f>HYPERLINK("https://pbs.twimg.com/profile_banners/1528355600/1613920837")</f>
        <v>https://pbs.twimg.com/profile_banners/1528355600/1613920837</v>
      </c>
      <c r="AQ651" t="b">
        <v>0</v>
      </c>
      <c r="AR651" t="b">
        <v>0</v>
      </c>
      <c r="AS651" t="b">
        <v>1</v>
      </c>
      <c r="AU651">
        <v>7</v>
      </c>
      <c r="AV651" s="79" t="str">
        <f>HYPERLINK("https://abs.twimg.com/images/themes/theme1/bg.png")</f>
        <v>https://abs.twimg.com/images/themes/theme1/bg.png</v>
      </c>
      <c r="AW651" t="b">
        <v>0</v>
      </c>
      <c r="AX651" t="s">
        <v>9303</v>
      </c>
      <c r="AY651" s="79" t="str">
        <f>HYPERLINK("https://twitter.com/ralphsfamous")</f>
        <v>https://twitter.com/ralphsfamous</v>
      </c>
      <c r="AZ651" t="s">
        <v>65</v>
      </c>
      <c r="BA651" s="2"/>
    </row>
    <row r="652" spans="1:53" x14ac:dyDescent="0.45">
      <c r="A652" s="62" t="s">
        <v>634</v>
      </c>
      <c r="B652" s="63"/>
      <c r="C652" s="63"/>
      <c r="D652" s="64"/>
      <c r="E652" s="66"/>
      <c r="F652" s="98" t="str">
        <f>HYPERLINK("https://pbs.twimg.com/profile_images/1601381841960947712/BVmWyvEn_normal.jpg")</f>
        <v>https://pbs.twimg.com/profile_images/1601381841960947712/BVmWyvEn_normal.jpg</v>
      </c>
      <c r="G652" s="63"/>
      <c r="H652" s="67"/>
      <c r="I652" s="68"/>
      <c r="J652" s="68"/>
      <c r="K652" s="67" t="s">
        <v>9943</v>
      </c>
      <c r="L652" s="71"/>
      <c r="M652" s="72"/>
      <c r="N652" s="72"/>
      <c r="O652" s="73"/>
      <c r="P652" s="74"/>
      <c r="Q652" s="74"/>
      <c r="R652" s="81"/>
      <c r="S652" s="81"/>
      <c r="T652" s="81"/>
      <c r="U652" s="81"/>
      <c r="V652" s="48"/>
      <c r="W652" s="48"/>
      <c r="X652" s="48"/>
      <c r="Y652" s="48"/>
      <c r="Z652" s="47"/>
      <c r="AA652" s="69"/>
      <c r="AB652" s="69"/>
      <c r="AC652" s="70"/>
      <c r="AD652" t="s">
        <v>5634</v>
      </c>
      <c r="AE652" s="78" t="s">
        <v>6877</v>
      </c>
      <c r="AF652">
        <v>179</v>
      </c>
      <c r="AG652">
        <v>1463</v>
      </c>
      <c r="AH652">
        <v>2673</v>
      </c>
      <c r="AI652">
        <v>78</v>
      </c>
      <c r="AK652" t="s">
        <v>8049</v>
      </c>
      <c r="AL652" t="s">
        <v>8852</v>
      </c>
      <c r="AM652" s="79" t="str">
        <f>HYPERLINK("https://t.co/36ZPT9BNMD")</f>
        <v>https://t.co/36ZPT9BNMD</v>
      </c>
      <c r="AO652" s="76">
        <v>40313.932511574072</v>
      </c>
      <c r="AP652" s="79" t="str">
        <f>HYPERLINK("https://pbs.twimg.com/profile_banners/144300887/1598511183")</f>
        <v>https://pbs.twimg.com/profile_banners/144300887/1598511183</v>
      </c>
      <c r="AQ652" t="b">
        <v>0</v>
      </c>
      <c r="AR652" t="b">
        <v>0</v>
      </c>
      <c r="AS652" t="b">
        <v>1</v>
      </c>
      <c r="AU652">
        <v>2</v>
      </c>
      <c r="AV652" s="79" t="str">
        <f>HYPERLINK("https://abs.twimg.com/images/themes/theme9/bg.gif")</f>
        <v>https://abs.twimg.com/images/themes/theme9/bg.gif</v>
      </c>
      <c r="AW652" t="b">
        <v>1</v>
      </c>
      <c r="AX652" t="s">
        <v>9303</v>
      </c>
      <c r="AY652" s="79" t="str">
        <f>HYPERLINK("https://twitter.com/itsalejotinoco")</f>
        <v>https://twitter.com/itsalejotinoco</v>
      </c>
      <c r="AZ652" t="s">
        <v>66</v>
      </c>
      <c r="BA652" s="2"/>
    </row>
    <row r="653" spans="1:53" x14ac:dyDescent="0.45">
      <c r="A653" s="62" t="s">
        <v>1550</v>
      </c>
      <c r="B653" s="63"/>
      <c r="C653" s="63"/>
      <c r="D653" s="64"/>
      <c r="E653" s="66"/>
      <c r="F653" s="98" t="str">
        <f>HYPERLINK("https://pbs.twimg.com/profile_images/1468788999347183620/4vowtLHV_normal.jpg")</f>
        <v>https://pbs.twimg.com/profile_images/1468788999347183620/4vowtLHV_normal.jpg</v>
      </c>
      <c r="G653" s="63"/>
      <c r="H653" s="67"/>
      <c r="I653" s="68"/>
      <c r="J653" s="68"/>
      <c r="K653" s="67" t="s">
        <v>10611</v>
      </c>
      <c r="L653" s="71"/>
      <c r="M653" s="72"/>
      <c r="N653" s="72"/>
      <c r="O653" s="73"/>
      <c r="P653" s="74"/>
      <c r="Q653" s="74"/>
      <c r="R653" s="81"/>
      <c r="S653" s="81"/>
      <c r="T653" s="81"/>
      <c r="U653" s="81"/>
      <c r="V653" s="48"/>
      <c r="W653" s="48"/>
      <c r="X653" s="48"/>
      <c r="Y653" s="48"/>
      <c r="Z653" s="47"/>
      <c r="AA653" s="69"/>
      <c r="AB653" s="69"/>
      <c r="AC653" s="70"/>
      <c r="AD653" t="s">
        <v>6287</v>
      </c>
      <c r="AE653" s="78" t="s">
        <v>7452</v>
      </c>
      <c r="AF653">
        <v>655</v>
      </c>
      <c r="AG653">
        <v>1452</v>
      </c>
      <c r="AH653">
        <v>2362</v>
      </c>
      <c r="AI653">
        <v>147</v>
      </c>
      <c r="AL653" t="s">
        <v>9070</v>
      </c>
      <c r="AO653" s="76">
        <v>44539.148738425924</v>
      </c>
      <c r="AP653" s="79" t="str">
        <f>HYPERLINK("https://pbs.twimg.com/profile_banners/1468785905381134342/1659632548")</f>
        <v>https://pbs.twimg.com/profile_banners/1468785905381134342/1659632548</v>
      </c>
      <c r="AQ653" t="b">
        <v>1</v>
      </c>
      <c r="AR653" t="b">
        <v>0</v>
      </c>
      <c r="AS653" t="b">
        <v>0</v>
      </c>
      <c r="AU653">
        <v>10</v>
      </c>
      <c r="AW653" t="b">
        <v>0</v>
      </c>
      <c r="AX653" t="s">
        <v>9303</v>
      </c>
      <c r="AY653" s="79" t="str">
        <f>HYPERLINK("https://twitter.com/moms4libloudoun")</f>
        <v>https://twitter.com/moms4libloudoun</v>
      </c>
      <c r="AZ653" t="s">
        <v>65</v>
      </c>
      <c r="BA653" s="2"/>
    </row>
    <row r="654" spans="1:53" x14ac:dyDescent="0.45">
      <c r="A654" s="62" t="s">
        <v>1237</v>
      </c>
      <c r="B654" s="63"/>
      <c r="C654" s="63"/>
      <c r="D654" s="64"/>
      <c r="E654" s="66"/>
      <c r="F654" s="98" t="str">
        <f>HYPERLINK("https://pbs.twimg.com/profile_images/1534167458998890497/k0VWAxLy_normal.jpg")</f>
        <v>https://pbs.twimg.com/profile_images/1534167458998890497/k0VWAxLy_normal.jpg</v>
      </c>
      <c r="G654" s="63"/>
      <c r="H654" s="67"/>
      <c r="I654" s="68"/>
      <c r="J654" s="68"/>
      <c r="K654" s="67" t="s">
        <v>9590</v>
      </c>
      <c r="L654" s="71"/>
      <c r="M654" s="72"/>
      <c r="N654" s="72"/>
      <c r="O654" s="73"/>
      <c r="P654" s="74"/>
      <c r="Q654" s="74"/>
      <c r="R654" s="81"/>
      <c r="S654" s="81"/>
      <c r="T654" s="81"/>
      <c r="U654" s="81"/>
      <c r="V654" s="48"/>
      <c r="W654" s="48"/>
      <c r="X654" s="48"/>
      <c r="Y654" s="48"/>
      <c r="Z654" s="47"/>
      <c r="AA654" s="69"/>
      <c r="AB654" s="69"/>
      <c r="AC654" s="70"/>
      <c r="AD654" t="s">
        <v>5283</v>
      </c>
      <c r="AE654" s="78" t="s">
        <v>6561</v>
      </c>
      <c r="AF654">
        <v>916</v>
      </c>
      <c r="AG654">
        <v>1449</v>
      </c>
      <c r="AH654">
        <v>1428</v>
      </c>
      <c r="AI654">
        <v>609</v>
      </c>
      <c r="AK654" t="s">
        <v>7742</v>
      </c>
      <c r="AL654" t="s">
        <v>8826</v>
      </c>
      <c r="AM654" s="79" t="str">
        <f>HYPERLINK("https://t.co/L53UjllseJ")</f>
        <v>https://t.co/L53UjllseJ</v>
      </c>
      <c r="AO654" s="76">
        <v>41236.58253472222</v>
      </c>
      <c r="AP654" s="79" t="str">
        <f>HYPERLINK("https://pbs.twimg.com/profile_banners/966178621/1649936303")</f>
        <v>https://pbs.twimg.com/profile_banners/966178621/1649936303</v>
      </c>
      <c r="AQ654" t="b">
        <v>0</v>
      </c>
      <c r="AR654" t="b">
        <v>0</v>
      </c>
      <c r="AS654" t="b">
        <v>0</v>
      </c>
      <c r="AU654">
        <v>76</v>
      </c>
      <c r="AV654" s="79" t="str">
        <f>HYPERLINK("https://abs.twimg.com/images/themes/theme1/bg.png")</f>
        <v>https://abs.twimg.com/images/themes/theme1/bg.png</v>
      </c>
      <c r="AW654" t="b">
        <v>0</v>
      </c>
      <c r="AX654" t="s">
        <v>9303</v>
      </c>
      <c r="AY654" s="79" t="str">
        <f>HYPERLINK("https://twitter.com/volumental")</f>
        <v>https://twitter.com/volumental</v>
      </c>
      <c r="AZ654" t="s">
        <v>65</v>
      </c>
      <c r="BA654" s="2"/>
    </row>
    <row r="655" spans="1:53" x14ac:dyDescent="0.45">
      <c r="A655" s="62" t="s">
        <v>1149</v>
      </c>
      <c r="B655" s="63"/>
      <c r="C655" s="63"/>
      <c r="D655" s="64"/>
      <c r="E655" s="66"/>
      <c r="F655" s="98" t="str">
        <f>HYPERLINK("https://pbs.twimg.com/profile_images/1609681948154159106/6htTTOfI_normal.jpg")</f>
        <v>https://pbs.twimg.com/profile_images/1609681948154159106/6htTTOfI_normal.jpg</v>
      </c>
      <c r="G655" s="63"/>
      <c r="H655" s="67"/>
      <c r="I655" s="68"/>
      <c r="J655" s="68"/>
      <c r="K655" s="67" t="s">
        <v>9381</v>
      </c>
      <c r="L655" s="71"/>
      <c r="M655" s="72"/>
      <c r="N655" s="72"/>
      <c r="O655" s="73"/>
      <c r="P655" s="74"/>
      <c r="Q655" s="74"/>
      <c r="R655" s="81"/>
      <c r="S655" s="81"/>
      <c r="T655" s="81"/>
      <c r="U655" s="81"/>
      <c r="V655" s="48"/>
      <c r="W655" s="48"/>
      <c r="X655" s="48"/>
      <c r="Y655" s="48"/>
      <c r="Z655" s="47"/>
      <c r="AA655" s="69"/>
      <c r="AB655" s="69"/>
      <c r="AC655" s="70"/>
      <c r="AD655" t="s">
        <v>5077</v>
      </c>
      <c r="AE655" s="78" t="s">
        <v>6389</v>
      </c>
      <c r="AF655">
        <v>467</v>
      </c>
      <c r="AG655">
        <v>1448</v>
      </c>
      <c r="AH655">
        <v>4347</v>
      </c>
      <c r="AI655">
        <v>10085</v>
      </c>
      <c r="AK655" t="s">
        <v>7562</v>
      </c>
      <c r="AM655" s="79" t="str">
        <f>HYPERLINK("https://t.co/WmBepTAAo4")</f>
        <v>https://t.co/WmBepTAAo4</v>
      </c>
      <c r="AO655" s="76">
        <v>44623.812905092593</v>
      </c>
      <c r="AP655" s="79" t="str">
        <f>HYPERLINK("https://pbs.twimg.com/profile_banners/1499467262981550080/1650118949")</f>
        <v>https://pbs.twimg.com/profile_banners/1499467262981550080/1650118949</v>
      </c>
      <c r="AQ655" t="b">
        <v>1</v>
      </c>
      <c r="AR655" t="b">
        <v>0</v>
      </c>
      <c r="AS655" t="b">
        <v>1</v>
      </c>
      <c r="AU655">
        <v>1</v>
      </c>
      <c r="AW655" t="b">
        <v>0</v>
      </c>
      <c r="AX655" t="s">
        <v>9303</v>
      </c>
      <c r="AY655" s="79" t="str">
        <f>HYPERLINK("https://twitter.com/pixiemoncards")</f>
        <v>https://twitter.com/pixiemoncards</v>
      </c>
      <c r="AZ655" t="s">
        <v>65</v>
      </c>
      <c r="BA655" s="2"/>
    </row>
    <row r="656" spans="1:53" x14ac:dyDescent="0.45">
      <c r="A656" s="62" t="s">
        <v>819</v>
      </c>
      <c r="B656" s="63"/>
      <c r="C656" s="63"/>
      <c r="D656" s="64"/>
      <c r="E656" s="66"/>
      <c r="F656" s="98" t="str">
        <f>HYPERLINK("https://pbs.twimg.com/profile_images/1339006912185167873/eotrHrGo_normal.jpg")</f>
        <v>https://pbs.twimg.com/profile_images/1339006912185167873/eotrHrGo_normal.jpg</v>
      </c>
      <c r="G656" s="63"/>
      <c r="H656" s="67"/>
      <c r="I656" s="68"/>
      <c r="J656" s="68"/>
      <c r="K656" s="67" t="s">
        <v>10204</v>
      </c>
      <c r="L656" s="71"/>
      <c r="M656" s="72"/>
      <c r="N656" s="72"/>
      <c r="O656" s="73"/>
      <c r="P656" s="74"/>
      <c r="Q656" s="74"/>
      <c r="R656" s="81"/>
      <c r="S656" s="81"/>
      <c r="T656" s="81"/>
      <c r="U656" s="81"/>
      <c r="V656" s="48"/>
      <c r="W656" s="48"/>
      <c r="X656" s="48"/>
      <c r="Y656" s="48"/>
      <c r="Z656" s="47"/>
      <c r="AA656" s="69"/>
      <c r="AB656" s="69"/>
      <c r="AC656" s="70"/>
      <c r="AD656" t="s">
        <v>5888</v>
      </c>
      <c r="AE656" s="78" t="s">
        <v>7107</v>
      </c>
      <c r="AF656">
        <v>698</v>
      </c>
      <c r="AG656">
        <v>1425</v>
      </c>
      <c r="AH656">
        <v>64901</v>
      </c>
      <c r="AI656">
        <v>64912</v>
      </c>
      <c r="AK656" t="s">
        <v>8274</v>
      </c>
      <c r="AL656" t="s">
        <v>8859</v>
      </c>
      <c r="AM656" s="79" t="str">
        <f>HYPERLINK("https://t.co/QkYCZuQnNU")</f>
        <v>https://t.co/QkYCZuQnNU</v>
      </c>
      <c r="AO656" s="76">
        <v>40661.056319444448</v>
      </c>
      <c r="AP656" s="79" t="str">
        <f>HYPERLINK("https://pbs.twimg.com/profile_banners/289105306/1548100375")</f>
        <v>https://pbs.twimg.com/profile_banners/289105306/1548100375</v>
      </c>
      <c r="AQ656" t="b">
        <v>0</v>
      </c>
      <c r="AR656" t="b">
        <v>0</v>
      </c>
      <c r="AS656" t="b">
        <v>1</v>
      </c>
      <c r="AU656">
        <v>34</v>
      </c>
      <c r="AV656" s="79" t="str">
        <f>HYPERLINK("https://abs.twimg.com/images/themes/theme5/bg.gif")</f>
        <v>https://abs.twimg.com/images/themes/theme5/bg.gif</v>
      </c>
      <c r="AW656" t="b">
        <v>1</v>
      </c>
      <c r="AX656" t="s">
        <v>9303</v>
      </c>
      <c r="AY656" s="79" t="str">
        <f>HYPERLINK("https://twitter.com/jaredcruzaedo")</f>
        <v>https://twitter.com/jaredcruzaedo</v>
      </c>
      <c r="AZ656" t="s">
        <v>66</v>
      </c>
      <c r="BA656" s="2"/>
    </row>
    <row r="657" spans="1:53" x14ac:dyDescent="0.45">
      <c r="A657" s="62" t="s">
        <v>835</v>
      </c>
      <c r="B657" s="63"/>
      <c r="C657" s="63"/>
      <c r="D657" s="64"/>
      <c r="E657" s="66"/>
      <c r="F657" s="98" t="str">
        <f>HYPERLINK("https://pbs.twimg.com/profile_images/1618644759739858944/T6hLVGV1_normal.jpg")</f>
        <v>https://pbs.twimg.com/profile_images/1618644759739858944/T6hLVGV1_normal.jpg</v>
      </c>
      <c r="G657" s="63"/>
      <c r="H657" s="67"/>
      <c r="I657" s="68"/>
      <c r="J657" s="68"/>
      <c r="K657" s="67" t="s">
        <v>10228</v>
      </c>
      <c r="L657" s="71"/>
      <c r="M657" s="72"/>
      <c r="N657" s="72"/>
      <c r="O657" s="73"/>
      <c r="P657" s="74"/>
      <c r="Q657" s="74"/>
      <c r="R657" s="81"/>
      <c r="S657" s="81"/>
      <c r="T657" s="81"/>
      <c r="U657" s="81"/>
      <c r="V657" s="48"/>
      <c r="W657" s="48"/>
      <c r="X657" s="48"/>
      <c r="Y657" s="48"/>
      <c r="Z657" s="47"/>
      <c r="AA657" s="69"/>
      <c r="AB657" s="69"/>
      <c r="AC657" s="70"/>
      <c r="AD657" t="s">
        <v>5912</v>
      </c>
      <c r="AE657" s="78" t="s">
        <v>7129</v>
      </c>
      <c r="AF657">
        <v>706</v>
      </c>
      <c r="AG657">
        <v>1424</v>
      </c>
      <c r="AH657">
        <v>44870</v>
      </c>
      <c r="AI657">
        <v>93884</v>
      </c>
      <c r="AK657" t="s">
        <v>8295</v>
      </c>
      <c r="AL657" t="s">
        <v>5720</v>
      </c>
      <c r="AM657" s="79" t="str">
        <f>HYPERLINK("https://t.co/ytWQinhLHO")</f>
        <v>https://t.co/ytWQinhLHO</v>
      </c>
      <c r="AO657" s="76">
        <v>41760.606817129628</v>
      </c>
      <c r="AP657" s="79" t="str">
        <f>HYPERLINK("https://pbs.twimg.com/profile_banners/2472606763/1674999002")</f>
        <v>https://pbs.twimg.com/profile_banners/2472606763/1674999002</v>
      </c>
      <c r="AQ657" t="b">
        <v>0</v>
      </c>
      <c r="AR657" t="b">
        <v>0</v>
      </c>
      <c r="AS657" t="b">
        <v>0</v>
      </c>
      <c r="AU657">
        <v>22</v>
      </c>
      <c r="AV657" s="79" t="str">
        <f>HYPERLINK("https://abs.twimg.com/images/themes/theme7/bg.gif")</f>
        <v>https://abs.twimg.com/images/themes/theme7/bg.gif</v>
      </c>
      <c r="AW657" t="b">
        <v>0</v>
      </c>
      <c r="AX657" t="s">
        <v>9303</v>
      </c>
      <c r="AY657" s="79" t="str">
        <f>HYPERLINK("https://twitter.com/cattitude_girl")</f>
        <v>https://twitter.com/cattitude_girl</v>
      </c>
      <c r="AZ657" t="s">
        <v>66</v>
      </c>
      <c r="BA657" s="2"/>
    </row>
    <row r="658" spans="1:53" x14ac:dyDescent="0.45">
      <c r="A658" s="62" t="s">
        <v>1186</v>
      </c>
      <c r="B658" s="63"/>
      <c r="C658" s="63"/>
      <c r="D658" s="64"/>
      <c r="E658" s="66"/>
      <c r="F658" s="98" t="str">
        <f>HYPERLINK("https://pbs.twimg.com/profile_images/1521116477033566208/1eRFCKOH_normal.jpg")</f>
        <v>https://pbs.twimg.com/profile_images/1521116477033566208/1eRFCKOH_normal.jpg</v>
      </c>
      <c r="G658" s="63"/>
      <c r="H658" s="67"/>
      <c r="I658" s="68"/>
      <c r="J658" s="68"/>
      <c r="K658" s="67" t="s">
        <v>9474</v>
      </c>
      <c r="L658" s="71"/>
      <c r="M658" s="72"/>
      <c r="N658" s="72"/>
      <c r="O658" s="73"/>
      <c r="P658" s="74"/>
      <c r="Q658" s="74"/>
      <c r="R658" s="81"/>
      <c r="S658" s="81"/>
      <c r="T658" s="81"/>
      <c r="U658" s="81"/>
      <c r="V658" s="48"/>
      <c r="W658" s="48"/>
      <c r="X658" s="48"/>
      <c r="Y658" s="48"/>
      <c r="Z658" s="47"/>
      <c r="AA658" s="69"/>
      <c r="AB658" s="69"/>
      <c r="AC658" s="70"/>
      <c r="AD658" t="s">
        <v>5168</v>
      </c>
      <c r="AE658" s="78" t="s">
        <v>4668</v>
      </c>
      <c r="AF658">
        <v>896</v>
      </c>
      <c r="AG658">
        <v>1422</v>
      </c>
      <c r="AH658">
        <v>6911</v>
      </c>
      <c r="AI658">
        <v>19195</v>
      </c>
      <c r="AK658" t="s">
        <v>7639</v>
      </c>
      <c r="AO658" s="76">
        <v>44680.656793981485</v>
      </c>
      <c r="AP658" s="79" t="str">
        <f>HYPERLINK("https://pbs.twimg.com/profile_banners/1520066723671646221/1657127216")</f>
        <v>https://pbs.twimg.com/profile_banners/1520066723671646221/1657127216</v>
      </c>
      <c r="AQ658" t="b">
        <v>1</v>
      </c>
      <c r="AR658" t="b">
        <v>0</v>
      </c>
      <c r="AS658" t="b">
        <v>0</v>
      </c>
      <c r="AU658">
        <v>4</v>
      </c>
      <c r="AW658" t="b">
        <v>0</v>
      </c>
      <c r="AX658" t="s">
        <v>9303</v>
      </c>
      <c r="AY658" s="79" t="str">
        <f>HYPERLINK("https://twitter.com/pegbundymyhero")</f>
        <v>https://twitter.com/pegbundymyhero</v>
      </c>
      <c r="AZ658" t="s">
        <v>65</v>
      </c>
      <c r="BA658" s="2"/>
    </row>
    <row r="659" spans="1:53" x14ac:dyDescent="0.45">
      <c r="A659" s="62" t="s">
        <v>514</v>
      </c>
      <c r="B659" s="63"/>
      <c r="C659" s="63"/>
      <c r="D659" s="64"/>
      <c r="E659" s="66"/>
      <c r="F659" s="98" t="str">
        <f>HYPERLINK("https://pbs.twimg.com/profile_images/1600195538577928192/iXRe65jg_normal.jpg")</f>
        <v>https://pbs.twimg.com/profile_images/1600195538577928192/iXRe65jg_normal.jpg</v>
      </c>
      <c r="G659" s="63"/>
      <c r="H659" s="67"/>
      <c r="I659" s="68"/>
      <c r="J659" s="68"/>
      <c r="K659" s="67" t="s">
        <v>9800</v>
      </c>
      <c r="L659" s="71"/>
      <c r="M659" s="72"/>
      <c r="N659" s="72"/>
      <c r="O659" s="73"/>
      <c r="P659" s="74"/>
      <c r="Q659" s="74"/>
      <c r="R659" s="81"/>
      <c r="S659" s="81"/>
      <c r="T659" s="81"/>
      <c r="U659" s="81"/>
      <c r="V659" s="48"/>
      <c r="W659" s="48"/>
      <c r="X659" s="48"/>
      <c r="Y659" s="48"/>
      <c r="Z659" s="47"/>
      <c r="AA659" s="69"/>
      <c r="AB659" s="69"/>
      <c r="AC659" s="70"/>
      <c r="AD659" t="s">
        <v>5491</v>
      </c>
      <c r="AE659" s="78" t="s">
        <v>6748</v>
      </c>
      <c r="AF659">
        <v>809</v>
      </c>
      <c r="AG659">
        <v>1415</v>
      </c>
      <c r="AH659">
        <v>657</v>
      </c>
      <c r="AI659">
        <v>702</v>
      </c>
      <c r="AK659" t="s">
        <v>7921</v>
      </c>
      <c r="AL659" t="s">
        <v>4920</v>
      </c>
      <c r="AM659" s="79" t="str">
        <f>HYPERLINK("https://t.co/WevPYQdmT9")</f>
        <v>https://t.co/WevPYQdmT9</v>
      </c>
      <c r="AO659" s="76">
        <v>44736.119733796295</v>
      </c>
      <c r="AP659" s="79" t="str">
        <f>HYPERLINK("https://pbs.twimg.com/profile_banners/1540165861717069824/1664912167")</f>
        <v>https://pbs.twimg.com/profile_banners/1540165861717069824/1664912167</v>
      </c>
      <c r="AQ659" t="b">
        <v>1</v>
      </c>
      <c r="AR659" t="b">
        <v>0</v>
      </c>
      <c r="AS659" t="b">
        <v>0</v>
      </c>
      <c r="AU659">
        <v>7</v>
      </c>
      <c r="AW659" t="b">
        <v>0</v>
      </c>
      <c r="AX659" t="s">
        <v>9303</v>
      </c>
      <c r="AY659" s="79" t="str">
        <f>HYPERLINK("https://twitter.com/reformufcw")</f>
        <v>https://twitter.com/reformufcw</v>
      </c>
      <c r="AZ659" t="s">
        <v>66</v>
      </c>
      <c r="BA659" s="2"/>
    </row>
    <row r="660" spans="1:53" x14ac:dyDescent="0.45">
      <c r="A660" s="62" t="s">
        <v>418</v>
      </c>
      <c r="B660" s="63"/>
      <c r="C660" s="63"/>
      <c r="D660" s="64"/>
      <c r="E660" s="66"/>
      <c r="F660" s="98" t="str">
        <f>HYPERLINK("https://pbs.twimg.com/profile_images/1384573721642508288/aTR44z9v_normal.jpg")</f>
        <v>https://pbs.twimg.com/profile_images/1384573721642508288/aTR44z9v_normal.jpg</v>
      </c>
      <c r="G660" s="63"/>
      <c r="H660" s="67"/>
      <c r="I660" s="68"/>
      <c r="J660" s="68"/>
      <c r="K660" s="67" t="s">
        <v>9669</v>
      </c>
      <c r="L660" s="71"/>
      <c r="M660" s="72"/>
      <c r="N660" s="72"/>
      <c r="O660" s="73"/>
      <c r="P660" s="74"/>
      <c r="Q660" s="74"/>
      <c r="R660" s="81"/>
      <c r="S660" s="81"/>
      <c r="T660" s="81"/>
      <c r="U660" s="81"/>
      <c r="V660" s="48"/>
      <c r="W660" s="48"/>
      <c r="X660" s="48"/>
      <c r="Y660" s="48"/>
      <c r="Z660" s="47"/>
      <c r="AA660" s="69"/>
      <c r="AB660" s="69"/>
      <c r="AC660" s="70"/>
      <c r="AD660" t="s">
        <v>5362</v>
      </c>
      <c r="AE660" s="78" t="s">
        <v>6636</v>
      </c>
      <c r="AF660">
        <v>5005</v>
      </c>
      <c r="AG660">
        <v>1414</v>
      </c>
      <c r="AH660">
        <v>87812</v>
      </c>
      <c r="AI660">
        <v>117135</v>
      </c>
      <c r="AK660" t="s">
        <v>7812</v>
      </c>
      <c r="AO660" s="76">
        <v>43123.820868055554</v>
      </c>
      <c r="AP660" s="79" t="str">
        <f>HYPERLINK("https://pbs.twimg.com/profile_banners/955888376405782529/1658395739")</f>
        <v>https://pbs.twimg.com/profile_banners/955888376405782529/1658395739</v>
      </c>
      <c r="AQ660" t="b">
        <v>1</v>
      </c>
      <c r="AR660" t="b">
        <v>0</v>
      </c>
      <c r="AS660" t="b">
        <v>0</v>
      </c>
      <c r="AU660">
        <v>3</v>
      </c>
      <c r="AW660" t="b">
        <v>0</v>
      </c>
      <c r="AX660" t="s">
        <v>9303</v>
      </c>
      <c r="AY660" s="79" t="str">
        <f>HYPERLINK("https://twitter.com/myrus69")</f>
        <v>https://twitter.com/myrus69</v>
      </c>
      <c r="AZ660" t="s">
        <v>66</v>
      </c>
      <c r="BA660" s="2"/>
    </row>
    <row r="661" spans="1:53" x14ac:dyDescent="0.45">
      <c r="A661" s="62" t="s">
        <v>506</v>
      </c>
      <c r="B661" s="63"/>
      <c r="C661" s="63"/>
      <c r="D661" s="64"/>
      <c r="E661" s="66"/>
      <c r="F661" s="98" t="str">
        <f>HYPERLINK("https://pbs.twimg.com/profile_images/1353832566277742594/KBiRAX8x_normal.jpg")</f>
        <v>https://pbs.twimg.com/profile_images/1353832566277742594/KBiRAX8x_normal.jpg</v>
      </c>
      <c r="G661" s="63"/>
      <c r="H661" s="67"/>
      <c r="I661" s="68"/>
      <c r="J661" s="68"/>
      <c r="K661" s="67" t="s">
        <v>9784</v>
      </c>
      <c r="L661" s="71"/>
      <c r="M661" s="72"/>
      <c r="N661" s="72"/>
      <c r="O661" s="73"/>
      <c r="P661" s="74"/>
      <c r="Q661" s="74"/>
      <c r="R661" s="81"/>
      <c r="S661" s="81"/>
      <c r="T661" s="81"/>
      <c r="U661" s="81"/>
      <c r="V661" s="48"/>
      <c r="W661" s="48"/>
      <c r="X661" s="48"/>
      <c r="Y661" s="48"/>
      <c r="Z661" s="47"/>
      <c r="AA661" s="69"/>
      <c r="AB661" s="69"/>
      <c r="AC661" s="70"/>
      <c r="AD661" t="s">
        <v>5476</v>
      </c>
      <c r="AE661" s="78" t="s">
        <v>6733</v>
      </c>
      <c r="AF661">
        <v>1480</v>
      </c>
      <c r="AG661">
        <v>1408</v>
      </c>
      <c r="AH661">
        <v>102975</v>
      </c>
      <c r="AI661">
        <v>51830</v>
      </c>
      <c r="AK661" t="s">
        <v>7905</v>
      </c>
      <c r="AL661" t="s">
        <v>8917</v>
      </c>
      <c r="AO661" s="76">
        <v>40872.044675925928</v>
      </c>
      <c r="AP661" s="79" t="str">
        <f>HYPERLINK("https://pbs.twimg.com/profile_banners/420728856/1392356855")</f>
        <v>https://pbs.twimg.com/profile_banners/420728856/1392356855</v>
      </c>
      <c r="AQ661" t="b">
        <v>0</v>
      </c>
      <c r="AR661" t="b">
        <v>0</v>
      </c>
      <c r="AS661" t="b">
        <v>1</v>
      </c>
      <c r="AU661">
        <v>7</v>
      </c>
      <c r="AV661" s="79" t="str">
        <f>HYPERLINK("https://abs.twimg.com/images/themes/theme14/bg.gif")</f>
        <v>https://abs.twimg.com/images/themes/theme14/bg.gif</v>
      </c>
      <c r="AW661" t="b">
        <v>0</v>
      </c>
      <c r="AX661" t="s">
        <v>9303</v>
      </c>
      <c r="AY661" s="79" t="str">
        <f>HYPERLINK("https://twitter.com/francisjared_")</f>
        <v>https://twitter.com/francisjared_</v>
      </c>
      <c r="AZ661" t="s">
        <v>66</v>
      </c>
      <c r="BA661" s="2"/>
    </row>
    <row r="662" spans="1:53" x14ac:dyDescent="0.45">
      <c r="A662" s="62" t="s">
        <v>299</v>
      </c>
      <c r="B662" s="63"/>
      <c r="C662" s="63"/>
      <c r="D662" s="64"/>
      <c r="E662" s="66"/>
      <c r="F662" s="98" t="str">
        <f>HYPERLINK("https://pbs.twimg.com/profile_images/1613231973430079491/gPyDZLWx_normal.jpg")</f>
        <v>https://pbs.twimg.com/profile_images/1613231973430079491/gPyDZLWx_normal.jpg</v>
      </c>
      <c r="G662" s="63"/>
      <c r="H662" s="67"/>
      <c r="I662" s="68"/>
      <c r="J662" s="68"/>
      <c r="K662" s="67" t="s">
        <v>9475</v>
      </c>
      <c r="L662" s="71"/>
      <c r="M662" s="72"/>
      <c r="N662" s="72"/>
      <c r="O662" s="73"/>
      <c r="P662" s="74"/>
      <c r="Q662" s="74"/>
      <c r="R662" s="81"/>
      <c r="S662" s="81"/>
      <c r="T662" s="81"/>
      <c r="U662" s="81"/>
      <c r="V662" s="48"/>
      <c r="W662" s="48"/>
      <c r="X662" s="48"/>
      <c r="Y662" s="48"/>
      <c r="Z662" s="47"/>
      <c r="AA662" s="69"/>
      <c r="AB662" s="69"/>
      <c r="AC662" s="70"/>
      <c r="AD662" t="s">
        <v>5169</v>
      </c>
      <c r="AE662" s="78" t="s">
        <v>4669</v>
      </c>
      <c r="AF662">
        <v>2857</v>
      </c>
      <c r="AG662">
        <v>1402</v>
      </c>
      <c r="AH662">
        <v>36947</v>
      </c>
      <c r="AI662">
        <v>28169</v>
      </c>
      <c r="AK662" t="s">
        <v>7640</v>
      </c>
      <c r="AL662" t="s">
        <v>4924</v>
      </c>
      <c r="AM662" s="79" t="str">
        <f>HYPERLINK("https://t.co/jvkgWapf8B")</f>
        <v>https://t.co/jvkgWapf8B</v>
      </c>
      <c r="AO662" s="76">
        <v>39703.195856481485</v>
      </c>
      <c r="AP662" s="79" t="str">
        <f>HYPERLINK("https://pbs.twimg.com/profile_banners/16253021/1484065712")</f>
        <v>https://pbs.twimg.com/profile_banners/16253021/1484065712</v>
      </c>
      <c r="AQ662" t="b">
        <v>0</v>
      </c>
      <c r="AR662" t="b">
        <v>0</v>
      </c>
      <c r="AS662" t="b">
        <v>1</v>
      </c>
      <c r="AU662">
        <v>48</v>
      </c>
      <c r="AV662" s="79" t="str">
        <f>HYPERLINK("https://abs.twimg.com/images/themes/theme9/bg.gif")</f>
        <v>https://abs.twimg.com/images/themes/theme9/bg.gif</v>
      </c>
      <c r="AW662" t="b">
        <v>0</v>
      </c>
      <c r="AX662" t="s">
        <v>9303</v>
      </c>
      <c r="AY662" s="79" t="str">
        <f>HYPERLINK("https://twitter.com/nickpagliochini")</f>
        <v>https://twitter.com/nickpagliochini</v>
      </c>
      <c r="AZ662" t="s">
        <v>66</v>
      </c>
      <c r="BA662" s="2"/>
    </row>
    <row r="663" spans="1:53" x14ac:dyDescent="0.45">
      <c r="A663" s="62" t="s">
        <v>1075</v>
      </c>
      <c r="B663" s="63"/>
      <c r="C663" s="63"/>
      <c r="D663" s="64"/>
      <c r="E663" s="66"/>
      <c r="F663" s="98" t="str">
        <f>HYPERLINK("https://pbs.twimg.com/profile_images/1370850997325737984/fi5NdEu0_normal.jpg")</f>
        <v>https://pbs.twimg.com/profile_images/1370850997325737984/fi5NdEu0_normal.jpg</v>
      </c>
      <c r="G663" s="63"/>
      <c r="H663" s="67"/>
      <c r="I663" s="68"/>
      <c r="J663" s="68"/>
      <c r="K663" s="67" t="s">
        <v>10606</v>
      </c>
      <c r="L663" s="71"/>
      <c r="M663" s="72"/>
      <c r="N663" s="72"/>
      <c r="O663" s="73"/>
      <c r="P663" s="74"/>
      <c r="Q663" s="74"/>
      <c r="R663" s="81"/>
      <c r="S663" s="81"/>
      <c r="T663" s="81"/>
      <c r="U663" s="81"/>
      <c r="V663" s="48"/>
      <c r="W663" s="48"/>
      <c r="X663" s="48"/>
      <c r="Y663" s="48"/>
      <c r="Z663" s="47"/>
      <c r="AA663" s="69"/>
      <c r="AB663" s="69"/>
      <c r="AC663" s="70"/>
      <c r="AD663" t="s">
        <v>6282</v>
      </c>
      <c r="AE663" s="78" t="s">
        <v>7448</v>
      </c>
      <c r="AF663">
        <v>3223</v>
      </c>
      <c r="AG663">
        <v>1401</v>
      </c>
      <c r="AH663">
        <v>21389</v>
      </c>
      <c r="AI663">
        <v>23523</v>
      </c>
      <c r="AK663" t="s">
        <v>8630</v>
      </c>
      <c r="AL663" t="s">
        <v>9286</v>
      </c>
      <c r="AM663" s="79" t="str">
        <f>HYPERLINK("https://t.co/3iLrsP3oev")</f>
        <v>https://t.co/3iLrsP3oev</v>
      </c>
      <c r="AO663" s="76">
        <v>39926.055972222224</v>
      </c>
      <c r="AP663" s="79" t="str">
        <f>HYPERLINK("https://pbs.twimg.com/profile_banners/34477627/1664018811")</f>
        <v>https://pbs.twimg.com/profile_banners/34477627/1664018811</v>
      </c>
      <c r="AQ663" t="b">
        <v>1</v>
      </c>
      <c r="AR663" t="b">
        <v>0</v>
      </c>
      <c r="AS663" t="b">
        <v>0</v>
      </c>
      <c r="AU663">
        <v>1</v>
      </c>
      <c r="AV663" s="79" t="str">
        <f>HYPERLINK("https://abs.twimg.com/images/themes/theme1/bg.png")</f>
        <v>https://abs.twimg.com/images/themes/theme1/bg.png</v>
      </c>
      <c r="AW663" t="b">
        <v>0</v>
      </c>
      <c r="AX663" t="s">
        <v>9303</v>
      </c>
      <c r="AY663" s="79" t="str">
        <f>HYPERLINK("https://twitter.com/sterlingcat1200")</f>
        <v>https://twitter.com/sterlingcat1200</v>
      </c>
      <c r="AZ663" t="s">
        <v>66</v>
      </c>
      <c r="BA663" s="2"/>
    </row>
    <row r="664" spans="1:53" x14ac:dyDescent="0.45">
      <c r="A664" s="62" t="s">
        <v>302</v>
      </c>
      <c r="B664" s="63"/>
      <c r="C664" s="63"/>
      <c r="D664" s="64"/>
      <c r="E664" s="66"/>
      <c r="F664" s="98" t="str">
        <f>HYPERLINK("https://pbs.twimg.com/profile_images/1557605168107110402/-zYAWxFK_normal.jpg")</f>
        <v>https://pbs.twimg.com/profile_images/1557605168107110402/-zYAWxFK_normal.jpg</v>
      </c>
      <c r="G664" s="63"/>
      <c r="H664" s="67"/>
      <c r="I664" s="68"/>
      <c r="J664" s="68"/>
      <c r="K664" s="67" t="s">
        <v>9489</v>
      </c>
      <c r="L664" s="71"/>
      <c r="M664" s="72"/>
      <c r="N664" s="72"/>
      <c r="O664" s="73"/>
      <c r="P664" s="74"/>
      <c r="Q664" s="74"/>
      <c r="R664" s="81"/>
      <c r="S664" s="81"/>
      <c r="T664" s="81"/>
      <c r="U664" s="81"/>
      <c r="V664" s="48"/>
      <c r="W664" s="48"/>
      <c r="X664" s="48"/>
      <c r="Y664" s="48"/>
      <c r="Z664" s="47"/>
      <c r="AA664" s="69"/>
      <c r="AB664" s="69"/>
      <c r="AC664" s="70"/>
      <c r="AD664" t="s">
        <v>5183</v>
      </c>
      <c r="AE664" s="78" t="s">
        <v>6479</v>
      </c>
      <c r="AF664">
        <v>5000</v>
      </c>
      <c r="AG664">
        <v>1388</v>
      </c>
      <c r="AH664">
        <v>71077</v>
      </c>
      <c r="AI664">
        <v>454713</v>
      </c>
      <c r="AK664" t="s">
        <v>7654</v>
      </c>
      <c r="AO664" s="76">
        <v>39901.209236111114</v>
      </c>
      <c r="AP664" s="79" t="str">
        <f>HYPERLINK("https://pbs.twimg.com/profile_banners/27383742/1562353083")</f>
        <v>https://pbs.twimg.com/profile_banners/27383742/1562353083</v>
      </c>
      <c r="AQ664" t="b">
        <v>1</v>
      </c>
      <c r="AR664" t="b">
        <v>0</v>
      </c>
      <c r="AS664" t="b">
        <v>1</v>
      </c>
      <c r="AU664">
        <v>4</v>
      </c>
      <c r="AV664" s="79" t="str">
        <f>HYPERLINK("https://abs.twimg.com/images/themes/theme1/bg.png")</f>
        <v>https://abs.twimg.com/images/themes/theme1/bg.png</v>
      </c>
      <c r="AW664" t="b">
        <v>0</v>
      </c>
      <c r="AX664" t="s">
        <v>9303</v>
      </c>
      <c r="AY664" s="79" t="str">
        <f>HYPERLINK("https://twitter.com/amerine1000")</f>
        <v>https://twitter.com/amerine1000</v>
      </c>
      <c r="AZ664" t="s">
        <v>66</v>
      </c>
      <c r="BA664" s="2"/>
    </row>
    <row r="665" spans="1:53" x14ac:dyDescent="0.45">
      <c r="A665" s="62" t="s">
        <v>1562</v>
      </c>
      <c r="B665" s="63"/>
      <c r="C665" s="63"/>
      <c r="D665" s="64"/>
      <c r="E665" s="66"/>
      <c r="F665" s="98" t="str">
        <f>HYPERLINK("https://pbs.twimg.com/profile_images/1590807603814309890/WlnNhrzl_normal.jpg")</f>
        <v>https://pbs.twimg.com/profile_images/1590807603814309890/WlnNhrzl_normal.jpg</v>
      </c>
      <c r="G665" s="63"/>
      <c r="H665" s="67"/>
      <c r="I665" s="68"/>
      <c r="J665" s="68"/>
      <c r="K665" s="67" t="s">
        <v>10632</v>
      </c>
      <c r="L665" s="71"/>
      <c r="M665" s="72"/>
      <c r="N665" s="72"/>
      <c r="O665" s="73"/>
      <c r="P665" s="74"/>
      <c r="Q665" s="74"/>
      <c r="R665" s="81"/>
      <c r="S665" s="81"/>
      <c r="T665" s="81"/>
      <c r="U665" s="81"/>
      <c r="V665" s="48"/>
      <c r="W665" s="48"/>
      <c r="X665" s="48"/>
      <c r="Y665" s="48"/>
      <c r="Z665" s="47"/>
      <c r="AA665" s="69"/>
      <c r="AB665" s="69"/>
      <c r="AC665" s="70"/>
      <c r="AD665" t="s">
        <v>6308</v>
      </c>
      <c r="AE665" s="78" t="s">
        <v>4824</v>
      </c>
      <c r="AF665">
        <v>548</v>
      </c>
      <c r="AG665">
        <v>1384</v>
      </c>
      <c r="AH665">
        <v>88910</v>
      </c>
      <c r="AI665">
        <v>157176</v>
      </c>
      <c r="AK665" t="s">
        <v>8653</v>
      </c>
      <c r="AL665" t="s">
        <v>8683</v>
      </c>
      <c r="AO665" s="76">
        <v>42640.067118055558</v>
      </c>
      <c r="AP665" s="79" t="str">
        <f>HYPERLINK("https://pbs.twimg.com/profile_banners/780581888654057474/1625591850")</f>
        <v>https://pbs.twimg.com/profile_banners/780581888654057474/1625591850</v>
      </c>
      <c r="AQ665" t="b">
        <v>1</v>
      </c>
      <c r="AR665" t="b">
        <v>0</v>
      </c>
      <c r="AS665" t="b">
        <v>0</v>
      </c>
      <c r="AU665">
        <v>18</v>
      </c>
      <c r="AW665" t="b">
        <v>0</v>
      </c>
      <c r="AX665" t="s">
        <v>9303</v>
      </c>
      <c r="AY665" s="79" t="str">
        <f>HYPERLINK("https://twitter.com/wendyc78757")</f>
        <v>https://twitter.com/wendyc78757</v>
      </c>
      <c r="AZ665" t="s">
        <v>65</v>
      </c>
      <c r="BA665" s="2"/>
    </row>
    <row r="666" spans="1:53" x14ac:dyDescent="0.45">
      <c r="A666" s="62" t="s">
        <v>788</v>
      </c>
      <c r="B666" s="63"/>
      <c r="C666" s="63"/>
      <c r="D666" s="64"/>
      <c r="E666" s="66"/>
      <c r="F666" s="98" t="str">
        <f>HYPERLINK("https://pbs.twimg.com/profile_images/1532886686522396672/SFEDvaMT_normal.jpg")</f>
        <v>https://pbs.twimg.com/profile_images/1532886686522396672/SFEDvaMT_normal.jpg</v>
      </c>
      <c r="G666" s="63"/>
      <c r="H666" s="67"/>
      <c r="I666" s="68"/>
      <c r="J666" s="68"/>
      <c r="K666" s="67" t="s">
        <v>10150</v>
      </c>
      <c r="L666" s="71"/>
      <c r="M666" s="72"/>
      <c r="N666" s="72"/>
      <c r="O666" s="73"/>
      <c r="P666" s="74"/>
      <c r="Q666" s="74"/>
      <c r="R666" s="81"/>
      <c r="S666" s="81"/>
      <c r="T666" s="81"/>
      <c r="U666" s="81"/>
      <c r="V666" s="48"/>
      <c r="W666" s="48"/>
      <c r="X666" s="48"/>
      <c r="Y666" s="48"/>
      <c r="Z666" s="47"/>
      <c r="AA666" s="69"/>
      <c r="AB666" s="69"/>
      <c r="AC666" s="70"/>
      <c r="AD666" t="s">
        <v>5836</v>
      </c>
      <c r="AE666" s="78" t="s">
        <v>7062</v>
      </c>
      <c r="AF666">
        <v>1171</v>
      </c>
      <c r="AG666">
        <v>1377</v>
      </c>
      <c r="AH666">
        <v>8743</v>
      </c>
      <c r="AI666">
        <v>11162</v>
      </c>
      <c r="AK666" t="s">
        <v>8228</v>
      </c>
      <c r="AL666" t="s">
        <v>9101</v>
      </c>
      <c r="AM666" s="79" t="str">
        <f>HYPERLINK("https://t.co/cjPqjdQbLc")</f>
        <v>https://t.co/cjPqjdQbLc</v>
      </c>
      <c r="AO666" s="76">
        <v>42208.707638888889</v>
      </c>
      <c r="AP666" s="79" t="str">
        <f>HYPERLINK("https://pbs.twimg.com/profile_banners/3289092259/1655344281")</f>
        <v>https://pbs.twimg.com/profile_banners/3289092259/1655344281</v>
      </c>
      <c r="AQ666" t="b">
        <v>1</v>
      </c>
      <c r="AR666" t="b">
        <v>0</v>
      </c>
      <c r="AS666" t="b">
        <v>1</v>
      </c>
      <c r="AU666">
        <v>2</v>
      </c>
      <c r="AV666" s="79" t="str">
        <f>HYPERLINK("https://abs.twimg.com/images/themes/theme1/bg.png")</f>
        <v>https://abs.twimg.com/images/themes/theme1/bg.png</v>
      </c>
      <c r="AW666" t="b">
        <v>0</v>
      </c>
      <c r="AX666" t="s">
        <v>9303</v>
      </c>
      <c r="AY666" s="79" t="str">
        <f>HYPERLINK("https://twitter.com/dgarcia_ctw")</f>
        <v>https://twitter.com/dgarcia_ctw</v>
      </c>
      <c r="AZ666" t="s">
        <v>66</v>
      </c>
      <c r="BA666" s="2"/>
    </row>
    <row r="667" spans="1:53" x14ac:dyDescent="0.45">
      <c r="A667" s="62" t="s">
        <v>942</v>
      </c>
      <c r="B667" s="63"/>
      <c r="C667" s="63"/>
      <c r="D667" s="64"/>
      <c r="E667" s="66"/>
      <c r="F667" s="98" t="str">
        <f>HYPERLINK("https://pbs.twimg.com/profile_images/1542377907816992768/WC7X58EJ_normal.jpg")</f>
        <v>https://pbs.twimg.com/profile_images/1542377907816992768/WC7X58EJ_normal.jpg</v>
      </c>
      <c r="G667" s="63"/>
      <c r="H667" s="67"/>
      <c r="I667" s="68"/>
      <c r="J667" s="68"/>
      <c r="K667" s="67" t="s">
        <v>9655</v>
      </c>
      <c r="L667" s="71"/>
      <c r="M667" s="72"/>
      <c r="N667" s="72"/>
      <c r="O667" s="73"/>
      <c r="P667" s="74"/>
      <c r="Q667" s="74"/>
      <c r="R667" s="81"/>
      <c r="S667" s="81"/>
      <c r="T667" s="81"/>
      <c r="U667" s="81"/>
      <c r="V667" s="48"/>
      <c r="W667" s="48"/>
      <c r="X667" s="48"/>
      <c r="Y667" s="48"/>
      <c r="Z667" s="47"/>
      <c r="AA667" s="69"/>
      <c r="AB667" s="69"/>
      <c r="AC667" s="70"/>
      <c r="AD667" t="s">
        <v>5348</v>
      </c>
      <c r="AE667" s="78" t="s">
        <v>4689</v>
      </c>
      <c r="AF667">
        <v>228</v>
      </c>
      <c r="AG667">
        <v>1374</v>
      </c>
      <c r="AH667">
        <v>6459</v>
      </c>
      <c r="AI667">
        <v>17336</v>
      </c>
      <c r="AK667" t="s">
        <v>7799</v>
      </c>
      <c r="AL667" t="s">
        <v>8859</v>
      </c>
      <c r="AO667" s="76">
        <v>44252.711655092593</v>
      </c>
      <c r="AP667" s="79" t="str">
        <f>HYPERLINK("https://pbs.twimg.com/profile_banners/1364984656479805443/1652923818")</f>
        <v>https://pbs.twimg.com/profile_banners/1364984656479805443/1652923818</v>
      </c>
      <c r="AQ667" t="b">
        <v>1</v>
      </c>
      <c r="AR667" t="b">
        <v>0</v>
      </c>
      <c r="AS667" t="b">
        <v>1</v>
      </c>
      <c r="AU667">
        <v>8</v>
      </c>
      <c r="AW667" t="b">
        <v>0</v>
      </c>
      <c r="AX667" t="s">
        <v>9303</v>
      </c>
      <c r="AY667" s="79" t="str">
        <f>HYPERLINK("https://twitter.com/cryptolung")</f>
        <v>https://twitter.com/cryptolung</v>
      </c>
      <c r="AZ667" t="s">
        <v>66</v>
      </c>
      <c r="BA667" s="2"/>
    </row>
    <row r="668" spans="1:53" x14ac:dyDescent="0.45">
      <c r="A668" s="62" t="s">
        <v>1095</v>
      </c>
      <c r="B668" s="63"/>
      <c r="C668" s="63"/>
      <c r="D668" s="64"/>
      <c r="E668" s="66"/>
      <c r="F668" s="98" t="str">
        <f>HYPERLINK("https://pbs.twimg.com/profile_images/1552408035284361217/UA9hYX-f_normal.jpg")</f>
        <v>https://pbs.twimg.com/profile_images/1552408035284361217/UA9hYX-f_normal.jpg</v>
      </c>
      <c r="G668" s="63"/>
      <c r="H668" s="67"/>
      <c r="I668" s="68"/>
      <c r="J668" s="68"/>
      <c r="K668" s="67" t="s">
        <v>10642</v>
      </c>
      <c r="L668" s="71"/>
      <c r="M668" s="72"/>
      <c r="N668" s="72"/>
      <c r="O668" s="73"/>
      <c r="P668" s="74"/>
      <c r="Q668" s="74"/>
      <c r="R668" s="81"/>
      <c r="S668" s="81"/>
      <c r="T668" s="81"/>
      <c r="U668" s="81"/>
      <c r="V668" s="48"/>
      <c r="W668" s="48"/>
      <c r="X668" s="48"/>
      <c r="Y668" s="48"/>
      <c r="Z668" s="47"/>
      <c r="AA668" s="69"/>
      <c r="AB668" s="69"/>
      <c r="AC668" s="70"/>
      <c r="AD668" t="s">
        <v>6317</v>
      </c>
      <c r="AE668" s="78" t="s">
        <v>4826</v>
      </c>
      <c r="AF668">
        <v>444</v>
      </c>
      <c r="AG668">
        <v>1366</v>
      </c>
      <c r="AH668">
        <v>2972</v>
      </c>
      <c r="AI668">
        <v>5297</v>
      </c>
      <c r="AK668" t="s">
        <v>8662</v>
      </c>
      <c r="AM668" s="79" t="str">
        <f>HYPERLINK("https://t.co/z00OiLiZUt")</f>
        <v>https://t.co/z00OiLiZUt</v>
      </c>
      <c r="AO668" s="76">
        <v>44117.852326388886</v>
      </c>
      <c r="AP668" s="79" t="str">
        <f>HYPERLINK("https://pbs.twimg.com/profile_banners/1316113267971051520/1664550719")</f>
        <v>https://pbs.twimg.com/profile_banners/1316113267971051520/1664550719</v>
      </c>
      <c r="AQ668" t="b">
        <v>1</v>
      </c>
      <c r="AR668" t="b">
        <v>0</v>
      </c>
      <c r="AS668" t="b">
        <v>1</v>
      </c>
      <c r="AU668">
        <v>28</v>
      </c>
      <c r="AW668" t="b">
        <v>0</v>
      </c>
      <c r="AX668" t="s">
        <v>9303</v>
      </c>
      <c r="AY668" s="79" t="str">
        <f>HYPERLINK("https://twitter.com/realneustreet")</f>
        <v>https://twitter.com/realneustreet</v>
      </c>
      <c r="AZ668" t="s">
        <v>66</v>
      </c>
      <c r="BA668" s="2"/>
    </row>
    <row r="669" spans="1:53" x14ac:dyDescent="0.45">
      <c r="A669" s="62" t="s">
        <v>464</v>
      </c>
      <c r="B669" s="63"/>
      <c r="C669" s="63"/>
      <c r="D669" s="64"/>
      <c r="E669" s="66"/>
      <c r="F669" s="98" t="str">
        <f>HYPERLINK("https://pbs.twimg.com/profile_images/1449063613449314310/D3S1hJ0x_normal.jpg")</f>
        <v>https://pbs.twimg.com/profile_images/1449063613449314310/D3S1hJ0x_normal.jpg</v>
      </c>
      <c r="G669" s="63"/>
      <c r="H669" s="67"/>
      <c r="I669" s="68"/>
      <c r="J669" s="68"/>
      <c r="K669" s="67" t="s">
        <v>9731</v>
      </c>
      <c r="L669" s="71"/>
      <c r="M669" s="72"/>
      <c r="N669" s="72"/>
      <c r="O669" s="73"/>
      <c r="P669" s="74"/>
      <c r="Q669" s="74"/>
      <c r="R669" s="81"/>
      <c r="S669" s="81"/>
      <c r="T669" s="81"/>
      <c r="U669" s="81"/>
      <c r="V669" s="48"/>
      <c r="W669" s="48"/>
      <c r="X669" s="48"/>
      <c r="Y669" s="48"/>
      <c r="Z669" s="47"/>
      <c r="AA669" s="69"/>
      <c r="AB669" s="69"/>
      <c r="AC669" s="70"/>
      <c r="AD669" t="s">
        <v>5423</v>
      </c>
      <c r="AE669" s="78" t="s">
        <v>6694</v>
      </c>
      <c r="AF669">
        <v>1072</v>
      </c>
      <c r="AG669">
        <v>1354</v>
      </c>
      <c r="AH669">
        <v>92177</v>
      </c>
      <c r="AI669">
        <v>175665</v>
      </c>
      <c r="AO669" s="76">
        <v>42995.801423611112</v>
      </c>
      <c r="AP669" s="79" t="str">
        <f>HYPERLINK("https://pbs.twimg.com/profile_banners/909495683916365824/1634318691")</f>
        <v>https://pbs.twimg.com/profile_banners/909495683916365824/1634318691</v>
      </c>
      <c r="AQ669" t="b">
        <v>1</v>
      </c>
      <c r="AR669" t="b">
        <v>0</v>
      </c>
      <c r="AS669" t="b">
        <v>0</v>
      </c>
      <c r="AU669">
        <v>5</v>
      </c>
      <c r="AW669" t="b">
        <v>0</v>
      </c>
      <c r="AX669" t="s">
        <v>9303</v>
      </c>
      <c r="AY669" s="79" t="str">
        <f>HYPERLINK("https://twitter.com/1sun_cyrus")</f>
        <v>https://twitter.com/1sun_cyrus</v>
      </c>
      <c r="AZ669" t="s">
        <v>66</v>
      </c>
      <c r="BA669" s="2"/>
    </row>
    <row r="670" spans="1:53" x14ac:dyDescent="0.45">
      <c r="A670" s="62" t="s">
        <v>499</v>
      </c>
      <c r="B670" s="63"/>
      <c r="C670" s="63"/>
      <c r="D670" s="64"/>
      <c r="E670" s="66"/>
      <c r="F670" s="98" t="str">
        <f>HYPERLINK("https://pbs.twimg.com/profile_images/1616919717251260416/2tI4UP99_normal.jpg")</f>
        <v>https://pbs.twimg.com/profile_images/1616919717251260416/2tI4UP99_normal.jpg</v>
      </c>
      <c r="G670" s="63"/>
      <c r="H670" s="67"/>
      <c r="I670" s="68"/>
      <c r="J670" s="68"/>
      <c r="K670" s="67" t="s">
        <v>9775</v>
      </c>
      <c r="L670" s="71"/>
      <c r="M670" s="72"/>
      <c r="N670" s="72"/>
      <c r="O670" s="73"/>
      <c r="P670" s="74"/>
      <c r="Q670" s="74"/>
      <c r="R670" s="81"/>
      <c r="S670" s="81"/>
      <c r="T670" s="81"/>
      <c r="U670" s="81"/>
      <c r="V670" s="48"/>
      <c r="W670" s="48"/>
      <c r="X670" s="48"/>
      <c r="Y670" s="48"/>
      <c r="Z670" s="47"/>
      <c r="AA670" s="69"/>
      <c r="AB670" s="69"/>
      <c r="AC670" s="70"/>
      <c r="AD670" t="s">
        <v>5467</v>
      </c>
      <c r="AE670" s="78" t="s">
        <v>6726</v>
      </c>
      <c r="AF670">
        <v>957</v>
      </c>
      <c r="AG670">
        <v>1350</v>
      </c>
      <c r="AH670">
        <v>3277</v>
      </c>
      <c r="AI670">
        <v>26579</v>
      </c>
      <c r="AK670" t="s">
        <v>7899</v>
      </c>
      <c r="AL670" t="s">
        <v>8911</v>
      </c>
      <c r="AO670" s="76">
        <v>43781.518993055557</v>
      </c>
      <c r="AP670" s="79" t="str">
        <f>HYPERLINK("https://pbs.twimg.com/profile_banners/1194230097504542720/1674595784")</f>
        <v>https://pbs.twimg.com/profile_banners/1194230097504542720/1674595784</v>
      </c>
      <c r="AQ670" t="b">
        <v>1</v>
      </c>
      <c r="AR670" t="b">
        <v>0</v>
      </c>
      <c r="AS670" t="b">
        <v>0</v>
      </c>
      <c r="AU670">
        <v>10</v>
      </c>
      <c r="AW670" t="b">
        <v>0</v>
      </c>
      <c r="AX670" t="s">
        <v>9303</v>
      </c>
      <c r="AY670" s="79" t="str">
        <f>HYPERLINK("https://twitter.com/belcacyruss")</f>
        <v>https://twitter.com/belcacyruss</v>
      </c>
      <c r="AZ670" t="s">
        <v>66</v>
      </c>
      <c r="BA670" s="2"/>
    </row>
    <row r="671" spans="1:53" x14ac:dyDescent="0.45">
      <c r="A671" s="62" t="s">
        <v>481</v>
      </c>
      <c r="B671" s="63"/>
      <c r="C671" s="63"/>
      <c r="D671" s="64"/>
      <c r="E671" s="66"/>
      <c r="F671" s="98" t="str">
        <f>HYPERLINK("https://pbs.twimg.com/profile_images/1324852066603421697/8Uhkkgqo_normal.jpg")</f>
        <v>https://pbs.twimg.com/profile_images/1324852066603421697/8Uhkkgqo_normal.jpg</v>
      </c>
      <c r="G671" s="63"/>
      <c r="H671" s="67"/>
      <c r="I671" s="68"/>
      <c r="J671" s="68"/>
      <c r="K671" s="67" t="s">
        <v>9753</v>
      </c>
      <c r="L671" s="71"/>
      <c r="M671" s="72"/>
      <c r="N671" s="72"/>
      <c r="O671" s="73"/>
      <c r="P671" s="74"/>
      <c r="Q671" s="74"/>
      <c r="R671" s="81"/>
      <c r="S671" s="81"/>
      <c r="T671" s="81"/>
      <c r="U671" s="81"/>
      <c r="V671" s="48"/>
      <c r="W671" s="48"/>
      <c r="X671" s="48"/>
      <c r="Y671" s="48"/>
      <c r="Z671" s="47"/>
      <c r="AA671" s="69"/>
      <c r="AB671" s="69"/>
      <c r="AC671" s="70"/>
      <c r="AD671" t="s">
        <v>5445</v>
      </c>
      <c r="AE671" s="78" t="s">
        <v>6710</v>
      </c>
      <c r="AF671">
        <v>1607</v>
      </c>
      <c r="AG671">
        <v>1327</v>
      </c>
      <c r="AH671">
        <v>23214</v>
      </c>
      <c r="AI671">
        <v>9225</v>
      </c>
      <c r="AO671" s="76">
        <v>41855.021331018521</v>
      </c>
      <c r="AP671" s="79" t="str">
        <f>HYPERLINK("https://pbs.twimg.com/profile_banners/2732864715/1499322583")</f>
        <v>https://pbs.twimg.com/profile_banners/2732864715/1499322583</v>
      </c>
      <c r="AQ671" t="b">
        <v>0</v>
      </c>
      <c r="AR671" t="b">
        <v>0</v>
      </c>
      <c r="AS671" t="b">
        <v>1</v>
      </c>
      <c r="AU671">
        <v>5</v>
      </c>
      <c r="AV671" s="79" t="str">
        <f>HYPERLINK("https://abs.twimg.com/images/themes/theme1/bg.png")</f>
        <v>https://abs.twimg.com/images/themes/theme1/bg.png</v>
      </c>
      <c r="AW671" t="b">
        <v>0</v>
      </c>
      <c r="AX671" t="s">
        <v>9303</v>
      </c>
      <c r="AY671" s="79" t="str">
        <f>HYPERLINK("https://twitter.com/yoitsab")</f>
        <v>https://twitter.com/yoitsab</v>
      </c>
      <c r="AZ671" t="s">
        <v>66</v>
      </c>
      <c r="BA671" s="2"/>
    </row>
    <row r="672" spans="1:53" x14ac:dyDescent="0.45">
      <c r="A672" s="62" t="s">
        <v>1064</v>
      </c>
      <c r="B672" s="63"/>
      <c r="C672" s="63"/>
      <c r="D672" s="64"/>
      <c r="E672" s="66"/>
      <c r="F672" s="98" t="str">
        <f>HYPERLINK("https://pbs.twimg.com/profile_images/1362473423817990144/u94ouXuz_normal.jpg")</f>
        <v>https://pbs.twimg.com/profile_images/1362473423817990144/u94ouXuz_normal.jpg</v>
      </c>
      <c r="G672" s="63"/>
      <c r="H672" s="67"/>
      <c r="I672" s="68"/>
      <c r="J672" s="68"/>
      <c r="K672" s="67" t="s">
        <v>10588</v>
      </c>
      <c r="L672" s="71"/>
      <c r="M672" s="72"/>
      <c r="N672" s="72"/>
      <c r="O672" s="73"/>
      <c r="P672" s="74"/>
      <c r="Q672" s="74"/>
      <c r="R672" s="81"/>
      <c r="S672" s="81"/>
      <c r="T672" s="81"/>
      <c r="U672" s="81"/>
      <c r="V672" s="48"/>
      <c r="W672" s="48"/>
      <c r="X672" s="48"/>
      <c r="Y672" s="48"/>
      <c r="Z672" s="47"/>
      <c r="AA672" s="69"/>
      <c r="AB672" s="69"/>
      <c r="AC672" s="70"/>
      <c r="AD672" t="s">
        <v>6266</v>
      </c>
      <c r="AE672" s="78" t="s">
        <v>7436</v>
      </c>
      <c r="AF672">
        <v>844</v>
      </c>
      <c r="AG672">
        <v>1296</v>
      </c>
      <c r="AH672">
        <v>42115</v>
      </c>
      <c r="AI672">
        <v>392</v>
      </c>
      <c r="AK672" t="s">
        <v>8612</v>
      </c>
      <c r="AL672" t="s">
        <v>9275</v>
      </c>
      <c r="AM672" s="79" t="str">
        <f>HYPERLINK("https://t.co/gQVWSwWErk")</f>
        <v>https://t.co/gQVWSwWErk</v>
      </c>
      <c r="AO672" s="76">
        <v>40841.814664351848</v>
      </c>
      <c r="AP672" s="79" t="str">
        <f>HYPERLINK("https://pbs.twimg.com/profile_banners/398234228/1542984042")</f>
        <v>https://pbs.twimg.com/profile_banners/398234228/1542984042</v>
      </c>
      <c r="AQ672" t="b">
        <v>0</v>
      </c>
      <c r="AR672" t="b">
        <v>0</v>
      </c>
      <c r="AS672" t="b">
        <v>1</v>
      </c>
      <c r="AU672">
        <v>4</v>
      </c>
      <c r="AV672" s="79" t="str">
        <f>HYPERLINK("https://abs.twimg.com/images/themes/theme1/bg.png")</f>
        <v>https://abs.twimg.com/images/themes/theme1/bg.png</v>
      </c>
      <c r="AW672" t="b">
        <v>0</v>
      </c>
      <c r="AX672" t="s">
        <v>9303</v>
      </c>
      <c r="AY672" s="79" t="str">
        <f>HYPERLINK("https://twitter.com/fresh248_")</f>
        <v>https://twitter.com/fresh248_</v>
      </c>
      <c r="AZ672" t="s">
        <v>66</v>
      </c>
      <c r="BA672" s="2"/>
    </row>
    <row r="673" spans="1:53" x14ac:dyDescent="0.45">
      <c r="A673" s="62" t="s">
        <v>1226</v>
      </c>
      <c r="B673" s="63"/>
      <c r="C673" s="63"/>
      <c r="D673" s="64"/>
      <c r="E673" s="66"/>
      <c r="F673" s="98" t="str">
        <f>HYPERLINK("https://pbs.twimg.com/profile_images/1029865161/coolchic_normal.jpg")</f>
        <v>https://pbs.twimg.com/profile_images/1029865161/coolchic_normal.jpg</v>
      </c>
      <c r="G673" s="63"/>
      <c r="H673" s="67"/>
      <c r="I673" s="68"/>
      <c r="J673" s="68"/>
      <c r="K673" s="67" t="s">
        <v>9554</v>
      </c>
      <c r="L673" s="71"/>
      <c r="M673" s="72"/>
      <c r="N673" s="72"/>
      <c r="O673" s="73"/>
      <c r="P673" s="74"/>
      <c r="Q673" s="74"/>
      <c r="R673" s="81"/>
      <c r="S673" s="81"/>
      <c r="T673" s="81"/>
      <c r="U673" s="81"/>
      <c r="V673" s="48"/>
      <c r="W673" s="48"/>
      <c r="X673" s="48"/>
      <c r="Y673" s="48"/>
      <c r="Z673" s="47"/>
      <c r="AA673" s="69"/>
      <c r="AB673" s="69"/>
      <c r="AC673" s="70"/>
      <c r="AD673" t="s">
        <v>5247</v>
      </c>
      <c r="AE673" s="78" t="s">
        <v>4681</v>
      </c>
      <c r="AF673">
        <v>3827</v>
      </c>
      <c r="AG673">
        <v>1274</v>
      </c>
      <c r="AH673">
        <v>136127</v>
      </c>
      <c r="AI673">
        <v>98223</v>
      </c>
      <c r="AK673" t="s">
        <v>7713</v>
      </c>
      <c r="AL673" t="s">
        <v>8809</v>
      </c>
      <c r="AO673" s="76">
        <v>39940.24386574074</v>
      </c>
      <c r="AP673" s="79" t="str">
        <f>HYPERLINK("https://pbs.twimg.com/profile_banners/38380127/1418757780")</f>
        <v>https://pbs.twimg.com/profile_banners/38380127/1418757780</v>
      </c>
      <c r="AQ673" t="b">
        <v>0</v>
      </c>
      <c r="AR673" t="b">
        <v>0</v>
      </c>
      <c r="AS673" t="b">
        <v>0</v>
      </c>
      <c r="AU673">
        <v>78</v>
      </c>
      <c r="AV673" s="79" t="str">
        <f>HYPERLINK("https://abs.twimg.com/images/themes/theme4/bg.gif")</f>
        <v>https://abs.twimg.com/images/themes/theme4/bg.gif</v>
      </c>
      <c r="AW673" t="b">
        <v>0</v>
      </c>
      <c r="AX673" t="s">
        <v>9303</v>
      </c>
      <c r="AY673" s="79" t="str">
        <f>HYPERLINK("https://twitter.com/bayougal86")</f>
        <v>https://twitter.com/bayougal86</v>
      </c>
      <c r="AZ673" t="s">
        <v>65</v>
      </c>
      <c r="BA673" s="2"/>
    </row>
    <row r="674" spans="1:53" x14ac:dyDescent="0.45">
      <c r="A674" s="62" t="s">
        <v>413</v>
      </c>
      <c r="B674" s="63"/>
      <c r="C674" s="63"/>
      <c r="D674" s="64"/>
      <c r="E674" s="66"/>
      <c r="F674" s="98" t="str">
        <f>HYPERLINK("https://pbs.twimg.com/profile_images/1613892937775190018/A2Qgqoqf_normal.jpg")</f>
        <v>https://pbs.twimg.com/profile_images/1613892937775190018/A2Qgqoqf_normal.jpg</v>
      </c>
      <c r="G674" s="63"/>
      <c r="H674" s="67"/>
      <c r="I674" s="68"/>
      <c r="J674" s="68"/>
      <c r="K674" s="67" t="s">
        <v>9664</v>
      </c>
      <c r="L674" s="71"/>
      <c r="M674" s="72"/>
      <c r="N674" s="72"/>
      <c r="O674" s="73"/>
      <c r="P674" s="74"/>
      <c r="Q674" s="74"/>
      <c r="R674" s="81"/>
      <c r="S674" s="81"/>
      <c r="T674" s="81"/>
      <c r="U674" s="81"/>
      <c r="V674" s="48"/>
      <c r="W674" s="48"/>
      <c r="X674" s="48"/>
      <c r="Y674" s="48"/>
      <c r="Z674" s="47"/>
      <c r="AA674" s="69"/>
      <c r="AB674" s="69"/>
      <c r="AC674" s="70"/>
      <c r="AD674" t="s">
        <v>5357</v>
      </c>
      <c r="AE674" s="78" t="s">
        <v>6631</v>
      </c>
      <c r="AF674">
        <v>1133</v>
      </c>
      <c r="AG674">
        <v>1268</v>
      </c>
      <c r="AH674">
        <v>24538</v>
      </c>
      <c r="AI674">
        <v>39915</v>
      </c>
      <c r="AK674" t="s">
        <v>7807</v>
      </c>
      <c r="AL674" t="s">
        <v>8863</v>
      </c>
      <c r="AO674" s="76">
        <v>44317.489548611113</v>
      </c>
      <c r="AP674" s="79" t="str">
        <f>HYPERLINK("https://pbs.twimg.com/profile_banners/1388459385555456002/1672980620")</f>
        <v>https://pbs.twimg.com/profile_banners/1388459385555456002/1672980620</v>
      </c>
      <c r="AQ674" t="b">
        <v>1</v>
      </c>
      <c r="AR674" t="b">
        <v>0</v>
      </c>
      <c r="AS674" t="b">
        <v>0</v>
      </c>
      <c r="AU674">
        <v>6</v>
      </c>
      <c r="AW674" t="b">
        <v>0</v>
      </c>
      <c r="AX674" t="s">
        <v>9303</v>
      </c>
      <c r="AY674" s="79" t="str">
        <f>HYPERLINK("https://twitter.com/theepinned")</f>
        <v>https://twitter.com/theepinned</v>
      </c>
      <c r="AZ674" t="s">
        <v>66</v>
      </c>
      <c r="BA674" s="2"/>
    </row>
    <row r="675" spans="1:53" x14ac:dyDescent="0.45">
      <c r="A675" s="62" t="s">
        <v>265</v>
      </c>
      <c r="B675" s="63"/>
      <c r="C675" s="63"/>
      <c r="D675" s="64"/>
      <c r="E675" s="66"/>
      <c r="F675" s="98" t="str">
        <f>HYPERLINK("https://pbs.twimg.com/profile_images/1519253678204624898/krK9Ebhd_normal.jpg")</f>
        <v>https://pbs.twimg.com/profile_images/1519253678204624898/krK9Ebhd_normal.jpg</v>
      </c>
      <c r="G675" s="63"/>
      <c r="H675" s="67"/>
      <c r="I675" s="68"/>
      <c r="J675" s="68"/>
      <c r="K675" s="67" t="s">
        <v>9409</v>
      </c>
      <c r="L675" s="71"/>
      <c r="M675" s="72"/>
      <c r="N675" s="72"/>
      <c r="O675" s="73"/>
      <c r="P675" s="74"/>
      <c r="Q675" s="74"/>
      <c r="R675" s="81"/>
      <c r="S675" s="81"/>
      <c r="T675" s="81"/>
      <c r="U675" s="81"/>
      <c r="V675" s="48"/>
      <c r="W675" s="48"/>
      <c r="X675" s="48"/>
      <c r="Y675" s="48"/>
      <c r="Z675" s="47"/>
      <c r="AA675" s="69"/>
      <c r="AB675" s="69"/>
      <c r="AC675" s="70"/>
      <c r="AD675" t="s">
        <v>5104</v>
      </c>
      <c r="AE675" s="78" t="s">
        <v>4658</v>
      </c>
      <c r="AF675">
        <v>671</v>
      </c>
      <c r="AG675">
        <v>1251</v>
      </c>
      <c r="AH675">
        <v>1525</v>
      </c>
      <c r="AI675">
        <v>5755</v>
      </c>
      <c r="AK675" t="s">
        <v>7587</v>
      </c>
      <c r="AL675" t="s">
        <v>8738</v>
      </c>
      <c r="AM675" s="79" t="str">
        <f>HYPERLINK("https://t.co/TDxIHqPqr7")</f>
        <v>https://t.co/TDxIHqPqr7</v>
      </c>
      <c r="AO675" s="76">
        <v>42091.478136574071</v>
      </c>
      <c r="AP675" s="79" t="str">
        <f>HYPERLINK("https://pbs.twimg.com/profile_banners/3123512661/1651053417")</f>
        <v>https://pbs.twimg.com/profile_banners/3123512661/1651053417</v>
      </c>
      <c r="AQ675" t="b">
        <v>0</v>
      </c>
      <c r="AR675" t="b">
        <v>0</v>
      </c>
      <c r="AS675" t="b">
        <v>1</v>
      </c>
      <c r="AU675">
        <v>21</v>
      </c>
      <c r="AV675" s="79" t="str">
        <f>HYPERLINK("https://abs.twimg.com/images/themes/theme1/bg.png")</f>
        <v>https://abs.twimg.com/images/themes/theme1/bg.png</v>
      </c>
      <c r="AW675" t="b">
        <v>1</v>
      </c>
      <c r="AX675" t="s">
        <v>9303</v>
      </c>
      <c r="AY675" s="79" t="str">
        <f>HYPERLINK("https://twitter.com/rossdimattei")</f>
        <v>https://twitter.com/rossdimattei</v>
      </c>
      <c r="AZ675" t="s">
        <v>66</v>
      </c>
      <c r="BA675" s="2"/>
    </row>
    <row r="676" spans="1:53" x14ac:dyDescent="0.45">
      <c r="A676" s="62" t="s">
        <v>1091</v>
      </c>
      <c r="B676" s="63"/>
      <c r="C676" s="63"/>
      <c r="D676" s="64"/>
      <c r="E676" s="66"/>
      <c r="F676" s="98" t="str">
        <f>HYPERLINK("https://pbs.twimg.com/profile_images/1545818533581541376/aqn2xhLC_normal.jpg")</f>
        <v>https://pbs.twimg.com/profile_images/1545818533581541376/aqn2xhLC_normal.jpg</v>
      </c>
      <c r="G676" s="63"/>
      <c r="H676" s="67"/>
      <c r="I676" s="68"/>
      <c r="J676" s="68"/>
      <c r="K676" s="67" t="s">
        <v>10638</v>
      </c>
      <c r="L676" s="71"/>
      <c r="M676" s="72"/>
      <c r="N676" s="72"/>
      <c r="O676" s="73"/>
      <c r="P676" s="74"/>
      <c r="Q676" s="74"/>
      <c r="R676" s="81"/>
      <c r="S676" s="81"/>
      <c r="T676" s="81"/>
      <c r="U676" s="81"/>
      <c r="V676" s="48"/>
      <c r="W676" s="48"/>
      <c r="X676" s="48"/>
      <c r="Y676" s="48"/>
      <c r="Z676" s="47"/>
      <c r="AA676" s="69"/>
      <c r="AB676" s="69"/>
      <c r="AC676" s="70"/>
      <c r="AD676" t="s">
        <v>6314</v>
      </c>
      <c r="AE676" s="78" t="s">
        <v>7477</v>
      </c>
      <c r="AF676">
        <v>1064</v>
      </c>
      <c r="AG676">
        <v>1250</v>
      </c>
      <c r="AH676">
        <v>88202</v>
      </c>
      <c r="AI676">
        <v>10709</v>
      </c>
      <c r="AK676" t="s">
        <v>8658</v>
      </c>
      <c r="AL676" t="s">
        <v>9296</v>
      </c>
      <c r="AM676" s="79" t="str">
        <f>HYPERLINK("https://t.co/5hbbeVmtNt")</f>
        <v>https://t.co/5hbbeVmtNt</v>
      </c>
      <c r="AO676" s="76">
        <v>40140.296203703707</v>
      </c>
      <c r="AP676" s="79" t="str">
        <f>HYPERLINK("https://pbs.twimg.com/profile_banners/91955944/1563876083")</f>
        <v>https://pbs.twimg.com/profile_banners/91955944/1563876083</v>
      </c>
      <c r="AQ676" t="b">
        <v>0</v>
      </c>
      <c r="AR676" t="b">
        <v>0</v>
      </c>
      <c r="AS676" t="b">
        <v>1</v>
      </c>
      <c r="AU676">
        <v>20</v>
      </c>
      <c r="AV676" s="79" t="str">
        <f>HYPERLINK("https://abs.twimg.com/images/themes/theme14/bg.gif")</f>
        <v>https://abs.twimg.com/images/themes/theme14/bg.gif</v>
      </c>
      <c r="AW676" t="b">
        <v>0</v>
      </c>
      <c r="AX676" t="s">
        <v>9303</v>
      </c>
      <c r="AY676" s="79" t="str">
        <f>HYPERLINK("https://twitter.com/jayelucky")</f>
        <v>https://twitter.com/jayelucky</v>
      </c>
      <c r="AZ676" t="s">
        <v>66</v>
      </c>
      <c r="BA676" s="2"/>
    </row>
    <row r="677" spans="1:53" x14ac:dyDescent="0.45">
      <c r="A677" s="62" t="s">
        <v>547</v>
      </c>
      <c r="B677" s="63"/>
      <c r="C677" s="63"/>
      <c r="D677" s="64"/>
      <c r="E677" s="66"/>
      <c r="F677" s="98" t="str">
        <f>HYPERLINK("https://pbs.twimg.com/profile_images/1500938775039332353/2ORlm7Gx_normal.jpg")</f>
        <v>https://pbs.twimg.com/profile_images/1500938775039332353/2ORlm7Gx_normal.jpg</v>
      </c>
      <c r="G677" s="63"/>
      <c r="H677" s="67"/>
      <c r="I677" s="68"/>
      <c r="J677" s="68"/>
      <c r="K677" s="67" t="s">
        <v>9840</v>
      </c>
      <c r="L677" s="71"/>
      <c r="M677" s="72"/>
      <c r="N677" s="72"/>
      <c r="O677" s="73"/>
      <c r="P677" s="74"/>
      <c r="Q677" s="74"/>
      <c r="R677" s="81"/>
      <c r="S677" s="81"/>
      <c r="T677" s="81"/>
      <c r="U677" s="81"/>
      <c r="V677" s="48"/>
      <c r="W677" s="48"/>
      <c r="X677" s="48"/>
      <c r="Y677" s="48"/>
      <c r="Z677" s="47"/>
      <c r="AA677" s="69"/>
      <c r="AB677" s="69"/>
      <c r="AC677" s="70"/>
      <c r="AD677" t="s">
        <v>5531</v>
      </c>
      <c r="AE677" s="78" t="s">
        <v>4716</v>
      </c>
      <c r="AF677">
        <v>327</v>
      </c>
      <c r="AG677">
        <v>1249</v>
      </c>
      <c r="AH677">
        <v>5208</v>
      </c>
      <c r="AI677">
        <v>1317</v>
      </c>
      <c r="AK677" t="s">
        <v>7954</v>
      </c>
      <c r="AL677" t="s">
        <v>8940</v>
      </c>
      <c r="AM677" s="79" t="str">
        <f>HYPERLINK("https://t.co/yRanLlDLNl")</f>
        <v>https://t.co/yRanLlDLNl</v>
      </c>
      <c r="AO677" s="76">
        <v>39884.259050925924</v>
      </c>
      <c r="AP677" s="79" t="str">
        <f>HYPERLINK("https://pbs.twimg.com/profile_banners/23910879/1666218338")</f>
        <v>https://pbs.twimg.com/profile_banners/23910879/1666218338</v>
      </c>
      <c r="AQ677" t="b">
        <v>0</v>
      </c>
      <c r="AR677" t="b">
        <v>0</v>
      </c>
      <c r="AS677" t="b">
        <v>0</v>
      </c>
      <c r="AU677">
        <v>104</v>
      </c>
      <c r="AV677" s="79" t="str">
        <f>HYPERLINK("https://abs.twimg.com/images/themes/theme3/bg.gif")</f>
        <v>https://abs.twimg.com/images/themes/theme3/bg.gif</v>
      </c>
      <c r="AW677" t="b">
        <v>0</v>
      </c>
      <c r="AX677" t="s">
        <v>9303</v>
      </c>
      <c r="AY677" s="79" t="str">
        <f>HYPERLINK("https://twitter.com/dypiangco")</f>
        <v>https://twitter.com/dypiangco</v>
      </c>
      <c r="AZ677" t="s">
        <v>66</v>
      </c>
      <c r="BA677" s="2"/>
    </row>
    <row r="678" spans="1:53" x14ac:dyDescent="0.45">
      <c r="A678" s="62" t="s">
        <v>1076</v>
      </c>
      <c r="B678" s="63"/>
      <c r="C678" s="63"/>
      <c r="D678" s="64"/>
      <c r="E678" s="66"/>
      <c r="F678" s="98" t="str">
        <f>HYPERLINK("https://pbs.twimg.com/profile_images/1607358988269543424/7BTfxySk_normal.jpg")</f>
        <v>https://pbs.twimg.com/profile_images/1607358988269543424/7BTfxySk_normal.jpg</v>
      </c>
      <c r="G678" s="63"/>
      <c r="H678" s="67"/>
      <c r="I678" s="68"/>
      <c r="J678" s="68"/>
      <c r="K678" s="67" t="s">
        <v>10608</v>
      </c>
      <c r="L678" s="71"/>
      <c r="M678" s="72"/>
      <c r="N678" s="72"/>
      <c r="O678" s="73"/>
      <c r="P678" s="74"/>
      <c r="Q678" s="74"/>
      <c r="R678" s="81"/>
      <c r="S678" s="81"/>
      <c r="T678" s="81"/>
      <c r="U678" s="81"/>
      <c r="V678" s="48"/>
      <c r="W678" s="48"/>
      <c r="X678" s="48"/>
      <c r="Y678" s="48"/>
      <c r="Z678" s="47"/>
      <c r="AA678" s="69"/>
      <c r="AB678" s="69"/>
      <c r="AC678" s="70"/>
      <c r="AD678" t="s">
        <v>6284</v>
      </c>
      <c r="AE678" s="78" t="s">
        <v>7449</v>
      </c>
      <c r="AF678">
        <v>55</v>
      </c>
      <c r="AG678">
        <v>1239</v>
      </c>
      <c r="AH678">
        <v>2892</v>
      </c>
      <c r="AI678">
        <v>1723</v>
      </c>
      <c r="AK678" t="s">
        <v>8632</v>
      </c>
      <c r="AL678" t="s">
        <v>4919</v>
      </c>
      <c r="AO678" s="76">
        <v>42592.847395833334</v>
      </c>
      <c r="AP678" s="79" t="str">
        <f>HYPERLINK("https://pbs.twimg.com/profile_banners/763470035901964288/1670100533")</f>
        <v>https://pbs.twimg.com/profile_banners/763470035901964288/1670100533</v>
      </c>
      <c r="AQ678" t="b">
        <v>0</v>
      </c>
      <c r="AR678" t="b">
        <v>0</v>
      </c>
      <c r="AS678" t="b">
        <v>1</v>
      </c>
      <c r="AU678">
        <v>5</v>
      </c>
      <c r="AV678" s="79" t="str">
        <f>HYPERLINK("https://abs.twimg.com/images/themes/theme1/bg.png")</f>
        <v>https://abs.twimg.com/images/themes/theme1/bg.png</v>
      </c>
      <c r="AW678" t="b">
        <v>0</v>
      </c>
      <c r="AX678" t="s">
        <v>9303</v>
      </c>
      <c r="AY678" s="79" t="str">
        <f>HYPERLINK("https://twitter.com/bmlfowler")</f>
        <v>https://twitter.com/bmlfowler</v>
      </c>
      <c r="AZ678" t="s">
        <v>66</v>
      </c>
      <c r="BA678" s="2"/>
    </row>
    <row r="679" spans="1:53" x14ac:dyDescent="0.45">
      <c r="A679" s="62" t="s">
        <v>384</v>
      </c>
      <c r="B679" s="63"/>
      <c r="C679" s="63"/>
      <c r="D679" s="64"/>
      <c r="E679" s="66"/>
      <c r="F679" s="98" t="str">
        <f>HYPERLINK("https://pbs.twimg.com/profile_images/696502600078852096/xwgwH3JI_normal.jpg")</f>
        <v>https://pbs.twimg.com/profile_images/696502600078852096/xwgwH3JI_normal.jpg</v>
      </c>
      <c r="G679" s="63"/>
      <c r="H679" s="67"/>
      <c r="I679" s="68"/>
      <c r="J679" s="68"/>
      <c r="K679" s="67" t="s">
        <v>9630</v>
      </c>
      <c r="L679" s="71"/>
      <c r="M679" s="72"/>
      <c r="N679" s="72"/>
      <c r="O679" s="73"/>
      <c r="P679" s="74"/>
      <c r="Q679" s="74"/>
      <c r="R679" s="81"/>
      <c r="S679" s="81"/>
      <c r="T679" s="81"/>
      <c r="U679" s="81"/>
      <c r="V679" s="48"/>
      <c r="W679" s="48"/>
      <c r="X679" s="48"/>
      <c r="Y679" s="48"/>
      <c r="Z679" s="47"/>
      <c r="AA679" s="69"/>
      <c r="AB679" s="69"/>
      <c r="AC679" s="70"/>
      <c r="AD679" t="s">
        <v>5323</v>
      </c>
      <c r="AE679" s="78" t="s">
        <v>4688</v>
      </c>
      <c r="AF679">
        <v>838</v>
      </c>
      <c r="AG679">
        <v>1211</v>
      </c>
      <c r="AH679">
        <v>22255</v>
      </c>
      <c r="AI679">
        <v>36493</v>
      </c>
      <c r="AK679" t="s">
        <v>7776</v>
      </c>
      <c r="AL679" t="s">
        <v>4899</v>
      </c>
      <c r="AM679" s="79" t="str">
        <f>HYPERLINK("https://t.co/JKAptVYcaH")</f>
        <v>https://t.co/JKAptVYcaH</v>
      </c>
      <c r="AO679" s="76">
        <v>42212.725821759261</v>
      </c>
      <c r="AP679" s="79" t="str">
        <f>HYPERLINK("https://pbs.twimg.com/profile_banners/3298226894/1599373680")</f>
        <v>https://pbs.twimg.com/profile_banners/3298226894/1599373680</v>
      </c>
      <c r="AQ679" t="b">
        <v>0</v>
      </c>
      <c r="AR679" t="b">
        <v>0</v>
      </c>
      <c r="AS679" t="b">
        <v>1</v>
      </c>
      <c r="AU679">
        <v>31</v>
      </c>
      <c r="AV679" s="79" t="str">
        <f>HYPERLINK("https://abs.twimg.com/images/themes/theme1/bg.png")</f>
        <v>https://abs.twimg.com/images/themes/theme1/bg.png</v>
      </c>
      <c r="AW679" t="b">
        <v>0</v>
      </c>
      <c r="AX679" t="s">
        <v>9303</v>
      </c>
      <c r="AY679" s="79" t="str">
        <f>HYPERLINK("https://twitter.com/themarkening")</f>
        <v>https://twitter.com/themarkening</v>
      </c>
      <c r="AZ679" t="s">
        <v>66</v>
      </c>
      <c r="BA679" s="2"/>
    </row>
    <row r="680" spans="1:53" x14ac:dyDescent="0.45">
      <c r="A680" s="62" t="s">
        <v>1389</v>
      </c>
      <c r="B680" s="63"/>
      <c r="C680" s="63"/>
      <c r="D680" s="64"/>
      <c r="E680" s="66"/>
      <c r="F680" s="98" t="str">
        <f>HYPERLINK("https://pbs.twimg.com/profile_images/1410668402298003459/uLYj0jR4_normal.jpg")</f>
        <v>https://pbs.twimg.com/profile_images/1410668402298003459/uLYj0jR4_normal.jpg</v>
      </c>
      <c r="G680" s="63"/>
      <c r="H680" s="67"/>
      <c r="I680" s="68"/>
      <c r="J680" s="68"/>
      <c r="K680" s="67" t="s">
        <v>10195</v>
      </c>
      <c r="L680" s="71"/>
      <c r="M680" s="72"/>
      <c r="N680" s="72"/>
      <c r="O680" s="73"/>
      <c r="P680" s="74"/>
      <c r="Q680" s="74"/>
      <c r="R680" s="81"/>
      <c r="S680" s="81"/>
      <c r="T680" s="81"/>
      <c r="U680" s="81"/>
      <c r="V680" s="48"/>
      <c r="W680" s="48"/>
      <c r="X680" s="48"/>
      <c r="Y680" s="48"/>
      <c r="Z680" s="47"/>
      <c r="AA680" s="69"/>
      <c r="AB680" s="69"/>
      <c r="AC680" s="70"/>
      <c r="AD680" t="s">
        <v>5879</v>
      </c>
      <c r="AE680" s="78" t="s">
        <v>7100</v>
      </c>
      <c r="AF680">
        <v>1</v>
      </c>
      <c r="AG680">
        <v>1205</v>
      </c>
      <c r="AH680">
        <v>10824</v>
      </c>
      <c r="AI680">
        <v>16</v>
      </c>
      <c r="AK680" t="s">
        <v>8266</v>
      </c>
      <c r="AL680" t="s">
        <v>8784</v>
      </c>
      <c r="AO680" s="76">
        <v>44166.73269675926</v>
      </c>
      <c r="AP680" s="79" t="str">
        <f>HYPERLINK("https://pbs.twimg.com/profile_banners/1333826721473236993/1610666941")</f>
        <v>https://pbs.twimg.com/profile_banners/1333826721473236993/1610666941</v>
      </c>
      <c r="AQ680" t="b">
        <v>1</v>
      </c>
      <c r="AR680" t="b">
        <v>0</v>
      </c>
      <c r="AS680" t="b">
        <v>0</v>
      </c>
      <c r="AU680">
        <v>1</v>
      </c>
      <c r="AW680" t="b">
        <v>1</v>
      </c>
      <c r="AX680" t="s">
        <v>9303</v>
      </c>
      <c r="AY680" s="79" t="str">
        <f>HYPERLINK("https://twitter.com/samsclubhelp")</f>
        <v>https://twitter.com/samsclubhelp</v>
      </c>
      <c r="AZ680" t="s">
        <v>65</v>
      </c>
      <c r="BA680" s="2"/>
    </row>
    <row r="681" spans="1:53" x14ac:dyDescent="0.45">
      <c r="A681" s="62" t="s">
        <v>1274</v>
      </c>
      <c r="B681" s="63"/>
      <c r="C681" s="63"/>
      <c r="D681" s="64"/>
      <c r="E681" s="66"/>
      <c r="F681" s="98" t="str">
        <f>HYPERLINK("https://pbs.twimg.com/profile_images/902637999841697792/8QDYk_gB_normal.jpg")</f>
        <v>https://pbs.twimg.com/profile_images/902637999841697792/8QDYk_gB_normal.jpg</v>
      </c>
      <c r="G681" s="63"/>
      <c r="H681" s="67"/>
      <c r="I681" s="68"/>
      <c r="J681" s="68"/>
      <c r="K681" s="67" t="s">
        <v>9738</v>
      </c>
      <c r="L681" s="71"/>
      <c r="M681" s="72"/>
      <c r="N681" s="72"/>
      <c r="O681" s="73"/>
      <c r="P681" s="74"/>
      <c r="Q681" s="74"/>
      <c r="R681" s="81"/>
      <c r="S681" s="81"/>
      <c r="T681" s="81"/>
      <c r="U681" s="81"/>
      <c r="V681" s="48"/>
      <c r="W681" s="48"/>
      <c r="X681" s="48"/>
      <c r="Y681" s="48"/>
      <c r="Z681" s="47"/>
      <c r="AA681" s="69"/>
      <c r="AB681" s="69"/>
      <c r="AC681" s="70"/>
      <c r="AD681" t="s">
        <v>5430</v>
      </c>
      <c r="AE681" s="78" t="s">
        <v>6699</v>
      </c>
      <c r="AF681">
        <v>585</v>
      </c>
      <c r="AG681">
        <v>1188</v>
      </c>
      <c r="AH681">
        <v>2235</v>
      </c>
      <c r="AI681">
        <v>1689</v>
      </c>
      <c r="AK681" t="s">
        <v>7868</v>
      </c>
      <c r="AL681" t="s">
        <v>4973</v>
      </c>
      <c r="AM681" s="79" t="str">
        <f>HYPERLINK("http://t.co/SRH3b0zDHe")</f>
        <v>http://t.co/SRH3b0zDHe</v>
      </c>
      <c r="AO681" s="76">
        <v>40940.780057870368</v>
      </c>
      <c r="AP681" s="79" t="str">
        <f>HYPERLINK("https://pbs.twimg.com/profile_banners/480645245/1568305257")</f>
        <v>https://pbs.twimg.com/profile_banners/480645245/1568305257</v>
      </c>
      <c r="AQ681" t="b">
        <v>1</v>
      </c>
      <c r="AR681" t="b">
        <v>0</v>
      </c>
      <c r="AS681" t="b">
        <v>0</v>
      </c>
      <c r="AU681">
        <v>33</v>
      </c>
      <c r="AV681" s="79" t="str">
        <f>HYPERLINK("https://abs.twimg.com/images/themes/theme1/bg.png")</f>
        <v>https://abs.twimg.com/images/themes/theme1/bg.png</v>
      </c>
      <c r="AW681" t="b">
        <v>0</v>
      </c>
      <c r="AX681" t="s">
        <v>9303</v>
      </c>
      <c r="AY681" s="79" t="str">
        <f>HYPERLINK("https://twitter.com/cybelesfte")</f>
        <v>https://twitter.com/cybelesfte</v>
      </c>
      <c r="AZ681" t="s">
        <v>65</v>
      </c>
      <c r="BA681" s="2"/>
    </row>
    <row r="682" spans="1:53" x14ac:dyDescent="0.45">
      <c r="A682" s="62" t="s">
        <v>813</v>
      </c>
      <c r="B682" s="63"/>
      <c r="C682" s="63"/>
      <c r="D682" s="64"/>
      <c r="E682" s="66"/>
      <c r="F682" s="98" t="str">
        <f>HYPERLINK("https://pbs.twimg.com/profile_images/1619546011122429953/am4WM1s5_normal.jpg")</f>
        <v>https://pbs.twimg.com/profile_images/1619546011122429953/am4WM1s5_normal.jpg</v>
      </c>
      <c r="G682" s="63"/>
      <c r="H682" s="67"/>
      <c r="I682" s="68"/>
      <c r="J682" s="68"/>
      <c r="K682" s="67" t="s">
        <v>10197</v>
      </c>
      <c r="L682" s="71"/>
      <c r="M682" s="72"/>
      <c r="N682" s="72"/>
      <c r="O682" s="73"/>
      <c r="P682" s="74"/>
      <c r="Q682" s="74"/>
      <c r="R682" s="81"/>
      <c r="S682" s="81"/>
      <c r="T682" s="81"/>
      <c r="U682" s="81"/>
      <c r="V682" s="48"/>
      <c r="W682" s="48"/>
      <c r="X682" s="48"/>
      <c r="Y682" s="48"/>
      <c r="Z682" s="47"/>
      <c r="AA682" s="69"/>
      <c r="AB682" s="69"/>
      <c r="AC682" s="70"/>
      <c r="AD682" t="s">
        <v>5881</v>
      </c>
      <c r="AE682" s="78" t="s">
        <v>7102</v>
      </c>
      <c r="AF682">
        <v>1025</v>
      </c>
      <c r="AG682">
        <v>1183</v>
      </c>
      <c r="AH682">
        <v>93707</v>
      </c>
      <c r="AI682">
        <v>227063</v>
      </c>
      <c r="AK682" t="s">
        <v>8267</v>
      </c>
      <c r="AL682" t="s">
        <v>9117</v>
      </c>
      <c r="AM682" s="79" t="str">
        <f>HYPERLINK("https://t.co/9VOb3FfMuL")</f>
        <v>https://t.co/9VOb3FfMuL</v>
      </c>
      <c r="AO682" s="76">
        <v>42907.810960648145</v>
      </c>
      <c r="AP682" s="79" t="str">
        <f>HYPERLINK("https://pbs.twimg.com/profile_banners/877609009771155456/1674964903")</f>
        <v>https://pbs.twimg.com/profile_banners/877609009771155456/1674964903</v>
      </c>
      <c r="AQ682" t="b">
        <v>1</v>
      </c>
      <c r="AR682" t="b">
        <v>0</v>
      </c>
      <c r="AS682" t="b">
        <v>0</v>
      </c>
      <c r="AU682">
        <v>9</v>
      </c>
      <c r="AW682" t="b">
        <v>0</v>
      </c>
      <c r="AX682" t="s">
        <v>9303</v>
      </c>
      <c r="AY682" s="79" t="str">
        <f>HYPERLINK("https://twitter.com/silvrscrnqueen")</f>
        <v>https://twitter.com/silvrscrnqueen</v>
      </c>
      <c r="AZ682" t="s">
        <v>66</v>
      </c>
      <c r="BA682" s="2"/>
    </row>
    <row r="683" spans="1:53" x14ac:dyDescent="0.45">
      <c r="A683" s="62" t="s">
        <v>1279</v>
      </c>
      <c r="B683" s="63"/>
      <c r="C683" s="63"/>
      <c r="D683" s="64"/>
      <c r="E683" s="66"/>
      <c r="F683" s="98" t="str">
        <f>HYPERLINK("https://pbs.twimg.com/profile_images/1620479054238326785/1WbhGixh_normal.jpg")</f>
        <v>https://pbs.twimg.com/profile_images/1620479054238326785/1WbhGixh_normal.jpg</v>
      </c>
      <c r="G683" s="63"/>
      <c r="H683" s="67"/>
      <c r="I683" s="68"/>
      <c r="J683" s="68"/>
      <c r="K683" s="67" t="s">
        <v>9770</v>
      </c>
      <c r="L683" s="71"/>
      <c r="M683" s="72"/>
      <c r="N683" s="72"/>
      <c r="O683" s="73"/>
      <c r="P683" s="74"/>
      <c r="Q683" s="74"/>
      <c r="R683" s="81"/>
      <c r="S683" s="81"/>
      <c r="T683" s="81"/>
      <c r="U683" s="81"/>
      <c r="V683" s="48"/>
      <c r="W683" s="48"/>
      <c r="X683" s="48"/>
      <c r="Y683" s="48"/>
      <c r="Z683" s="47"/>
      <c r="AA683" s="69"/>
      <c r="AB683" s="69"/>
      <c r="AC683" s="70"/>
      <c r="AD683" t="s">
        <v>5462</v>
      </c>
      <c r="AE683" s="78" t="s">
        <v>4704</v>
      </c>
      <c r="AF683">
        <v>958</v>
      </c>
      <c r="AG683">
        <v>1180</v>
      </c>
      <c r="AH683">
        <v>25457</v>
      </c>
      <c r="AI683">
        <v>7121</v>
      </c>
      <c r="AK683" t="s">
        <v>7894</v>
      </c>
      <c r="AL683" t="s">
        <v>8909</v>
      </c>
      <c r="AO683" s="76">
        <v>40958.805625000001</v>
      </c>
      <c r="AP683" s="79" t="str">
        <f>HYPERLINK("https://pbs.twimg.com/profile_banners/497230940/1675187230")</f>
        <v>https://pbs.twimg.com/profile_banners/497230940/1675187230</v>
      </c>
      <c r="AQ683" t="b">
        <v>0</v>
      </c>
      <c r="AR683" t="b">
        <v>0</v>
      </c>
      <c r="AS683" t="b">
        <v>0</v>
      </c>
      <c r="AU683">
        <v>7</v>
      </c>
      <c r="AV683" s="79" t="str">
        <f>HYPERLINK("https://abs.twimg.com/images/themes/theme1/bg.png")</f>
        <v>https://abs.twimg.com/images/themes/theme1/bg.png</v>
      </c>
      <c r="AW683" t="b">
        <v>0</v>
      </c>
      <c r="AX683" t="s">
        <v>9303</v>
      </c>
      <c r="AY683" s="79" t="str">
        <f>HYPERLINK("https://twitter.com/sid_rooney")</f>
        <v>https://twitter.com/sid_rooney</v>
      </c>
      <c r="AZ683" t="s">
        <v>65</v>
      </c>
      <c r="BA683" s="2"/>
    </row>
    <row r="684" spans="1:53" x14ac:dyDescent="0.45">
      <c r="A684" s="62" t="s">
        <v>317</v>
      </c>
      <c r="B684" s="63"/>
      <c r="C684" s="63"/>
      <c r="D684" s="64"/>
      <c r="E684" s="66"/>
      <c r="F684" s="98" t="str">
        <f>HYPERLINK("https://pbs.twimg.com/profile_images/1572360878908907521/5T2XbvWB_normal.jpg")</f>
        <v>https://pbs.twimg.com/profile_images/1572360878908907521/5T2XbvWB_normal.jpg</v>
      </c>
      <c r="G684" s="63"/>
      <c r="H684" s="67"/>
      <c r="I684" s="68"/>
      <c r="J684" s="68"/>
      <c r="K684" s="67" t="s">
        <v>9516</v>
      </c>
      <c r="L684" s="71"/>
      <c r="M684" s="72"/>
      <c r="N684" s="72"/>
      <c r="O684" s="73"/>
      <c r="P684" s="74"/>
      <c r="Q684" s="74"/>
      <c r="R684" s="81"/>
      <c r="S684" s="81"/>
      <c r="T684" s="81"/>
      <c r="U684" s="81"/>
      <c r="V684" s="48"/>
      <c r="W684" s="48"/>
      <c r="X684" s="48"/>
      <c r="Y684" s="48"/>
      <c r="Z684" s="47"/>
      <c r="AA684" s="69"/>
      <c r="AB684" s="69"/>
      <c r="AC684" s="70"/>
      <c r="AD684" t="s">
        <v>5210</v>
      </c>
      <c r="AE684" s="78" t="s">
        <v>6500</v>
      </c>
      <c r="AF684">
        <v>1134</v>
      </c>
      <c r="AG684">
        <v>1171</v>
      </c>
      <c r="AH684">
        <v>90528</v>
      </c>
      <c r="AI684">
        <v>22437</v>
      </c>
      <c r="AK684" t="s">
        <v>7680</v>
      </c>
      <c r="AL684" t="s">
        <v>8793</v>
      </c>
      <c r="AM684" s="79" t="str">
        <f>HYPERLINK("https://t.co/yzF2kNDAEV")</f>
        <v>https://t.co/yzF2kNDAEV</v>
      </c>
      <c r="AO684" s="76">
        <v>40661.910844907405</v>
      </c>
      <c r="AP684" s="79" t="str">
        <f>HYPERLINK("https://pbs.twimg.com/profile_banners/289573362/1675206987")</f>
        <v>https://pbs.twimg.com/profile_banners/289573362/1675206987</v>
      </c>
      <c r="AQ684" t="b">
        <v>0</v>
      </c>
      <c r="AR684" t="b">
        <v>0</v>
      </c>
      <c r="AS684" t="b">
        <v>1</v>
      </c>
      <c r="AU684">
        <v>457</v>
      </c>
      <c r="AV684" s="79" t="str">
        <f>HYPERLINK("https://abs.twimg.com/images/themes/theme19/bg.gif")</f>
        <v>https://abs.twimg.com/images/themes/theme19/bg.gif</v>
      </c>
      <c r="AW684" t="b">
        <v>0</v>
      </c>
      <c r="AX684" t="s">
        <v>9303</v>
      </c>
      <c r="AY684" s="79" t="str">
        <f>HYPERLINK("https://twitter.com/rhondajflanagan")</f>
        <v>https://twitter.com/rhondajflanagan</v>
      </c>
      <c r="AZ684" t="s">
        <v>66</v>
      </c>
      <c r="BA684" s="2"/>
    </row>
    <row r="685" spans="1:53" x14ac:dyDescent="0.45">
      <c r="A685" s="62" t="s">
        <v>650</v>
      </c>
      <c r="B685" s="63"/>
      <c r="C685" s="63"/>
      <c r="D685" s="64"/>
      <c r="E685" s="66"/>
      <c r="F685" s="98" t="str">
        <f>HYPERLINK("https://pbs.twimg.com/profile_images/1587627463751892993/pKIIHFUc_normal.jpg")</f>
        <v>https://pbs.twimg.com/profile_images/1587627463751892993/pKIIHFUc_normal.jpg</v>
      </c>
      <c r="G685" s="63"/>
      <c r="H685" s="67"/>
      <c r="I685" s="68"/>
      <c r="J685" s="68"/>
      <c r="K685" s="67" t="s">
        <v>9961</v>
      </c>
      <c r="L685" s="71"/>
      <c r="M685" s="72"/>
      <c r="N685" s="72"/>
      <c r="O685" s="73"/>
      <c r="P685" s="74"/>
      <c r="Q685" s="74"/>
      <c r="R685" s="81"/>
      <c r="S685" s="81"/>
      <c r="T685" s="81"/>
      <c r="U685" s="81"/>
      <c r="V685" s="48"/>
      <c r="W685" s="48"/>
      <c r="X685" s="48"/>
      <c r="Y685" s="48"/>
      <c r="Z685" s="47"/>
      <c r="AA685" s="69"/>
      <c r="AB685" s="69"/>
      <c r="AC685" s="70"/>
      <c r="AD685" t="s">
        <v>5652</v>
      </c>
      <c r="AE685" s="78" t="s">
        <v>6894</v>
      </c>
      <c r="AF685">
        <v>1387</v>
      </c>
      <c r="AG685">
        <v>1165</v>
      </c>
      <c r="AH685">
        <v>22650</v>
      </c>
      <c r="AI685">
        <v>52514</v>
      </c>
      <c r="AK685" t="s">
        <v>8063</v>
      </c>
      <c r="AL685" t="s">
        <v>9018</v>
      </c>
      <c r="AO685" s="76">
        <v>43542.981504629628</v>
      </c>
      <c r="AP685" s="79" t="str">
        <f>HYPERLINK("https://pbs.twimg.com/profile_banners/1107787104170508288/1650500059")</f>
        <v>https://pbs.twimg.com/profile_banners/1107787104170508288/1650500059</v>
      </c>
      <c r="AQ685" t="b">
        <v>1</v>
      </c>
      <c r="AR685" t="b">
        <v>0</v>
      </c>
      <c r="AS685" t="b">
        <v>1</v>
      </c>
      <c r="AU685">
        <v>0</v>
      </c>
      <c r="AW685" t="b">
        <v>0</v>
      </c>
      <c r="AX685" t="s">
        <v>9303</v>
      </c>
      <c r="AY685" s="79" t="str">
        <f>HYPERLINK("https://twitter.com/stpetemomma")</f>
        <v>https://twitter.com/stpetemomma</v>
      </c>
      <c r="AZ685" t="s">
        <v>66</v>
      </c>
      <c r="BA685" s="2"/>
    </row>
    <row r="686" spans="1:53" x14ac:dyDescent="0.45">
      <c r="A686" s="62" t="s">
        <v>427</v>
      </c>
      <c r="B686" s="63"/>
      <c r="C686" s="63"/>
      <c r="D686" s="64"/>
      <c r="E686" s="66"/>
      <c r="F686" s="98" t="str">
        <f>HYPERLINK("https://pbs.twimg.com/profile_images/1526018347359514625/pHc89YPH_normal.jpg")</f>
        <v>https://pbs.twimg.com/profile_images/1526018347359514625/pHc89YPH_normal.jpg</v>
      </c>
      <c r="G686" s="63"/>
      <c r="H686" s="67"/>
      <c r="I686" s="68"/>
      <c r="J686" s="68"/>
      <c r="K686" s="67" t="s">
        <v>9679</v>
      </c>
      <c r="L686" s="71"/>
      <c r="M686" s="72"/>
      <c r="N686" s="72"/>
      <c r="O686" s="73"/>
      <c r="P686" s="74"/>
      <c r="Q686" s="74"/>
      <c r="R686" s="81"/>
      <c r="S686" s="81"/>
      <c r="T686" s="81"/>
      <c r="U686" s="81"/>
      <c r="V686" s="48"/>
      <c r="W686" s="48"/>
      <c r="X686" s="48"/>
      <c r="Y686" s="48"/>
      <c r="Z686" s="47"/>
      <c r="AA686" s="69"/>
      <c r="AB686" s="69"/>
      <c r="AC686" s="70"/>
      <c r="AD686" t="s">
        <v>5372</v>
      </c>
      <c r="AE686" s="78" t="s">
        <v>6645</v>
      </c>
      <c r="AF686">
        <v>768</v>
      </c>
      <c r="AG686">
        <v>1162</v>
      </c>
      <c r="AH686">
        <v>71846</v>
      </c>
      <c r="AI686">
        <v>78456</v>
      </c>
      <c r="AK686" t="s">
        <v>7820</v>
      </c>
      <c r="AO686" s="76">
        <v>43240.102395833332</v>
      </c>
      <c r="AP686" s="79" t="str">
        <f>HYPERLINK("https://pbs.twimg.com/profile_banners/998027392663859200/1652666111")</f>
        <v>https://pbs.twimg.com/profile_banners/998027392663859200/1652666111</v>
      </c>
      <c r="AQ686" t="b">
        <v>0</v>
      </c>
      <c r="AR686" t="b">
        <v>0</v>
      </c>
      <c r="AS686" t="b">
        <v>0</v>
      </c>
      <c r="AU686">
        <v>4</v>
      </c>
      <c r="AV686" s="79" t="str">
        <f>HYPERLINK("https://abs.twimg.com/images/themes/theme1/bg.png")</f>
        <v>https://abs.twimg.com/images/themes/theme1/bg.png</v>
      </c>
      <c r="AW686" t="b">
        <v>0</v>
      </c>
      <c r="AX686" t="s">
        <v>9303</v>
      </c>
      <c r="AY686" s="79" t="str">
        <f>HYPERLINK("https://twitter.com/smilervoticat")</f>
        <v>https://twitter.com/smilervoticat</v>
      </c>
      <c r="AZ686" t="s">
        <v>66</v>
      </c>
      <c r="BA686" s="2"/>
    </row>
    <row r="687" spans="1:53" x14ac:dyDescent="0.45">
      <c r="A687" s="62" t="s">
        <v>525</v>
      </c>
      <c r="B687" s="63"/>
      <c r="C687" s="63"/>
      <c r="D687" s="64"/>
      <c r="E687" s="66"/>
      <c r="F687" s="98" t="str">
        <f>HYPERLINK("https://pbs.twimg.com/profile_images/1594026179476045826/L89sMfYM_normal.jpg")</f>
        <v>https://pbs.twimg.com/profile_images/1594026179476045826/L89sMfYM_normal.jpg</v>
      </c>
      <c r="G687" s="63"/>
      <c r="H687" s="67"/>
      <c r="I687" s="68"/>
      <c r="J687" s="68"/>
      <c r="K687" s="67" t="s">
        <v>9816</v>
      </c>
      <c r="L687" s="71"/>
      <c r="M687" s="72"/>
      <c r="N687" s="72"/>
      <c r="O687" s="73"/>
      <c r="P687" s="74"/>
      <c r="Q687" s="74"/>
      <c r="R687" s="81"/>
      <c r="S687" s="81"/>
      <c r="T687" s="81"/>
      <c r="U687" s="81"/>
      <c r="V687" s="48"/>
      <c r="W687" s="48"/>
      <c r="X687" s="48"/>
      <c r="Y687" s="48"/>
      <c r="Z687" s="47"/>
      <c r="AA687" s="69"/>
      <c r="AB687" s="69"/>
      <c r="AC687" s="70"/>
      <c r="AD687" t="s">
        <v>5507</v>
      </c>
      <c r="AE687" s="78" t="s">
        <v>6760</v>
      </c>
      <c r="AF687">
        <v>1163</v>
      </c>
      <c r="AG687">
        <v>1161</v>
      </c>
      <c r="AH687">
        <v>12039</v>
      </c>
      <c r="AI687">
        <v>24399</v>
      </c>
      <c r="AK687" t="s">
        <v>7935</v>
      </c>
      <c r="AL687" t="s">
        <v>8930</v>
      </c>
      <c r="AO687" s="76">
        <v>44396.012175925927</v>
      </c>
      <c r="AP687" s="79" t="str">
        <f>HYPERLINK("https://pbs.twimg.com/profile_banners/1416915012552114183/1674281588")</f>
        <v>https://pbs.twimg.com/profile_banners/1416915012552114183/1674281588</v>
      </c>
      <c r="AQ687" t="b">
        <v>1</v>
      </c>
      <c r="AR687" t="b">
        <v>0</v>
      </c>
      <c r="AS687" t="b">
        <v>0</v>
      </c>
      <c r="AU687">
        <v>6</v>
      </c>
      <c r="AW687" t="b">
        <v>0</v>
      </c>
      <c r="AX687" t="s">
        <v>9303</v>
      </c>
      <c r="AY687" s="79" t="str">
        <f>HYPERLINK("https://twitter.com/night_crawlingx")</f>
        <v>https://twitter.com/night_crawlingx</v>
      </c>
      <c r="AZ687" t="s">
        <v>66</v>
      </c>
      <c r="BA687" s="2"/>
    </row>
    <row r="688" spans="1:53" x14ac:dyDescent="0.45">
      <c r="A688" s="62" t="s">
        <v>1465</v>
      </c>
      <c r="B688" s="63"/>
      <c r="C688" s="63"/>
      <c r="D688" s="64"/>
      <c r="E688" s="66"/>
      <c r="F688" s="98" t="str">
        <f>HYPERLINK("https://pbs.twimg.com/profile_images/1521521398837129217/uvzhqq8f_normal.jpg")</f>
        <v>https://pbs.twimg.com/profile_images/1521521398837129217/uvzhqq8f_normal.jpg</v>
      </c>
      <c r="G688" s="63"/>
      <c r="H688" s="67"/>
      <c r="I688" s="68"/>
      <c r="J688" s="68"/>
      <c r="K688" s="67" t="s">
        <v>10412</v>
      </c>
      <c r="L688" s="71"/>
      <c r="M688" s="72"/>
      <c r="N688" s="72"/>
      <c r="O688" s="73"/>
      <c r="P688" s="74"/>
      <c r="Q688" s="74"/>
      <c r="R688" s="81"/>
      <c r="S688" s="81"/>
      <c r="T688" s="81"/>
      <c r="U688" s="81"/>
      <c r="V688" s="48"/>
      <c r="W688" s="48"/>
      <c r="X688" s="48"/>
      <c r="Y688" s="48"/>
      <c r="Z688" s="47"/>
      <c r="AA688" s="69"/>
      <c r="AB688" s="69"/>
      <c r="AC688" s="70"/>
      <c r="AD688" t="s">
        <v>6094</v>
      </c>
      <c r="AE688" s="78" t="s">
        <v>4779</v>
      </c>
      <c r="AF688">
        <v>764</v>
      </c>
      <c r="AG688">
        <v>1132</v>
      </c>
      <c r="AH688">
        <v>3157</v>
      </c>
      <c r="AI688">
        <v>10829</v>
      </c>
      <c r="AK688" t="s">
        <v>8456</v>
      </c>
      <c r="AL688" t="s">
        <v>9204</v>
      </c>
      <c r="AO688" s="76">
        <v>44470.840821759259</v>
      </c>
      <c r="AQ688" t="b">
        <v>1</v>
      </c>
      <c r="AR688" t="b">
        <v>0</v>
      </c>
      <c r="AS688" t="b">
        <v>1</v>
      </c>
      <c r="AU688">
        <v>0</v>
      </c>
      <c r="AW688" t="b">
        <v>0</v>
      </c>
      <c r="AX688" t="s">
        <v>9303</v>
      </c>
      <c r="AY688" s="79" t="str">
        <f>HYPERLINK("https://twitter.com/douglas_laster")</f>
        <v>https://twitter.com/douglas_laster</v>
      </c>
      <c r="AZ688" t="s">
        <v>65</v>
      </c>
      <c r="BA688" s="2"/>
    </row>
    <row r="689" spans="1:53" x14ac:dyDescent="0.45">
      <c r="A689" s="62" t="s">
        <v>605</v>
      </c>
      <c r="B689" s="63"/>
      <c r="C689" s="63"/>
      <c r="D689" s="64"/>
      <c r="E689" s="66"/>
      <c r="F689" s="98" t="str">
        <f>HYPERLINK("https://pbs.twimg.com/profile_images/1618634674275852297/zP5bgJ5g_normal.jpg")</f>
        <v>https://pbs.twimg.com/profile_images/1618634674275852297/zP5bgJ5g_normal.jpg</v>
      </c>
      <c r="G689" s="63"/>
      <c r="H689" s="67"/>
      <c r="I689" s="68"/>
      <c r="J689" s="68"/>
      <c r="K689" s="67" t="s">
        <v>9903</v>
      </c>
      <c r="L689" s="71"/>
      <c r="M689" s="72"/>
      <c r="N689" s="72"/>
      <c r="O689" s="73"/>
      <c r="P689" s="74"/>
      <c r="Q689" s="74"/>
      <c r="R689" s="81"/>
      <c r="S689" s="81"/>
      <c r="T689" s="81"/>
      <c r="U689" s="81"/>
      <c r="V689" s="48"/>
      <c r="W689" s="48"/>
      <c r="X689" s="48"/>
      <c r="Y689" s="48"/>
      <c r="Z689" s="47"/>
      <c r="AA689" s="69"/>
      <c r="AB689" s="69"/>
      <c r="AC689" s="70"/>
      <c r="AD689" t="s">
        <v>5594</v>
      </c>
      <c r="AE689" s="78" t="s">
        <v>4717</v>
      </c>
      <c r="AF689">
        <v>1055</v>
      </c>
      <c r="AG689">
        <v>1130</v>
      </c>
      <c r="AH689">
        <v>29340</v>
      </c>
      <c r="AI689">
        <v>68898</v>
      </c>
      <c r="AK689" t="s">
        <v>8017</v>
      </c>
      <c r="AL689" t="s">
        <v>8986</v>
      </c>
      <c r="AM689" s="79" t="str">
        <f>HYPERLINK("https://t.co/s4w70rpl3A")</f>
        <v>https://t.co/s4w70rpl3A</v>
      </c>
      <c r="AO689" s="76">
        <v>43634.764861111114</v>
      </c>
      <c r="AP689" s="79" t="str">
        <f>HYPERLINK("https://pbs.twimg.com/profile_banners/1141048279616151553/1672844349")</f>
        <v>https://pbs.twimg.com/profile_banners/1141048279616151553/1672844349</v>
      </c>
      <c r="AQ689" t="b">
        <v>1</v>
      </c>
      <c r="AR689" t="b">
        <v>0</v>
      </c>
      <c r="AS689" t="b">
        <v>0</v>
      </c>
      <c r="AU689">
        <v>8</v>
      </c>
      <c r="AW689" t="b">
        <v>0</v>
      </c>
      <c r="AX689" t="s">
        <v>9303</v>
      </c>
      <c r="AY689" s="79" t="str">
        <f>HYPERLINK("https://twitter.com/dramasimmy")</f>
        <v>https://twitter.com/dramasimmy</v>
      </c>
      <c r="AZ689" t="s">
        <v>66</v>
      </c>
      <c r="BA689" s="2"/>
    </row>
    <row r="690" spans="1:53" x14ac:dyDescent="0.45">
      <c r="A690" s="62" t="s">
        <v>793</v>
      </c>
      <c r="B690" s="63"/>
      <c r="C690" s="63"/>
      <c r="D690" s="64"/>
      <c r="E690" s="66"/>
      <c r="F690" s="98" t="str">
        <f>HYPERLINK("https://pbs.twimg.com/profile_images/1607517284360241153/VcKb77q1_normal.jpg")</f>
        <v>https://pbs.twimg.com/profile_images/1607517284360241153/VcKb77q1_normal.jpg</v>
      </c>
      <c r="G690" s="63"/>
      <c r="H690" s="67"/>
      <c r="I690" s="68"/>
      <c r="J690" s="68"/>
      <c r="K690" s="67" t="s">
        <v>10162</v>
      </c>
      <c r="L690" s="71"/>
      <c r="M690" s="72"/>
      <c r="N690" s="72"/>
      <c r="O690" s="73"/>
      <c r="P690" s="74"/>
      <c r="Q690" s="74"/>
      <c r="R690" s="81"/>
      <c r="S690" s="81"/>
      <c r="T690" s="81"/>
      <c r="U690" s="81"/>
      <c r="V690" s="48"/>
      <c r="W690" s="48"/>
      <c r="X690" s="48"/>
      <c r="Y690" s="48"/>
      <c r="Z690" s="47"/>
      <c r="AA690" s="69"/>
      <c r="AB690" s="69"/>
      <c r="AC690" s="70"/>
      <c r="AD690" t="s">
        <v>5848</v>
      </c>
      <c r="AE690" s="78" t="s">
        <v>7073</v>
      </c>
      <c r="AF690">
        <v>2156</v>
      </c>
      <c r="AG690">
        <v>1130</v>
      </c>
      <c r="AH690">
        <v>14349</v>
      </c>
      <c r="AI690">
        <v>72273</v>
      </c>
      <c r="AK690" t="s">
        <v>8238</v>
      </c>
      <c r="AL690" t="s">
        <v>8797</v>
      </c>
      <c r="AO690" s="76">
        <v>40794.086435185185</v>
      </c>
      <c r="AP690" s="79" t="str">
        <f>HYPERLINK("https://pbs.twimg.com/profile_banners/369857771/1386127182")</f>
        <v>https://pbs.twimg.com/profile_banners/369857771/1386127182</v>
      </c>
      <c r="AQ690" t="b">
        <v>0</v>
      </c>
      <c r="AR690" t="b">
        <v>0</v>
      </c>
      <c r="AS690" t="b">
        <v>1</v>
      </c>
      <c r="AU690">
        <v>8</v>
      </c>
      <c r="AV690" s="79" t="str">
        <f>HYPERLINK("https://abs.twimg.com/images/themes/theme19/bg.gif")</f>
        <v>https://abs.twimg.com/images/themes/theme19/bg.gif</v>
      </c>
      <c r="AW690" t="b">
        <v>0</v>
      </c>
      <c r="AX690" t="s">
        <v>9303</v>
      </c>
      <c r="AY690" s="79" t="str">
        <f>HYPERLINK("https://twitter.com/darcevader66")</f>
        <v>https://twitter.com/darcevader66</v>
      </c>
      <c r="AZ690" t="s">
        <v>66</v>
      </c>
      <c r="BA690" s="2"/>
    </row>
    <row r="691" spans="1:53" x14ac:dyDescent="0.45">
      <c r="A691" s="62" t="s">
        <v>454</v>
      </c>
      <c r="B691" s="63"/>
      <c r="C691" s="63"/>
      <c r="D691" s="64"/>
      <c r="E691" s="66"/>
      <c r="F691" s="98" t="str">
        <f>HYPERLINK("https://pbs.twimg.com/profile_images/1613624139301982233/TGVnOeFS_normal.jpg")</f>
        <v>https://pbs.twimg.com/profile_images/1613624139301982233/TGVnOeFS_normal.jpg</v>
      </c>
      <c r="G691" s="63"/>
      <c r="H691" s="67"/>
      <c r="I691" s="68"/>
      <c r="J691" s="68"/>
      <c r="K691" s="67" t="s">
        <v>9720</v>
      </c>
      <c r="L691" s="71"/>
      <c r="M691" s="72"/>
      <c r="N691" s="72"/>
      <c r="O691" s="73"/>
      <c r="P691" s="74"/>
      <c r="Q691" s="74"/>
      <c r="R691" s="81"/>
      <c r="S691" s="81"/>
      <c r="T691" s="81"/>
      <c r="U691" s="81"/>
      <c r="V691" s="48"/>
      <c r="W691" s="48"/>
      <c r="X691" s="48"/>
      <c r="Y691" s="48"/>
      <c r="Z691" s="47"/>
      <c r="AA691" s="69"/>
      <c r="AB691" s="69"/>
      <c r="AC691" s="70"/>
      <c r="AD691" t="s">
        <v>5412</v>
      </c>
      <c r="AE691" s="78" t="s">
        <v>6684</v>
      </c>
      <c r="AF691">
        <v>513</v>
      </c>
      <c r="AG691">
        <v>1127</v>
      </c>
      <c r="AH691">
        <v>21042</v>
      </c>
      <c r="AI691">
        <v>38607</v>
      </c>
      <c r="AK691" t="s">
        <v>7852</v>
      </c>
      <c r="AL691" t="s">
        <v>8884</v>
      </c>
      <c r="AM691" s="79" t="str">
        <f>HYPERLINK("https://t.co/bcRyrJbDj7")</f>
        <v>https://t.co/bcRyrJbDj7</v>
      </c>
      <c r="AO691" s="76">
        <v>42837.568391203706</v>
      </c>
      <c r="AP691" s="79" t="str">
        <f>HYPERLINK("https://pbs.twimg.com/profile_banners/852153954796523523/1672936735")</f>
        <v>https://pbs.twimg.com/profile_banners/852153954796523523/1672936735</v>
      </c>
      <c r="AQ691" t="b">
        <v>1</v>
      </c>
      <c r="AR691" t="b">
        <v>0</v>
      </c>
      <c r="AS691" t="b">
        <v>1</v>
      </c>
      <c r="AU691">
        <v>2</v>
      </c>
      <c r="AW691" t="b">
        <v>0</v>
      </c>
      <c r="AX691" t="s">
        <v>9303</v>
      </c>
      <c r="AY691" s="79" t="str">
        <f>HYPERLINK("https://twitter.com/mileyz_smilerz")</f>
        <v>https://twitter.com/mileyz_smilerz</v>
      </c>
      <c r="AZ691" t="s">
        <v>66</v>
      </c>
      <c r="BA691" s="2"/>
    </row>
    <row r="692" spans="1:53" x14ac:dyDescent="0.45">
      <c r="A692" s="62" t="s">
        <v>894</v>
      </c>
      <c r="B692" s="63"/>
      <c r="C692" s="63"/>
      <c r="D692" s="64"/>
      <c r="E692" s="66"/>
      <c r="F692" s="98" t="str">
        <f>HYPERLINK("https://pbs.twimg.com/profile_images/1583538127230144512/YX1V1idT_normal.jpg")</f>
        <v>https://pbs.twimg.com/profile_images/1583538127230144512/YX1V1idT_normal.jpg</v>
      </c>
      <c r="G692" s="63"/>
      <c r="H692" s="67"/>
      <c r="I692" s="68"/>
      <c r="J692" s="68"/>
      <c r="K692" s="67" t="s">
        <v>10308</v>
      </c>
      <c r="L692" s="71"/>
      <c r="M692" s="72"/>
      <c r="N692" s="72"/>
      <c r="O692" s="73"/>
      <c r="P692" s="74"/>
      <c r="Q692" s="74"/>
      <c r="R692" s="81"/>
      <c r="S692" s="81"/>
      <c r="T692" s="81"/>
      <c r="U692" s="81"/>
      <c r="V692" s="48"/>
      <c r="W692" s="48"/>
      <c r="X692" s="48"/>
      <c r="Y692" s="48"/>
      <c r="Z692" s="47"/>
      <c r="AA692" s="69"/>
      <c r="AB692" s="69"/>
      <c r="AC692" s="70"/>
      <c r="AD692" t="s">
        <v>5991</v>
      </c>
      <c r="AE692" s="78" t="s">
        <v>7201</v>
      </c>
      <c r="AF692">
        <v>4972</v>
      </c>
      <c r="AG692">
        <v>1119</v>
      </c>
      <c r="AH692">
        <v>19284</v>
      </c>
      <c r="AI692">
        <v>151726</v>
      </c>
      <c r="AK692" t="s">
        <v>8365</v>
      </c>
      <c r="AL692" t="s">
        <v>9166</v>
      </c>
      <c r="AM692" s="79" t="str">
        <f>HYPERLINK("https://t.co/M2GuCzRVYT")</f>
        <v>https://t.co/M2GuCzRVYT</v>
      </c>
      <c r="AO692" s="76">
        <v>41468.393252314818</v>
      </c>
      <c r="AP692" s="79" t="str">
        <f>HYPERLINK("https://pbs.twimg.com/profile_banners/1590592934/1673617579")</f>
        <v>https://pbs.twimg.com/profile_banners/1590592934/1673617579</v>
      </c>
      <c r="AQ692" t="b">
        <v>0</v>
      </c>
      <c r="AR692" t="b">
        <v>0</v>
      </c>
      <c r="AS692" t="b">
        <v>1</v>
      </c>
      <c r="AU692">
        <v>11</v>
      </c>
      <c r="AV692" s="79" t="str">
        <f>HYPERLINK("https://abs.twimg.com/images/themes/theme1/bg.png")</f>
        <v>https://abs.twimg.com/images/themes/theme1/bg.png</v>
      </c>
      <c r="AW692" t="b">
        <v>0</v>
      </c>
      <c r="AX692" t="s">
        <v>9303</v>
      </c>
      <c r="AY692" s="79" t="str">
        <f>HYPERLINK("https://twitter.com/illiano938")</f>
        <v>https://twitter.com/illiano938</v>
      </c>
      <c r="AZ692" t="s">
        <v>66</v>
      </c>
      <c r="BA692" s="2"/>
    </row>
    <row r="693" spans="1:53" x14ac:dyDescent="0.45">
      <c r="A693" s="62" t="s">
        <v>737</v>
      </c>
      <c r="B693" s="63"/>
      <c r="C693" s="63"/>
      <c r="D693" s="64"/>
      <c r="E693" s="66"/>
      <c r="F693" s="98" t="str">
        <f>HYPERLINK("https://pbs.twimg.com/profile_images/2187498008/photo_2_normal.JPG")</f>
        <v>https://pbs.twimg.com/profile_images/2187498008/photo_2_normal.JPG</v>
      </c>
      <c r="G693" s="63"/>
      <c r="H693" s="67"/>
      <c r="I693" s="68"/>
      <c r="J693" s="68"/>
      <c r="K693" s="67" t="s">
        <v>10085</v>
      </c>
      <c r="L693" s="71"/>
      <c r="M693" s="72"/>
      <c r="N693" s="72"/>
      <c r="O693" s="73"/>
      <c r="P693" s="74"/>
      <c r="Q693" s="74"/>
      <c r="R693" s="81"/>
      <c r="S693" s="81"/>
      <c r="T693" s="81"/>
      <c r="U693" s="81"/>
      <c r="V693" s="48"/>
      <c r="W693" s="48"/>
      <c r="X693" s="48"/>
      <c r="Y693" s="48"/>
      <c r="Z693" s="47"/>
      <c r="AA693" s="69"/>
      <c r="AB693" s="69"/>
      <c r="AC693" s="70"/>
      <c r="AD693" t="s">
        <v>5774</v>
      </c>
      <c r="AE693" s="78" t="s">
        <v>7007</v>
      </c>
      <c r="AF693">
        <v>832</v>
      </c>
      <c r="AG693">
        <v>1116</v>
      </c>
      <c r="AH693">
        <v>87011</v>
      </c>
      <c r="AI693">
        <v>7825</v>
      </c>
      <c r="AK693" t="s">
        <v>8168</v>
      </c>
      <c r="AL693" t="s">
        <v>9072</v>
      </c>
      <c r="AM693" s="79" t="str">
        <f>HYPERLINK("https://t.co/QjFKYJmII7")</f>
        <v>https://t.co/QjFKYJmII7</v>
      </c>
      <c r="AO693" s="76">
        <v>39763.017523148148</v>
      </c>
      <c r="AP693" s="79" t="str">
        <f>HYPERLINK("https://pbs.twimg.com/profile_banners/17298940/1565924548")</f>
        <v>https://pbs.twimg.com/profile_banners/17298940/1565924548</v>
      </c>
      <c r="AQ693" t="b">
        <v>0</v>
      </c>
      <c r="AR693" t="b">
        <v>0</v>
      </c>
      <c r="AS693" t="b">
        <v>1</v>
      </c>
      <c r="AU693">
        <v>69</v>
      </c>
      <c r="AV693" s="79" t="str">
        <f>HYPERLINK("https://abs.twimg.com/images/themes/theme1/bg.png")</f>
        <v>https://abs.twimg.com/images/themes/theme1/bg.png</v>
      </c>
      <c r="AW693" t="b">
        <v>0</v>
      </c>
      <c r="AX693" t="s">
        <v>9303</v>
      </c>
      <c r="AY693" s="79" t="str">
        <f>HYPERLINK("https://twitter.com/tonytouch_28")</f>
        <v>https://twitter.com/tonytouch_28</v>
      </c>
      <c r="AZ693" t="s">
        <v>66</v>
      </c>
      <c r="BA693" s="2"/>
    </row>
    <row r="694" spans="1:53" x14ac:dyDescent="0.45">
      <c r="A694" s="62" t="s">
        <v>988</v>
      </c>
      <c r="B694" s="63"/>
      <c r="C694" s="63"/>
      <c r="D694" s="64"/>
      <c r="E694" s="66"/>
      <c r="F694" s="98" t="str">
        <f>HYPERLINK("https://pbs.twimg.com/profile_images/1557114625677615104/a6thHUIE_normal.jpg")</f>
        <v>https://pbs.twimg.com/profile_images/1557114625677615104/a6thHUIE_normal.jpg</v>
      </c>
      <c r="G694" s="63"/>
      <c r="H694" s="67"/>
      <c r="I694" s="68"/>
      <c r="J694" s="68"/>
      <c r="K694" s="67" t="s">
        <v>10453</v>
      </c>
      <c r="L694" s="71"/>
      <c r="M694" s="72"/>
      <c r="N694" s="72"/>
      <c r="O694" s="73"/>
      <c r="P694" s="74"/>
      <c r="Q694" s="74"/>
      <c r="R694" s="81"/>
      <c r="S694" s="81"/>
      <c r="T694" s="81"/>
      <c r="U694" s="81"/>
      <c r="V694" s="48"/>
      <c r="W694" s="48"/>
      <c r="X694" s="48"/>
      <c r="Y694" s="48"/>
      <c r="Z694" s="47"/>
      <c r="AA694" s="69"/>
      <c r="AB694" s="69"/>
      <c r="AC694" s="70"/>
      <c r="AD694" t="s">
        <v>6134</v>
      </c>
      <c r="AE694" s="78" t="s">
        <v>4788</v>
      </c>
      <c r="AF694">
        <v>154</v>
      </c>
      <c r="AG694">
        <v>1116</v>
      </c>
      <c r="AH694">
        <v>83052</v>
      </c>
      <c r="AI694">
        <v>56711</v>
      </c>
      <c r="AK694" t="s">
        <v>8493</v>
      </c>
      <c r="AL694" t="s">
        <v>9221</v>
      </c>
      <c r="AO694" s="76">
        <v>41140.968912037039</v>
      </c>
      <c r="AP694" s="79" t="str">
        <f>HYPERLINK("https://pbs.twimg.com/profile_banners/768410582/1660080055")</f>
        <v>https://pbs.twimg.com/profile_banners/768410582/1660080055</v>
      </c>
      <c r="AQ694" t="b">
        <v>0</v>
      </c>
      <c r="AR694" t="b">
        <v>0</v>
      </c>
      <c r="AS694" t="b">
        <v>1</v>
      </c>
      <c r="AU694">
        <v>12</v>
      </c>
      <c r="AV694" s="79" t="str">
        <f>HYPERLINK("https://abs.twimg.com/images/themes/theme1/bg.png")</f>
        <v>https://abs.twimg.com/images/themes/theme1/bg.png</v>
      </c>
      <c r="AW694" t="b">
        <v>0</v>
      </c>
      <c r="AX694" t="s">
        <v>9303</v>
      </c>
      <c r="AY694" s="79" t="str">
        <f>HYPERLINK("https://twitter.com/rlplnpeaceee")</f>
        <v>https://twitter.com/rlplnpeaceee</v>
      </c>
      <c r="AZ694" t="s">
        <v>66</v>
      </c>
      <c r="BA694" s="2"/>
    </row>
    <row r="695" spans="1:53" x14ac:dyDescent="0.45">
      <c r="A695" s="62" t="s">
        <v>679</v>
      </c>
      <c r="B695" s="63"/>
      <c r="C695" s="63"/>
      <c r="D695" s="64"/>
      <c r="E695" s="66"/>
      <c r="F695" s="98" t="str">
        <f>HYPERLINK("https://pbs.twimg.com/profile_images/1287724560234807296/5dTsAeJA_normal.jpg")</f>
        <v>https://pbs.twimg.com/profile_images/1287724560234807296/5dTsAeJA_normal.jpg</v>
      </c>
      <c r="G695" s="63"/>
      <c r="H695" s="67"/>
      <c r="I695" s="68"/>
      <c r="J695" s="68"/>
      <c r="K695" s="67" t="s">
        <v>10000</v>
      </c>
      <c r="L695" s="71"/>
      <c r="M695" s="72"/>
      <c r="N695" s="72"/>
      <c r="O695" s="73"/>
      <c r="P695" s="74"/>
      <c r="Q695" s="74"/>
      <c r="R695" s="81"/>
      <c r="S695" s="81"/>
      <c r="T695" s="81"/>
      <c r="U695" s="81"/>
      <c r="V695" s="48"/>
      <c r="W695" s="48"/>
      <c r="X695" s="48"/>
      <c r="Y695" s="48"/>
      <c r="Z695" s="47"/>
      <c r="AA695" s="69"/>
      <c r="AB695" s="69"/>
      <c r="AC695" s="70"/>
      <c r="AD695" t="s">
        <v>5690</v>
      </c>
      <c r="AE695" s="78" t="s">
        <v>4725</v>
      </c>
      <c r="AF695">
        <v>2754</v>
      </c>
      <c r="AG695">
        <v>1108</v>
      </c>
      <c r="AH695">
        <v>3314</v>
      </c>
      <c r="AI695">
        <v>1782</v>
      </c>
      <c r="AK695" t="s">
        <v>8097</v>
      </c>
      <c r="AM695" s="79" t="str">
        <f>HYPERLINK("https://t.co/rrHVoyjTBi")</f>
        <v>https://t.co/rrHVoyjTBi</v>
      </c>
      <c r="AO695" s="76">
        <v>44039.51353009259</v>
      </c>
      <c r="AP695" s="79" t="str">
        <f>HYPERLINK("https://pbs.twimg.com/profile_banners/1287723943860875264/1667312975")</f>
        <v>https://pbs.twimg.com/profile_banners/1287723943860875264/1667312975</v>
      </c>
      <c r="AQ695" t="b">
        <v>1</v>
      </c>
      <c r="AR695" t="b">
        <v>0</v>
      </c>
      <c r="AS695" t="b">
        <v>0</v>
      </c>
      <c r="AU695">
        <v>2</v>
      </c>
      <c r="AW695" t="b">
        <v>0</v>
      </c>
      <c r="AX695" t="s">
        <v>9303</v>
      </c>
      <c r="AY695" s="79" t="str">
        <f>HYPERLINK("https://twitter.com/motocitypizzaco")</f>
        <v>https://twitter.com/motocitypizzaco</v>
      </c>
      <c r="AZ695" t="s">
        <v>66</v>
      </c>
      <c r="BA695" s="2"/>
    </row>
    <row r="696" spans="1:53" x14ac:dyDescent="0.45">
      <c r="A696" s="62" t="s">
        <v>1206</v>
      </c>
      <c r="B696" s="63"/>
      <c r="C696" s="63"/>
      <c r="D696" s="64"/>
      <c r="E696" s="66"/>
      <c r="F696" s="98" t="str">
        <f>HYPERLINK("https://pbs.twimg.com/profile_images/1618819732735508481/faz9tADh_normal.jpg")</f>
        <v>https://pbs.twimg.com/profile_images/1618819732735508481/faz9tADh_normal.jpg</v>
      </c>
      <c r="G696" s="63"/>
      <c r="H696" s="67"/>
      <c r="I696" s="68"/>
      <c r="J696" s="68"/>
      <c r="K696" s="67" t="s">
        <v>9510</v>
      </c>
      <c r="L696" s="71"/>
      <c r="M696" s="72"/>
      <c r="N696" s="72"/>
      <c r="O696" s="73"/>
      <c r="P696" s="74"/>
      <c r="Q696" s="74"/>
      <c r="R696" s="81"/>
      <c r="S696" s="81"/>
      <c r="T696" s="81"/>
      <c r="U696" s="81"/>
      <c r="V696" s="48"/>
      <c r="W696" s="48"/>
      <c r="X696" s="48"/>
      <c r="Y696" s="48"/>
      <c r="Z696" s="47"/>
      <c r="AA696" s="69"/>
      <c r="AB696" s="69"/>
      <c r="AC696" s="70"/>
      <c r="AD696" t="s">
        <v>5204</v>
      </c>
      <c r="AE696" s="78" t="s">
        <v>6495</v>
      </c>
      <c r="AF696">
        <v>788</v>
      </c>
      <c r="AG696">
        <v>1107</v>
      </c>
      <c r="AH696">
        <v>6513</v>
      </c>
      <c r="AI696">
        <v>29192</v>
      </c>
      <c r="AK696" t="s">
        <v>7674</v>
      </c>
      <c r="AL696" t="s">
        <v>8789</v>
      </c>
      <c r="AM696" s="79" t="str">
        <f>HYPERLINK("https://t.co/CKBspqhRY9")</f>
        <v>https://t.co/CKBspqhRY9</v>
      </c>
      <c r="AO696" s="76">
        <v>44510.978831018518</v>
      </c>
      <c r="AP696" s="79" t="str">
        <f>HYPERLINK("https://pbs.twimg.com/profile_banners/1458577540193427457/1669653732")</f>
        <v>https://pbs.twimg.com/profile_banners/1458577540193427457/1669653732</v>
      </c>
      <c r="AQ696" t="b">
        <v>1</v>
      </c>
      <c r="AR696" t="b">
        <v>0</v>
      </c>
      <c r="AS696" t="b">
        <v>0</v>
      </c>
      <c r="AU696">
        <v>28</v>
      </c>
      <c r="AW696" t="b">
        <v>0</v>
      </c>
      <c r="AX696" t="s">
        <v>9303</v>
      </c>
      <c r="AY696" s="79" t="str">
        <f>HYPERLINK("https://twitter.com/emrysestilo")</f>
        <v>https://twitter.com/emrysestilo</v>
      </c>
      <c r="AZ696" t="s">
        <v>65</v>
      </c>
      <c r="BA696" s="2"/>
    </row>
    <row r="697" spans="1:53" x14ac:dyDescent="0.45">
      <c r="A697" s="62" t="s">
        <v>768</v>
      </c>
      <c r="B697" s="63"/>
      <c r="C697" s="63"/>
      <c r="D697" s="64"/>
      <c r="E697" s="66"/>
      <c r="F697" s="98" t="str">
        <f>HYPERLINK("https://pbs.twimg.com/profile_images/1614087608308465666/uZDS5n0U_normal.jpg")</f>
        <v>https://pbs.twimg.com/profile_images/1614087608308465666/uZDS5n0U_normal.jpg</v>
      </c>
      <c r="G697" s="63"/>
      <c r="H697" s="67"/>
      <c r="I697" s="68"/>
      <c r="J697" s="68"/>
      <c r="K697" s="67" t="s">
        <v>10124</v>
      </c>
      <c r="L697" s="71"/>
      <c r="M697" s="72"/>
      <c r="N697" s="72"/>
      <c r="O697" s="73"/>
      <c r="P697" s="74"/>
      <c r="Q697" s="74"/>
      <c r="R697" s="81"/>
      <c r="S697" s="81"/>
      <c r="T697" s="81"/>
      <c r="U697" s="81"/>
      <c r="V697" s="48"/>
      <c r="W697" s="48"/>
      <c r="X697" s="48"/>
      <c r="Y697" s="48"/>
      <c r="Z697" s="47"/>
      <c r="AA697" s="69"/>
      <c r="AB697" s="69"/>
      <c r="AC697" s="70"/>
      <c r="AD697" t="s">
        <v>5812</v>
      </c>
      <c r="AE697" s="78" t="s">
        <v>7041</v>
      </c>
      <c r="AF697">
        <v>886</v>
      </c>
      <c r="AG697">
        <v>1084</v>
      </c>
      <c r="AH697">
        <v>15559</v>
      </c>
      <c r="AI697">
        <v>23803</v>
      </c>
      <c r="AK697" t="s">
        <v>8206</v>
      </c>
      <c r="AL697" t="s">
        <v>8879</v>
      </c>
      <c r="AM697" s="79" t="str">
        <f>HYPERLINK("https://t.co/cfszAFvzXj")</f>
        <v>https://t.co/cfszAFvzXj</v>
      </c>
      <c r="AO697" s="76">
        <v>41367.055358796293</v>
      </c>
      <c r="AP697" s="79" t="str">
        <f>HYPERLINK("https://pbs.twimg.com/profile_banners/1323604556/1620870188")</f>
        <v>https://pbs.twimg.com/profile_banners/1323604556/1620870188</v>
      </c>
      <c r="AQ697" t="b">
        <v>0</v>
      </c>
      <c r="AR697" t="b">
        <v>0</v>
      </c>
      <c r="AS697" t="b">
        <v>1</v>
      </c>
      <c r="AU697">
        <v>9</v>
      </c>
      <c r="AV697" s="79" t="str">
        <f>HYPERLINK("https://abs.twimg.com/images/themes/theme1/bg.png")</f>
        <v>https://abs.twimg.com/images/themes/theme1/bg.png</v>
      </c>
      <c r="AW697" t="b">
        <v>0</v>
      </c>
      <c r="AX697" t="s">
        <v>9303</v>
      </c>
      <c r="AY697" s="79" t="str">
        <f>HYPERLINK("https://twitter.com/the_kelvinator_")</f>
        <v>https://twitter.com/the_kelvinator_</v>
      </c>
      <c r="AZ697" t="s">
        <v>66</v>
      </c>
      <c r="BA697" s="2"/>
    </row>
    <row r="698" spans="1:53" x14ac:dyDescent="0.45">
      <c r="A698" s="62" t="s">
        <v>429</v>
      </c>
      <c r="B698" s="63"/>
      <c r="C698" s="63"/>
      <c r="D698" s="64"/>
      <c r="E698" s="66"/>
      <c r="F698" s="98" t="str">
        <f>HYPERLINK("https://pbs.twimg.com/profile_images/1609972295950270465/189baXmy_normal.jpg")</f>
        <v>https://pbs.twimg.com/profile_images/1609972295950270465/189baXmy_normal.jpg</v>
      </c>
      <c r="G698" s="63"/>
      <c r="H698" s="67"/>
      <c r="I698" s="68"/>
      <c r="J698" s="68"/>
      <c r="K698" s="67" t="s">
        <v>9681</v>
      </c>
      <c r="L698" s="71"/>
      <c r="M698" s="72"/>
      <c r="N698" s="72"/>
      <c r="O698" s="73"/>
      <c r="P698" s="74"/>
      <c r="Q698" s="74"/>
      <c r="R698" s="81"/>
      <c r="S698" s="81"/>
      <c r="T698" s="81"/>
      <c r="U698" s="81"/>
      <c r="V698" s="48"/>
      <c r="W698" s="48"/>
      <c r="X698" s="48"/>
      <c r="Y698" s="48"/>
      <c r="Z698" s="47"/>
      <c r="AA698" s="69"/>
      <c r="AB698" s="69"/>
      <c r="AC698" s="70"/>
      <c r="AD698" t="s">
        <v>5374</v>
      </c>
      <c r="AE698" s="78" t="s">
        <v>6647</v>
      </c>
      <c r="AF698">
        <v>1533</v>
      </c>
      <c r="AG698">
        <v>1081</v>
      </c>
      <c r="AH698">
        <v>49600</v>
      </c>
      <c r="AI698">
        <v>83905</v>
      </c>
      <c r="AO698" s="76">
        <v>41665.335613425923</v>
      </c>
      <c r="AP698" s="79" t="str">
        <f>HYPERLINK("https://pbs.twimg.com/profile_banners/2311464206/1672682540")</f>
        <v>https://pbs.twimg.com/profile_banners/2311464206/1672682540</v>
      </c>
      <c r="AQ698" t="b">
        <v>0</v>
      </c>
      <c r="AR698" t="b">
        <v>0</v>
      </c>
      <c r="AS698" t="b">
        <v>1</v>
      </c>
      <c r="AU698">
        <v>3</v>
      </c>
      <c r="AV698" s="79" t="str">
        <f>HYPERLINK("https://abs.twimg.com/images/themes/theme1/bg.png")</f>
        <v>https://abs.twimg.com/images/themes/theme1/bg.png</v>
      </c>
      <c r="AW698" t="b">
        <v>0</v>
      </c>
      <c r="AX698" t="s">
        <v>9303</v>
      </c>
      <c r="AY698" s="79" t="str">
        <f>HYPERLINK("https://twitter.com/alejandr0cyrus")</f>
        <v>https://twitter.com/alejandr0cyrus</v>
      </c>
      <c r="AZ698" t="s">
        <v>66</v>
      </c>
      <c r="BA698" s="2"/>
    </row>
    <row r="699" spans="1:53" x14ac:dyDescent="0.45">
      <c r="A699" s="62" t="s">
        <v>470</v>
      </c>
      <c r="B699" s="63"/>
      <c r="C699" s="63"/>
      <c r="D699" s="64"/>
      <c r="E699" s="66"/>
      <c r="F699" s="98" t="str">
        <f>HYPERLINK("https://pbs.twimg.com/profile_images/1620129785631633410/BO8Ush_O_normal.jpg")</f>
        <v>https://pbs.twimg.com/profile_images/1620129785631633410/BO8Ush_O_normal.jpg</v>
      </c>
      <c r="G699" s="63"/>
      <c r="H699" s="67"/>
      <c r="I699" s="68"/>
      <c r="J699" s="68"/>
      <c r="K699" s="67" t="s">
        <v>9741</v>
      </c>
      <c r="L699" s="71"/>
      <c r="M699" s="72"/>
      <c r="N699" s="72"/>
      <c r="O699" s="73"/>
      <c r="P699" s="74"/>
      <c r="Q699" s="74"/>
      <c r="R699" s="81"/>
      <c r="S699" s="81"/>
      <c r="T699" s="81"/>
      <c r="U699" s="81"/>
      <c r="V699" s="48"/>
      <c r="W699" s="48"/>
      <c r="X699" s="48"/>
      <c r="Y699" s="48"/>
      <c r="Z699" s="47"/>
      <c r="AA699" s="69"/>
      <c r="AB699" s="69"/>
      <c r="AC699" s="70"/>
      <c r="AD699" t="s">
        <v>5433</v>
      </c>
      <c r="AE699" s="78" t="s">
        <v>6701</v>
      </c>
      <c r="AF699">
        <v>855</v>
      </c>
      <c r="AG699">
        <v>1079</v>
      </c>
      <c r="AH699">
        <v>10052</v>
      </c>
      <c r="AI699">
        <v>10533</v>
      </c>
      <c r="AK699" t="s">
        <v>7871</v>
      </c>
      <c r="AL699" t="s">
        <v>8894</v>
      </c>
      <c r="AM699" s="79" t="str">
        <f>HYPERLINK("https://t.co/b20SQYdLdY")</f>
        <v>https://t.co/b20SQYdLdY</v>
      </c>
      <c r="AO699" s="76">
        <v>39954.006273148145</v>
      </c>
      <c r="AP699" s="79" t="str">
        <f>HYPERLINK("https://pbs.twimg.com/profile_banners/41485956/1598989467")</f>
        <v>https://pbs.twimg.com/profile_banners/41485956/1598989467</v>
      </c>
      <c r="AQ699" t="b">
        <v>0</v>
      </c>
      <c r="AR699" t="b">
        <v>0</v>
      </c>
      <c r="AS699" t="b">
        <v>1</v>
      </c>
      <c r="AU699">
        <v>3</v>
      </c>
      <c r="AV699" s="79" t="str">
        <f>HYPERLINK("https://abs.twimg.com/images/themes/theme9/bg.gif")</f>
        <v>https://abs.twimg.com/images/themes/theme9/bg.gif</v>
      </c>
      <c r="AW699" t="b">
        <v>0</v>
      </c>
      <c r="AX699" t="s">
        <v>9303</v>
      </c>
      <c r="AY699" s="79" t="str">
        <f>HYPERLINK("https://twitter.com/phantom_ranger_")</f>
        <v>https://twitter.com/phantom_ranger_</v>
      </c>
      <c r="AZ699" t="s">
        <v>66</v>
      </c>
      <c r="BA699" s="2"/>
    </row>
    <row r="700" spans="1:53" x14ac:dyDescent="0.45">
      <c r="A700" s="62" t="s">
        <v>1278</v>
      </c>
      <c r="B700" s="63"/>
      <c r="C700" s="63"/>
      <c r="D700" s="64"/>
      <c r="E700" s="66"/>
      <c r="F700" s="98" t="str">
        <f>HYPERLINK("https://pbs.twimg.com/profile_images/1545493051665154049/OyGuyTFf_normal.jpg")</f>
        <v>https://pbs.twimg.com/profile_images/1545493051665154049/OyGuyTFf_normal.jpg</v>
      </c>
      <c r="G700" s="63"/>
      <c r="H700" s="67"/>
      <c r="I700" s="68"/>
      <c r="J700" s="68"/>
      <c r="K700" s="67" t="s">
        <v>9768</v>
      </c>
      <c r="L700" s="71"/>
      <c r="M700" s="72"/>
      <c r="N700" s="72"/>
      <c r="O700" s="73"/>
      <c r="P700" s="74"/>
      <c r="Q700" s="74"/>
      <c r="R700" s="81"/>
      <c r="S700" s="81"/>
      <c r="T700" s="81"/>
      <c r="U700" s="81"/>
      <c r="V700" s="48"/>
      <c r="W700" s="48"/>
      <c r="X700" s="48"/>
      <c r="Y700" s="48"/>
      <c r="Z700" s="47"/>
      <c r="AA700" s="69"/>
      <c r="AB700" s="69"/>
      <c r="AC700" s="70"/>
      <c r="AD700" t="s">
        <v>5460</v>
      </c>
      <c r="AE700" s="78" t="s">
        <v>4703</v>
      </c>
      <c r="AF700">
        <v>2311</v>
      </c>
      <c r="AG700">
        <v>1078</v>
      </c>
      <c r="AH700">
        <v>19260</v>
      </c>
      <c r="AI700">
        <v>27842</v>
      </c>
      <c r="AK700" t="s">
        <v>7892</v>
      </c>
      <c r="AO700" s="76">
        <v>41588.801782407405</v>
      </c>
      <c r="AP700" s="79" t="str">
        <f>HYPERLINK("https://pbs.twimg.com/profile_banners/2186966718/1573600206")</f>
        <v>https://pbs.twimg.com/profile_banners/2186966718/1573600206</v>
      </c>
      <c r="AQ700" t="b">
        <v>0</v>
      </c>
      <c r="AR700" t="b">
        <v>0</v>
      </c>
      <c r="AS700" t="b">
        <v>0</v>
      </c>
      <c r="AU700">
        <v>6</v>
      </c>
      <c r="AV700" s="79" t="str">
        <f>HYPERLINK("https://abs.twimg.com/images/themes/theme1/bg.png")</f>
        <v>https://abs.twimg.com/images/themes/theme1/bg.png</v>
      </c>
      <c r="AW700" t="b">
        <v>0</v>
      </c>
      <c r="AX700" t="s">
        <v>9303</v>
      </c>
      <c r="AY700" s="79" t="str">
        <f>HYPERLINK("https://twitter.com/scisocialist")</f>
        <v>https://twitter.com/scisocialist</v>
      </c>
      <c r="AZ700" t="s">
        <v>65</v>
      </c>
      <c r="BA700" s="2"/>
    </row>
    <row r="701" spans="1:53" x14ac:dyDescent="0.45">
      <c r="A701" s="62" t="s">
        <v>824</v>
      </c>
      <c r="B701" s="63"/>
      <c r="C701" s="63"/>
      <c r="D701" s="64"/>
      <c r="E701" s="66"/>
      <c r="F701" s="98" t="str">
        <f>HYPERLINK("https://pbs.twimg.com/profile_images/859924226765185029/8jPY5lEt_normal.jpg")</f>
        <v>https://pbs.twimg.com/profile_images/859924226765185029/8jPY5lEt_normal.jpg</v>
      </c>
      <c r="G701" s="63"/>
      <c r="H701" s="67"/>
      <c r="I701" s="68"/>
      <c r="J701" s="68"/>
      <c r="K701" s="67" t="s">
        <v>10208</v>
      </c>
      <c r="L701" s="71"/>
      <c r="M701" s="72"/>
      <c r="N701" s="72"/>
      <c r="O701" s="73"/>
      <c r="P701" s="74"/>
      <c r="Q701" s="74"/>
      <c r="R701" s="81"/>
      <c r="S701" s="81"/>
      <c r="T701" s="81"/>
      <c r="U701" s="81"/>
      <c r="V701" s="48"/>
      <c r="W701" s="48"/>
      <c r="X701" s="48"/>
      <c r="Y701" s="48"/>
      <c r="Z701" s="47"/>
      <c r="AA701" s="69"/>
      <c r="AB701" s="69"/>
      <c r="AC701" s="70"/>
      <c r="AD701" t="s">
        <v>5892</v>
      </c>
      <c r="AE701" s="78" t="s">
        <v>7111</v>
      </c>
      <c r="AF701">
        <v>4915</v>
      </c>
      <c r="AG701">
        <v>1069</v>
      </c>
      <c r="AH701">
        <v>572621</v>
      </c>
      <c r="AI701">
        <v>2417</v>
      </c>
      <c r="AO701" s="76">
        <v>40747.729398148149</v>
      </c>
      <c r="AP701" s="79" t="str">
        <f>HYPERLINK("https://pbs.twimg.com/profile_banners/341018943/1493860344")</f>
        <v>https://pbs.twimg.com/profile_banners/341018943/1493860344</v>
      </c>
      <c r="AQ701" t="b">
        <v>0</v>
      </c>
      <c r="AR701" t="b">
        <v>0</v>
      </c>
      <c r="AS701" t="b">
        <v>0</v>
      </c>
      <c r="AU701">
        <v>163</v>
      </c>
      <c r="AV701" s="79" t="str">
        <f>HYPERLINK("https://abs.twimg.com/images/themes/theme10/bg.gif")</f>
        <v>https://abs.twimg.com/images/themes/theme10/bg.gif</v>
      </c>
      <c r="AW701" t="b">
        <v>0</v>
      </c>
      <c r="AX701" t="s">
        <v>9303</v>
      </c>
      <c r="AY701" s="79" t="str">
        <f>HYPERLINK("https://twitter.com/sstrode")</f>
        <v>https://twitter.com/sstrode</v>
      </c>
      <c r="AZ701" t="s">
        <v>66</v>
      </c>
      <c r="BA701" s="2"/>
    </row>
    <row r="702" spans="1:53" x14ac:dyDescent="0.45">
      <c r="A702" s="62" t="s">
        <v>455</v>
      </c>
      <c r="B702" s="63"/>
      <c r="C702" s="63"/>
      <c r="D702" s="64"/>
      <c r="E702" s="66"/>
      <c r="F702" s="98" t="str">
        <f>HYPERLINK("https://pbs.twimg.com/profile_images/1240613520904945664/S0Gjx-26_normal.png")</f>
        <v>https://pbs.twimg.com/profile_images/1240613520904945664/S0Gjx-26_normal.png</v>
      </c>
      <c r="G702" s="63"/>
      <c r="H702" s="67"/>
      <c r="I702" s="68"/>
      <c r="J702" s="68"/>
      <c r="K702" s="67" t="s">
        <v>9721</v>
      </c>
      <c r="L702" s="71"/>
      <c r="M702" s="72"/>
      <c r="N702" s="72"/>
      <c r="O702" s="73"/>
      <c r="P702" s="74"/>
      <c r="Q702" s="74"/>
      <c r="R702" s="81"/>
      <c r="S702" s="81"/>
      <c r="T702" s="81"/>
      <c r="U702" s="81"/>
      <c r="V702" s="48"/>
      <c r="W702" s="48"/>
      <c r="X702" s="48"/>
      <c r="Y702" s="48"/>
      <c r="Z702" s="47"/>
      <c r="AA702" s="69"/>
      <c r="AB702" s="69"/>
      <c r="AC702" s="70"/>
      <c r="AD702" t="s">
        <v>5413</v>
      </c>
      <c r="AE702" s="78" t="s">
        <v>6685</v>
      </c>
      <c r="AF702">
        <v>326</v>
      </c>
      <c r="AG702">
        <v>1069</v>
      </c>
      <c r="AH702">
        <v>1470</v>
      </c>
      <c r="AI702">
        <v>976</v>
      </c>
      <c r="AK702" t="s">
        <v>7853</v>
      </c>
      <c r="AL702" t="s">
        <v>8885</v>
      </c>
      <c r="AM702" s="79" t="str">
        <f>HYPERLINK("https://t.co/YmzmP3ioAq")</f>
        <v>https://t.co/YmzmP3ioAq</v>
      </c>
      <c r="AO702" s="76">
        <v>40209.854479166665</v>
      </c>
      <c r="AP702" s="79" t="str">
        <f>HYPERLINK("https://pbs.twimg.com/profile_banners/110227898/1635781086")</f>
        <v>https://pbs.twimg.com/profile_banners/110227898/1635781086</v>
      </c>
      <c r="AQ702" t="b">
        <v>0</v>
      </c>
      <c r="AR702" t="b">
        <v>0</v>
      </c>
      <c r="AS702" t="b">
        <v>0</v>
      </c>
      <c r="AU702">
        <v>17</v>
      </c>
      <c r="AV702" s="79" t="str">
        <f>HYPERLINK("https://abs.twimg.com/images/themes/theme1/bg.png")</f>
        <v>https://abs.twimg.com/images/themes/theme1/bg.png</v>
      </c>
      <c r="AW702" t="b">
        <v>0</v>
      </c>
      <c r="AX702" t="s">
        <v>9303</v>
      </c>
      <c r="AY702" s="79" t="str">
        <f>HYPERLINK("https://twitter.com/sellercloud")</f>
        <v>https://twitter.com/sellercloud</v>
      </c>
      <c r="AZ702" t="s">
        <v>66</v>
      </c>
      <c r="BA702" s="2"/>
    </row>
    <row r="703" spans="1:53" x14ac:dyDescent="0.45">
      <c r="A703" s="62" t="s">
        <v>372</v>
      </c>
      <c r="B703" s="63"/>
      <c r="C703" s="63"/>
      <c r="D703" s="64"/>
      <c r="E703" s="66"/>
      <c r="F703" s="98" t="str">
        <f>HYPERLINK("https://pbs.twimg.com/profile_images/1258970060779130882/oaP3GrJ7_normal.jpg")</f>
        <v>https://pbs.twimg.com/profile_images/1258970060779130882/oaP3GrJ7_normal.jpg</v>
      </c>
      <c r="G703" s="63"/>
      <c r="H703" s="67"/>
      <c r="I703" s="68"/>
      <c r="J703" s="68"/>
      <c r="K703" s="67" t="s">
        <v>9567</v>
      </c>
      <c r="L703" s="71"/>
      <c r="M703" s="72"/>
      <c r="N703" s="72"/>
      <c r="O703" s="73"/>
      <c r="P703" s="74"/>
      <c r="Q703" s="74"/>
      <c r="R703" s="81"/>
      <c r="S703" s="81"/>
      <c r="T703" s="81"/>
      <c r="U703" s="81"/>
      <c r="V703" s="48"/>
      <c r="W703" s="48"/>
      <c r="X703" s="48"/>
      <c r="Y703" s="48"/>
      <c r="Z703" s="47"/>
      <c r="AA703" s="69"/>
      <c r="AB703" s="69"/>
      <c r="AC703" s="70"/>
      <c r="AD703" t="s">
        <v>5260</v>
      </c>
      <c r="AE703" s="78" t="s">
        <v>4684</v>
      </c>
      <c r="AF703">
        <v>884</v>
      </c>
      <c r="AG703">
        <v>1069</v>
      </c>
      <c r="AH703">
        <v>4070</v>
      </c>
      <c r="AI703">
        <v>19649</v>
      </c>
      <c r="AK703" t="s">
        <v>7724</v>
      </c>
      <c r="AL703" t="s">
        <v>8816</v>
      </c>
      <c r="AO703" s="76">
        <v>39922.23642361111</v>
      </c>
      <c r="AP703" s="79" t="str">
        <f>HYPERLINK("https://pbs.twimg.com/profile_banners/33141999/1620908964")</f>
        <v>https://pbs.twimg.com/profile_banners/33141999/1620908964</v>
      </c>
      <c r="AQ703" t="b">
        <v>1</v>
      </c>
      <c r="AR703" t="b">
        <v>0</v>
      </c>
      <c r="AS703" t="b">
        <v>1</v>
      </c>
      <c r="AU703">
        <v>4</v>
      </c>
      <c r="AV703" s="79" t="str">
        <f>HYPERLINK("https://abs.twimg.com/images/themes/theme1/bg.png")</f>
        <v>https://abs.twimg.com/images/themes/theme1/bg.png</v>
      </c>
      <c r="AW703" t="b">
        <v>0</v>
      </c>
      <c r="AX703" t="s">
        <v>9303</v>
      </c>
      <c r="AY703" s="79" t="str">
        <f>HYPERLINK("https://twitter.com/brmurf")</f>
        <v>https://twitter.com/brmurf</v>
      </c>
      <c r="AZ703" t="s">
        <v>66</v>
      </c>
      <c r="BA703" s="2"/>
    </row>
    <row r="704" spans="1:53" x14ac:dyDescent="0.45">
      <c r="A704" s="62" t="s">
        <v>318</v>
      </c>
      <c r="B704" s="63"/>
      <c r="C704" s="63"/>
      <c r="D704" s="64"/>
      <c r="E704" s="66"/>
      <c r="F704" s="98" t="str">
        <f>HYPERLINK("https://pbs.twimg.com/profile_images/1564456633429803009/PHZzvY0m_normal.jpg")</f>
        <v>https://pbs.twimg.com/profile_images/1564456633429803009/PHZzvY0m_normal.jpg</v>
      </c>
      <c r="G704" s="63"/>
      <c r="H704" s="67"/>
      <c r="I704" s="68"/>
      <c r="J704" s="68"/>
      <c r="K704" s="67" t="s">
        <v>9517</v>
      </c>
      <c r="L704" s="71"/>
      <c r="M704" s="72"/>
      <c r="N704" s="72"/>
      <c r="O704" s="73"/>
      <c r="P704" s="74"/>
      <c r="Q704" s="74"/>
      <c r="R704" s="81"/>
      <c r="S704" s="81"/>
      <c r="T704" s="81"/>
      <c r="U704" s="81"/>
      <c r="V704" s="48"/>
      <c r="W704" s="48"/>
      <c r="X704" s="48"/>
      <c r="Y704" s="48"/>
      <c r="Z704" s="47"/>
      <c r="AA704" s="69"/>
      <c r="AB704" s="69"/>
      <c r="AC704" s="70"/>
      <c r="AD704" t="s">
        <v>5211</v>
      </c>
      <c r="AE704" s="78" t="s">
        <v>6501</v>
      </c>
      <c r="AF704">
        <v>3287</v>
      </c>
      <c r="AG704">
        <v>1067</v>
      </c>
      <c r="AH704">
        <v>7884</v>
      </c>
      <c r="AI704">
        <v>13284</v>
      </c>
      <c r="AK704" t="s">
        <v>7681</v>
      </c>
      <c r="AL704" t="s">
        <v>8794</v>
      </c>
      <c r="AO704" s="76">
        <v>40609.543113425927</v>
      </c>
      <c r="AQ704" t="b">
        <v>1</v>
      </c>
      <c r="AR704" t="b">
        <v>0</v>
      </c>
      <c r="AS704" t="b">
        <v>0</v>
      </c>
      <c r="AU704">
        <v>5</v>
      </c>
      <c r="AV704" s="79" t="str">
        <f>HYPERLINK("https://abs.twimg.com/images/themes/theme1/bg.png")</f>
        <v>https://abs.twimg.com/images/themes/theme1/bg.png</v>
      </c>
      <c r="AW704" t="b">
        <v>0</v>
      </c>
      <c r="AX704" t="s">
        <v>9303</v>
      </c>
      <c r="AY704" s="79" t="str">
        <f>HYPERLINK("https://twitter.com/marinawriter1")</f>
        <v>https://twitter.com/marinawriter1</v>
      </c>
      <c r="AZ704" t="s">
        <v>66</v>
      </c>
      <c r="BA704" s="2"/>
    </row>
    <row r="705" spans="1:53" x14ac:dyDescent="0.45">
      <c r="A705" s="62" t="s">
        <v>657</v>
      </c>
      <c r="B705" s="63"/>
      <c r="C705" s="63"/>
      <c r="D705" s="64"/>
      <c r="E705" s="66"/>
      <c r="F705" s="98" t="str">
        <f>HYPERLINK("https://pbs.twimg.com/profile_images/993602343299047424/rk8j-n7t_normal.jpg")</f>
        <v>https://pbs.twimg.com/profile_images/993602343299047424/rk8j-n7t_normal.jpg</v>
      </c>
      <c r="G705" s="63"/>
      <c r="H705" s="67"/>
      <c r="I705" s="68"/>
      <c r="J705" s="68"/>
      <c r="K705" s="67" t="s">
        <v>9969</v>
      </c>
      <c r="L705" s="71"/>
      <c r="M705" s="72"/>
      <c r="N705" s="72"/>
      <c r="O705" s="73"/>
      <c r="P705" s="74"/>
      <c r="Q705" s="74"/>
      <c r="R705" s="81"/>
      <c r="S705" s="81"/>
      <c r="T705" s="81"/>
      <c r="U705" s="81"/>
      <c r="V705" s="48"/>
      <c r="W705" s="48"/>
      <c r="X705" s="48"/>
      <c r="Y705" s="48"/>
      <c r="Z705" s="47"/>
      <c r="AA705" s="69"/>
      <c r="AB705" s="69"/>
      <c r="AC705" s="70"/>
      <c r="AD705" t="s">
        <v>5660</v>
      </c>
      <c r="AE705" s="78" t="s">
        <v>6902</v>
      </c>
      <c r="AF705">
        <v>946</v>
      </c>
      <c r="AG705">
        <v>1059</v>
      </c>
      <c r="AH705">
        <v>110965</v>
      </c>
      <c r="AI705">
        <v>29111</v>
      </c>
      <c r="AK705" t="s">
        <v>8069</v>
      </c>
      <c r="AL705" t="s">
        <v>8982</v>
      </c>
      <c r="AM705" s="79" t="str">
        <f>HYPERLINK("https://t.co/eTqby6YpBF")</f>
        <v>https://t.co/eTqby6YpBF</v>
      </c>
      <c r="AO705" s="76">
        <v>40400.261631944442</v>
      </c>
      <c r="AP705" s="79" t="str">
        <f>HYPERLINK("https://pbs.twimg.com/profile_banners/176705076/1520028167")</f>
        <v>https://pbs.twimg.com/profile_banners/176705076/1520028167</v>
      </c>
      <c r="AQ705" t="b">
        <v>0</v>
      </c>
      <c r="AR705" t="b">
        <v>0</v>
      </c>
      <c r="AS705" t="b">
        <v>0</v>
      </c>
      <c r="AU705">
        <v>57</v>
      </c>
      <c r="AV705" s="79" t="str">
        <f>HYPERLINK("https://abs.twimg.com/images/themes/theme1/bg.png")</f>
        <v>https://abs.twimg.com/images/themes/theme1/bg.png</v>
      </c>
      <c r="AW705" t="b">
        <v>0</v>
      </c>
      <c r="AX705" t="s">
        <v>9303</v>
      </c>
      <c r="AY705" s="79" t="str">
        <f>HYPERLINK("https://twitter.com/ibeanewsie")</f>
        <v>https://twitter.com/ibeanewsie</v>
      </c>
      <c r="AZ705" t="s">
        <v>66</v>
      </c>
      <c r="BA705" s="2"/>
    </row>
    <row r="706" spans="1:53" x14ac:dyDescent="0.45">
      <c r="A706" s="62" t="s">
        <v>295</v>
      </c>
      <c r="B706" s="63"/>
      <c r="C706" s="63"/>
      <c r="D706" s="64"/>
      <c r="E706" s="66"/>
      <c r="F706" s="98" t="str">
        <f>HYPERLINK("https://pbs.twimg.com/profile_images/1133171869480357888/-Aii2IWs_normal.png")</f>
        <v>https://pbs.twimg.com/profile_images/1133171869480357888/-Aii2IWs_normal.png</v>
      </c>
      <c r="G706" s="63"/>
      <c r="H706" s="67"/>
      <c r="I706" s="68"/>
      <c r="J706" s="68"/>
      <c r="K706" s="67" t="s">
        <v>9467</v>
      </c>
      <c r="L706" s="71"/>
      <c r="M706" s="72"/>
      <c r="N706" s="72"/>
      <c r="O706" s="73"/>
      <c r="P706" s="74"/>
      <c r="Q706" s="74"/>
      <c r="R706" s="81"/>
      <c r="S706" s="81"/>
      <c r="T706" s="81"/>
      <c r="U706" s="81"/>
      <c r="V706" s="48"/>
      <c r="W706" s="48"/>
      <c r="X706" s="48"/>
      <c r="Y706" s="48"/>
      <c r="Z706" s="47"/>
      <c r="AA706" s="69"/>
      <c r="AB706" s="69"/>
      <c r="AC706" s="70"/>
      <c r="AD706" t="s">
        <v>5161</v>
      </c>
      <c r="AE706" s="78" t="s">
        <v>6462</v>
      </c>
      <c r="AF706">
        <v>2524</v>
      </c>
      <c r="AG706">
        <v>1059</v>
      </c>
      <c r="AH706">
        <v>12300</v>
      </c>
      <c r="AI706">
        <v>16934</v>
      </c>
      <c r="AK706" t="s">
        <v>7633</v>
      </c>
      <c r="AL706" t="s">
        <v>8768</v>
      </c>
      <c r="AM706" s="79" t="str">
        <f>HYPERLINK("https://t.co/RMYrp1hZ3p")</f>
        <v>https://t.co/RMYrp1hZ3p</v>
      </c>
      <c r="AO706" s="76">
        <v>39920.902048611111</v>
      </c>
      <c r="AP706" s="79" t="str">
        <f>HYPERLINK("https://pbs.twimg.com/profile_banners/32603696/1355851129")</f>
        <v>https://pbs.twimg.com/profile_banners/32603696/1355851129</v>
      </c>
      <c r="AQ706" t="b">
        <v>0</v>
      </c>
      <c r="AR706" t="b">
        <v>0</v>
      </c>
      <c r="AS706" t="b">
        <v>0</v>
      </c>
      <c r="AU706">
        <v>25</v>
      </c>
      <c r="AV706" s="79" t="str">
        <f>HYPERLINK("https://abs.twimg.com/images/themes/theme10/bg.gif")</f>
        <v>https://abs.twimg.com/images/themes/theme10/bg.gif</v>
      </c>
      <c r="AW706" t="b">
        <v>0</v>
      </c>
      <c r="AX706" t="s">
        <v>9303</v>
      </c>
      <c r="AY706" s="79" t="str">
        <f>HYPERLINK("https://twitter.com/rdrewyor")</f>
        <v>https://twitter.com/rdrewyor</v>
      </c>
      <c r="AZ706" t="s">
        <v>66</v>
      </c>
      <c r="BA706" s="2"/>
    </row>
    <row r="707" spans="1:53" x14ac:dyDescent="0.45">
      <c r="A707" s="62" t="s">
        <v>658</v>
      </c>
      <c r="B707" s="63"/>
      <c r="C707" s="63"/>
      <c r="D707" s="64"/>
      <c r="E707" s="66"/>
      <c r="F707" s="98" t="str">
        <f>HYPERLINK("https://pbs.twimg.com/profile_images/702243836031057921/YvTxORce_normal.jpg")</f>
        <v>https://pbs.twimg.com/profile_images/702243836031057921/YvTxORce_normal.jpg</v>
      </c>
      <c r="G707" s="63"/>
      <c r="H707" s="67"/>
      <c r="I707" s="68"/>
      <c r="J707" s="68"/>
      <c r="K707" s="67" t="s">
        <v>9970</v>
      </c>
      <c r="L707" s="71"/>
      <c r="M707" s="72"/>
      <c r="N707" s="72"/>
      <c r="O707" s="73"/>
      <c r="P707" s="74"/>
      <c r="Q707" s="74"/>
      <c r="R707" s="81"/>
      <c r="S707" s="81"/>
      <c r="T707" s="81"/>
      <c r="U707" s="81"/>
      <c r="V707" s="48"/>
      <c r="W707" s="48"/>
      <c r="X707" s="48"/>
      <c r="Y707" s="48"/>
      <c r="Z707" s="47"/>
      <c r="AA707" s="69"/>
      <c r="AB707" s="69"/>
      <c r="AC707" s="70"/>
      <c r="AD707" t="s">
        <v>5661</v>
      </c>
      <c r="AE707" s="78" t="s">
        <v>6903</v>
      </c>
      <c r="AF707">
        <v>779</v>
      </c>
      <c r="AG707">
        <v>1055</v>
      </c>
      <c r="AH707">
        <v>106342</v>
      </c>
      <c r="AI707">
        <v>9057</v>
      </c>
      <c r="AK707" t="s">
        <v>8070</v>
      </c>
      <c r="AL707" t="s">
        <v>9019</v>
      </c>
      <c r="AO707" s="76">
        <v>42423.891805555555</v>
      </c>
      <c r="AP707" s="79" t="str">
        <f>HYPERLINK("https://pbs.twimg.com/profile_banners/702242578754838530/1675250832")</f>
        <v>https://pbs.twimg.com/profile_banners/702242578754838530/1675250832</v>
      </c>
      <c r="AQ707" t="b">
        <v>0</v>
      </c>
      <c r="AR707" t="b">
        <v>0</v>
      </c>
      <c r="AS707" t="b">
        <v>0</v>
      </c>
      <c r="AU707">
        <v>779</v>
      </c>
      <c r="AV707" s="79" t="str">
        <f>HYPERLINK("https://abs.twimg.com/images/themes/theme1/bg.png")</f>
        <v>https://abs.twimg.com/images/themes/theme1/bg.png</v>
      </c>
      <c r="AW707" t="b">
        <v>0</v>
      </c>
      <c r="AX707" t="s">
        <v>9303</v>
      </c>
      <c r="AY707" s="79" t="str">
        <f>HYPERLINK("https://twitter.com/ingeniouschi")</f>
        <v>https://twitter.com/ingeniouschi</v>
      </c>
      <c r="AZ707" t="s">
        <v>66</v>
      </c>
      <c r="BA707" s="2"/>
    </row>
    <row r="708" spans="1:53" x14ac:dyDescent="0.45">
      <c r="A708" s="62" t="s">
        <v>1563</v>
      </c>
      <c r="B708" s="63"/>
      <c r="C708" s="63"/>
      <c r="D708" s="64"/>
      <c r="E708" s="66"/>
      <c r="F708" s="98" t="str">
        <f>HYPERLINK("https://pbs.twimg.com/profile_images/624356686845845505/_SrAAaAD_normal.jpg")</f>
        <v>https://pbs.twimg.com/profile_images/624356686845845505/_SrAAaAD_normal.jpg</v>
      </c>
      <c r="G708" s="63"/>
      <c r="H708" s="67"/>
      <c r="I708" s="68"/>
      <c r="J708" s="68"/>
      <c r="K708" s="67" t="s">
        <v>10636</v>
      </c>
      <c r="L708" s="71"/>
      <c r="M708" s="72"/>
      <c r="N708" s="72"/>
      <c r="O708" s="73"/>
      <c r="P708" s="74"/>
      <c r="Q708" s="74"/>
      <c r="R708" s="81"/>
      <c r="S708" s="81"/>
      <c r="T708" s="81"/>
      <c r="U708" s="81"/>
      <c r="V708" s="48"/>
      <c r="W708" s="48"/>
      <c r="X708" s="48"/>
      <c r="Y708" s="48"/>
      <c r="Z708" s="47"/>
      <c r="AA708" s="69"/>
      <c r="AB708" s="69"/>
      <c r="AC708" s="70"/>
      <c r="AD708" t="s">
        <v>6312</v>
      </c>
      <c r="AE708" s="78" t="s">
        <v>7475</v>
      </c>
      <c r="AF708">
        <v>168</v>
      </c>
      <c r="AG708">
        <v>1047</v>
      </c>
      <c r="AH708">
        <v>5688</v>
      </c>
      <c r="AI708">
        <v>7088</v>
      </c>
      <c r="AL708" t="s">
        <v>9294</v>
      </c>
      <c r="AM708" s="79" t="str">
        <f>HYPERLINK("https://t.co/eM5J2Sm8Yj")</f>
        <v>https://t.co/eM5J2Sm8Yj</v>
      </c>
      <c r="AO708" s="76">
        <v>42208.738923611112</v>
      </c>
      <c r="AP708" s="79" t="str">
        <f>HYPERLINK("https://pbs.twimg.com/profile_banners/3389654692/1536590102")</f>
        <v>https://pbs.twimg.com/profile_banners/3389654692/1536590102</v>
      </c>
      <c r="AQ708" t="b">
        <v>0</v>
      </c>
      <c r="AR708" t="b">
        <v>0</v>
      </c>
      <c r="AS708" t="b">
        <v>1</v>
      </c>
      <c r="AU708">
        <v>6</v>
      </c>
      <c r="AV708" s="79" t="str">
        <f>HYPERLINK("https://abs.twimg.com/images/themes/theme15/bg.png")</f>
        <v>https://abs.twimg.com/images/themes/theme15/bg.png</v>
      </c>
      <c r="AW708" t="b">
        <v>0</v>
      </c>
      <c r="AX708" t="s">
        <v>9303</v>
      </c>
      <c r="AY708" s="79" t="str">
        <f>HYPERLINK("https://twitter.com/rocketprincipal")</f>
        <v>https://twitter.com/rocketprincipal</v>
      </c>
      <c r="AZ708" t="s">
        <v>65</v>
      </c>
      <c r="BA708" s="2"/>
    </row>
    <row r="709" spans="1:53" x14ac:dyDescent="0.45">
      <c r="A709" s="62" t="s">
        <v>1246</v>
      </c>
      <c r="B709" s="63"/>
      <c r="C709" s="63"/>
      <c r="D709" s="64"/>
      <c r="E709" s="66"/>
      <c r="F709" s="98" t="str">
        <f>HYPERLINK("https://pbs.twimg.com/profile_images/223011012/WakefernLogo-Twitter9_normal.jpg")</f>
        <v>https://pbs.twimg.com/profile_images/223011012/WakefernLogo-Twitter9_normal.jpg</v>
      </c>
      <c r="G709" s="63"/>
      <c r="H709" s="67"/>
      <c r="I709" s="68"/>
      <c r="J709" s="68"/>
      <c r="K709" s="67" t="s">
        <v>9599</v>
      </c>
      <c r="L709" s="71"/>
      <c r="M709" s="72"/>
      <c r="N709" s="72"/>
      <c r="O709" s="73"/>
      <c r="P709" s="74"/>
      <c r="Q709" s="74"/>
      <c r="R709" s="81"/>
      <c r="S709" s="81"/>
      <c r="T709" s="81"/>
      <c r="U709" s="81"/>
      <c r="V709" s="48"/>
      <c r="W709" s="48"/>
      <c r="X709" s="48"/>
      <c r="Y709" s="48"/>
      <c r="Z709" s="47"/>
      <c r="AA709" s="69"/>
      <c r="AB709" s="69"/>
      <c r="AC709" s="70"/>
      <c r="AD709" t="s">
        <v>5292</v>
      </c>
      <c r="AE709" s="78" t="s">
        <v>6570</v>
      </c>
      <c r="AF709">
        <v>0</v>
      </c>
      <c r="AG709">
        <v>1031</v>
      </c>
      <c r="AH709">
        <v>5</v>
      </c>
      <c r="AI709">
        <v>0</v>
      </c>
      <c r="AK709" t="s">
        <v>7749</v>
      </c>
      <c r="AL709" t="s">
        <v>8833</v>
      </c>
      <c r="AM709" s="79" t="str">
        <f>HYPERLINK("http://t.co/qVXRYZ8T32")</f>
        <v>http://t.co/qVXRYZ8T32</v>
      </c>
      <c r="AO709" s="76">
        <v>39917.749710648146</v>
      </c>
      <c r="AQ709" t="b">
        <v>1</v>
      </c>
      <c r="AR709" t="b">
        <v>0</v>
      </c>
      <c r="AS709" t="b">
        <v>0</v>
      </c>
      <c r="AU709">
        <v>37</v>
      </c>
      <c r="AV709" s="79" t="str">
        <f>HYPERLINK("https://abs.twimg.com/images/themes/theme1/bg.png")</f>
        <v>https://abs.twimg.com/images/themes/theme1/bg.png</v>
      </c>
      <c r="AW709" t="b">
        <v>0</v>
      </c>
      <c r="AX709" t="s">
        <v>9303</v>
      </c>
      <c r="AY709" s="79" t="str">
        <f>HYPERLINK("https://twitter.com/wakefernfood")</f>
        <v>https://twitter.com/wakefernfood</v>
      </c>
      <c r="AZ709" t="s">
        <v>65</v>
      </c>
      <c r="BA709" s="2"/>
    </row>
    <row r="710" spans="1:53" x14ac:dyDescent="0.45">
      <c r="A710" s="62" t="s">
        <v>855</v>
      </c>
      <c r="B710" s="63"/>
      <c r="C710" s="63"/>
      <c r="D710" s="64"/>
      <c r="E710" s="66"/>
      <c r="F710" s="98" t="str">
        <f>HYPERLINK("https://pbs.twimg.com/profile_images/1399515092237041669/1i9T4Iwq_normal.jpg")</f>
        <v>https://pbs.twimg.com/profile_images/1399515092237041669/1i9T4Iwq_normal.jpg</v>
      </c>
      <c r="G710" s="63"/>
      <c r="H710" s="67"/>
      <c r="I710" s="68"/>
      <c r="J710" s="68"/>
      <c r="K710" s="67" t="s">
        <v>10254</v>
      </c>
      <c r="L710" s="71"/>
      <c r="M710" s="72"/>
      <c r="N710" s="72"/>
      <c r="O710" s="73"/>
      <c r="P710" s="74"/>
      <c r="Q710" s="74"/>
      <c r="R710" s="81"/>
      <c r="S710" s="81"/>
      <c r="T710" s="81"/>
      <c r="U710" s="81"/>
      <c r="V710" s="48"/>
      <c r="W710" s="48"/>
      <c r="X710" s="48"/>
      <c r="Y710" s="48"/>
      <c r="Z710" s="47"/>
      <c r="AA710" s="69"/>
      <c r="AB710" s="69"/>
      <c r="AC710" s="70"/>
      <c r="AD710" t="s">
        <v>5937</v>
      </c>
      <c r="AE710" s="78" t="s">
        <v>7151</v>
      </c>
      <c r="AF710">
        <v>580</v>
      </c>
      <c r="AG710">
        <v>1020</v>
      </c>
      <c r="AH710">
        <v>53474</v>
      </c>
      <c r="AI710">
        <v>86139</v>
      </c>
      <c r="AK710" t="s">
        <v>8316</v>
      </c>
      <c r="AO710" s="76">
        <v>42472.887835648151</v>
      </c>
      <c r="AQ710" t="b">
        <v>1</v>
      </c>
      <c r="AR710" t="b">
        <v>0</v>
      </c>
      <c r="AS710" t="b">
        <v>1</v>
      </c>
      <c r="AU710">
        <v>2</v>
      </c>
      <c r="AW710" t="b">
        <v>0</v>
      </c>
      <c r="AX710" t="s">
        <v>9303</v>
      </c>
      <c r="AY710" s="79" t="str">
        <f>HYPERLINK("https://twitter.com/psissy514platt")</f>
        <v>https://twitter.com/psissy514platt</v>
      </c>
      <c r="AZ710" t="s">
        <v>66</v>
      </c>
      <c r="BA710" s="2"/>
    </row>
    <row r="711" spans="1:53" x14ac:dyDescent="0.45">
      <c r="A711" s="62" t="s">
        <v>1382</v>
      </c>
      <c r="B711" s="63"/>
      <c r="C711" s="63"/>
      <c r="D711" s="64"/>
      <c r="E711" s="66"/>
      <c r="F711" s="98" t="str">
        <f>HYPERLINK("https://pbs.twimg.com/profile_images/1590231420886306816/374nEkFH_normal.jpg")</f>
        <v>https://pbs.twimg.com/profile_images/1590231420886306816/374nEkFH_normal.jpg</v>
      </c>
      <c r="G711" s="63"/>
      <c r="H711" s="67"/>
      <c r="I711" s="68"/>
      <c r="J711" s="68"/>
      <c r="K711" s="67" t="s">
        <v>10175</v>
      </c>
      <c r="L711" s="71"/>
      <c r="M711" s="72"/>
      <c r="N711" s="72"/>
      <c r="O711" s="73"/>
      <c r="P711" s="74"/>
      <c r="Q711" s="74"/>
      <c r="R711" s="81"/>
      <c r="S711" s="81"/>
      <c r="T711" s="81"/>
      <c r="U711" s="81"/>
      <c r="V711" s="48"/>
      <c r="W711" s="48"/>
      <c r="X711" s="48"/>
      <c r="Y711" s="48"/>
      <c r="Z711" s="47"/>
      <c r="AA711" s="69"/>
      <c r="AB711" s="69"/>
      <c r="AC711" s="70"/>
      <c r="AD711" t="s">
        <v>5861</v>
      </c>
      <c r="AE711" s="78" t="s">
        <v>7084</v>
      </c>
      <c r="AF711">
        <v>11</v>
      </c>
      <c r="AG711">
        <v>1017</v>
      </c>
      <c r="AH711">
        <v>16526</v>
      </c>
      <c r="AI711">
        <v>20087</v>
      </c>
      <c r="AK711" t="s">
        <v>8248</v>
      </c>
      <c r="AL711" t="s">
        <v>4906</v>
      </c>
      <c r="AM711" s="79" t="str">
        <f>HYPERLINK("https://t.co/NIZSiDxo53")</f>
        <v>https://t.co/NIZSiDxo53</v>
      </c>
      <c r="AO711" s="76">
        <v>42042.01667824074</v>
      </c>
      <c r="AP711" s="79" t="str">
        <f>HYPERLINK("https://pbs.twimg.com/profile_banners/3022477576/1667003094")</f>
        <v>https://pbs.twimg.com/profile_banners/3022477576/1667003094</v>
      </c>
      <c r="AQ711" t="b">
        <v>0</v>
      </c>
      <c r="AR711" t="b">
        <v>0</v>
      </c>
      <c r="AS711" t="b">
        <v>1</v>
      </c>
      <c r="AU711">
        <v>1</v>
      </c>
      <c r="AV711" s="79" t="str">
        <f>HYPERLINK("https://abs.twimg.com/images/themes/theme1/bg.png")</f>
        <v>https://abs.twimg.com/images/themes/theme1/bg.png</v>
      </c>
      <c r="AW711" t="b">
        <v>0</v>
      </c>
      <c r="AX711" t="s">
        <v>9303</v>
      </c>
      <c r="AY711" s="79" t="str">
        <f>HYPERLINK("https://twitter.com/pfffbeep")</f>
        <v>https://twitter.com/pfffbeep</v>
      </c>
      <c r="AZ711" t="s">
        <v>65</v>
      </c>
      <c r="BA711" s="2"/>
    </row>
    <row r="712" spans="1:53" x14ac:dyDescent="0.45">
      <c r="A712" s="62" t="s">
        <v>1061</v>
      </c>
      <c r="B712" s="63"/>
      <c r="C712" s="63"/>
      <c r="D712" s="64"/>
      <c r="E712" s="66"/>
      <c r="F712" s="98" t="str">
        <f>HYPERLINK("https://pbs.twimg.com/profile_images/1615199627564797952/Au6y3Ba0_normal.jpg")</f>
        <v>https://pbs.twimg.com/profile_images/1615199627564797952/Au6y3Ba0_normal.jpg</v>
      </c>
      <c r="G712" s="63"/>
      <c r="H712" s="67"/>
      <c r="I712" s="68"/>
      <c r="J712" s="68"/>
      <c r="K712" s="67" t="s">
        <v>10583</v>
      </c>
      <c r="L712" s="71"/>
      <c r="M712" s="72"/>
      <c r="N712" s="72"/>
      <c r="O712" s="73"/>
      <c r="P712" s="74"/>
      <c r="Q712" s="74"/>
      <c r="R712" s="81"/>
      <c r="S712" s="81"/>
      <c r="T712" s="81"/>
      <c r="U712" s="81"/>
      <c r="V712" s="48"/>
      <c r="W712" s="48"/>
      <c r="X712" s="48"/>
      <c r="Y712" s="48"/>
      <c r="Z712" s="47"/>
      <c r="AA712" s="69"/>
      <c r="AB712" s="69"/>
      <c r="AC712" s="70"/>
      <c r="AD712" t="s">
        <v>6261</v>
      </c>
      <c r="AE712" s="78" t="s">
        <v>7432</v>
      </c>
      <c r="AF712">
        <v>2518</v>
      </c>
      <c r="AG712">
        <v>1013</v>
      </c>
      <c r="AH712">
        <v>6045</v>
      </c>
      <c r="AI712">
        <v>7631</v>
      </c>
      <c r="AK712" t="s">
        <v>8607</v>
      </c>
      <c r="AL712" t="s">
        <v>8683</v>
      </c>
      <c r="AO712" s="76">
        <v>41284.781967592593</v>
      </c>
      <c r="AP712" s="79" t="str">
        <f>HYPERLINK("https://pbs.twimg.com/profile_banners/1077384091/1437526600")</f>
        <v>https://pbs.twimg.com/profile_banners/1077384091/1437526600</v>
      </c>
      <c r="AQ712" t="b">
        <v>1</v>
      </c>
      <c r="AR712" t="b">
        <v>0</v>
      </c>
      <c r="AS712" t="b">
        <v>1</v>
      </c>
      <c r="AU712">
        <v>39</v>
      </c>
      <c r="AV712" s="79" t="str">
        <f>HYPERLINK("https://abs.twimg.com/images/themes/theme1/bg.png")</f>
        <v>https://abs.twimg.com/images/themes/theme1/bg.png</v>
      </c>
      <c r="AW712" t="b">
        <v>0</v>
      </c>
      <c r="AX712" t="s">
        <v>9303</v>
      </c>
      <c r="AY712" s="79" t="str">
        <f>HYPERLINK("https://twitter.com/john_piper01")</f>
        <v>https://twitter.com/john_piper01</v>
      </c>
      <c r="AZ712" t="s">
        <v>66</v>
      </c>
      <c r="BA712" s="2"/>
    </row>
    <row r="713" spans="1:53" x14ac:dyDescent="0.45">
      <c r="A713" s="62" t="s">
        <v>1002</v>
      </c>
      <c r="B713" s="63"/>
      <c r="C713" s="63"/>
      <c r="D713" s="64"/>
      <c r="E713" s="66"/>
      <c r="F713" s="98" t="str">
        <f>HYPERLINK("https://pbs.twimg.com/profile_images/1620943143557369858/_XkVaa-u_normal.png")</f>
        <v>https://pbs.twimg.com/profile_images/1620943143557369858/_XkVaa-u_normal.png</v>
      </c>
      <c r="G713" s="63"/>
      <c r="H713" s="67"/>
      <c r="I713" s="68"/>
      <c r="J713" s="68"/>
      <c r="K713" s="67" t="s">
        <v>10476</v>
      </c>
      <c r="L713" s="71"/>
      <c r="M713" s="72"/>
      <c r="N713" s="72"/>
      <c r="O713" s="73"/>
      <c r="P713" s="74"/>
      <c r="Q713" s="74"/>
      <c r="R713" s="81"/>
      <c r="S713" s="81"/>
      <c r="T713" s="81"/>
      <c r="U713" s="81"/>
      <c r="V713" s="48"/>
      <c r="W713" s="48"/>
      <c r="X713" s="48"/>
      <c r="Y713" s="48"/>
      <c r="Z713" s="47"/>
      <c r="AA713" s="69"/>
      <c r="AB713" s="69"/>
      <c r="AC713" s="70"/>
      <c r="AD713" t="s">
        <v>6156</v>
      </c>
      <c r="AE713" s="78" t="s">
        <v>7342</v>
      </c>
      <c r="AF713">
        <v>3907</v>
      </c>
      <c r="AG713">
        <v>1008</v>
      </c>
      <c r="AH713">
        <v>14698</v>
      </c>
      <c r="AI713">
        <v>11896</v>
      </c>
      <c r="AK713" t="s">
        <v>8515</v>
      </c>
      <c r="AL713" t="s">
        <v>9232</v>
      </c>
      <c r="AM713" s="79" t="str">
        <f>HYPERLINK("https://t.co/gCuqugc7sL")</f>
        <v>https://t.co/gCuqugc7sL</v>
      </c>
      <c r="AO713" s="76">
        <v>44804.777280092596</v>
      </c>
      <c r="AP713" s="79" t="str">
        <f>HYPERLINK("https://pbs.twimg.com/profile_banners/1565046449439756290/1675297936")</f>
        <v>https://pbs.twimg.com/profile_banners/1565046449439756290/1675297936</v>
      </c>
      <c r="AQ713" t="b">
        <v>1</v>
      </c>
      <c r="AR713" t="b">
        <v>0</v>
      </c>
      <c r="AS713" t="b">
        <v>0</v>
      </c>
      <c r="AU713">
        <v>0</v>
      </c>
      <c r="AW713" t="b">
        <v>0</v>
      </c>
      <c r="AX713" t="s">
        <v>9303</v>
      </c>
      <c r="AY713" s="79" t="str">
        <f>HYPERLINK("https://twitter.com/yearlikethis")</f>
        <v>https://twitter.com/yearlikethis</v>
      </c>
      <c r="AZ713" t="s">
        <v>66</v>
      </c>
      <c r="BA713" s="2"/>
    </row>
    <row r="714" spans="1:53" x14ac:dyDescent="0.45">
      <c r="A714" s="62" t="s">
        <v>1011</v>
      </c>
      <c r="B714" s="63"/>
      <c r="C714" s="63"/>
      <c r="D714" s="64"/>
      <c r="E714" s="66"/>
      <c r="F714" s="98" t="str">
        <f>HYPERLINK("https://pbs.twimg.com/profile_images/1610314581418582017/jVhFoNxL_normal.jpg")</f>
        <v>https://pbs.twimg.com/profile_images/1610314581418582017/jVhFoNxL_normal.jpg</v>
      </c>
      <c r="G714" s="63"/>
      <c r="H714" s="67"/>
      <c r="I714" s="68"/>
      <c r="J714" s="68"/>
      <c r="K714" s="67" t="s">
        <v>10486</v>
      </c>
      <c r="L714" s="71"/>
      <c r="M714" s="72"/>
      <c r="N714" s="72"/>
      <c r="O714" s="73"/>
      <c r="P714" s="74"/>
      <c r="Q714" s="74"/>
      <c r="R714" s="81"/>
      <c r="S714" s="81"/>
      <c r="T714" s="81"/>
      <c r="U714" s="81"/>
      <c r="V714" s="48"/>
      <c r="W714" s="48"/>
      <c r="X714" s="48"/>
      <c r="Y714" s="48"/>
      <c r="Z714" s="47"/>
      <c r="AA714" s="69"/>
      <c r="AB714" s="69"/>
      <c r="AC714" s="70"/>
      <c r="AD714" t="s">
        <v>6164</v>
      </c>
      <c r="AE714" s="78" t="s">
        <v>7352</v>
      </c>
      <c r="AF714">
        <v>1724</v>
      </c>
      <c r="AG714">
        <v>997</v>
      </c>
      <c r="AH714">
        <v>17880</v>
      </c>
      <c r="AI714">
        <v>19990</v>
      </c>
      <c r="AK714" t="s">
        <v>8522</v>
      </c>
      <c r="AL714" t="s">
        <v>9236</v>
      </c>
      <c r="AM714" s="79" t="str">
        <f>HYPERLINK("https://t.co/zFrnmXHuYg")</f>
        <v>https://t.co/zFrnmXHuYg</v>
      </c>
      <c r="AO714" s="76">
        <v>42083.867604166669</v>
      </c>
      <c r="AP714" s="79" t="str">
        <f>HYPERLINK("https://pbs.twimg.com/profile_banners/3100293970/1672772355")</f>
        <v>https://pbs.twimg.com/profile_banners/3100293970/1672772355</v>
      </c>
      <c r="AQ714" t="b">
        <v>1</v>
      </c>
      <c r="AR714" t="b">
        <v>0</v>
      </c>
      <c r="AS714" t="b">
        <v>1</v>
      </c>
      <c r="AU714">
        <v>5</v>
      </c>
      <c r="AV714" s="79" t="str">
        <f>HYPERLINK("https://abs.twimg.com/images/themes/theme1/bg.png")</f>
        <v>https://abs.twimg.com/images/themes/theme1/bg.png</v>
      </c>
      <c r="AW714" t="b">
        <v>0</v>
      </c>
      <c r="AX714" t="s">
        <v>9303</v>
      </c>
      <c r="AY714" s="79" t="str">
        <f>HYPERLINK("https://twitter.com/taneldanilo")</f>
        <v>https://twitter.com/taneldanilo</v>
      </c>
      <c r="AZ714" t="s">
        <v>66</v>
      </c>
      <c r="BA714" s="2"/>
    </row>
    <row r="715" spans="1:53" x14ac:dyDescent="0.45">
      <c r="A715" s="62" t="s">
        <v>406</v>
      </c>
      <c r="B715" s="63"/>
      <c r="C715" s="63"/>
      <c r="D715" s="64"/>
      <c r="E715" s="66"/>
      <c r="F715" s="98" t="str">
        <f>HYPERLINK("https://pbs.twimg.com/profile_images/1613700226811920392/eKcBUivo_normal.jpg")</f>
        <v>https://pbs.twimg.com/profile_images/1613700226811920392/eKcBUivo_normal.jpg</v>
      </c>
      <c r="G715" s="63"/>
      <c r="H715" s="67"/>
      <c r="I715" s="68"/>
      <c r="J715" s="68"/>
      <c r="K715" s="67" t="s">
        <v>9657</v>
      </c>
      <c r="L715" s="71"/>
      <c r="M715" s="72"/>
      <c r="N715" s="72"/>
      <c r="O715" s="73"/>
      <c r="P715" s="74"/>
      <c r="Q715" s="74"/>
      <c r="R715" s="81"/>
      <c r="S715" s="81"/>
      <c r="T715" s="81"/>
      <c r="U715" s="81"/>
      <c r="V715" s="48"/>
      <c r="W715" s="48"/>
      <c r="X715" s="48"/>
      <c r="Y715" s="48"/>
      <c r="Z715" s="47"/>
      <c r="AA715" s="69"/>
      <c r="AB715" s="69"/>
      <c r="AC715" s="70"/>
      <c r="AD715" t="s">
        <v>5350</v>
      </c>
      <c r="AE715" s="78" t="s">
        <v>6624</v>
      </c>
      <c r="AF715">
        <v>889</v>
      </c>
      <c r="AG715">
        <v>994</v>
      </c>
      <c r="AH715">
        <v>111164</v>
      </c>
      <c r="AI715">
        <v>22925</v>
      </c>
      <c r="AK715" t="s">
        <v>7801</v>
      </c>
      <c r="AL715" t="s">
        <v>8861</v>
      </c>
      <c r="AO715" s="76">
        <v>39972.748032407406</v>
      </c>
      <c r="AP715" s="79" t="str">
        <f>HYPERLINK("https://pbs.twimg.com/profile_banners/45625001/1674302659")</f>
        <v>https://pbs.twimg.com/profile_banners/45625001/1674302659</v>
      </c>
      <c r="AQ715" t="b">
        <v>0</v>
      </c>
      <c r="AR715" t="b">
        <v>0</v>
      </c>
      <c r="AS715" t="b">
        <v>0</v>
      </c>
      <c r="AU715">
        <v>22</v>
      </c>
      <c r="AV715" s="79" t="str">
        <f>HYPERLINK("https://abs.twimg.com/images/themes/theme10/bg.gif")</f>
        <v>https://abs.twimg.com/images/themes/theme10/bg.gif</v>
      </c>
      <c r="AW715" t="b">
        <v>0</v>
      </c>
      <c r="AX715" t="s">
        <v>9303</v>
      </c>
      <c r="AY715" s="79" t="str">
        <f>HYPERLINK("https://twitter.com/mileyc_fan89")</f>
        <v>https://twitter.com/mileyc_fan89</v>
      </c>
      <c r="AZ715" t="s">
        <v>66</v>
      </c>
      <c r="BA715" s="2"/>
    </row>
    <row r="716" spans="1:53" x14ac:dyDescent="0.45">
      <c r="A716" s="62" t="s">
        <v>271</v>
      </c>
      <c r="B716" s="63"/>
      <c r="C716" s="63"/>
      <c r="D716" s="64"/>
      <c r="E716" s="66"/>
      <c r="F716" s="98" t="str">
        <f>HYPERLINK("https://pbs.twimg.com/profile_images/1476365773077635072/369A6d4J_normal.jpg")</f>
        <v>https://pbs.twimg.com/profile_images/1476365773077635072/369A6d4J_normal.jpg</v>
      </c>
      <c r="G716" s="63"/>
      <c r="H716" s="67"/>
      <c r="I716" s="68"/>
      <c r="J716" s="68"/>
      <c r="K716" s="67" t="s">
        <v>9417</v>
      </c>
      <c r="L716" s="71"/>
      <c r="M716" s="72"/>
      <c r="N716" s="72"/>
      <c r="O716" s="73"/>
      <c r="P716" s="74"/>
      <c r="Q716" s="74"/>
      <c r="R716" s="81"/>
      <c r="S716" s="81"/>
      <c r="T716" s="81"/>
      <c r="U716" s="81"/>
      <c r="V716" s="48"/>
      <c r="W716" s="48"/>
      <c r="X716" s="48"/>
      <c r="Y716" s="48"/>
      <c r="Z716" s="47"/>
      <c r="AA716" s="69"/>
      <c r="AB716" s="69"/>
      <c r="AC716" s="70"/>
      <c r="AD716" t="s">
        <v>5111</v>
      </c>
      <c r="AE716" s="78" t="s">
        <v>6420</v>
      </c>
      <c r="AF716">
        <v>876</v>
      </c>
      <c r="AG716">
        <v>988</v>
      </c>
      <c r="AH716">
        <v>19783</v>
      </c>
      <c r="AI716">
        <v>2958</v>
      </c>
      <c r="AK716" t="s">
        <v>7591</v>
      </c>
      <c r="AL716" t="s">
        <v>8692</v>
      </c>
      <c r="AO716" s="76">
        <v>40216.868923611109</v>
      </c>
      <c r="AP716" s="79" t="str">
        <f>HYPERLINK("https://pbs.twimg.com/profile_banners/112260076/1640830708")</f>
        <v>https://pbs.twimg.com/profile_banners/112260076/1640830708</v>
      </c>
      <c r="AQ716" t="b">
        <v>0</v>
      </c>
      <c r="AR716" t="b">
        <v>0</v>
      </c>
      <c r="AS716" t="b">
        <v>1</v>
      </c>
      <c r="AU716">
        <v>7</v>
      </c>
      <c r="AV716" s="79" t="str">
        <f>HYPERLINK("https://abs.twimg.com/images/themes/theme9/bg.gif")</f>
        <v>https://abs.twimg.com/images/themes/theme9/bg.gif</v>
      </c>
      <c r="AW716" t="b">
        <v>0</v>
      </c>
      <c r="AX716" t="s">
        <v>9303</v>
      </c>
      <c r="AY716" s="79" t="str">
        <f>HYPERLINK("https://twitter.com/vickyverenzuela")</f>
        <v>https://twitter.com/vickyverenzuela</v>
      </c>
      <c r="AZ716" t="s">
        <v>66</v>
      </c>
      <c r="BA716" s="2"/>
    </row>
    <row r="717" spans="1:53" x14ac:dyDescent="0.45">
      <c r="A717" s="62" t="s">
        <v>373</v>
      </c>
      <c r="B717" s="63"/>
      <c r="C717" s="63"/>
      <c r="D717" s="64"/>
      <c r="E717" s="66"/>
      <c r="F717" s="98" t="str">
        <f>HYPERLINK("https://pbs.twimg.com/profile_images/1573742717200392192/VlGCdLK8_normal.jpg")</f>
        <v>https://pbs.twimg.com/profile_images/1573742717200392192/VlGCdLK8_normal.jpg</v>
      </c>
      <c r="G717" s="63"/>
      <c r="H717" s="67"/>
      <c r="I717" s="68"/>
      <c r="J717" s="68"/>
      <c r="K717" s="67" t="s">
        <v>9566</v>
      </c>
      <c r="L717" s="71"/>
      <c r="M717" s="72"/>
      <c r="N717" s="72"/>
      <c r="O717" s="73"/>
      <c r="P717" s="74"/>
      <c r="Q717" s="74"/>
      <c r="R717" s="81"/>
      <c r="S717" s="81"/>
      <c r="T717" s="81"/>
      <c r="U717" s="81"/>
      <c r="V717" s="48"/>
      <c r="W717" s="48"/>
      <c r="X717" s="48"/>
      <c r="Y717" s="48"/>
      <c r="Z717" s="47"/>
      <c r="AA717" s="69"/>
      <c r="AB717" s="69"/>
      <c r="AC717" s="70"/>
      <c r="AD717" t="s">
        <v>5259</v>
      </c>
      <c r="AE717" s="78" t="s">
        <v>4686</v>
      </c>
      <c r="AF717">
        <v>990</v>
      </c>
      <c r="AG717">
        <v>981</v>
      </c>
      <c r="AH717">
        <v>6117</v>
      </c>
      <c r="AI717">
        <v>13809</v>
      </c>
      <c r="AK717" t="s">
        <v>7723</v>
      </c>
      <c r="AO717" s="76">
        <v>42303.036886574075</v>
      </c>
      <c r="AP717" s="79" t="str">
        <f>HYPERLINK("https://pbs.twimg.com/profile_banners/4042639395/1475026642")</f>
        <v>https://pbs.twimg.com/profile_banners/4042639395/1475026642</v>
      </c>
      <c r="AQ717" t="b">
        <v>1</v>
      </c>
      <c r="AR717" t="b">
        <v>0</v>
      </c>
      <c r="AS717" t="b">
        <v>1</v>
      </c>
      <c r="AU717">
        <v>1</v>
      </c>
      <c r="AV717" s="79" t="str">
        <f>HYPERLINK("https://abs.twimg.com/images/themes/theme1/bg.png")</f>
        <v>https://abs.twimg.com/images/themes/theme1/bg.png</v>
      </c>
      <c r="AW717" t="b">
        <v>0</v>
      </c>
      <c r="AX717" t="s">
        <v>9303</v>
      </c>
      <c r="AY717" s="79" t="str">
        <f>HYPERLINK("https://twitter.com/asauceman12")</f>
        <v>https://twitter.com/asauceman12</v>
      </c>
      <c r="AZ717" t="s">
        <v>66</v>
      </c>
      <c r="BA717" s="2"/>
    </row>
    <row r="718" spans="1:53" x14ac:dyDescent="0.45">
      <c r="A718" s="62" t="s">
        <v>1032</v>
      </c>
      <c r="B718" s="63"/>
      <c r="C718" s="63"/>
      <c r="D718" s="64"/>
      <c r="E718" s="66"/>
      <c r="F718" s="98" t="str">
        <f>HYPERLINK("https://pbs.twimg.com/profile_images/1588520130371530753/5tIlfAMR_normal.jpg")</f>
        <v>https://pbs.twimg.com/profile_images/1588520130371530753/5tIlfAMR_normal.jpg</v>
      </c>
      <c r="G718" s="63"/>
      <c r="H718" s="67"/>
      <c r="I718" s="68"/>
      <c r="J718" s="68"/>
      <c r="K718" s="67" t="s">
        <v>10522</v>
      </c>
      <c r="L718" s="71"/>
      <c r="M718" s="72"/>
      <c r="N718" s="72"/>
      <c r="O718" s="73"/>
      <c r="P718" s="74"/>
      <c r="Q718" s="74"/>
      <c r="R718" s="81"/>
      <c r="S718" s="81"/>
      <c r="T718" s="81"/>
      <c r="U718" s="81"/>
      <c r="V718" s="48"/>
      <c r="W718" s="48"/>
      <c r="X718" s="48"/>
      <c r="Y718" s="48"/>
      <c r="Z718" s="47"/>
      <c r="AA718" s="69"/>
      <c r="AB718" s="69"/>
      <c r="AC718" s="70"/>
      <c r="AD718" t="s">
        <v>6200</v>
      </c>
      <c r="AE718" s="78" t="s">
        <v>7381</v>
      </c>
      <c r="AF718">
        <v>64</v>
      </c>
      <c r="AG718">
        <v>977</v>
      </c>
      <c r="AH718">
        <v>26649</v>
      </c>
      <c r="AI718">
        <v>12711</v>
      </c>
      <c r="AK718" t="s">
        <v>8553</v>
      </c>
      <c r="AL718" t="s">
        <v>9248</v>
      </c>
      <c r="AO718" s="76">
        <v>41563.594699074078</v>
      </c>
      <c r="AP718" s="79" t="str">
        <f>HYPERLINK("https://pbs.twimg.com/profile_banners/1964875220/1667317835")</f>
        <v>https://pbs.twimg.com/profile_banners/1964875220/1667317835</v>
      </c>
      <c r="AQ718" t="b">
        <v>1</v>
      </c>
      <c r="AR718" t="b">
        <v>0</v>
      </c>
      <c r="AS718" t="b">
        <v>1</v>
      </c>
      <c r="AU718">
        <v>0</v>
      </c>
      <c r="AV718" s="79" t="str">
        <f>HYPERLINK("https://abs.twimg.com/images/themes/theme1/bg.png")</f>
        <v>https://abs.twimg.com/images/themes/theme1/bg.png</v>
      </c>
      <c r="AW718" t="b">
        <v>0</v>
      </c>
      <c r="AX718" t="s">
        <v>9303</v>
      </c>
      <c r="AY718" s="79" t="str">
        <f>HYPERLINK("https://twitter.com/aapkiawaaz_rk")</f>
        <v>https://twitter.com/aapkiawaaz_rk</v>
      </c>
      <c r="AZ718" t="s">
        <v>66</v>
      </c>
      <c r="BA718" s="2"/>
    </row>
    <row r="719" spans="1:53" x14ac:dyDescent="0.45">
      <c r="A719" s="62" t="s">
        <v>1007</v>
      </c>
      <c r="B719" s="63"/>
      <c r="C719" s="63"/>
      <c r="D719" s="64"/>
      <c r="E719" s="66"/>
      <c r="F719" s="98" t="str">
        <f>HYPERLINK("https://pbs.twimg.com/profile_images/917232990308114433/STN-yA7F_normal.jpg")</f>
        <v>https://pbs.twimg.com/profile_images/917232990308114433/STN-yA7F_normal.jpg</v>
      </c>
      <c r="G719" s="63"/>
      <c r="H719" s="67"/>
      <c r="I719" s="68"/>
      <c r="J719" s="68"/>
      <c r="K719" s="67" t="s">
        <v>10482</v>
      </c>
      <c r="L719" s="71"/>
      <c r="M719" s="72"/>
      <c r="N719" s="72"/>
      <c r="O719" s="73"/>
      <c r="P719" s="74"/>
      <c r="Q719" s="74"/>
      <c r="R719" s="81"/>
      <c r="S719" s="81"/>
      <c r="T719" s="81"/>
      <c r="U719" s="81"/>
      <c r="V719" s="48"/>
      <c r="W719" s="48"/>
      <c r="X719" s="48"/>
      <c r="Y719" s="48"/>
      <c r="Z719" s="47"/>
      <c r="AA719" s="69"/>
      <c r="AB719" s="69"/>
      <c r="AC719" s="70"/>
      <c r="AD719" t="s">
        <v>6161</v>
      </c>
      <c r="AE719" s="78" t="s">
        <v>7348</v>
      </c>
      <c r="AF719">
        <v>29</v>
      </c>
      <c r="AG719">
        <v>969</v>
      </c>
      <c r="AH719">
        <v>485978</v>
      </c>
      <c r="AI719">
        <v>183618</v>
      </c>
      <c r="AK719" t="s">
        <v>8518</v>
      </c>
      <c r="AL719" t="s">
        <v>4899</v>
      </c>
      <c r="AO719" s="76">
        <v>41561.828692129631</v>
      </c>
      <c r="AP719" s="79" t="str">
        <f>HYPERLINK("https://pbs.twimg.com/profile_banners/714926235/1553827003")</f>
        <v>https://pbs.twimg.com/profile_banners/714926235/1553827003</v>
      </c>
      <c r="AQ719" t="b">
        <v>0</v>
      </c>
      <c r="AR719" t="b">
        <v>0</v>
      </c>
      <c r="AS719" t="b">
        <v>1</v>
      </c>
      <c r="AU719">
        <v>80</v>
      </c>
      <c r="AV719" s="79" t="str">
        <f>HYPERLINK("https://abs.twimg.com/images/themes/theme1/bg.png")</f>
        <v>https://abs.twimg.com/images/themes/theme1/bg.png</v>
      </c>
      <c r="AW719" t="b">
        <v>0</v>
      </c>
      <c r="AX719" t="s">
        <v>9303</v>
      </c>
      <c r="AY719" s="79" t="str">
        <f>HYPERLINK("https://twitter.com/he1fineartist")</f>
        <v>https://twitter.com/he1fineartist</v>
      </c>
      <c r="AZ719" t="s">
        <v>66</v>
      </c>
      <c r="BA719" s="2"/>
    </row>
    <row r="720" spans="1:53" x14ac:dyDescent="0.45">
      <c r="A720" s="62" t="s">
        <v>365</v>
      </c>
      <c r="B720" s="63"/>
      <c r="C720" s="63"/>
      <c r="D720" s="64"/>
      <c r="E720" s="66"/>
      <c r="F720" s="98" t="str">
        <f>HYPERLINK("https://pbs.twimg.com/profile_images/1306956880368070660/V0CeoY3v_normal.jpg")</f>
        <v>https://pbs.twimg.com/profile_images/1306956880368070660/V0CeoY3v_normal.jpg</v>
      </c>
      <c r="G720" s="63"/>
      <c r="H720" s="67"/>
      <c r="I720" s="68"/>
      <c r="J720" s="68"/>
      <c r="K720" s="67" t="s">
        <v>9608</v>
      </c>
      <c r="L720" s="71"/>
      <c r="M720" s="72"/>
      <c r="N720" s="72"/>
      <c r="O720" s="73"/>
      <c r="P720" s="74"/>
      <c r="Q720" s="74"/>
      <c r="R720" s="81"/>
      <c r="S720" s="81"/>
      <c r="T720" s="81"/>
      <c r="U720" s="81"/>
      <c r="V720" s="48"/>
      <c r="W720" s="48"/>
      <c r="X720" s="48"/>
      <c r="Y720" s="48"/>
      <c r="Z720" s="47"/>
      <c r="AA720" s="69"/>
      <c r="AB720" s="69"/>
      <c r="AC720" s="70"/>
      <c r="AD720" t="s">
        <v>5301</v>
      </c>
      <c r="AE720" s="78" t="s">
        <v>6579</v>
      </c>
      <c r="AF720">
        <v>14</v>
      </c>
      <c r="AG720">
        <v>964</v>
      </c>
      <c r="AH720">
        <v>1515</v>
      </c>
      <c r="AI720">
        <v>1</v>
      </c>
      <c r="AK720" t="s">
        <v>7757</v>
      </c>
      <c r="AL720" t="s">
        <v>8703</v>
      </c>
      <c r="AO720" s="76">
        <v>44077.706331018519</v>
      </c>
      <c r="AP720" s="79" t="str">
        <f>HYPERLINK("https://pbs.twimg.com/profile_banners/1301564852188704768/1599152326")</f>
        <v>https://pbs.twimg.com/profile_banners/1301564852188704768/1599152326</v>
      </c>
      <c r="AQ720" t="b">
        <v>1</v>
      </c>
      <c r="AR720" t="b">
        <v>0</v>
      </c>
      <c r="AS720" t="b">
        <v>0</v>
      </c>
      <c r="AU720">
        <v>30</v>
      </c>
      <c r="AW720" t="b">
        <v>1</v>
      </c>
      <c r="AX720" t="s">
        <v>9303</v>
      </c>
      <c r="AY720" s="79" t="str">
        <f>HYPERLINK("https://twitter.com/cybersecdive")</f>
        <v>https://twitter.com/cybersecdive</v>
      </c>
      <c r="AZ720" t="s">
        <v>66</v>
      </c>
      <c r="BA720" s="2"/>
    </row>
    <row r="721" spans="1:53" x14ac:dyDescent="0.45">
      <c r="A721" s="62" t="s">
        <v>495</v>
      </c>
      <c r="B721" s="63"/>
      <c r="C721" s="63"/>
      <c r="D721" s="64"/>
      <c r="E721" s="66"/>
      <c r="F721" s="98" t="str">
        <f>HYPERLINK("https://pbs.twimg.com/profile_images/1575164196894941187/9uV1b0e9_normal.jpg")</f>
        <v>https://pbs.twimg.com/profile_images/1575164196894941187/9uV1b0e9_normal.jpg</v>
      </c>
      <c r="G721" s="63"/>
      <c r="H721" s="67"/>
      <c r="I721" s="68"/>
      <c r="J721" s="68"/>
      <c r="K721" s="67" t="s">
        <v>9769</v>
      </c>
      <c r="L721" s="71"/>
      <c r="M721" s="72"/>
      <c r="N721" s="72"/>
      <c r="O721" s="73"/>
      <c r="P721" s="74"/>
      <c r="Q721" s="74"/>
      <c r="R721" s="81"/>
      <c r="S721" s="81"/>
      <c r="T721" s="81"/>
      <c r="U721" s="81"/>
      <c r="V721" s="48"/>
      <c r="W721" s="48"/>
      <c r="X721" s="48"/>
      <c r="Y721" s="48"/>
      <c r="Z721" s="47"/>
      <c r="AA721" s="69"/>
      <c r="AB721" s="69"/>
      <c r="AC721" s="70"/>
      <c r="AD721" t="s">
        <v>5461</v>
      </c>
      <c r="AE721" s="78" t="s">
        <v>6722</v>
      </c>
      <c r="AF721">
        <v>1555</v>
      </c>
      <c r="AG721">
        <v>953</v>
      </c>
      <c r="AH721">
        <v>7291</v>
      </c>
      <c r="AI721">
        <v>9198</v>
      </c>
      <c r="AK721" t="s">
        <v>7893</v>
      </c>
      <c r="AL721" t="s">
        <v>8908</v>
      </c>
      <c r="AO721" s="76">
        <v>44511.77140046296</v>
      </c>
      <c r="AP721" s="79" t="str">
        <f>HYPERLINK("https://pbs.twimg.com/profile_banners/1458864685059645444/1662574288")</f>
        <v>https://pbs.twimg.com/profile_banners/1458864685059645444/1662574288</v>
      </c>
      <c r="AQ721" t="b">
        <v>1</v>
      </c>
      <c r="AR721" t="b">
        <v>0</v>
      </c>
      <c r="AS721" t="b">
        <v>0</v>
      </c>
      <c r="AU721">
        <v>0</v>
      </c>
      <c r="AW721" t="b">
        <v>0</v>
      </c>
      <c r="AX721" t="s">
        <v>9303</v>
      </c>
      <c r="AY721" s="79" t="str">
        <f>HYPERLINK("https://twitter.com/love1wins")</f>
        <v>https://twitter.com/love1wins</v>
      </c>
      <c r="AZ721" t="s">
        <v>66</v>
      </c>
      <c r="BA721" s="2"/>
    </row>
    <row r="722" spans="1:53" x14ac:dyDescent="0.45">
      <c r="A722" s="62" t="s">
        <v>840</v>
      </c>
      <c r="B722" s="63"/>
      <c r="C722" s="63"/>
      <c r="D722" s="64"/>
      <c r="E722" s="66"/>
      <c r="F722" s="98" t="str">
        <f>HYPERLINK("https://pbs.twimg.com/profile_images/1293384310326562818/H1vSRoUq_normal.png")</f>
        <v>https://pbs.twimg.com/profile_images/1293384310326562818/H1vSRoUq_normal.png</v>
      </c>
      <c r="G722" s="63"/>
      <c r="H722" s="67"/>
      <c r="I722" s="68"/>
      <c r="J722" s="68"/>
      <c r="K722" s="67" t="s">
        <v>10233</v>
      </c>
      <c r="L722" s="71"/>
      <c r="M722" s="72"/>
      <c r="N722" s="72"/>
      <c r="O722" s="73"/>
      <c r="P722" s="74"/>
      <c r="Q722" s="74"/>
      <c r="R722" s="81"/>
      <c r="S722" s="81"/>
      <c r="T722" s="81"/>
      <c r="U722" s="81"/>
      <c r="V722" s="48"/>
      <c r="W722" s="48"/>
      <c r="X722" s="48"/>
      <c r="Y722" s="48"/>
      <c r="Z722" s="47"/>
      <c r="AA722" s="69"/>
      <c r="AB722" s="69"/>
      <c r="AC722" s="70"/>
      <c r="AD722" t="s">
        <v>5917</v>
      </c>
      <c r="AE722" s="78" t="s">
        <v>7134</v>
      </c>
      <c r="AF722">
        <v>5012</v>
      </c>
      <c r="AG722">
        <v>945</v>
      </c>
      <c r="AH722">
        <v>50452</v>
      </c>
      <c r="AI722">
        <v>128864</v>
      </c>
      <c r="AK722" t="s">
        <v>8299</v>
      </c>
      <c r="AL722" t="s">
        <v>9131</v>
      </c>
      <c r="AO722" s="76">
        <v>39855.022962962961</v>
      </c>
      <c r="AP722" s="79" t="str">
        <f>HYPERLINK("https://pbs.twimg.com/profile_banners/20560450/1575262711")</f>
        <v>https://pbs.twimg.com/profile_banners/20560450/1575262711</v>
      </c>
      <c r="AQ722" t="b">
        <v>0</v>
      </c>
      <c r="AR722" t="b">
        <v>0</v>
      </c>
      <c r="AS722" t="b">
        <v>1</v>
      </c>
      <c r="AU722">
        <v>11</v>
      </c>
      <c r="AV722" s="79" t="str">
        <f>HYPERLINK("https://abs.twimg.com/images/themes/theme1/bg.png")</f>
        <v>https://abs.twimg.com/images/themes/theme1/bg.png</v>
      </c>
      <c r="AW722" t="b">
        <v>0</v>
      </c>
      <c r="AX722" t="s">
        <v>9303</v>
      </c>
      <c r="AY722" s="79" t="str">
        <f>HYPERLINK("https://twitter.com/oshes")</f>
        <v>https://twitter.com/oshes</v>
      </c>
      <c r="AZ722" t="s">
        <v>66</v>
      </c>
      <c r="BA722" s="2"/>
    </row>
    <row r="723" spans="1:53" x14ac:dyDescent="0.45">
      <c r="A723" s="62" t="s">
        <v>781</v>
      </c>
      <c r="B723" s="63"/>
      <c r="C723" s="63"/>
      <c r="D723" s="64"/>
      <c r="E723" s="66"/>
      <c r="F723" s="98" t="str">
        <f>HYPERLINK("https://pbs.twimg.com/profile_images/1422654117680488448/o2qeKRIN_normal.jpg")</f>
        <v>https://pbs.twimg.com/profile_images/1422654117680488448/o2qeKRIN_normal.jpg</v>
      </c>
      <c r="G723" s="63"/>
      <c r="H723" s="67"/>
      <c r="I723" s="68"/>
      <c r="J723" s="68"/>
      <c r="K723" s="67" t="s">
        <v>10140</v>
      </c>
      <c r="L723" s="71"/>
      <c r="M723" s="72"/>
      <c r="N723" s="72"/>
      <c r="O723" s="73"/>
      <c r="P723" s="74"/>
      <c r="Q723" s="74"/>
      <c r="R723" s="81"/>
      <c r="S723" s="81"/>
      <c r="T723" s="81"/>
      <c r="U723" s="81"/>
      <c r="V723" s="48"/>
      <c r="W723" s="48"/>
      <c r="X723" s="48"/>
      <c r="Y723" s="48"/>
      <c r="Z723" s="47"/>
      <c r="AA723" s="69"/>
      <c r="AB723" s="69"/>
      <c r="AC723" s="70"/>
      <c r="AD723" t="s">
        <v>5828</v>
      </c>
      <c r="AE723" s="78" t="s">
        <v>4745</v>
      </c>
      <c r="AF723">
        <v>7</v>
      </c>
      <c r="AG723">
        <v>942</v>
      </c>
      <c r="AH723">
        <v>6021</v>
      </c>
      <c r="AI723">
        <v>15</v>
      </c>
      <c r="AK723" t="s">
        <v>8221</v>
      </c>
      <c r="AL723" t="s">
        <v>9096</v>
      </c>
      <c r="AM723" s="79" t="str">
        <f>HYPERLINK("https://t.co/zAf3XpxFtH")</f>
        <v>https://t.co/zAf3XpxFtH</v>
      </c>
      <c r="AO723" s="76">
        <v>41189.75141203704</v>
      </c>
      <c r="AP723" s="79" t="str">
        <f>HYPERLINK("https://pbs.twimg.com/profile_banners/866704482/1628027965")</f>
        <v>https://pbs.twimg.com/profile_banners/866704482/1628027965</v>
      </c>
      <c r="AQ723" t="b">
        <v>0</v>
      </c>
      <c r="AR723" t="b">
        <v>0</v>
      </c>
      <c r="AS723" t="b">
        <v>0</v>
      </c>
      <c r="AU723">
        <v>2</v>
      </c>
      <c r="AV723" s="79" t="str">
        <f>HYPERLINK("https://abs.twimg.com/images/themes/theme17/bg.gif")</f>
        <v>https://abs.twimg.com/images/themes/theme17/bg.gif</v>
      </c>
      <c r="AW723" t="b">
        <v>0</v>
      </c>
      <c r="AX723" t="s">
        <v>9303</v>
      </c>
      <c r="AY723" s="79" t="str">
        <f>HYPERLINK("https://twitter.com/wakingup80film")</f>
        <v>https://twitter.com/wakingup80film</v>
      </c>
      <c r="AZ723" t="s">
        <v>66</v>
      </c>
      <c r="BA723" s="2"/>
    </row>
    <row r="724" spans="1:53" x14ac:dyDescent="0.45">
      <c r="A724" s="62" t="s">
        <v>540</v>
      </c>
      <c r="B724" s="63"/>
      <c r="C724" s="63"/>
      <c r="D724" s="64"/>
      <c r="E724" s="66"/>
      <c r="F724" s="98" t="str">
        <f>HYPERLINK("https://pbs.twimg.com/profile_images/1603036258367930368/uwnL4v38_normal.jpg")</f>
        <v>https://pbs.twimg.com/profile_images/1603036258367930368/uwnL4v38_normal.jpg</v>
      </c>
      <c r="G724" s="63"/>
      <c r="H724" s="67"/>
      <c r="I724" s="68"/>
      <c r="J724" s="68"/>
      <c r="K724" s="67" t="s">
        <v>9833</v>
      </c>
      <c r="L724" s="71"/>
      <c r="M724" s="72"/>
      <c r="N724" s="72"/>
      <c r="O724" s="73"/>
      <c r="P724" s="74"/>
      <c r="Q724" s="74"/>
      <c r="R724" s="81"/>
      <c r="S724" s="81"/>
      <c r="T724" s="81"/>
      <c r="U724" s="81"/>
      <c r="V724" s="48"/>
      <c r="W724" s="48"/>
      <c r="X724" s="48"/>
      <c r="Y724" s="48"/>
      <c r="Z724" s="47"/>
      <c r="AA724" s="69"/>
      <c r="AB724" s="69"/>
      <c r="AC724" s="70"/>
      <c r="AD724" t="s">
        <v>5524</v>
      </c>
      <c r="AE724" s="78" t="s">
        <v>6774</v>
      </c>
      <c r="AF724">
        <v>281</v>
      </c>
      <c r="AG724">
        <v>935</v>
      </c>
      <c r="AH724">
        <v>208859</v>
      </c>
      <c r="AI724">
        <v>787726</v>
      </c>
      <c r="AK724" t="s">
        <v>7949</v>
      </c>
      <c r="AO724" s="76">
        <v>41550.62127314815</v>
      </c>
      <c r="AP724" s="79" t="str">
        <f>HYPERLINK("https://pbs.twimg.com/profile_banners/1930972668/1506659421")</f>
        <v>https://pbs.twimg.com/profile_banners/1930972668/1506659421</v>
      </c>
      <c r="AQ724" t="b">
        <v>0</v>
      </c>
      <c r="AR724" t="b">
        <v>0</v>
      </c>
      <c r="AS724" t="b">
        <v>1</v>
      </c>
      <c r="AU724">
        <v>4</v>
      </c>
      <c r="AV724" s="79" t="str">
        <f>HYPERLINK("https://abs.twimg.com/images/themes/theme1/bg.png")</f>
        <v>https://abs.twimg.com/images/themes/theme1/bg.png</v>
      </c>
      <c r="AW724" t="b">
        <v>0</v>
      </c>
      <c r="AX724" t="s">
        <v>9303</v>
      </c>
      <c r="AY724" s="79" t="str">
        <f>HYPERLINK("https://twitter.com/steffi21011")</f>
        <v>https://twitter.com/steffi21011</v>
      </c>
      <c r="AZ724" t="s">
        <v>66</v>
      </c>
      <c r="BA724" s="2"/>
    </row>
    <row r="725" spans="1:53" x14ac:dyDescent="0.45">
      <c r="A725" s="62" t="s">
        <v>1340</v>
      </c>
      <c r="B725" s="63"/>
      <c r="C725" s="63"/>
      <c r="D725" s="64"/>
      <c r="E725" s="66"/>
      <c r="F725" s="98" t="str">
        <f>HYPERLINK("https://pbs.twimg.com/profile_images/1608858663908741121/cvaCvrr4_normal.jpg")</f>
        <v>https://pbs.twimg.com/profile_images/1608858663908741121/cvaCvrr4_normal.jpg</v>
      </c>
      <c r="G725" s="63"/>
      <c r="H725" s="67"/>
      <c r="I725" s="68"/>
      <c r="J725" s="68"/>
      <c r="K725" s="67" t="s">
        <v>10026</v>
      </c>
      <c r="L725" s="71"/>
      <c r="M725" s="72"/>
      <c r="N725" s="72"/>
      <c r="O725" s="73"/>
      <c r="P725" s="74"/>
      <c r="Q725" s="74"/>
      <c r="R725" s="81"/>
      <c r="S725" s="81"/>
      <c r="T725" s="81"/>
      <c r="U725" s="81"/>
      <c r="V725" s="48"/>
      <c r="W725" s="48"/>
      <c r="X725" s="48"/>
      <c r="Y725" s="48"/>
      <c r="Z725" s="47"/>
      <c r="AA725" s="69"/>
      <c r="AB725" s="69"/>
      <c r="AC725" s="70"/>
      <c r="AD725" t="s">
        <v>5716</v>
      </c>
      <c r="AE725" s="78" t="s">
        <v>4730</v>
      </c>
      <c r="AF725">
        <v>672</v>
      </c>
      <c r="AG725">
        <v>934</v>
      </c>
      <c r="AH725">
        <v>5191</v>
      </c>
      <c r="AI725">
        <v>18866</v>
      </c>
      <c r="AK725" t="s">
        <v>8119</v>
      </c>
      <c r="AL725" t="s">
        <v>9045</v>
      </c>
      <c r="AM725" s="79" t="str">
        <f>HYPERLINK("https://t.co/VBrlj3XU7H")</f>
        <v>https://t.co/VBrlj3XU7H</v>
      </c>
      <c r="AO725" s="76">
        <v>44668.56459490741</v>
      </c>
      <c r="AP725" s="79" t="str">
        <f>HYPERLINK("https://pbs.twimg.com/profile_banners/1515684718242676737/1672416956")</f>
        <v>https://pbs.twimg.com/profile_banners/1515684718242676737/1672416956</v>
      </c>
      <c r="AQ725" t="b">
        <v>1</v>
      </c>
      <c r="AR725" t="b">
        <v>0</v>
      </c>
      <c r="AS725" t="b">
        <v>1</v>
      </c>
      <c r="AU725">
        <v>35</v>
      </c>
      <c r="AW725" t="b">
        <v>0</v>
      </c>
      <c r="AX725" t="s">
        <v>9303</v>
      </c>
      <c r="AY725" s="79" t="str">
        <f>HYPERLINK("https://twitter.com/bangsupremacy")</f>
        <v>https://twitter.com/bangsupremacy</v>
      </c>
      <c r="AZ725" t="s">
        <v>65</v>
      </c>
      <c r="BA725" s="2"/>
    </row>
    <row r="726" spans="1:53" x14ac:dyDescent="0.45">
      <c r="A726" s="62" t="s">
        <v>1255</v>
      </c>
      <c r="B726" s="63"/>
      <c r="C726" s="63"/>
      <c r="D726" s="64"/>
      <c r="E726" s="66"/>
      <c r="F726" s="98" t="str">
        <f>HYPERLINK("https://pbs.twimg.com/profile_images/1461157712016908289/21lxx7zH_normal.jpg")</f>
        <v>https://pbs.twimg.com/profile_images/1461157712016908289/21lxx7zH_normal.jpg</v>
      </c>
      <c r="G726" s="63"/>
      <c r="H726" s="67"/>
      <c r="I726" s="68"/>
      <c r="J726" s="68"/>
      <c r="K726" s="67" t="s">
        <v>9632</v>
      </c>
      <c r="L726" s="71"/>
      <c r="M726" s="72"/>
      <c r="N726" s="72"/>
      <c r="O726" s="73"/>
      <c r="P726" s="74"/>
      <c r="Q726" s="74"/>
      <c r="R726" s="81"/>
      <c r="S726" s="81"/>
      <c r="T726" s="81"/>
      <c r="U726" s="81"/>
      <c r="V726" s="48"/>
      <c r="W726" s="48"/>
      <c r="X726" s="48"/>
      <c r="Y726" s="48"/>
      <c r="Z726" s="47"/>
      <c r="AA726" s="69"/>
      <c r="AB726" s="69"/>
      <c r="AC726" s="70"/>
      <c r="AD726" t="s">
        <v>5325</v>
      </c>
      <c r="AE726" s="78" t="s">
        <v>6600</v>
      </c>
      <c r="AF726">
        <v>115</v>
      </c>
      <c r="AG726">
        <v>933</v>
      </c>
      <c r="AH726">
        <v>777</v>
      </c>
      <c r="AI726">
        <v>1168</v>
      </c>
      <c r="AK726" t="s">
        <v>7778</v>
      </c>
      <c r="AM726" s="79" t="str">
        <f>HYPERLINK("https://t.co/f96fjk0ZbE")</f>
        <v>https://t.co/f96fjk0ZbE</v>
      </c>
      <c r="AO726" s="76">
        <v>43546.558969907404</v>
      </c>
      <c r="AP726" s="79" t="str">
        <f>HYPERLINK("https://pbs.twimg.com/profile_banners/1109083536483594240/1637202501")</f>
        <v>https://pbs.twimg.com/profile_banners/1109083536483594240/1637202501</v>
      </c>
      <c r="AQ726" t="b">
        <v>1</v>
      </c>
      <c r="AR726" t="b">
        <v>0</v>
      </c>
      <c r="AS726" t="b">
        <v>0</v>
      </c>
      <c r="AU726">
        <v>9</v>
      </c>
      <c r="AW726" t="b">
        <v>1</v>
      </c>
      <c r="AX726" t="s">
        <v>9303</v>
      </c>
      <c r="AY726" s="79" t="str">
        <f>HYPERLINK("https://twitter.com/offlimits")</f>
        <v>https://twitter.com/offlimits</v>
      </c>
      <c r="AZ726" t="s">
        <v>65</v>
      </c>
      <c r="BA726" s="2"/>
    </row>
    <row r="727" spans="1:53" x14ac:dyDescent="0.45">
      <c r="A727" s="62" t="s">
        <v>703</v>
      </c>
      <c r="B727" s="63"/>
      <c r="C727" s="63"/>
      <c r="D727" s="64"/>
      <c r="E727" s="66"/>
      <c r="F727" s="98" t="str">
        <f>HYPERLINK("https://pbs.twimg.com/profile_images/1511838716788195337/A_pBb1cS_normal.jpg")</f>
        <v>https://pbs.twimg.com/profile_images/1511838716788195337/A_pBb1cS_normal.jpg</v>
      </c>
      <c r="G727" s="63"/>
      <c r="H727" s="67"/>
      <c r="I727" s="68"/>
      <c r="J727" s="68"/>
      <c r="K727" s="67" t="s">
        <v>10039</v>
      </c>
      <c r="L727" s="71"/>
      <c r="M727" s="72"/>
      <c r="N727" s="72"/>
      <c r="O727" s="73"/>
      <c r="P727" s="74"/>
      <c r="Q727" s="74"/>
      <c r="R727" s="81"/>
      <c r="S727" s="81"/>
      <c r="T727" s="81"/>
      <c r="U727" s="81"/>
      <c r="V727" s="48"/>
      <c r="W727" s="48"/>
      <c r="X727" s="48"/>
      <c r="Y727" s="48"/>
      <c r="Z727" s="47"/>
      <c r="AA727" s="69"/>
      <c r="AB727" s="69"/>
      <c r="AC727" s="70"/>
      <c r="AD727" t="s">
        <v>5729</v>
      </c>
      <c r="AE727" s="78" t="s">
        <v>6966</v>
      </c>
      <c r="AF727">
        <v>1145</v>
      </c>
      <c r="AG727">
        <v>915</v>
      </c>
      <c r="AH727">
        <v>24806</v>
      </c>
      <c r="AI727">
        <v>664</v>
      </c>
      <c r="AK727" t="s">
        <v>8128</v>
      </c>
      <c r="AL727" t="s">
        <v>8786</v>
      </c>
      <c r="AM727" s="79" t="str">
        <f>HYPERLINK("https://t.co/VIgIFlxQZg")</f>
        <v>https://t.co/VIgIFlxQZg</v>
      </c>
      <c r="AO727" s="76">
        <v>40765.675358796296</v>
      </c>
      <c r="AP727" s="79" t="str">
        <f>HYPERLINK("https://pbs.twimg.com/profile_banners/352425500/1612776720")</f>
        <v>https://pbs.twimg.com/profile_banners/352425500/1612776720</v>
      </c>
      <c r="AQ727" t="b">
        <v>0</v>
      </c>
      <c r="AR727" t="b">
        <v>0</v>
      </c>
      <c r="AS727" t="b">
        <v>1</v>
      </c>
      <c r="AU727">
        <v>11</v>
      </c>
      <c r="AV727" s="79" t="str">
        <f>HYPERLINK("https://abs.twimg.com/images/themes/theme11/bg.gif")</f>
        <v>https://abs.twimg.com/images/themes/theme11/bg.gif</v>
      </c>
      <c r="AW727" t="b">
        <v>0</v>
      </c>
      <c r="AX727" t="s">
        <v>9303</v>
      </c>
      <c r="AY727" s="79" t="str">
        <f>HYPERLINK("https://twitter.com/samanthapopstar")</f>
        <v>https://twitter.com/samanthapopstar</v>
      </c>
      <c r="AZ727" t="s">
        <v>66</v>
      </c>
      <c r="BA727" s="2"/>
    </row>
    <row r="728" spans="1:53" x14ac:dyDescent="0.45">
      <c r="A728" s="62" t="s">
        <v>852</v>
      </c>
      <c r="B728" s="63"/>
      <c r="C728" s="63"/>
      <c r="D728" s="64"/>
      <c r="E728" s="66"/>
      <c r="F728" s="98" t="str">
        <f>HYPERLINK("https://pbs.twimg.com/profile_images/1611643758310825984/qPL3GRGS_normal.jpg")</f>
        <v>https://pbs.twimg.com/profile_images/1611643758310825984/qPL3GRGS_normal.jpg</v>
      </c>
      <c r="G728" s="63"/>
      <c r="H728" s="67"/>
      <c r="I728" s="68"/>
      <c r="J728" s="68"/>
      <c r="K728" s="67" t="s">
        <v>10250</v>
      </c>
      <c r="L728" s="71"/>
      <c r="M728" s="72"/>
      <c r="N728" s="72"/>
      <c r="O728" s="73"/>
      <c r="P728" s="74"/>
      <c r="Q728" s="74"/>
      <c r="R728" s="81"/>
      <c r="S728" s="81"/>
      <c r="T728" s="81"/>
      <c r="U728" s="81"/>
      <c r="V728" s="48"/>
      <c r="W728" s="48"/>
      <c r="X728" s="48"/>
      <c r="Y728" s="48"/>
      <c r="Z728" s="47"/>
      <c r="AA728" s="69"/>
      <c r="AB728" s="69"/>
      <c r="AC728" s="70"/>
      <c r="AD728" t="s">
        <v>5933</v>
      </c>
      <c r="AE728" s="78" t="s">
        <v>7148</v>
      </c>
      <c r="AF728">
        <v>632</v>
      </c>
      <c r="AG728">
        <v>911</v>
      </c>
      <c r="AH728">
        <v>129447</v>
      </c>
      <c r="AI728">
        <v>181985</v>
      </c>
      <c r="AK728" t="s">
        <v>8312</v>
      </c>
      <c r="AL728" t="s">
        <v>9140</v>
      </c>
      <c r="AO728" s="76">
        <v>40136.733587962961</v>
      </c>
      <c r="AP728" s="79" t="str">
        <f>HYPERLINK("https://pbs.twimg.com/profile_banners/91150503/1598045970")</f>
        <v>https://pbs.twimg.com/profile_banners/91150503/1598045970</v>
      </c>
      <c r="AQ728" t="b">
        <v>0</v>
      </c>
      <c r="AR728" t="b">
        <v>0</v>
      </c>
      <c r="AS728" t="b">
        <v>0</v>
      </c>
      <c r="AU728">
        <v>0</v>
      </c>
      <c r="AV728" s="79" t="str">
        <f>HYPERLINK("https://abs.twimg.com/images/themes/theme10/bg.gif")</f>
        <v>https://abs.twimg.com/images/themes/theme10/bg.gif</v>
      </c>
      <c r="AW728" t="b">
        <v>0</v>
      </c>
      <c r="AX728" t="s">
        <v>9303</v>
      </c>
      <c r="AY728" s="79" t="str">
        <f>HYPERLINK("https://twitter.com/p0pularloner_")</f>
        <v>https://twitter.com/p0pularloner_</v>
      </c>
      <c r="AZ728" t="s">
        <v>66</v>
      </c>
      <c r="BA728" s="2"/>
    </row>
    <row r="729" spans="1:53" x14ac:dyDescent="0.45">
      <c r="A729" s="62" t="s">
        <v>1240</v>
      </c>
      <c r="B729" s="63"/>
      <c r="C729" s="63"/>
      <c r="D729" s="64"/>
      <c r="E729" s="66"/>
      <c r="F729" s="98" t="str">
        <f>HYPERLINK("https://pbs.twimg.com/profile_images/1556702219126317057/WWdZpXxy_normal.jpg")</f>
        <v>https://pbs.twimg.com/profile_images/1556702219126317057/WWdZpXxy_normal.jpg</v>
      </c>
      <c r="G729" s="63"/>
      <c r="H729" s="67"/>
      <c r="I729" s="68"/>
      <c r="J729" s="68"/>
      <c r="K729" s="67" t="s">
        <v>9593</v>
      </c>
      <c r="L729" s="71"/>
      <c r="M729" s="72"/>
      <c r="N729" s="72"/>
      <c r="O729" s="73"/>
      <c r="P729" s="74"/>
      <c r="Q729" s="74"/>
      <c r="R729" s="81"/>
      <c r="S729" s="81"/>
      <c r="T729" s="81"/>
      <c r="U729" s="81"/>
      <c r="V729" s="48"/>
      <c r="W729" s="48"/>
      <c r="X729" s="48"/>
      <c r="Y729" s="48"/>
      <c r="Z729" s="47"/>
      <c r="AA729" s="69"/>
      <c r="AB729" s="69"/>
      <c r="AC729" s="70"/>
      <c r="AD729" t="s">
        <v>5286</v>
      </c>
      <c r="AE729" s="78" t="s">
        <v>6564</v>
      </c>
      <c r="AF729">
        <v>74</v>
      </c>
      <c r="AG729">
        <v>904</v>
      </c>
      <c r="AH729">
        <v>796</v>
      </c>
      <c r="AI729">
        <v>438</v>
      </c>
      <c r="AL729" t="s">
        <v>8828</v>
      </c>
      <c r="AM729" s="79" t="str">
        <f>HYPERLINK("https://t.co/e8yY6tYxy4")</f>
        <v>https://t.co/e8yY6tYxy4</v>
      </c>
      <c r="AO729" s="76">
        <v>42945.458425925928</v>
      </c>
      <c r="AP729" s="79" t="str">
        <f>HYPERLINK("https://pbs.twimg.com/profile_banners/891251992575844352/1506955746")</f>
        <v>https://pbs.twimg.com/profile_banners/891251992575844352/1506955746</v>
      </c>
      <c r="AQ729" t="b">
        <v>0</v>
      </c>
      <c r="AR729" t="b">
        <v>0</v>
      </c>
      <c r="AS729" t="b">
        <v>1</v>
      </c>
      <c r="AU729">
        <v>10</v>
      </c>
      <c r="AV729" s="79" t="str">
        <f>HYPERLINK("https://abs.twimg.com/images/themes/theme1/bg.png")</f>
        <v>https://abs.twimg.com/images/themes/theme1/bg.png</v>
      </c>
      <c r="AW729" t="b">
        <v>0</v>
      </c>
      <c r="AX729" t="s">
        <v>9303</v>
      </c>
      <c r="AY729" s="79" t="str">
        <f>HYPERLINK("https://twitter.com/autostoresystem")</f>
        <v>https://twitter.com/autostoresystem</v>
      </c>
      <c r="AZ729" t="s">
        <v>65</v>
      </c>
      <c r="BA729" s="2"/>
    </row>
    <row r="730" spans="1:53" x14ac:dyDescent="0.45">
      <c r="A730" s="62" t="s">
        <v>728</v>
      </c>
      <c r="B730" s="63"/>
      <c r="C730" s="63"/>
      <c r="D730" s="64"/>
      <c r="E730" s="66"/>
      <c r="F730" s="98" t="str">
        <f>HYPERLINK("https://pbs.twimg.com/profile_images/1581373429223243776/sPqbnMBI_normal.jpg")</f>
        <v>https://pbs.twimg.com/profile_images/1581373429223243776/sPqbnMBI_normal.jpg</v>
      </c>
      <c r="G730" s="63"/>
      <c r="H730" s="67"/>
      <c r="I730" s="68"/>
      <c r="J730" s="68"/>
      <c r="K730" s="67" t="s">
        <v>10074</v>
      </c>
      <c r="L730" s="71"/>
      <c r="M730" s="72"/>
      <c r="N730" s="72"/>
      <c r="O730" s="73"/>
      <c r="P730" s="74"/>
      <c r="Q730" s="74"/>
      <c r="R730" s="81"/>
      <c r="S730" s="81"/>
      <c r="T730" s="81"/>
      <c r="U730" s="81"/>
      <c r="V730" s="48"/>
      <c r="W730" s="48"/>
      <c r="X730" s="48"/>
      <c r="Y730" s="48"/>
      <c r="Z730" s="47"/>
      <c r="AA730" s="69"/>
      <c r="AB730" s="69"/>
      <c r="AC730" s="70"/>
      <c r="AD730" t="s">
        <v>5763</v>
      </c>
      <c r="AE730" s="78" t="s">
        <v>6997</v>
      </c>
      <c r="AF730">
        <v>824</v>
      </c>
      <c r="AG730">
        <v>901</v>
      </c>
      <c r="AH730">
        <v>87009</v>
      </c>
      <c r="AI730">
        <v>169481</v>
      </c>
      <c r="AK730" t="s">
        <v>8160</v>
      </c>
      <c r="AL730" t="s">
        <v>7828</v>
      </c>
      <c r="AO730" s="76">
        <v>42248.905312499999</v>
      </c>
      <c r="AP730" s="79" t="str">
        <f>HYPERLINK("https://pbs.twimg.com/profile_banners/3418954934/1659720665")</f>
        <v>https://pbs.twimg.com/profile_banners/3418954934/1659720665</v>
      </c>
      <c r="AQ730" t="b">
        <v>0</v>
      </c>
      <c r="AR730" t="b">
        <v>0</v>
      </c>
      <c r="AS730" t="b">
        <v>1</v>
      </c>
      <c r="AU730">
        <v>5</v>
      </c>
      <c r="AV730" s="79" t="str">
        <f>HYPERLINK("https://abs.twimg.com/images/themes/theme1/bg.png")</f>
        <v>https://abs.twimg.com/images/themes/theme1/bg.png</v>
      </c>
      <c r="AW730" t="b">
        <v>0</v>
      </c>
      <c r="AX730" t="s">
        <v>9303</v>
      </c>
      <c r="AY730" s="79" t="str">
        <f>HYPERLINK("https://twitter.com/getphysicool")</f>
        <v>https://twitter.com/getphysicool</v>
      </c>
      <c r="AZ730" t="s">
        <v>66</v>
      </c>
      <c r="BA730" s="2"/>
    </row>
    <row r="731" spans="1:53" x14ac:dyDescent="0.45">
      <c r="A731" s="62" t="s">
        <v>903</v>
      </c>
      <c r="B731" s="63"/>
      <c r="C731" s="63"/>
      <c r="D731" s="64"/>
      <c r="E731" s="66"/>
      <c r="F731" s="98" t="str">
        <f>HYPERLINK("https://pbs.twimg.com/profile_images/1607756625590231040/Bg7bUaWx_normal.jpg")</f>
        <v>https://pbs.twimg.com/profile_images/1607756625590231040/Bg7bUaWx_normal.jpg</v>
      </c>
      <c r="G731" s="63"/>
      <c r="H731" s="67"/>
      <c r="I731" s="68"/>
      <c r="J731" s="68"/>
      <c r="K731" s="67" t="s">
        <v>10321</v>
      </c>
      <c r="L731" s="71"/>
      <c r="M731" s="72"/>
      <c r="N731" s="72"/>
      <c r="O731" s="73"/>
      <c r="P731" s="74"/>
      <c r="Q731" s="74"/>
      <c r="R731" s="81"/>
      <c r="S731" s="81"/>
      <c r="T731" s="81"/>
      <c r="U731" s="81"/>
      <c r="V731" s="48"/>
      <c r="W731" s="48"/>
      <c r="X731" s="48"/>
      <c r="Y731" s="48"/>
      <c r="Z731" s="47"/>
      <c r="AA731" s="69"/>
      <c r="AB731" s="69"/>
      <c r="AC731" s="70"/>
      <c r="AD731" t="s">
        <v>6004</v>
      </c>
      <c r="AE731" s="78" t="s">
        <v>7212</v>
      </c>
      <c r="AF731">
        <v>2251</v>
      </c>
      <c r="AG731">
        <v>901</v>
      </c>
      <c r="AH731">
        <v>36272</v>
      </c>
      <c r="AI731">
        <v>121721</v>
      </c>
      <c r="AK731" s="79" t="str">
        <f>HYPERLINK("https://t.co/aL6n9KSCoA")</f>
        <v>https://t.co/aL6n9KSCoA</v>
      </c>
      <c r="AL731" t="s">
        <v>9173</v>
      </c>
      <c r="AO731" s="76">
        <v>42629.977280092593</v>
      </c>
      <c r="AP731" s="79" t="str">
        <f>HYPERLINK("https://pbs.twimg.com/profile_banners/776925450589339648/1675005564")</f>
        <v>https://pbs.twimg.com/profile_banners/776925450589339648/1675005564</v>
      </c>
      <c r="AQ731" t="b">
        <v>1</v>
      </c>
      <c r="AR731" t="b">
        <v>0</v>
      </c>
      <c r="AS731" t="b">
        <v>0</v>
      </c>
      <c r="AU731">
        <v>4</v>
      </c>
      <c r="AW731" t="b">
        <v>0</v>
      </c>
      <c r="AX731" t="s">
        <v>9303</v>
      </c>
      <c r="AY731" s="79" t="str">
        <f>HYPERLINK("https://twitter.com/anabm9anabm10")</f>
        <v>https://twitter.com/anabm9anabm10</v>
      </c>
      <c r="AZ731" t="s">
        <v>66</v>
      </c>
      <c r="BA731" s="2"/>
    </row>
    <row r="732" spans="1:53" x14ac:dyDescent="0.45">
      <c r="A732" s="62" t="s">
        <v>635</v>
      </c>
      <c r="B732" s="63"/>
      <c r="C732" s="63"/>
      <c r="D732" s="64"/>
      <c r="E732" s="66"/>
      <c r="F732" s="98" t="str">
        <f>HYPERLINK("https://pbs.twimg.com/profile_images/1612872555018309644/q53PTZD3_normal.jpg")</f>
        <v>https://pbs.twimg.com/profile_images/1612872555018309644/q53PTZD3_normal.jpg</v>
      </c>
      <c r="G732" s="63"/>
      <c r="H732" s="67"/>
      <c r="I732" s="68"/>
      <c r="J732" s="68"/>
      <c r="K732" s="67" t="s">
        <v>9944</v>
      </c>
      <c r="L732" s="71"/>
      <c r="M732" s="72"/>
      <c r="N732" s="72"/>
      <c r="O732" s="73"/>
      <c r="P732" s="74"/>
      <c r="Q732" s="74"/>
      <c r="R732" s="81"/>
      <c r="S732" s="81"/>
      <c r="T732" s="81"/>
      <c r="U732" s="81"/>
      <c r="V732" s="48"/>
      <c r="W732" s="48"/>
      <c r="X732" s="48"/>
      <c r="Y732" s="48"/>
      <c r="Z732" s="47"/>
      <c r="AA732" s="69"/>
      <c r="AB732" s="69"/>
      <c r="AC732" s="70"/>
      <c r="AD732" t="s">
        <v>5635</v>
      </c>
      <c r="AE732" s="78" t="s">
        <v>6878</v>
      </c>
      <c r="AF732">
        <v>1258</v>
      </c>
      <c r="AG732">
        <v>898</v>
      </c>
      <c r="AH732">
        <v>2853</v>
      </c>
      <c r="AI732">
        <v>2697</v>
      </c>
      <c r="AK732" t="s">
        <v>8050</v>
      </c>
      <c r="AL732" t="s">
        <v>4899</v>
      </c>
      <c r="AO732" s="76">
        <v>44841.722812499997</v>
      </c>
      <c r="AP732" s="79" t="str">
        <f>HYPERLINK("https://pbs.twimg.com/profile_banners/1578435074189508608/1673388052")</f>
        <v>https://pbs.twimg.com/profile_banners/1578435074189508608/1673388052</v>
      </c>
      <c r="AQ732" t="b">
        <v>1</v>
      </c>
      <c r="AR732" t="b">
        <v>0</v>
      </c>
      <c r="AS732" t="b">
        <v>0</v>
      </c>
      <c r="AU732">
        <v>0</v>
      </c>
      <c r="AW732" t="b">
        <v>0</v>
      </c>
      <c r="AX732" t="s">
        <v>9303</v>
      </c>
      <c r="AY732" s="79" t="str">
        <f>HYPERLINK("https://twitter.com/bannedb4u")</f>
        <v>https://twitter.com/bannedb4u</v>
      </c>
      <c r="AZ732" t="s">
        <v>66</v>
      </c>
      <c r="BA732" s="2"/>
    </row>
    <row r="733" spans="1:53" x14ac:dyDescent="0.45">
      <c r="A733" s="62" t="s">
        <v>877</v>
      </c>
      <c r="B733" s="63"/>
      <c r="C733" s="63"/>
      <c r="D733" s="64"/>
      <c r="E733" s="66"/>
      <c r="F733" s="98" t="str">
        <f>HYPERLINK("https://pbs.twimg.com/profile_images/1563874487883415552/P9WUNvk-_normal.jpg")</f>
        <v>https://pbs.twimg.com/profile_images/1563874487883415552/P9WUNvk-_normal.jpg</v>
      </c>
      <c r="G733" s="63"/>
      <c r="H733" s="67"/>
      <c r="I733" s="68"/>
      <c r="J733" s="68"/>
      <c r="K733" s="67" t="s">
        <v>10280</v>
      </c>
      <c r="L733" s="71"/>
      <c r="M733" s="72"/>
      <c r="N733" s="72"/>
      <c r="O733" s="73"/>
      <c r="P733" s="74"/>
      <c r="Q733" s="74"/>
      <c r="R733" s="81"/>
      <c r="S733" s="81"/>
      <c r="T733" s="81"/>
      <c r="U733" s="81"/>
      <c r="V733" s="48"/>
      <c r="W733" s="48"/>
      <c r="X733" s="48"/>
      <c r="Y733" s="48"/>
      <c r="Z733" s="47"/>
      <c r="AA733" s="69"/>
      <c r="AB733" s="69"/>
      <c r="AC733" s="70"/>
      <c r="AD733" t="s">
        <v>5963</v>
      </c>
      <c r="AE733" s="78" t="s">
        <v>7175</v>
      </c>
      <c r="AF733">
        <v>630</v>
      </c>
      <c r="AG733">
        <v>891</v>
      </c>
      <c r="AH733">
        <v>63504</v>
      </c>
      <c r="AI733">
        <v>92906</v>
      </c>
      <c r="AK733" t="s">
        <v>8340</v>
      </c>
      <c r="AL733" t="s">
        <v>9150</v>
      </c>
      <c r="AM733" s="79" t="str">
        <f>HYPERLINK("https://t.co/6g9RzLvJnx")</f>
        <v>https://t.co/6g9RzLvJnx</v>
      </c>
      <c r="AO733" s="76">
        <v>41466.753159722219</v>
      </c>
      <c r="AP733" s="79" t="str">
        <f>HYPERLINK("https://pbs.twimg.com/profile_banners/1586459054/1581692682")</f>
        <v>https://pbs.twimg.com/profile_banners/1586459054/1581692682</v>
      </c>
      <c r="AQ733" t="b">
        <v>0</v>
      </c>
      <c r="AR733" t="b">
        <v>0</v>
      </c>
      <c r="AS733" t="b">
        <v>1</v>
      </c>
      <c r="AU733">
        <v>3</v>
      </c>
      <c r="AV733" s="79" t="str">
        <f>HYPERLINK("https://abs.twimg.com/images/themes/theme7/bg.gif")</f>
        <v>https://abs.twimg.com/images/themes/theme7/bg.gif</v>
      </c>
      <c r="AW733" t="b">
        <v>0</v>
      </c>
      <c r="AX733" t="s">
        <v>9303</v>
      </c>
      <c r="AY733" s="79" t="str">
        <f>HYPERLINK("https://twitter.com/mmaryjanerae")</f>
        <v>https://twitter.com/mmaryjanerae</v>
      </c>
      <c r="AZ733" t="s">
        <v>66</v>
      </c>
      <c r="BA733" s="2"/>
    </row>
    <row r="734" spans="1:53" x14ac:dyDescent="0.45">
      <c r="A734" s="62" t="s">
        <v>1173</v>
      </c>
      <c r="B734" s="63"/>
      <c r="C734" s="63"/>
      <c r="D734" s="64"/>
      <c r="E734" s="66"/>
      <c r="F734" s="98" t="str">
        <f>HYPERLINK("https://pbs.twimg.com/profile_images/460063615848955904/tXZqNUZZ_normal.jpeg")</f>
        <v>https://pbs.twimg.com/profile_images/460063615848955904/tXZqNUZZ_normal.jpeg</v>
      </c>
      <c r="G734" s="63"/>
      <c r="H734" s="67"/>
      <c r="I734" s="68"/>
      <c r="J734" s="68"/>
      <c r="K734" s="67" t="s">
        <v>9452</v>
      </c>
      <c r="L734" s="71"/>
      <c r="M734" s="72"/>
      <c r="N734" s="72"/>
      <c r="O734" s="73"/>
      <c r="P734" s="74"/>
      <c r="Q734" s="74"/>
      <c r="R734" s="81"/>
      <c r="S734" s="81"/>
      <c r="T734" s="81"/>
      <c r="U734" s="81"/>
      <c r="V734" s="48"/>
      <c r="W734" s="48"/>
      <c r="X734" s="48"/>
      <c r="Y734" s="48"/>
      <c r="Z734" s="47"/>
      <c r="AA734" s="69"/>
      <c r="AB734" s="69"/>
      <c r="AC734" s="70"/>
      <c r="AD734" t="s">
        <v>5146</v>
      </c>
      <c r="AE734" s="78" t="s">
        <v>6449</v>
      </c>
      <c r="AF734">
        <v>0</v>
      </c>
      <c r="AG734">
        <v>881</v>
      </c>
      <c r="AH734">
        <v>24</v>
      </c>
      <c r="AI734">
        <v>0</v>
      </c>
      <c r="AK734" t="s">
        <v>7619</v>
      </c>
      <c r="AO734" s="76">
        <v>41751.58021990741</v>
      </c>
      <c r="AQ734" t="b">
        <v>1</v>
      </c>
      <c r="AR734" t="b">
        <v>0</v>
      </c>
      <c r="AS734" t="b">
        <v>0</v>
      </c>
      <c r="AU734">
        <v>12</v>
      </c>
      <c r="AV734" s="79" t="str">
        <f>HYPERLINK("https://abs.twimg.com/images/themes/theme1/bg.png")</f>
        <v>https://abs.twimg.com/images/themes/theme1/bg.png</v>
      </c>
      <c r="AW734" t="b">
        <v>0</v>
      </c>
      <c r="AX734" t="s">
        <v>9303</v>
      </c>
      <c r="AY734" s="79" t="str">
        <f>HYPERLINK("https://twitter.com/alibaba")</f>
        <v>https://twitter.com/alibaba</v>
      </c>
      <c r="AZ734" t="s">
        <v>65</v>
      </c>
      <c r="BA734" s="2"/>
    </row>
    <row r="735" spans="1:53" x14ac:dyDescent="0.45">
      <c r="A735" s="62" t="s">
        <v>331</v>
      </c>
      <c r="B735" s="63"/>
      <c r="C735" s="63"/>
      <c r="D735" s="64"/>
      <c r="E735" s="66"/>
      <c r="F735" s="98" t="str">
        <f>HYPERLINK("https://pbs.twimg.com/profile_images/1619766285855768576/WpiKaC-K_normal.jpg")</f>
        <v>https://pbs.twimg.com/profile_images/1619766285855768576/WpiKaC-K_normal.jpg</v>
      </c>
      <c r="G735" s="63"/>
      <c r="H735" s="67"/>
      <c r="I735" s="68"/>
      <c r="J735" s="68"/>
      <c r="K735" s="67" t="s">
        <v>9543</v>
      </c>
      <c r="L735" s="71"/>
      <c r="M735" s="72"/>
      <c r="N735" s="72"/>
      <c r="O735" s="73"/>
      <c r="P735" s="74"/>
      <c r="Q735" s="74"/>
      <c r="R735" s="81"/>
      <c r="S735" s="81"/>
      <c r="T735" s="81"/>
      <c r="U735" s="81"/>
      <c r="V735" s="48"/>
      <c r="W735" s="48"/>
      <c r="X735" s="48"/>
      <c r="Y735" s="48"/>
      <c r="Z735" s="47"/>
      <c r="AA735" s="69"/>
      <c r="AB735" s="69"/>
      <c r="AC735" s="70"/>
      <c r="AD735" t="s">
        <v>5236</v>
      </c>
      <c r="AE735" s="78" t="s">
        <v>6520</v>
      </c>
      <c r="AF735">
        <v>3016</v>
      </c>
      <c r="AG735">
        <v>881</v>
      </c>
      <c r="AH735">
        <v>422740</v>
      </c>
      <c r="AI735">
        <v>78425</v>
      </c>
      <c r="AK735" t="s">
        <v>7704</v>
      </c>
      <c r="AL735" t="s">
        <v>8805</v>
      </c>
      <c r="AO735" s="76">
        <v>39936.968958333331</v>
      </c>
      <c r="AP735" s="79" t="str">
        <f>HYPERLINK("https://pbs.twimg.com/profile_banners/37529237/1674347316")</f>
        <v>https://pbs.twimg.com/profile_banners/37529237/1674347316</v>
      </c>
      <c r="AQ735" t="b">
        <v>0</v>
      </c>
      <c r="AR735" t="b">
        <v>0</v>
      </c>
      <c r="AS735" t="b">
        <v>1</v>
      </c>
      <c r="AU735">
        <v>10</v>
      </c>
      <c r="AV735" s="79" t="str">
        <f>HYPERLINK("https://abs.twimg.com/images/themes/theme9/bg.gif")</f>
        <v>https://abs.twimg.com/images/themes/theme9/bg.gif</v>
      </c>
      <c r="AW735" t="b">
        <v>0</v>
      </c>
      <c r="AX735" t="s">
        <v>9303</v>
      </c>
      <c r="AY735" s="79" t="str">
        <f>HYPERLINK("https://twitter.com/batman_infinite")</f>
        <v>https://twitter.com/batman_infinite</v>
      </c>
      <c r="AZ735" t="s">
        <v>66</v>
      </c>
      <c r="BA735" s="2"/>
    </row>
    <row r="736" spans="1:53" x14ac:dyDescent="0.45">
      <c r="A736" s="62" t="s">
        <v>1367</v>
      </c>
      <c r="B736" s="63"/>
      <c r="C736" s="63"/>
      <c r="D736" s="64"/>
      <c r="E736" s="66"/>
      <c r="F736" s="98" t="str">
        <f>HYPERLINK("https://abs.twimg.com/sticky/default_profile_images/default_profile_normal.png")</f>
        <v>https://abs.twimg.com/sticky/default_profile_images/default_profile_normal.png</v>
      </c>
      <c r="G736" s="63"/>
      <c r="H736" s="67"/>
      <c r="I736" s="68"/>
      <c r="J736" s="68"/>
      <c r="K736" s="67" t="s">
        <v>10141</v>
      </c>
      <c r="L736" s="71"/>
      <c r="M736" s="72"/>
      <c r="N736" s="72"/>
      <c r="O736" s="73"/>
      <c r="P736" s="74"/>
      <c r="Q736" s="74"/>
      <c r="R736" s="81"/>
      <c r="S736" s="81"/>
      <c r="T736" s="81"/>
      <c r="U736" s="81"/>
      <c r="V736" s="48"/>
      <c r="W736" s="48"/>
      <c r="X736" s="48"/>
      <c r="Y736" s="48"/>
      <c r="Z736" s="47"/>
      <c r="AA736" s="69"/>
      <c r="AB736" s="69"/>
      <c r="AC736" s="70"/>
      <c r="AD736" t="s">
        <v>1367</v>
      </c>
      <c r="AE736" s="78" t="s">
        <v>7054</v>
      </c>
      <c r="AF736">
        <v>0</v>
      </c>
      <c r="AG736">
        <v>874</v>
      </c>
      <c r="AH736">
        <v>0</v>
      </c>
      <c r="AI736">
        <v>0</v>
      </c>
      <c r="AO736" s="76">
        <v>39555.488275462965</v>
      </c>
      <c r="AQ736" t="b">
        <v>1</v>
      </c>
      <c r="AR736" t="b">
        <v>1</v>
      </c>
      <c r="AS736" t="b">
        <v>0</v>
      </c>
      <c r="AU736">
        <v>18</v>
      </c>
      <c r="AV736" s="79" t="str">
        <f>HYPERLINK("https://abs.twimg.com/images/themes/theme1/bg.png")</f>
        <v>https://abs.twimg.com/images/themes/theme1/bg.png</v>
      </c>
      <c r="AW736" t="b">
        <v>0</v>
      </c>
      <c r="AX736" t="s">
        <v>9303</v>
      </c>
      <c r="AY736" s="79" t="str">
        <f>HYPERLINK("https://twitter.com/barnesandnoble")</f>
        <v>https://twitter.com/barnesandnoble</v>
      </c>
      <c r="AZ736" t="s">
        <v>65</v>
      </c>
      <c r="BA736" s="2"/>
    </row>
    <row r="737" spans="1:53" x14ac:dyDescent="0.45">
      <c r="A737" s="62" t="s">
        <v>225</v>
      </c>
      <c r="B737" s="63"/>
      <c r="C737" s="63"/>
      <c r="D737" s="64"/>
      <c r="E737" s="66"/>
      <c r="F737" s="98" t="str">
        <f>HYPERLINK("https://pbs.twimg.com/profile_images/1621076990789812224/V4c2N9Ul_normal.jpg")</f>
        <v>https://pbs.twimg.com/profile_images/1621076990789812224/V4c2N9Ul_normal.jpg</v>
      </c>
      <c r="G737" s="63"/>
      <c r="H737" s="67"/>
      <c r="I737" s="68"/>
      <c r="J737" s="68"/>
      <c r="K737" s="67" t="s">
        <v>9324</v>
      </c>
      <c r="L737" s="71"/>
      <c r="M737" s="72"/>
      <c r="N737" s="72"/>
      <c r="O737" s="73"/>
      <c r="P737" s="74"/>
      <c r="Q737" s="74"/>
      <c r="R737" s="81"/>
      <c r="S737" s="81"/>
      <c r="T737" s="81"/>
      <c r="U737" s="81"/>
      <c r="V737" s="48"/>
      <c r="W737" s="48"/>
      <c r="X737" s="48"/>
      <c r="Y737" s="48"/>
      <c r="Z737" s="47"/>
      <c r="AA737" s="69"/>
      <c r="AB737" s="69"/>
      <c r="AC737" s="70"/>
      <c r="AD737" t="s">
        <v>5020</v>
      </c>
      <c r="AE737" s="78" t="s">
        <v>6341</v>
      </c>
      <c r="AF737">
        <v>72</v>
      </c>
      <c r="AG737">
        <v>854</v>
      </c>
      <c r="AH737">
        <v>1505</v>
      </c>
      <c r="AI737">
        <v>611</v>
      </c>
      <c r="AK737" t="s">
        <v>7509</v>
      </c>
      <c r="AL737" t="s">
        <v>8684</v>
      </c>
      <c r="AM737" s="79" t="str">
        <f>HYPERLINK("https://t.co/tklRlSNilh")</f>
        <v>https://t.co/tklRlSNilh</v>
      </c>
      <c r="AO737" s="76">
        <v>43946.402060185188</v>
      </c>
      <c r="AP737" s="79" t="str">
        <f>HYPERLINK("https://pbs.twimg.com/profile_banners/1253981779901313025/1675329956")</f>
        <v>https://pbs.twimg.com/profile_banners/1253981779901313025/1675329956</v>
      </c>
      <c r="AQ737" t="b">
        <v>1</v>
      </c>
      <c r="AR737" t="b">
        <v>0</v>
      </c>
      <c r="AS737" t="b">
        <v>0</v>
      </c>
      <c r="AU737">
        <v>2</v>
      </c>
      <c r="AW737" t="b">
        <v>0</v>
      </c>
      <c r="AX737" t="s">
        <v>9303</v>
      </c>
      <c r="AY737" s="79" t="str">
        <f>HYPERLINK("https://twitter.com/nucicoms")</f>
        <v>https://twitter.com/nucicoms</v>
      </c>
      <c r="AZ737" t="s">
        <v>66</v>
      </c>
      <c r="BA737" s="2"/>
    </row>
    <row r="738" spans="1:53" x14ac:dyDescent="0.45">
      <c r="A738" s="62" t="s">
        <v>492</v>
      </c>
      <c r="B738" s="63"/>
      <c r="C738" s="63"/>
      <c r="D738" s="64"/>
      <c r="E738" s="66"/>
      <c r="F738" s="98" t="str">
        <f>HYPERLINK("https://pbs.twimg.com/profile_images/1161810010751602688/fPqJH8kJ_normal.jpg")</f>
        <v>https://pbs.twimg.com/profile_images/1161810010751602688/fPqJH8kJ_normal.jpg</v>
      </c>
      <c r="G738" s="63"/>
      <c r="H738" s="67"/>
      <c r="I738" s="68"/>
      <c r="J738" s="68"/>
      <c r="K738" s="67" t="s">
        <v>9765</v>
      </c>
      <c r="L738" s="71"/>
      <c r="M738" s="72"/>
      <c r="N738" s="72"/>
      <c r="O738" s="73"/>
      <c r="P738" s="74"/>
      <c r="Q738" s="74"/>
      <c r="R738" s="81"/>
      <c r="S738" s="81"/>
      <c r="T738" s="81"/>
      <c r="U738" s="81"/>
      <c r="V738" s="48"/>
      <c r="W738" s="48"/>
      <c r="X738" s="48"/>
      <c r="Y738" s="48"/>
      <c r="Z738" s="47"/>
      <c r="AA738" s="69"/>
      <c r="AB738" s="69"/>
      <c r="AC738" s="70"/>
      <c r="AD738" t="s">
        <v>5457</v>
      </c>
      <c r="AE738" s="78" t="s">
        <v>6719</v>
      </c>
      <c r="AF738">
        <v>4597</v>
      </c>
      <c r="AG738">
        <v>853</v>
      </c>
      <c r="AH738">
        <v>63475</v>
      </c>
      <c r="AI738">
        <v>45653</v>
      </c>
      <c r="AK738" t="s">
        <v>7889</v>
      </c>
      <c r="AL738" t="s">
        <v>8907</v>
      </c>
      <c r="AO738" s="76">
        <v>39951.04760416667</v>
      </c>
      <c r="AP738" s="79" t="str">
        <f>HYPERLINK("https://pbs.twimg.com/profile_banners/40778162/1584745052")</f>
        <v>https://pbs.twimg.com/profile_banners/40778162/1584745052</v>
      </c>
      <c r="AQ738" t="b">
        <v>0</v>
      </c>
      <c r="AR738" t="b">
        <v>0</v>
      </c>
      <c r="AS738" t="b">
        <v>1</v>
      </c>
      <c r="AU738">
        <v>55</v>
      </c>
      <c r="AV738" s="79" t="str">
        <f>HYPERLINK("https://abs.twimg.com/images/themes/theme1/bg.png")</f>
        <v>https://abs.twimg.com/images/themes/theme1/bg.png</v>
      </c>
      <c r="AW738" t="b">
        <v>0</v>
      </c>
      <c r="AX738" t="s">
        <v>9303</v>
      </c>
      <c r="AY738" s="79" t="str">
        <f>HYPERLINK("https://twitter.com/debsails")</f>
        <v>https://twitter.com/debsails</v>
      </c>
      <c r="AZ738" t="s">
        <v>66</v>
      </c>
      <c r="BA738" s="2"/>
    </row>
    <row r="739" spans="1:53" x14ac:dyDescent="0.45">
      <c r="A739" s="62" t="s">
        <v>1441</v>
      </c>
      <c r="B739" s="63"/>
      <c r="C739" s="63"/>
      <c r="D739" s="64"/>
      <c r="E739" s="66"/>
      <c r="F739" s="98" t="str">
        <f>HYPERLINK("https://pbs.twimg.com/profile_images/1444912302780661761/eJvKPHg7_normal.jpg")</f>
        <v>https://pbs.twimg.com/profile_images/1444912302780661761/eJvKPHg7_normal.jpg</v>
      </c>
      <c r="G739" s="63"/>
      <c r="H739" s="67"/>
      <c r="I739" s="68"/>
      <c r="J739" s="68"/>
      <c r="K739" s="67" t="s">
        <v>10351</v>
      </c>
      <c r="L739" s="71"/>
      <c r="M739" s="72"/>
      <c r="N739" s="72"/>
      <c r="O739" s="73"/>
      <c r="P739" s="74"/>
      <c r="Q739" s="74"/>
      <c r="R739" s="81"/>
      <c r="S739" s="81"/>
      <c r="T739" s="81"/>
      <c r="U739" s="81"/>
      <c r="V739" s="48"/>
      <c r="W739" s="48"/>
      <c r="X739" s="48"/>
      <c r="Y739" s="48"/>
      <c r="Z739" s="47"/>
      <c r="AA739" s="69"/>
      <c r="AB739" s="69"/>
      <c r="AC739" s="70"/>
      <c r="AD739" t="s">
        <v>6034</v>
      </c>
      <c r="AE739" s="78" t="s">
        <v>7241</v>
      </c>
      <c r="AF739">
        <v>8</v>
      </c>
      <c r="AG739">
        <v>845</v>
      </c>
      <c r="AH739">
        <v>69</v>
      </c>
      <c r="AI739">
        <v>18</v>
      </c>
      <c r="AK739" t="s">
        <v>8403</v>
      </c>
      <c r="AO739" s="76">
        <v>44161.512824074074</v>
      </c>
      <c r="AP739" s="79" t="str">
        <f>HYPERLINK("https://pbs.twimg.com/profile_banners/1331935307227230210/1670779951")</f>
        <v>https://pbs.twimg.com/profile_banners/1331935307227230210/1670779951</v>
      </c>
      <c r="AQ739" t="b">
        <v>1</v>
      </c>
      <c r="AR739" t="b">
        <v>0</v>
      </c>
      <c r="AS739" t="b">
        <v>0</v>
      </c>
      <c r="AU739">
        <v>9</v>
      </c>
      <c r="AW739" t="b">
        <v>0</v>
      </c>
      <c r="AX739" t="s">
        <v>9303</v>
      </c>
      <c r="AY739" s="79" t="str">
        <f>HYPERLINK("https://twitter.com/lastofushbo")</f>
        <v>https://twitter.com/lastofushbo</v>
      </c>
      <c r="AZ739" t="s">
        <v>65</v>
      </c>
      <c r="BA739" s="2"/>
    </row>
    <row r="740" spans="1:53" x14ac:dyDescent="0.45">
      <c r="A740" s="62" t="s">
        <v>838</v>
      </c>
      <c r="B740" s="63"/>
      <c r="C740" s="63"/>
      <c r="D740" s="64"/>
      <c r="E740" s="66"/>
      <c r="F740" s="98" t="str">
        <f>HYPERLINK("https://pbs.twimg.com/profile_images/1587143882533310465/hJWkO7s4_normal.jpg")</f>
        <v>https://pbs.twimg.com/profile_images/1587143882533310465/hJWkO7s4_normal.jpg</v>
      </c>
      <c r="G740" s="63"/>
      <c r="H740" s="67"/>
      <c r="I740" s="68"/>
      <c r="J740" s="68"/>
      <c r="K740" s="67" t="s">
        <v>10231</v>
      </c>
      <c r="L740" s="71"/>
      <c r="M740" s="72"/>
      <c r="N740" s="72"/>
      <c r="O740" s="73"/>
      <c r="P740" s="74"/>
      <c r="Q740" s="74"/>
      <c r="R740" s="81"/>
      <c r="S740" s="81"/>
      <c r="T740" s="81"/>
      <c r="U740" s="81"/>
      <c r="V740" s="48"/>
      <c r="W740" s="48"/>
      <c r="X740" s="48"/>
      <c r="Y740" s="48"/>
      <c r="Z740" s="47"/>
      <c r="AA740" s="69"/>
      <c r="AB740" s="69"/>
      <c r="AC740" s="70"/>
      <c r="AD740" t="s">
        <v>5915</v>
      </c>
      <c r="AE740" s="78" t="s">
        <v>7132</v>
      </c>
      <c r="AF740">
        <v>1345</v>
      </c>
      <c r="AG740">
        <v>835</v>
      </c>
      <c r="AH740">
        <v>5870</v>
      </c>
      <c r="AI740">
        <v>22288</v>
      </c>
      <c r="AL740" t="s">
        <v>4924</v>
      </c>
      <c r="AM740" s="79" t="str">
        <f>HYPERLINK("https://t.co/nb4aBLCNJj")</f>
        <v>https://t.co/nb4aBLCNJj</v>
      </c>
      <c r="AO740" s="76">
        <v>44291.178900462961</v>
      </c>
      <c r="AP740" s="79" t="str">
        <f>HYPERLINK("https://pbs.twimg.com/profile_banners/1378924730753769474/1673911750")</f>
        <v>https://pbs.twimg.com/profile_banners/1378924730753769474/1673911750</v>
      </c>
      <c r="AQ740" t="b">
        <v>1</v>
      </c>
      <c r="AR740" t="b">
        <v>0</v>
      </c>
      <c r="AS740" t="b">
        <v>1</v>
      </c>
      <c r="AU740">
        <v>6</v>
      </c>
      <c r="AW740" t="b">
        <v>0</v>
      </c>
      <c r="AX740" t="s">
        <v>9303</v>
      </c>
      <c r="AY740" s="79" t="str">
        <f>HYPERLINK("https://twitter.com/legendcyruss")</f>
        <v>https://twitter.com/legendcyruss</v>
      </c>
      <c r="AZ740" t="s">
        <v>66</v>
      </c>
      <c r="BA740" s="2"/>
    </row>
    <row r="741" spans="1:53" x14ac:dyDescent="0.45">
      <c r="A741" s="62" t="s">
        <v>368</v>
      </c>
      <c r="B741" s="63"/>
      <c r="C741" s="63"/>
      <c r="D741" s="64"/>
      <c r="E741" s="66"/>
      <c r="F741" s="98" t="str">
        <f>HYPERLINK("https://pbs.twimg.com/profile_images/1504566538203926528/PQ-b62eC_normal.jpg")</f>
        <v>https://pbs.twimg.com/profile_images/1504566538203926528/PQ-b62eC_normal.jpg</v>
      </c>
      <c r="G741" s="63"/>
      <c r="H741" s="67"/>
      <c r="I741" s="68"/>
      <c r="J741" s="68"/>
      <c r="K741" s="67" t="s">
        <v>9611</v>
      </c>
      <c r="L741" s="71"/>
      <c r="M741" s="72"/>
      <c r="N741" s="72"/>
      <c r="O741" s="73"/>
      <c r="P741" s="74"/>
      <c r="Q741" s="74"/>
      <c r="R741" s="81"/>
      <c r="S741" s="81"/>
      <c r="T741" s="81"/>
      <c r="U741" s="81"/>
      <c r="V741" s="48"/>
      <c r="W741" s="48"/>
      <c r="X741" s="48"/>
      <c r="Y741" s="48"/>
      <c r="Z741" s="47"/>
      <c r="AA741" s="69"/>
      <c r="AB741" s="69"/>
      <c r="AC741" s="70"/>
      <c r="AD741" t="s">
        <v>5304</v>
      </c>
      <c r="AE741" s="78" t="s">
        <v>6582</v>
      </c>
      <c r="AF741">
        <v>3116</v>
      </c>
      <c r="AG741">
        <v>827</v>
      </c>
      <c r="AH741">
        <v>36920</v>
      </c>
      <c r="AI741">
        <v>84771</v>
      </c>
      <c r="AK741" t="s">
        <v>7759</v>
      </c>
      <c r="AL741" t="s">
        <v>8837</v>
      </c>
      <c r="AO741" s="76">
        <v>40245.857060185182</v>
      </c>
      <c r="AP741" s="79" t="str">
        <f>HYPERLINK("https://pbs.twimg.com/profile_banners/121220255/1579312224")</f>
        <v>https://pbs.twimg.com/profile_banners/121220255/1579312224</v>
      </c>
      <c r="AQ741" t="b">
        <v>0</v>
      </c>
      <c r="AR741" t="b">
        <v>0</v>
      </c>
      <c r="AS741" t="b">
        <v>1</v>
      </c>
      <c r="AU741">
        <v>15</v>
      </c>
      <c r="AV741" s="79" t="str">
        <f>HYPERLINK("https://abs.twimg.com/images/themes/theme13/bg.gif")</f>
        <v>https://abs.twimg.com/images/themes/theme13/bg.gif</v>
      </c>
      <c r="AW741" t="b">
        <v>0</v>
      </c>
      <c r="AX741" t="s">
        <v>9303</v>
      </c>
      <c r="AY741" s="79" t="str">
        <f>HYPERLINK("https://twitter.com/mamatygryss")</f>
        <v>https://twitter.com/mamatygryss</v>
      </c>
      <c r="AZ741" t="s">
        <v>66</v>
      </c>
      <c r="BA741" s="2"/>
    </row>
    <row r="742" spans="1:53" x14ac:dyDescent="0.45">
      <c r="A742" s="62" t="s">
        <v>614</v>
      </c>
      <c r="B742" s="63"/>
      <c r="C742" s="63"/>
      <c r="D742" s="64"/>
      <c r="E742" s="66"/>
      <c r="F742" s="98" t="str">
        <f>HYPERLINK("https://pbs.twimg.com/profile_images/816314359383228416/h10Jjeib_normal.jpg")</f>
        <v>https://pbs.twimg.com/profile_images/816314359383228416/h10Jjeib_normal.jpg</v>
      </c>
      <c r="G742" s="63"/>
      <c r="H742" s="67"/>
      <c r="I742" s="68"/>
      <c r="J742" s="68"/>
      <c r="K742" s="67" t="s">
        <v>9914</v>
      </c>
      <c r="L742" s="71"/>
      <c r="M742" s="72"/>
      <c r="N742" s="72"/>
      <c r="O742" s="73"/>
      <c r="P742" s="74"/>
      <c r="Q742" s="74"/>
      <c r="R742" s="81"/>
      <c r="S742" s="81"/>
      <c r="T742" s="81"/>
      <c r="U742" s="81"/>
      <c r="V742" s="48"/>
      <c r="W742" s="48"/>
      <c r="X742" s="48"/>
      <c r="Y742" s="48"/>
      <c r="Z742" s="47"/>
      <c r="AA742" s="69"/>
      <c r="AB742" s="69"/>
      <c r="AC742" s="70"/>
      <c r="AD742" t="s">
        <v>5605</v>
      </c>
      <c r="AE742" s="78" t="s">
        <v>6850</v>
      </c>
      <c r="AF742">
        <v>3</v>
      </c>
      <c r="AG742">
        <v>823</v>
      </c>
      <c r="AH742">
        <v>235987</v>
      </c>
      <c r="AI742">
        <v>0</v>
      </c>
      <c r="AK742" t="s">
        <v>8026</v>
      </c>
      <c r="AL742" t="s">
        <v>8995</v>
      </c>
      <c r="AO742" s="76">
        <v>42738.66847222222</v>
      </c>
      <c r="AP742" s="79" t="str">
        <f>HYPERLINK("https://pbs.twimg.com/profile_banners/816313821883146240/1483459563")</f>
        <v>https://pbs.twimg.com/profile_banners/816313821883146240/1483459563</v>
      </c>
      <c r="AQ742" t="b">
        <v>0</v>
      </c>
      <c r="AR742" t="b">
        <v>0</v>
      </c>
      <c r="AS742" t="b">
        <v>0</v>
      </c>
      <c r="AU742">
        <v>36</v>
      </c>
      <c r="AV742" s="79" t="str">
        <f>HYPERLINK("https://abs.twimg.com/images/themes/theme1/bg.png")</f>
        <v>https://abs.twimg.com/images/themes/theme1/bg.png</v>
      </c>
      <c r="AW742" t="b">
        <v>0</v>
      </c>
      <c r="AX742" t="s">
        <v>9303</v>
      </c>
      <c r="AY742" s="79" t="str">
        <f>HYPERLINK("https://twitter.com/myseattlenews")</f>
        <v>https://twitter.com/myseattlenews</v>
      </c>
      <c r="AZ742" t="s">
        <v>66</v>
      </c>
      <c r="BA742" s="2"/>
    </row>
    <row r="743" spans="1:53" x14ac:dyDescent="0.45">
      <c r="A743" s="62" t="s">
        <v>761</v>
      </c>
      <c r="B743" s="63"/>
      <c r="C743" s="63"/>
      <c r="D743" s="64"/>
      <c r="E743" s="66"/>
      <c r="F743" s="98" t="str">
        <f>HYPERLINK("https://pbs.twimg.com/profile_images/1618822504012816385/L5oqQsFu_normal.jpg")</f>
        <v>https://pbs.twimg.com/profile_images/1618822504012816385/L5oqQsFu_normal.jpg</v>
      </c>
      <c r="G743" s="63"/>
      <c r="H743" s="67"/>
      <c r="I743" s="68"/>
      <c r="J743" s="68"/>
      <c r="K743" s="67" t="s">
        <v>10114</v>
      </c>
      <c r="L743" s="71"/>
      <c r="M743" s="72"/>
      <c r="N743" s="72"/>
      <c r="O743" s="73"/>
      <c r="P743" s="74"/>
      <c r="Q743" s="74"/>
      <c r="R743" s="81"/>
      <c r="S743" s="81"/>
      <c r="T743" s="81"/>
      <c r="U743" s="81"/>
      <c r="V743" s="48"/>
      <c r="W743" s="48"/>
      <c r="X743" s="48"/>
      <c r="Y743" s="48"/>
      <c r="Z743" s="47"/>
      <c r="AA743" s="69"/>
      <c r="AB743" s="69"/>
      <c r="AC743" s="70"/>
      <c r="AD743" t="s">
        <v>5802</v>
      </c>
      <c r="AE743" s="78" t="s">
        <v>7032</v>
      </c>
      <c r="AF743">
        <v>1998</v>
      </c>
      <c r="AG743">
        <v>819</v>
      </c>
      <c r="AH743">
        <v>1371</v>
      </c>
      <c r="AI743">
        <v>1381</v>
      </c>
      <c r="AK743" t="s">
        <v>8197</v>
      </c>
      <c r="AM743" s="79" t="str">
        <f>HYPERLINK("https://t.co/THNJAZvjXM")</f>
        <v>https://t.co/THNJAZvjXM</v>
      </c>
      <c r="AO743" s="76">
        <v>41550.785462962966</v>
      </c>
      <c r="AP743" s="79" t="str">
        <f>HYPERLINK("https://pbs.twimg.com/profile_banners/1931717738/1674792347")</f>
        <v>https://pbs.twimg.com/profile_banners/1931717738/1674792347</v>
      </c>
      <c r="AQ743" t="b">
        <v>1</v>
      </c>
      <c r="AR743" t="b">
        <v>0</v>
      </c>
      <c r="AS743" t="b">
        <v>1</v>
      </c>
      <c r="AU743">
        <v>20</v>
      </c>
      <c r="AV743" s="79" t="str">
        <f>HYPERLINK("https://abs.twimg.com/images/themes/theme1/bg.png")</f>
        <v>https://abs.twimg.com/images/themes/theme1/bg.png</v>
      </c>
      <c r="AW743" t="b">
        <v>0</v>
      </c>
      <c r="AX743" t="s">
        <v>9303</v>
      </c>
      <c r="AY743" s="79" t="str">
        <f>HYPERLINK("https://twitter.com/shoecrazywine")</f>
        <v>https://twitter.com/shoecrazywine</v>
      </c>
      <c r="AZ743" t="s">
        <v>66</v>
      </c>
      <c r="BA743" s="2"/>
    </row>
    <row r="744" spans="1:53" x14ac:dyDescent="0.45">
      <c r="A744" s="62" t="s">
        <v>842</v>
      </c>
      <c r="B744" s="63"/>
      <c r="C744" s="63"/>
      <c r="D744" s="64"/>
      <c r="E744" s="66"/>
      <c r="F744" s="98" t="str">
        <f>HYPERLINK("https://pbs.twimg.com/profile_images/1613759144217182209/KQFNcfiz_normal.jpg")</f>
        <v>https://pbs.twimg.com/profile_images/1613759144217182209/KQFNcfiz_normal.jpg</v>
      </c>
      <c r="G744" s="63"/>
      <c r="H744" s="67"/>
      <c r="I744" s="68"/>
      <c r="J744" s="68"/>
      <c r="K744" s="67" t="s">
        <v>10237</v>
      </c>
      <c r="L744" s="71"/>
      <c r="M744" s="72"/>
      <c r="N744" s="72"/>
      <c r="O744" s="73"/>
      <c r="P744" s="74"/>
      <c r="Q744" s="74"/>
      <c r="R744" s="81"/>
      <c r="S744" s="81"/>
      <c r="T744" s="81"/>
      <c r="U744" s="81"/>
      <c r="V744" s="48"/>
      <c r="W744" s="48"/>
      <c r="X744" s="48"/>
      <c r="Y744" s="48"/>
      <c r="Z744" s="47"/>
      <c r="AA744" s="69"/>
      <c r="AB744" s="69"/>
      <c r="AC744" s="70"/>
      <c r="AD744" t="s">
        <v>5921</v>
      </c>
      <c r="AE744" s="78" t="s">
        <v>7137</v>
      </c>
      <c r="AF744">
        <v>2617</v>
      </c>
      <c r="AG744">
        <v>816</v>
      </c>
      <c r="AH744">
        <v>15205</v>
      </c>
      <c r="AI744">
        <v>50397</v>
      </c>
      <c r="AK744" t="s">
        <v>8303</v>
      </c>
      <c r="AL744" t="s">
        <v>8347</v>
      </c>
      <c r="AM744" s="79" t="str">
        <f>HYPERLINK("https://t.co/NGMa2Sed3X")</f>
        <v>https://t.co/NGMa2Sed3X</v>
      </c>
      <c r="AO744" s="76">
        <v>42140.920034722221</v>
      </c>
      <c r="AP744" s="79" t="str">
        <f>HYPERLINK("https://pbs.twimg.com/profile_banners/3197883606/1674976544")</f>
        <v>https://pbs.twimg.com/profile_banners/3197883606/1674976544</v>
      </c>
      <c r="AQ744" t="b">
        <v>1</v>
      </c>
      <c r="AR744" t="b">
        <v>0</v>
      </c>
      <c r="AS744" t="b">
        <v>0</v>
      </c>
      <c r="AU744">
        <v>7</v>
      </c>
      <c r="AV744" s="79" t="str">
        <f>HYPERLINK("https://abs.twimg.com/images/themes/theme1/bg.png")</f>
        <v>https://abs.twimg.com/images/themes/theme1/bg.png</v>
      </c>
      <c r="AW744" t="b">
        <v>0</v>
      </c>
      <c r="AX744" t="s">
        <v>9303</v>
      </c>
      <c r="AY744" s="79" t="str">
        <f>HYPERLINK("https://twitter.com/rickywrldv2")</f>
        <v>https://twitter.com/rickywrldv2</v>
      </c>
      <c r="AZ744" t="s">
        <v>66</v>
      </c>
      <c r="BA744" s="2"/>
    </row>
    <row r="745" spans="1:53" x14ac:dyDescent="0.45">
      <c r="A745" s="62" t="s">
        <v>878</v>
      </c>
      <c r="B745" s="63"/>
      <c r="C745" s="63"/>
      <c r="D745" s="64"/>
      <c r="E745" s="66"/>
      <c r="F745" s="98" t="str">
        <f>HYPERLINK("https://pbs.twimg.com/profile_images/1455623830588772357/zVMe-N6c_normal.jpg")</f>
        <v>https://pbs.twimg.com/profile_images/1455623830588772357/zVMe-N6c_normal.jpg</v>
      </c>
      <c r="G745" s="63"/>
      <c r="H745" s="67"/>
      <c r="I745" s="68"/>
      <c r="J745" s="68"/>
      <c r="K745" s="67" t="s">
        <v>10281</v>
      </c>
      <c r="L745" s="71"/>
      <c r="M745" s="72"/>
      <c r="N745" s="72"/>
      <c r="O745" s="73"/>
      <c r="P745" s="74"/>
      <c r="Q745" s="74"/>
      <c r="R745" s="81"/>
      <c r="S745" s="81"/>
      <c r="T745" s="81"/>
      <c r="U745" s="81"/>
      <c r="V745" s="48"/>
      <c r="W745" s="48"/>
      <c r="X745" s="48"/>
      <c r="Y745" s="48"/>
      <c r="Z745" s="47"/>
      <c r="AA745" s="69"/>
      <c r="AB745" s="69"/>
      <c r="AC745" s="70"/>
      <c r="AD745" t="s">
        <v>5964</v>
      </c>
      <c r="AE745" s="78" t="s">
        <v>7176</v>
      </c>
      <c r="AF745">
        <v>153</v>
      </c>
      <c r="AG745">
        <v>814</v>
      </c>
      <c r="AH745">
        <v>5385</v>
      </c>
      <c r="AI745">
        <v>196</v>
      </c>
      <c r="AK745" t="s">
        <v>8341</v>
      </c>
      <c r="AM745" s="79" t="str">
        <f>HYPERLINK("https://t.co/Nrtn6lv8Ij")</f>
        <v>https://t.co/Nrtn6lv8Ij</v>
      </c>
      <c r="AO745" s="76">
        <v>41463.176504629628</v>
      </c>
      <c r="AP745" s="79" t="str">
        <f>HYPERLINK("https://pbs.twimg.com/profile_banners/1576683102/1620667039")</f>
        <v>https://pbs.twimg.com/profile_banners/1576683102/1620667039</v>
      </c>
      <c r="AQ745" t="b">
        <v>1</v>
      </c>
      <c r="AR745" t="b">
        <v>0</v>
      </c>
      <c r="AS745" t="b">
        <v>0</v>
      </c>
      <c r="AU745">
        <v>10</v>
      </c>
      <c r="AV745" s="79" t="str">
        <f>HYPERLINK("https://abs.twimg.com/images/themes/theme1/bg.png")</f>
        <v>https://abs.twimg.com/images/themes/theme1/bg.png</v>
      </c>
      <c r="AW745" t="b">
        <v>0</v>
      </c>
      <c r="AX745" t="s">
        <v>9303</v>
      </c>
      <c r="AY745" s="79" t="str">
        <f>HYPERLINK("https://twitter.com/whoawaitwalmart")</f>
        <v>https://twitter.com/whoawaitwalmart</v>
      </c>
      <c r="AZ745" t="s">
        <v>66</v>
      </c>
      <c r="BA745" s="2"/>
    </row>
    <row r="746" spans="1:53" x14ac:dyDescent="0.45">
      <c r="A746" s="62" t="s">
        <v>1009</v>
      </c>
      <c r="B746" s="63"/>
      <c r="C746" s="63"/>
      <c r="D746" s="64"/>
      <c r="E746" s="66"/>
      <c r="F746" s="98" t="str">
        <f>HYPERLINK("https://pbs.twimg.com/profile_images/1604666527021944832/mocJBVHN_normal.jpg")</f>
        <v>https://pbs.twimg.com/profile_images/1604666527021944832/mocJBVHN_normal.jpg</v>
      </c>
      <c r="G746" s="63"/>
      <c r="H746" s="67"/>
      <c r="I746" s="68"/>
      <c r="J746" s="68"/>
      <c r="K746" s="67" t="s">
        <v>10484</v>
      </c>
      <c r="L746" s="71"/>
      <c r="M746" s="72"/>
      <c r="N746" s="72"/>
      <c r="O746" s="73"/>
      <c r="P746" s="74"/>
      <c r="Q746" s="74"/>
      <c r="R746" s="81"/>
      <c r="S746" s="81"/>
      <c r="T746" s="81"/>
      <c r="U746" s="81"/>
      <c r="V746" s="48"/>
      <c r="W746" s="48"/>
      <c r="X746" s="48"/>
      <c r="Y746" s="48"/>
      <c r="Z746" s="47"/>
      <c r="AA746" s="69"/>
      <c r="AB746" s="69"/>
      <c r="AC746" s="70"/>
      <c r="AD746" t="s">
        <v>6162</v>
      </c>
      <c r="AE746" s="78" t="s">
        <v>7350</v>
      </c>
      <c r="AF746">
        <v>773</v>
      </c>
      <c r="AG746">
        <v>803</v>
      </c>
      <c r="AH746">
        <v>14434</v>
      </c>
      <c r="AI746">
        <v>25926</v>
      </c>
      <c r="AK746" t="s">
        <v>8520</v>
      </c>
      <c r="AL746" t="s">
        <v>9234</v>
      </c>
      <c r="AM746" s="79" t="str">
        <f>HYPERLINK("https://t.co/yO7bmyWYQp")</f>
        <v>https://t.co/yO7bmyWYQp</v>
      </c>
      <c r="AO746" s="76">
        <v>44017.822523148148</v>
      </c>
      <c r="AP746" s="79" t="str">
        <f>HYPERLINK("https://pbs.twimg.com/profile_banners/1279863694365622272/1671094293")</f>
        <v>https://pbs.twimg.com/profile_banners/1279863694365622272/1671094293</v>
      </c>
      <c r="AQ746" t="b">
        <v>1</v>
      </c>
      <c r="AR746" t="b">
        <v>0</v>
      </c>
      <c r="AS746" t="b">
        <v>0</v>
      </c>
      <c r="AU746">
        <v>2</v>
      </c>
      <c r="AW746" t="b">
        <v>0</v>
      </c>
      <c r="AX746" t="s">
        <v>9303</v>
      </c>
      <c r="AY746" s="79" t="str">
        <f>HYPERLINK("https://twitter.com/mysticalmaven")</f>
        <v>https://twitter.com/mysticalmaven</v>
      </c>
      <c r="AZ746" t="s">
        <v>66</v>
      </c>
      <c r="BA746" s="2"/>
    </row>
    <row r="747" spans="1:53" x14ac:dyDescent="0.45">
      <c r="A747" s="62" t="s">
        <v>982</v>
      </c>
      <c r="B747" s="63"/>
      <c r="C747" s="63"/>
      <c r="D747" s="64"/>
      <c r="E747" s="66"/>
      <c r="F747" s="98" t="str">
        <f>HYPERLINK("https://pbs.twimg.com/profile_images/780635239962054656/VAuc6Rdj_normal.jpg")</f>
        <v>https://pbs.twimg.com/profile_images/780635239962054656/VAuc6Rdj_normal.jpg</v>
      </c>
      <c r="G747" s="63"/>
      <c r="H747" s="67"/>
      <c r="I747" s="68"/>
      <c r="J747" s="68"/>
      <c r="K747" s="67" t="s">
        <v>10447</v>
      </c>
      <c r="L747" s="71"/>
      <c r="M747" s="72"/>
      <c r="N747" s="72"/>
      <c r="O747" s="73"/>
      <c r="P747" s="74"/>
      <c r="Q747" s="74"/>
      <c r="R747" s="81"/>
      <c r="S747" s="81"/>
      <c r="T747" s="81"/>
      <c r="U747" s="81"/>
      <c r="V747" s="48"/>
      <c r="W747" s="48"/>
      <c r="X747" s="48"/>
      <c r="Y747" s="48"/>
      <c r="Z747" s="47"/>
      <c r="AA747" s="69"/>
      <c r="AB747" s="69"/>
      <c r="AC747" s="70"/>
      <c r="AD747" t="s">
        <v>6128</v>
      </c>
      <c r="AE747" s="78" t="s">
        <v>7320</v>
      </c>
      <c r="AF747">
        <v>933</v>
      </c>
      <c r="AG747">
        <v>798</v>
      </c>
      <c r="AH747">
        <v>400146</v>
      </c>
      <c r="AI747">
        <v>29788</v>
      </c>
      <c r="AK747" t="s">
        <v>8487</v>
      </c>
      <c r="AL747" t="s">
        <v>8999</v>
      </c>
      <c r="AM747" s="79" t="str">
        <f>HYPERLINK("https://t.co/6e48B21clQ")</f>
        <v>https://t.co/6e48B21clQ</v>
      </c>
      <c r="AO747" s="76">
        <v>40613.926516203705</v>
      </c>
      <c r="AP747" s="79" t="str">
        <f>HYPERLINK("https://pbs.twimg.com/profile_banners/264429757/1453849395")</f>
        <v>https://pbs.twimg.com/profile_banners/264429757/1453849395</v>
      </c>
      <c r="AQ747" t="b">
        <v>0</v>
      </c>
      <c r="AR747" t="b">
        <v>0</v>
      </c>
      <c r="AS747" t="b">
        <v>1</v>
      </c>
      <c r="AU747">
        <v>109</v>
      </c>
      <c r="AV747" s="79" t="str">
        <f>HYPERLINK("https://abs.twimg.com/images/themes/theme12/bg.gif")</f>
        <v>https://abs.twimg.com/images/themes/theme12/bg.gif</v>
      </c>
      <c r="AW747" t="b">
        <v>0</v>
      </c>
      <c r="AX747" t="s">
        <v>9303</v>
      </c>
      <c r="AY747" s="79" t="str">
        <f>HYPERLINK("https://twitter.com/murjanian")</f>
        <v>https://twitter.com/murjanian</v>
      </c>
      <c r="AZ747" t="s">
        <v>66</v>
      </c>
      <c r="BA747" s="2"/>
    </row>
    <row r="748" spans="1:53" x14ac:dyDescent="0.45">
      <c r="A748" s="62" t="s">
        <v>677</v>
      </c>
      <c r="B748" s="63"/>
      <c r="C748" s="63"/>
      <c r="D748" s="64"/>
      <c r="E748" s="66"/>
      <c r="F748" s="98" t="str">
        <f>HYPERLINK("https://pbs.twimg.com/profile_images/1497986333188448257/SMo_xv3t_normal.jpg")</f>
        <v>https://pbs.twimg.com/profile_images/1497986333188448257/SMo_xv3t_normal.jpg</v>
      </c>
      <c r="G748" s="63"/>
      <c r="H748" s="67"/>
      <c r="I748" s="68"/>
      <c r="J748" s="68"/>
      <c r="K748" s="67" t="s">
        <v>9998</v>
      </c>
      <c r="L748" s="71"/>
      <c r="M748" s="72"/>
      <c r="N748" s="72"/>
      <c r="O748" s="73"/>
      <c r="P748" s="74"/>
      <c r="Q748" s="74"/>
      <c r="R748" s="81"/>
      <c r="S748" s="81"/>
      <c r="T748" s="81"/>
      <c r="U748" s="81"/>
      <c r="V748" s="48"/>
      <c r="W748" s="48"/>
      <c r="X748" s="48"/>
      <c r="Y748" s="48"/>
      <c r="Z748" s="47"/>
      <c r="AA748" s="69"/>
      <c r="AB748" s="69"/>
      <c r="AC748" s="70"/>
      <c r="AD748" t="s">
        <v>5688</v>
      </c>
      <c r="AE748" s="78" t="s">
        <v>6931</v>
      </c>
      <c r="AF748">
        <v>371</v>
      </c>
      <c r="AG748">
        <v>775</v>
      </c>
      <c r="AH748">
        <v>8516</v>
      </c>
      <c r="AI748">
        <v>24679</v>
      </c>
      <c r="AK748" t="s">
        <v>8095</v>
      </c>
      <c r="AL748" t="s">
        <v>9035</v>
      </c>
      <c r="AO748" s="76">
        <v>40116.816111111111</v>
      </c>
      <c r="AP748" s="79" t="str">
        <f>HYPERLINK("https://pbs.twimg.com/profile_banners/86380977/1430272511")</f>
        <v>https://pbs.twimg.com/profile_banners/86380977/1430272511</v>
      </c>
      <c r="AQ748" t="b">
        <v>0</v>
      </c>
      <c r="AR748" t="b">
        <v>0</v>
      </c>
      <c r="AS748" t="b">
        <v>1</v>
      </c>
      <c r="AU748">
        <v>1</v>
      </c>
      <c r="AV748" s="79" t="str">
        <f>HYPERLINK("https://abs.twimg.com/images/themes/theme9/bg.gif")</f>
        <v>https://abs.twimg.com/images/themes/theme9/bg.gif</v>
      </c>
      <c r="AW748" t="b">
        <v>0</v>
      </c>
      <c r="AX748" t="s">
        <v>9303</v>
      </c>
      <c r="AY748" s="79" t="str">
        <f>HYPERLINK("https://twitter.com/imchrisenriquez")</f>
        <v>https://twitter.com/imchrisenriquez</v>
      </c>
      <c r="AZ748" t="s">
        <v>66</v>
      </c>
      <c r="BA748" s="2"/>
    </row>
    <row r="749" spans="1:53" x14ac:dyDescent="0.45">
      <c r="A749" s="62" t="s">
        <v>1040</v>
      </c>
      <c r="B749" s="63"/>
      <c r="C749" s="63"/>
      <c r="D749" s="64"/>
      <c r="E749" s="66"/>
      <c r="F749" s="98" t="str">
        <f>HYPERLINK("https://pbs.twimg.com/profile_images/1620842372874502150/Ek92gW4W_normal.jpg")</f>
        <v>https://pbs.twimg.com/profile_images/1620842372874502150/Ek92gW4W_normal.jpg</v>
      </c>
      <c r="G749" s="63"/>
      <c r="H749" s="67"/>
      <c r="I749" s="68"/>
      <c r="J749" s="68"/>
      <c r="K749" s="67" t="s">
        <v>10543</v>
      </c>
      <c r="L749" s="71"/>
      <c r="M749" s="72"/>
      <c r="N749" s="72"/>
      <c r="O749" s="73"/>
      <c r="P749" s="74"/>
      <c r="Q749" s="74"/>
      <c r="R749" s="81"/>
      <c r="S749" s="81"/>
      <c r="T749" s="81"/>
      <c r="U749" s="81"/>
      <c r="V749" s="48"/>
      <c r="W749" s="48"/>
      <c r="X749" s="48"/>
      <c r="Y749" s="48"/>
      <c r="Z749" s="47"/>
      <c r="AA749" s="69"/>
      <c r="AB749" s="69"/>
      <c r="AC749" s="70"/>
      <c r="AD749" t="s">
        <v>6221</v>
      </c>
      <c r="AE749" s="78" t="s">
        <v>7399</v>
      </c>
      <c r="AF749">
        <v>3311</v>
      </c>
      <c r="AG749">
        <v>770</v>
      </c>
      <c r="AH749">
        <v>2113</v>
      </c>
      <c r="AI749">
        <v>5852</v>
      </c>
      <c r="AK749" t="s">
        <v>8570</v>
      </c>
      <c r="AO749" s="76">
        <v>44912.595462962963</v>
      </c>
      <c r="AP749" s="79" t="str">
        <f>HYPERLINK("https://pbs.twimg.com/profile_banners/1604118545285238786/1673816102")</f>
        <v>https://pbs.twimg.com/profile_banners/1604118545285238786/1673816102</v>
      </c>
      <c r="AQ749" t="b">
        <v>1</v>
      </c>
      <c r="AR749" t="b">
        <v>0</v>
      </c>
      <c r="AS749" t="b">
        <v>0</v>
      </c>
      <c r="AU749">
        <v>0</v>
      </c>
      <c r="AW749" t="b">
        <v>0</v>
      </c>
      <c r="AX749" t="s">
        <v>9303</v>
      </c>
      <c r="AY749" s="79" t="str">
        <f>HYPERLINK("https://twitter.com/jlmb0b")</f>
        <v>https://twitter.com/jlmb0b</v>
      </c>
      <c r="AZ749" t="s">
        <v>66</v>
      </c>
      <c r="BA749" s="2"/>
    </row>
    <row r="750" spans="1:53" x14ac:dyDescent="0.45">
      <c r="A750" s="62" t="s">
        <v>293</v>
      </c>
      <c r="B750" s="63"/>
      <c r="C750" s="63"/>
      <c r="D750" s="64"/>
      <c r="E750" s="66"/>
      <c r="F750" s="98" t="str">
        <f>HYPERLINK("https://pbs.twimg.com/profile_images/591352693131714560/kAnMJudA_normal.jpg")</f>
        <v>https://pbs.twimg.com/profile_images/591352693131714560/kAnMJudA_normal.jpg</v>
      </c>
      <c r="G750" s="63"/>
      <c r="H750" s="67"/>
      <c r="I750" s="68"/>
      <c r="J750" s="68"/>
      <c r="K750" s="67" t="s">
        <v>9459</v>
      </c>
      <c r="L750" s="71"/>
      <c r="M750" s="72"/>
      <c r="N750" s="72"/>
      <c r="O750" s="73"/>
      <c r="P750" s="74"/>
      <c r="Q750" s="74"/>
      <c r="R750" s="81"/>
      <c r="S750" s="81"/>
      <c r="T750" s="81"/>
      <c r="U750" s="81"/>
      <c r="V750" s="48"/>
      <c r="W750" s="48"/>
      <c r="X750" s="48"/>
      <c r="Y750" s="48"/>
      <c r="Z750" s="47"/>
      <c r="AA750" s="69"/>
      <c r="AB750" s="69"/>
      <c r="AC750" s="70"/>
      <c r="AD750" t="s">
        <v>5153</v>
      </c>
      <c r="AE750" s="78" t="s">
        <v>6454</v>
      </c>
      <c r="AF750">
        <v>61</v>
      </c>
      <c r="AG750">
        <v>768</v>
      </c>
      <c r="AH750">
        <v>531</v>
      </c>
      <c r="AI750">
        <v>107</v>
      </c>
      <c r="AK750" t="s">
        <v>7625</v>
      </c>
      <c r="AL750" t="s">
        <v>8764</v>
      </c>
      <c r="AM750" s="79" t="str">
        <f>HYPERLINK("https://t.co/Cng0QToSA1")</f>
        <v>https://t.co/Cng0QToSA1</v>
      </c>
      <c r="AO750" s="76">
        <v>42066.305347222224</v>
      </c>
      <c r="AP750" s="79" t="str">
        <f>HYPERLINK("https://pbs.twimg.com/profile_banners/3067396006/1665605680")</f>
        <v>https://pbs.twimg.com/profile_banners/3067396006/1665605680</v>
      </c>
      <c r="AQ750" t="b">
        <v>0</v>
      </c>
      <c r="AR750" t="b">
        <v>0</v>
      </c>
      <c r="AS750" t="b">
        <v>0</v>
      </c>
      <c r="AU750">
        <v>13</v>
      </c>
      <c r="AV750" s="79" t="str">
        <f>HYPERLINK("https://abs.twimg.com/images/themes/theme1/bg.png")</f>
        <v>https://abs.twimg.com/images/themes/theme1/bg.png</v>
      </c>
      <c r="AW750" t="b">
        <v>0</v>
      </c>
      <c r="AX750" t="s">
        <v>9303</v>
      </c>
      <c r="AY750" s="79" t="str">
        <f>HYPERLINK("https://twitter.com/authorkendall")</f>
        <v>https://twitter.com/authorkendall</v>
      </c>
      <c r="AZ750" t="s">
        <v>66</v>
      </c>
      <c r="BA750" s="2"/>
    </row>
    <row r="751" spans="1:53" x14ac:dyDescent="0.45">
      <c r="A751" s="62" t="s">
        <v>286</v>
      </c>
      <c r="B751" s="63"/>
      <c r="C751" s="63"/>
      <c r="D751" s="64"/>
      <c r="E751" s="66"/>
      <c r="F751" s="98" t="str">
        <f>HYPERLINK("https://pbs.twimg.com/profile_images/1122916916069326849/meGfnbOn_normal.jpg")</f>
        <v>https://pbs.twimg.com/profile_images/1122916916069326849/meGfnbOn_normal.jpg</v>
      </c>
      <c r="G751" s="63"/>
      <c r="H751" s="67"/>
      <c r="I751" s="68"/>
      <c r="J751" s="68"/>
      <c r="K751" s="67" t="s">
        <v>9443</v>
      </c>
      <c r="L751" s="71"/>
      <c r="M751" s="72"/>
      <c r="N751" s="72"/>
      <c r="O751" s="73"/>
      <c r="P751" s="74"/>
      <c r="Q751" s="74"/>
      <c r="R751" s="81"/>
      <c r="S751" s="81"/>
      <c r="T751" s="81"/>
      <c r="U751" s="81"/>
      <c r="V751" s="48"/>
      <c r="W751" s="48"/>
      <c r="X751" s="48"/>
      <c r="Y751" s="48"/>
      <c r="Z751" s="47"/>
      <c r="AA751" s="69"/>
      <c r="AB751" s="69"/>
      <c r="AC751" s="70"/>
      <c r="AD751" t="s">
        <v>5137</v>
      </c>
      <c r="AE751" s="78" t="s">
        <v>6441</v>
      </c>
      <c r="AF751">
        <v>738</v>
      </c>
      <c r="AG751">
        <v>761</v>
      </c>
      <c r="AH751">
        <v>42324</v>
      </c>
      <c r="AI751">
        <v>69740</v>
      </c>
      <c r="AK751" t="s">
        <v>7611</v>
      </c>
      <c r="AL751" t="s">
        <v>8756</v>
      </c>
      <c r="AO751" s="76">
        <v>43060.107615740744</v>
      </c>
      <c r="AP751" s="79" t="str">
        <f>HYPERLINK("https://pbs.twimg.com/profile_banners/932799466846990336/1527471006")</f>
        <v>https://pbs.twimg.com/profile_banners/932799466846990336/1527471006</v>
      </c>
      <c r="AQ751" t="b">
        <v>1</v>
      </c>
      <c r="AR751" t="b">
        <v>0</v>
      </c>
      <c r="AS751" t="b">
        <v>1</v>
      </c>
      <c r="AU751">
        <v>10</v>
      </c>
      <c r="AW751" t="b">
        <v>0</v>
      </c>
      <c r="AX751" t="s">
        <v>9303</v>
      </c>
      <c r="AY751" s="79" t="str">
        <f>HYPERLINK("https://twitter.com/jg_sbalending")</f>
        <v>https://twitter.com/jg_sbalending</v>
      </c>
      <c r="AZ751" t="s">
        <v>66</v>
      </c>
      <c r="BA751" s="2"/>
    </row>
    <row r="752" spans="1:53" x14ac:dyDescent="0.45">
      <c r="A752" s="62" t="s">
        <v>1118</v>
      </c>
      <c r="B752" s="63"/>
      <c r="C752" s="63"/>
      <c r="D752" s="64"/>
      <c r="E752" s="66"/>
      <c r="F752" s="98" t="str">
        <f>HYPERLINK("https://pbs.twimg.com/profile_images/1619390830824898562/vWbB4eUN_normal.jpg")</f>
        <v>https://pbs.twimg.com/profile_images/1619390830824898562/vWbB4eUN_normal.jpg</v>
      </c>
      <c r="G752" s="63"/>
      <c r="H752" s="67"/>
      <c r="I752" s="68"/>
      <c r="J752" s="68"/>
      <c r="K752" s="67" t="s">
        <v>9330</v>
      </c>
      <c r="L752" s="71"/>
      <c r="M752" s="72"/>
      <c r="N752" s="72"/>
      <c r="O752" s="73"/>
      <c r="P752" s="74"/>
      <c r="Q752" s="74"/>
      <c r="R752" s="81"/>
      <c r="S752" s="81"/>
      <c r="T752" s="81"/>
      <c r="U752" s="81"/>
      <c r="V752" s="48"/>
      <c r="W752" s="48"/>
      <c r="X752" s="48"/>
      <c r="Y752" s="48"/>
      <c r="Z752" s="47"/>
      <c r="AA752" s="69"/>
      <c r="AB752" s="69"/>
      <c r="AC752" s="70"/>
      <c r="AD752" t="s">
        <v>5026</v>
      </c>
      <c r="AE752" s="78" t="s">
        <v>4647</v>
      </c>
      <c r="AF752">
        <v>100</v>
      </c>
      <c r="AG752">
        <v>749</v>
      </c>
      <c r="AH752">
        <v>483</v>
      </c>
      <c r="AI752">
        <v>1778</v>
      </c>
      <c r="AK752" t="s">
        <v>7515</v>
      </c>
      <c r="AL752" t="s">
        <v>8689</v>
      </c>
      <c r="AO752" s="76">
        <v>44768.675266203703</v>
      </c>
      <c r="AP752" s="79" t="str">
        <f>HYPERLINK("https://pbs.twimg.com/profile_banners/1551963613941858304/1658855176")</f>
        <v>https://pbs.twimg.com/profile_banners/1551963613941858304/1658855176</v>
      </c>
      <c r="AQ752" t="b">
        <v>1</v>
      </c>
      <c r="AR752" t="b">
        <v>0</v>
      </c>
      <c r="AS752" t="b">
        <v>1</v>
      </c>
      <c r="AU752">
        <v>1</v>
      </c>
      <c r="AW752" t="b">
        <v>0</v>
      </c>
      <c r="AX752" t="s">
        <v>9303</v>
      </c>
      <c r="AY752" s="79" t="str">
        <f>HYPERLINK("https://twitter.com/daltoncroyle")</f>
        <v>https://twitter.com/daltoncroyle</v>
      </c>
      <c r="AZ752" t="s">
        <v>65</v>
      </c>
      <c r="BA752" s="2"/>
    </row>
    <row r="753" spans="1:53" x14ac:dyDescent="0.45">
      <c r="A753" s="62" t="s">
        <v>790</v>
      </c>
      <c r="B753" s="63"/>
      <c r="C753" s="63"/>
      <c r="D753" s="64"/>
      <c r="E753" s="66"/>
      <c r="F753" s="98" t="str">
        <f>HYPERLINK("https://pbs.twimg.com/profile_images/1614746877345374211/TKHisNHk_normal.jpg")</f>
        <v>https://pbs.twimg.com/profile_images/1614746877345374211/TKHisNHk_normal.jpg</v>
      </c>
      <c r="G753" s="63"/>
      <c r="H753" s="67"/>
      <c r="I753" s="68"/>
      <c r="J753" s="68"/>
      <c r="K753" s="67" t="s">
        <v>10159</v>
      </c>
      <c r="L753" s="71"/>
      <c r="M753" s="72"/>
      <c r="N753" s="72"/>
      <c r="O753" s="73"/>
      <c r="P753" s="74"/>
      <c r="Q753" s="74"/>
      <c r="R753" s="81"/>
      <c r="S753" s="81"/>
      <c r="T753" s="81"/>
      <c r="U753" s="81"/>
      <c r="V753" s="48"/>
      <c r="W753" s="48"/>
      <c r="X753" s="48"/>
      <c r="Y753" s="48"/>
      <c r="Z753" s="47"/>
      <c r="AA753" s="69"/>
      <c r="AB753" s="69"/>
      <c r="AC753" s="70"/>
      <c r="AD753" t="s">
        <v>5845</v>
      </c>
      <c r="AE753" s="78" t="s">
        <v>7070</v>
      </c>
      <c r="AF753">
        <v>333</v>
      </c>
      <c r="AG753">
        <v>737</v>
      </c>
      <c r="AH753">
        <v>36673</v>
      </c>
      <c r="AI753">
        <v>60482</v>
      </c>
      <c r="AK753" t="s">
        <v>8235</v>
      </c>
      <c r="AO753" s="76">
        <v>41329.842800925922</v>
      </c>
      <c r="AP753" s="79" t="str">
        <f>HYPERLINK("https://pbs.twimg.com/profile_banners/1216460821/1672897829")</f>
        <v>https://pbs.twimg.com/profile_banners/1216460821/1672897829</v>
      </c>
      <c r="AQ753" t="b">
        <v>0</v>
      </c>
      <c r="AR753" t="b">
        <v>0</v>
      </c>
      <c r="AS753" t="b">
        <v>1</v>
      </c>
      <c r="AU753">
        <v>4</v>
      </c>
      <c r="AV753" s="79" t="str">
        <f>HYPERLINK("https://abs.twimg.com/images/themes/theme9/bg.gif")</f>
        <v>https://abs.twimg.com/images/themes/theme9/bg.gif</v>
      </c>
      <c r="AW753" t="b">
        <v>0</v>
      </c>
      <c r="AX753" t="s">
        <v>9303</v>
      </c>
      <c r="AY753" s="79" t="str">
        <f>HYPERLINK("https://twitter.com/calitaylorrr")</f>
        <v>https://twitter.com/calitaylorrr</v>
      </c>
      <c r="AZ753" t="s">
        <v>66</v>
      </c>
      <c r="BA753" s="2"/>
    </row>
    <row r="754" spans="1:53" x14ac:dyDescent="0.45">
      <c r="A754" s="62" t="s">
        <v>716</v>
      </c>
      <c r="B754" s="63"/>
      <c r="C754" s="63"/>
      <c r="D754" s="64"/>
      <c r="E754" s="66"/>
      <c r="F754" s="98" t="str">
        <f>HYPERLINK("https://pbs.twimg.com/profile_images/1495048333202796544/PTpjmIK4_normal.jpg")</f>
        <v>https://pbs.twimg.com/profile_images/1495048333202796544/PTpjmIK4_normal.jpg</v>
      </c>
      <c r="G754" s="63"/>
      <c r="H754" s="67"/>
      <c r="I754" s="68"/>
      <c r="J754" s="68"/>
      <c r="K754" s="67" t="s">
        <v>10056</v>
      </c>
      <c r="L754" s="71"/>
      <c r="M754" s="72"/>
      <c r="N754" s="72"/>
      <c r="O754" s="73"/>
      <c r="P754" s="74"/>
      <c r="Q754" s="74"/>
      <c r="R754" s="81"/>
      <c r="S754" s="81"/>
      <c r="T754" s="81"/>
      <c r="U754" s="81"/>
      <c r="V754" s="48"/>
      <c r="W754" s="48"/>
      <c r="X754" s="48"/>
      <c r="Y754" s="48"/>
      <c r="Z754" s="47"/>
      <c r="AA754" s="69"/>
      <c r="AB754" s="69"/>
      <c r="AC754" s="70"/>
      <c r="AD754" t="s">
        <v>5745</v>
      </c>
      <c r="AE754" s="78" t="s">
        <v>6981</v>
      </c>
      <c r="AF754">
        <v>383</v>
      </c>
      <c r="AG754">
        <v>732</v>
      </c>
      <c r="AH754">
        <v>35412</v>
      </c>
      <c r="AI754">
        <v>63553</v>
      </c>
      <c r="AK754" t="s">
        <v>8143</v>
      </c>
      <c r="AL754" t="s">
        <v>9029</v>
      </c>
      <c r="AO754" s="76">
        <v>41835.071550925924</v>
      </c>
      <c r="AP754" s="79" t="str">
        <f>HYPERLINK("https://pbs.twimg.com/profile_banners/2646699187/1622735191")</f>
        <v>https://pbs.twimg.com/profile_banners/2646699187/1622735191</v>
      </c>
      <c r="AQ754" t="b">
        <v>1</v>
      </c>
      <c r="AR754" t="b">
        <v>0</v>
      </c>
      <c r="AS754" t="b">
        <v>1</v>
      </c>
      <c r="AU754">
        <v>64</v>
      </c>
      <c r="AV754" s="79" t="str">
        <f>HYPERLINK("https://abs.twimg.com/images/themes/theme1/bg.png")</f>
        <v>https://abs.twimg.com/images/themes/theme1/bg.png</v>
      </c>
      <c r="AW754" t="b">
        <v>0</v>
      </c>
      <c r="AX754" t="s">
        <v>9303</v>
      </c>
      <c r="AY754" s="79" t="str">
        <f>HYPERLINK("https://twitter.com/jmesunslave")</f>
        <v>https://twitter.com/jmesunslave</v>
      </c>
      <c r="AZ754" t="s">
        <v>66</v>
      </c>
      <c r="BA754" s="2"/>
    </row>
    <row r="755" spans="1:53" x14ac:dyDescent="0.45">
      <c r="A755" s="62" t="s">
        <v>219</v>
      </c>
      <c r="B755" s="63"/>
      <c r="C755" s="63"/>
      <c r="D755" s="64"/>
      <c r="E755" s="66"/>
      <c r="F755" s="98" t="str">
        <f>HYPERLINK("https://pbs.twimg.com/profile_images/1614516500378828800/luflPE2i_normal.jpg")</f>
        <v>https://pbs.twimg.com/profile_images/1614516500378828800/luflPE2i_normal.jpg</v>
      </c>
      <c r="G755" s="63"/>
      <c r="H755" s="67"/>
      <c r="I755" s="68"/>
      <c r="J755" s="68"/>
      <c r="K755" s="67" t="s">
        <v>9308</v>
      </c>
      <c r="L755" s="71"/>
      <c r="M755" s="72"/>
      <c r="N755" s="72"/>
      <c r="O755" s="73"/>
      <c r="P755" s="74"/>
      <c r="Q755" s="74"/>
      <c r="R755" s="81"/>
      <c r="S755" s="81"/>
      <c r="T755" s="81"/>
      <c r="U755" s="81"/>
      <c r="V755" s="48"/>
      <c r="W755" s="48"/>
      <c r="X755" s="48"/>
      <c r="Y755" s="48"/>
      <c r="Z755" s="47"/>
      <c r="AA755" s="69"/>
      <c r="AB755" s="69"/>
      <c r="AC755" s="70"/>
      <c r="AD755" t="s">
        <v>5004</v>
      </c>
      <c r="AE755" s="78" t="s">
        <v>6332</v>
      </c>
      <c r="AF755">
        <v>536</v>
      </c>
      <c r="AG755">
        <v>731</v>
      </c>
      <c r="AH755">
        <v>3847</v>
      </c>
      <c r="AI755">
        <v>2413</v>
      </c>
      <c r="AK755" t="s">
        <v>7494</v>
      </c>
      <c r="AL755" t="s">
        <v>8676</v>
      </c>
      <c r="AO755" s="76">
        <v>41397.83216435185</v>
      </c>
      <c r="AP755" s="79" t="str">
        <f>HYPERLINK("https://pbs.twimg.com/profile_banners/1400588838/1581107113")</f>
        <v>https://pbs.twimg.com/profile_banners/1400588838/1581107113</v>
      </c>
      <c r="AQ755" t="b">
        <v>0</v>
      </c>
      <c r="AR755" t="b">
        <v>0</v>
      </c>
      <c r="AS755" t="b">
        <v>1</v>
      </c>
      <c r="AU755">
        <v>6</v>
      </c>
      <c r="AV755" s="79" t="str">
        <f>HYPERLINK("https://abs.twimg.com/images/themes/theme15/bg.png")</f>
        <v>https://abs.twimg.com/images/themes/theme15/bg.png</v>
      </c>
      <c r="AW755" t="b">
        <v>0</v>
      </c>
      <c r="AX755" t="s">
        <v>9303</v>
      </c>
      <c r="AY755" s="79" t="str">
        <f>HYPERLINK("https://twitter.com/dalton_hend")</f>
        <v>https://twitter.com/dalton_hend</v>
      </c>
      <c r="AZ755" t="s">
        <v>66</v>
      </c>
      <c r="BA755" s="2"/>
    </row>
    <row r="756" spans="1:53" x14ac:dyDescent="0.45">
      <c r="A756" s="62" t="s">
        <v>841</v>
      </c>
      <c r="B756" s="63"/>
      <c r="C756" s="63"/>
      <c r="D756" s="64"/>
      <c r="E756" s="66"/>
      <c r="F756" s="98" t="str">
        <f>HYPERLINK("https://pbs.twimg.com/profile_images/1577008460624953353/3TFD8DOs_normal.jpg")</f>
        <v>https://pbs.twimg.com/profile_images/1577008460624953353/3TFD8DOs_normal.jpg</v>
      </c>
      <c r="G756" s="63"/>
      <c r="H756" s="67"/>
      <c r="I756" s="68"/>
      <c r="J756" s="68"/>
      <c r="K756" s="67" t="s">
        <v>10236</v>
      </c>
      <c r="L756" s="71"/>
      <c r="M756" s="72"/>
      <c r="N756" s="72"/>
      <c r="O756" s="73"/>
      <c r="P756" s="74"/>
      <c r="Q756" s="74"/>
      <c r="R756" s="81"/>
      <c r="S756" s="81"/>
      <c r="T756" s="81"/>
      <c r="U756" s="81"/>
      <c r="V756" s="48"/>
      <c r="W756" s="48"/>
      <c r="X756" s="48"/>
      <c r="Y756" s="48"/>
      <c r="Z756" s="47"/>
      <c r="AA756" s="69"/>
      <c r="AB756" s="69"/>
      <c r="AC756" s="70"/>
      <c r="AD756" t="s">
        <v>5920</v>
      </c>
      <c r="AE756" s="78" t="s">
        <v>7136</v>
      </c>
      <c r="AF756">
        <v>125</v>
      </c>
      <c r="AG756">
        <v>724</v>
      </c>
      <c r="AH756">
        <v>1578</v>
      </c>
      <c r="AI756">
        <v>1716</v>
      </c>
      <c r="AK756" t="s">
        <v>8302</v>
      </c>
      <c r="AM756" s="79" t="str">
        <f>HYPERLINK("https://t.co/XBJqxVNbFB")</f>
        <v>https://t.co/XBJqxVNbFB</v>
      </c>
      <c r="AO756" s="76">
        <v>44309.858055555553</v>
      </c>
      <c r="AP756" s="79" t="str">
        <f>HYPERLINK("https://pbs.twimg.com/profile_banners/1385693797984743426/1672939216")</f>
        <v>https://pbs.twimg.com/profile_banners/1385693797984743426/1672939216</v>
      </c>
      <c r="AQ756" t="b">
        <v>1</v>
      </c>
      <c r="AR756" t="b">
        <v>0</v>
      </c>
      <c r="AS756" t="b">
        <v>1</v>
      </c>
      <c r="AU756">
        <v>2</v>
      </c>
      <c r="AW756" t="b">
        <v>0</v>
      </c>
      <c r="AX756" t="s">
        <v>9303</v>
      </c>
      <c r="AY756" s="79" t="str">
        <f>HYPERLINK("https://twitter.com/mileybase")</f>
        <v>https://twitter.com/mileybase</v>
      </c>
      <c r="AZ756" t="s">
        <v>66</v>
      </c>
      <c r="BA756" s="2"/>
    </row>
    <row r="757" spans="1:53" x14ac:dyDescent="0.45">
      <c r="A757" s="62" t="s">
        <v>370</v>
      </c>
      <c r="B757" s="63"/>
      <c r="C757" s="63"/>
      <c r="D757" s="64"/>
      <c r="E757" s="66"/>
      <c r="F757" s="98" t="str">
        <f>HYPERLINK("https://pbs.twimg.com/profile_images/1597584182452125696/8I70GTg9_normal.jpg")</f>
        <v>https://pbs.twimg.com/profile_images/1597584182452125696/8I70GTg9_normal.jpg</v>
      </c>
      <c r="G757" s="63"/>
      <c r="H757" s="67"/>
      <c r="I757" s="68"/>
      <c r="J757" s="68"/>
      <c r="K757" s="67" t="s">
        <v>9613</v>
      </c>
      <c r="L757" s="71"/>
      <c r="M757" s="72"/>
      <c r="N757" s="72"/>
      <c r="O757" s="73"/>
      <c r="P757" s="74"/>
      <c r="Q757" s="74"/>
      <c r="R757" s="81"/>
      <c r="S757" s="81"/>
      <c r="T757" s="81"/>
      <c r="U757" s="81"/>
      <c r="V757" s="48"/>
      <c r="W757" s="48"/>
      <c r="X757" s="48"/>
      <c r="Y757" s="48"/>
      <c r="Z757" s="47"/>
      <c r="AA757" s="69"/>
      <c r="AB757" s="69"/>
      <c r="AC757" s="70"/>
      <c r="AD757" t="s">
        <v>5306</v>
      </c>
      <c r="AE757" s="78" t="s">
        <v>6584</v>
      </c>
      <c r="AF757">
        <v>683</v>
      </c>
      <c r="AG757">
        <v>716</v>
      </c>
      <c r="AH757">
        <v>106645</v>
      </c>
      <c r="AI757">
        <v>16333</v>
      </c>
      <c r="AK757" t="s">
        <v>7761</v>
      </c>
      <c r="AL757" t="s">
        <v>8838</v>
      </c>
      <c r="AO757" s="76">
        <v>40189.303738425922</v>
      </c>
      <c r="AP757" s="79" t="str">
        <f>HYPERLINK("https://pbs.twimg.com/profile_banners/103786793/1612185994")</f>
        <v>https://pbs.twimg.com/profile_banners/103786793/1612185994</v>
      </c>
      <c r="AQ757" t="b">
        <v>0</v>
      </c>
      <c r="AR757" t="b">
        <v>0</v>
      </c>
      <c r="AS757" t="b">
        <v>1</v>
      </c>
      <c r="AU757">
        <v>8</v>
      </c>
      <c r="AV757" s="79" t="str">
        <f>HYPERLINK("https://abs.twimg.com/images/themes/theme1/bg.png")</f>
        <v>https://abs.twimg.com/images/themes/theme1/bg.png</v>
      </c>
      <c r="AW757" t="b">
        <v>0</v>
      </c>
      <c r="AX757" t="s">
        <v>9303</v>
      </c>
      <c r="AY757" s="79" t="str">
        <f>HYPERLINK("https://twitter.com/pitterhotspitta")</f>
        <v>https://twitter.com/pitterhotspitta</v>
      </c>
      <c r="AZ757" t="s">
        <v>66</v>
      </c>
      <c r="BA757" s="2"/>
    </row>
    <row r="758" spans="1:53" x14ac:dyDescent="0.45">
      <c r="A758" s="62" t="s">
        <v>612</v>
      </c>
      <c r="B758" s="63"/>
      <c r="C758" s="63"/>
      <c r="D758" s="64"/>
      <c r="E758" s="66"/>
      <c r="F758" s="98" t="str">
        <f>HYPERLINK("https://pbs.twimg.com/profile_images/1593458622213799937/naVOCEOJ_normal.jpg")</f>
        <v>https://pbs.twimg.com/profile_images/1593458622213799937/naVOCEOJ_normal.jpg</v>
      </c>
      <c r="G758" s="63"/>
      <c r="H758" s="67"/>
      <c r="I758" s="68"/>
      <c r="J758" s="68"/>
      <c r="K758" s="67" t="s">
        <v>9912</v>
      </c>
      <c r="L758" s="71"/>
      <c r="M758" s="72"/>
      <c r="N758" s="72"/>
      <c r="O758" s="73"/>
      <c r="P758" s="74"/>
      <c r="Q758" s="74"/>
      <c r="R758" s="81"/>
      <c r="S758" s="81"/>
      <c r="T758" s="81"/>
      <c r="U758" s="81"/>
      <c r="V758" s="48"/>
      <c r="W758" s="48"/>
      <c r="X758" s="48"/>
      <c r="Y758" s="48"/>
      <c r="Z758" s="47"/>
      <c r="AA758" s="69"/>
      <c r="AB758" s="69"/>
      <c r="AC758" s="70"/>
      <c r="AD758" t="s">
        <v>5603</v>
      </c>
      <c r="AE758" s="78" t="s">
        <v>6848</v>
      </c>
      <c r="AF758">
        <v>1399</v>
      </c>
      <c r="AG758">
        <v>716</v>
      </c>
      <c r="AH758">
        <v>6658</v>
      </c>
      <c r="AI758">
        <v>27175</v>
      </c>
      <c r="AK758" t="s">
        <v>8025</v>
      </c>
      <c r="AL758" t="s">
        <v>8950</v>
      </c>
      <c r="AM758" s="79" t="str">
        <f>HYPERLINK("https://t.co/l2ggc0g9eL")</f>
        <v>https://t.co/l2ggc0g9eL</v>
      </c>
      <c r="AO758" s="76">
        <v>43139.826365740744</v>
      </c>
      <c r="AP758" s="79" t="str">
        <f>HYPERLINK("https://pbs.twimg.com/profile_banners/961688574822363136/1668597900")</f>
        <v>https://pbs.twimg.com/profile_banners/961688574822363136/1668597900</v>
      </c>
      <c r="AQ758" t="b">
        <v>0</v>
      </c>
      <c r="AR758" t="b">
        <v>0</v>
      </c>
      <c r="AS758" t="b">
        <v>1</v>
      </c>
      <c r="AU758">
        <v>8</v>
      </c>
      <c r="AV758" s="79" t="str">
        <f>HYPERLINK("https://abs.twimg.com/images/themes/theme1/bg.png")</f>
        <v>https://abs.twimg.com/images/themes/theme1/bg.png</v>
      </c>
      <c r="AW758" t="b">
        <v>1</v>
      </c>
      <c r="AX758" t="s">
        <v>9303</v>
      </c>
      <c r="AY758" s="79" t="str">
        <f>HYPERLINK("https://twitter.com/prestonsteger")</f>
        <v>https://twitter.com/prestonsteger</v>
      </c>
      <c r="AZ758" t="s">
        <v>66</v>
      </c>
      <c r="BA758" s="2"/>
    </row>
    <row r="759" spans="1:53" x14ac:dyDescent="0.45">
      <c r="A759" s="62" t="s">
        <v>1551</v>
      </c>
      <c r="B759" s="63"/>
      <c r="C759" s="63"/>
      <c r="D759" s="64"/>
      <c r="E759" s="66"/>
      <c r="F759" s="98" t="str">
        <f>HYPERLINK("https://pbs.twimg.com/profile_images/1507834760189685769/pOwwQl0o_normal.jpg")</f>
        <v>https://pbs.twimg.com/profile_images/1507834760189685769/pOwwQl0o_normal.jpg</v>
      </c>
      <c r="G759" s="63"/>
      <c r="H759" s="67"/>
      <c r="I759" s="68"/>
      <c r="J759" s="68"/>
      <c r="K759" s="67" t="s">
        <v>10612</v>
      </c>
      <c r="L759" s="71"/>
      <c r="M759" s="72"/>
      <c r="N759" s="72"/>
      <c r="O759" s="73"/>
      <c r="P759" s="74"/>
      <c r="Q759" s="74"/>
      <c r="R759" s="81"/>
      <c r="S759" s="81"/>
      <c r="T759" s="81"/>
      <c r="U759" s="81"/>
      <c r="V759" s="48"/>
      <c r="W759" s="48"/>
      <c r="X759" s="48"/>
      <c r="Y759" s="48"/>
      <c r="Z759" s="47"/>
      <c r="AA759" s="69"/>
      <c r="AB759" s="69"/>
      <c r="AC759" s="70"/>
      <c r="AD759" t="s">
        <v>6288</v>
      </c>
      <c r="AE759" s="78" t="s">
        <v>7453</v>
      </c>
      <c r="AF759">
        <v>134</v>
      </c>
      <c r="AG759">
        <v>712</v>
      </c>
      <c r="AH759">
        <v>1006</v>
      </c>
      <c r="AI759">
        <v>1038</v>
      </c>
      <c r="AK759" t="s">
        <v>8634</v>
      </c>
      <c r="AM759" s="79" t="str">
        <f>HYPERLINK("https://t.co/Kpj2K8rMvo")</f>
        <v>https://t.co/Kpj2K8rMvo</v>
      </c>
      <c r="AO759" s="76">
        <v>44646.717962962961</v>
      </c>
      <c r="AP759" s="79" t="str">
        <f>HYPERLINK("https://pbs.twimg.com/profile_banners/1507767689124749319/1668655414")</f>
        <v>https://pbs.twimg.com/profile_banners/1507767689124749319/1668655414</v>
      </c>
      <c r="AQ759" t="b">
        <v>1</v>
      </c>
      <c r="AR759" t="b">
        <v>0</v>
      </c>
      <c r="AS759" t="b">
        <v>0</v>
      </c>
      <c r="AU759">
        <v>6</v>
      </c>
      <c r="AW759" t="b">
        <v>0</v>
      </c>
      <c r="AX759" t="s">
        <v>9303</v>
      </c>
      <c r="AY759" s="79" t="str">
        <f>HYPERLINK("https://twitter.com/virginia10gop")</f>
        <v>https://twitter.com/virginia10gop</v>
      </c>
      <c r="AZ759" t="s">
        <v>65</v>
      </c>
      <c r="BA759" s="2"/>
    </row>
    <row r="760" spans="1:53" x14ac:dyDescent="0.45">
      <c r="A760" s="62" t="s">
        <v>276</v>
      </c>
      <c r="B760" s="63"/>
      <c r="C760" s="63"/>
      <c r="D760" s="64"/>
      <c r="E760" s="66"/>
      <c r="F760" s="98" t="str">
        <f>HYPERLINK("https://pbs.twimg.com/profile_images/1568070723180105728/30FMpmAL_normal.jpg")</f>
        <v>https://pbs.twimg.com/profile_images/1568070723180105728/30FMpmAL_normal.jpg</v>
      </c>
      <c r="G760" s="63"/>
      <c r="H760" s="67"/>
      <c r="I760" s="68"/>
      <c r="J760" s="68"/>
      <c r="K760" s="67" t="s">
        <v>9427</v>
      </c>
      <c r="L760" s="71"/>
      <c r="M760" s="72"/>
      <c r="N760" s="72"/>
      <c r="O760" s="73"/>
      <c r="P760" s="74"/>
      <c r="Q760" s="74"/>
      <c r="R760" s="81"/>
      <c r="S760" s="81"/>
      <c r="T760" s="81"/>
      <c r="U760" s="81"/>
      <c r="V760" s="48"/>
      <c r="W760" s="48"/>
      <c r="X760" s="48"/>
      <c r="Y760" s="48"/>
      <c r="Z760" s="47"/>
      <c r="AA760" s="69"/>
      <c r="AB760" s="69"/>
      <c r="AC760" s="70"/>
      <c r="AD760" t="s">
        <v>5121</v>
      </c>
      <c r="AE760" s="78" t="s">
        <v>6429</v>
      </c>
      <c r="AF760">
        <v>2012</v>
      </c>
      <c r="AG760">
        <v>707</v>
      </c>
      <c r="AH760">
        <v>11940</v>
      </c>
      <c r="AI760">
        <v>10143</v>
      </c>
      <c r="AK760" t="s">
        <v>7600</v>
      </c>
      <c r="AL760" t="s">
        <v>4899</v>
      </c>
      <c r="AM760" s="79" t="str">
        <f>HYPERLINK("https://t.co/Hvmnj0kwXC")</f>
        <v>https://t.co/Hvmnj0kwXC</v>
      </c>
      <c r="AO760" s="76">
        <v>39894.779629629629</v>
      </c>
      <c r="AP760" s="79" t="str">
        <f>HYPERLINK("https://pbs.twimg.com/profile_banners/25857541/1662692168")</f>
        <v>https://pbs.twimg.com/profile_banners/25857541/1662692168</v>
      </c>
      <c r="AQ760" t="b">
        <v>0</v>
      </c>
      <c r="AR760" t="b">
        <v>0</v>
      </c>
      <c r="AS760" t="b">
        <v>1</v>
      </c>
      <c r="AU760">
        <v>15</v>
      </c>
      <c r="AV760" s="79" t="str">
        <f>HYPERLINK("https://abs.twimg.com/images/themes/theme10/bg.gif")</f>
        <v>https://abs.twimg.com/images/themes/theme10/bg.gif</v>
      </c>
      <c r="AW760" t="b">
        <v>0</v>
      </c>
      <c r="AX760" t="s">
        <v>9303</v>
      </c>
      <c r="AY760" s="79" t="str">
        <f>HYPERLINK("https://twitter.com/stephmomof1")</f>
        <v>https://twitter.com/stephmomof1</v>
      </c>
      <c r="AZ760" t="s">
        <v>66</v>
      </c>
      <c r="BA760" s="2"/>
    </row>
    <row r="761" spans="1:53" x14ac:dyDescent="0.45">
      <c r="A761" s="62" t="s">
        <v>554</v>
      </c>
      <c r="B761" s="63"/>
      <c r="C761" s="63"/>
      <c r="D761" s="64"/>
      <c r="E761" s="66"/>
      <c r="F761" s="98" t="str">
        <f>HYPERLINK("https://pbs.twimg.com/profile_images/1360143445218766848/0BcEAyMq_normal.jpg")</f>
        <v>https://pbs.twimg.com/profile_images/1360143445218766848/0BcEAyMq_normal.jpg</v>
      </c>
      <c r="G761" s="63"/>
      <c r="H761" s="67"/>
      <c r="I761" s="68"/>
      <c r="J761" s="68"/>
      <c r="K761" s="67" t="s">
        <v>9851</v>
      </c>
      <c r="L761" s="71"/>
      <c r="M761" s="72"/>
      <c r="N761" s="72"/>
      <c r="O761" s="73"/>
      <c r="P761" s="74"/>
      <c r="Q761" s="74"/>
      <c r="R761" s="81"/>
      <c r="S761" s="81"/>
      <c r="T761" s="81"/>
      <c r="U761" s="81"/>
      <c r="V761" s="48"/>
      <c r="W761" s="48"/>
      <c r="X761" s="48"/>
      <c r="Y761" s="48"/>
      <c r="Z761" s="47"/>
      <c r="AA761" s="69"/>
      <c r="AB761" s="69"/>
      <c r="AC761" s="70"/>
      <c r="AD761" t="s">
        <v>5542</v>
      </c>
      <c r="AE761" s="78" t="s">
        <v>6791</v>
      </c>
      <c r="AF761">
        <v>452</v>
      </c>
      <c r="AG761">
        <v>699</v>
      </c>
      <c r="AH761">
        <v>31405</v>
      </c>
      <c r="AI761">
        <v>32456</v>
      </c>
      <c r="AK761" t="s">
        <v>7965</v>
      </c>
      <c r="AL761" t="s">
        <v>8945</v>
      </c>
      <c r="AM761" s="79" t="str">
        <f>HYPERLINK("https://t.co/ijkpqvg9SO")</f>
        <v>https://t.co/ijkpqvg9SO</v>
      </c>
      <c r="AO761" s="76">
        <v>40700.971770833334</v>
      </c>
      <c r="AP761" s="79" t="str">
        <f>HYPERLINK("https://pbs.twimg.com/profile_banners/312326987/1562052563")</f>
        <v>https://pbs.twimg.com/profile_banners/312326987/1562052563</v>
      </c>
      <c r="AQ761" t="b">
        <v>0</v>
      </c>
      <c r="AR761" t="b">
        <v>0</v>
      </c>
      <c r="AS761" t="b">
        <v>1</v>
      </c>
      <c r="AU761">
        <v>5</v>
      </c>
      <c r="AV761" s="79" t="str">
        <f t="shared" ref="AV761:AV766" si="10">HYPERLINK("https://abs.twimg.com/images/themes/theme1/bg.png")</f>
        <v>https://abs.twimg.com/images/themes/theme1/bg.png</v>
      </c>
      <c r="AW761" t="b">
        <v>0</v>
      </c>
      <c r="AX761" t="s">
        <v>9303</v>
      </c>
      <c r="AY761" s="79" t="str">
        <f>HYPERLINK("https://twitter.com/nexttomileybu")</f>
        <v>https://twitter.com/nexttomileybu</v>
      </c>
      <c r="AZ761" t="s">
        <v>66</v>
      </c>
      <c r="BA761" s="2"/>
    </row>
    <row r="762" spans="1:53" x14ac:dyDescent="0.45">
      <c r="A762" s="62" t="s">
        <v>983</v>
      </c>
      <c r="B762" s="63"/>
      <c r="C762" s="63"/>
      <c r="D762" s="64"/>
      <c r="E762" s="66"/>
      <c r="F762" s="98" t="str">
        <f>HYPERLINK("https://pbs.twimg.com/profile_images/1577026305069023246/Y03x9NiQ_normal.jpg")</f>
        <v>https://pbs.twimg.com/profile_images/1577026305069023246/Y03x9NiQ_normal.jpg</v>
      </c>
      <c r="G762" s="63"/>
      <c r="H762" s="67"/>
      <c r="I762" s="68"/>
      <c r="J762" s="68"/>
      <c r="K762" s="67" t="s">
        <v>10448</v>
      </c>
      <c r="L762" s="71"/>
      <c r="M762" s="72"/>
      <c r="N762" s="72"/>
      <c r="O762" s="73"/>
      <c r="P762" s="74"/>
      <c r="Q762" s="74"/>
      <c r="R762" s="81"/>
      <c r="S762" s="81"/>
      <c r="T762" s="81"/>
      <c r="U762" s="81"/>
      <c r="V762" s="48"/>
      <c r="W762" s="48"/>
      <c r="X762" s="48"/>
      <c r="Y762" s="48"/>
      <c r="Z762" s="47"/>
      <c r="AA762" s="69"/>
      <c r="AB762" s="69"/>
      <c r="AC762" s="70"/>
      <c r="AD762" t="s">
        <v>6129</v>
      </c>
      <c r="AE762" s="78" t="s">
        <v>7321</v>
      </c>
      <c r="AF762">
        <v>613</v>
      </c>
      <c r="AG762">
        <v>695</v>
      </c>
      <c r="AH762">
        <v>62096</v>
      </c>
      <c r="AI762">
        <v>105685</v>
      </c>
      <c r="AK762" t="s">
        <v>8488</v>
      </c>
      <c r="AL762" t="s">
        <v>9218</v>
      </c>
      <c r="AM762" s="79" t="str">
        <f>HYPERLINK("https://t.co/0nkP01nCnS")</f>
        <v>https://t.co/0nkP01nCnS</v>
      </c>
      <c r="AO762" s="76">
        <v>41576.076666666668</v>
      </c>
      <c r="AP762" s="79" t="str">
        <f>HYPERLINK("https://pbs.twimg.com/profile_banners/2161956229/1671567903")</f>
        <v>https://pbs.twimg.com/profile_banners/2161956229/1671567903</v>
      </c>
      <c r="AQ762" t="b">
        <v>1</v>
      </c>
      <c r="AR762" t="b">
        <v>0</v>
      </c>
      <c r="AS762" t="b">
        <v>1</v>
      </c>
      <c r="AU762">
        <v>9</v>
      </c>
      <c r="AV762" s="79" t="str">
        <f t="shared" si="10"/>
        <v>https://abs.twimg.com/images/themes/theme1/bg.png</v>
      </c>
      <c r="AW762" t="b">
        <v>0</v>
      </c>
      <c r="AX762" t="s">
        <v>9303</v>
      </c>
      <c r="AY762" s="79" t="str">
        <f>HYPERLINK("https://twitter.com/danielshire05")</f>
        <v>https://twitter.com/danielshire05</v>
      </c>
      <c r="AZ762" t="s">
        <v>66</v>
      </c>
      <c r="BA762" s="2"/>
    </row>
    <row r="763" spans="1:53" x14ac:dyDescent="0.45">
      <c r="A763" s="62" t="s">
        <v>883</v>
      </c>
      <c r="B763" s="63"/>
      <c r="C763" s="63"/>
      <c r="D763" s="64"/>
      <c r="E763" s="66"/>
      <c r="F763" s="98" t="str">
        <f>HYPERLINK("https://pbs.twimg.com/profile_images/1241465924894560257/34RX4E88_normal.jpg")</f>
        <v>https://pbs.twimg.com/profile_images/1241465924894560257/34RX4E88_normal.jpg</v>
      </c>
      <c r="G763" s="63"/>
      <c r="H763" s="67"/>
      <c r="I763" s="68"/>
      <c r="J763" s="68"/>
      <c r="K763" s="67" t="s">
        <v>10287</v>
      </c>
      <c r="L763" s="71"/>
      <c r="M763" s="72"/>
      <c r="N763" s="72"/>
      <c r="O763" s="73"/>
      <c r="P763" s="74"/>
      <c r="Q763" s="74"/>
      <c r="R763" s="81"/>
      <c r="S763" s="81"/>
      <c r="T763" s="81"/>
      <c r="U763" s="81"/>
      <c r="V763" s="48"/>
      <c r="W763" s="48"/>
      <c r="X763" s="48"/>
      <c r="Y763" s="48"/>
      <c r="Z763" s="47"/>
      <c r="AA763" s="69"/>
      <c r="AB763" s="69"/>
      <c r="AC763" s="70"/>
      <c r="AD763" t="s">
        <v>5970</v>
      </c>
      <c r="AE763" s="78" t="s">
        <v>7182</v>
      </c>
      <c r="AF763">
        <v>289</v>
      </c>
      <c r="AG763">
        <v>691</v>
      </c>
      <c r="AH763">
        <v>4225</v>
      </c>
      <c r="AI763">
        <v>256</v>
      </c>
      <c r="AK763" t="s">
        <v>8347</v>
      </c>
      <c r="AL763" t="s">
        <v>9153</v>
      </c>
      <c r="AO763" s="76">
        <v>39843.812685185185</v>
      </c>
      <c r="AQ763" t="b">
        <v>0</v>
      </c>
      <c r="AR763" t="b">
        <v>0</v>
      </c>
      <c r="AS763" t="b">
        <v>1</v>
      </c>
      <c r="AU763">
        <v>19</v>
      </c>
      <c r="AV763" s="79" t="str">
        <f t="shared" si="10"/>
        <v>https://abs.twimg.com/images/themes/theme1/bg.png</v>
      </c>
      <c r="AW763" t="b">
        <v>0</v>
      </c>
      <c r="AX763" t="s">
        <v>9303</v>
      </c>
      <c r="AY763" s="79" t="str">
        <f>HYPERLINK("https://twitter.com/echopulse")</f>
        <v>https://twitter.com/echopulse</v>
      </c>
      <c r="AZ763" t="s">
        <v>66</v>
      </c>
      <c r="BA763" s="2"/>
    </row>
    <row r="764" spans="1:53" x14ac:dyDescent="0.45">
      <c r="A764" s="62" t="s">
        <v>364</v>
      </c>
      <c r="B764" s="63"/>
      <c r="C764" s="63"/>
      <c r="D764" s="64"/>
      <c r="E764" s="66"/>
      <c r="F764" s="98" t="str">
        <f>HYPERLINK("https://pbs.twimg.com/profile_images/1545581931080843264/OyO0IEl8_normal.jpg")</f>
        <v>https://pbs.twimg.com/profile_images/1545581931080843264/OyO0IEl8_normal.jpg</v>
      </c>
      <c r="G764" s="63"/>
      <c r="H764" s="67"/>
      <c r="I764" s="68"/>
      <c r="J764" s="68"/>
      <c r="K764" s="67" t="s">
        <v>9607</v>
      </c>
      <c r="L764" s="71"/>
      <c r="M764" s="72"/>
      <c r="N764" s="72"/>
      <c r="O764" s="73"/>
      <c r="P764" s="74"/>
      <c r="Q764" s="74"/>
      <c r="R764" s="81"/>
      <c r="S764" s="81"/>
      <c r="T764" s="81"/>
      <c r="U764" s="81"/>
      <c r="V764" s="48"/>
      <c r="W764" s="48"/>
      <c r="X764" s="48"/>
      <c r="Y764" s="48"/>
      <c r="Z764" s="47"/>
      <c r="AA764" s="69"/>
      <c r="AB764" s="69"/>
      <c r="AC764" s="70"/>
      <c r="AD764" t="s">
        <v>5300</v>
      </c>
      <c r="AE764" s="78" t="s">
        <v>6578</v>
      </c>
      <c r="AF764">
        <v>417</v>
      </c>
      <c r="AG764">
        <v>691</v>
      </c>
      <c r="AH764">
        <v>40244</v>
      </c>
      <c r="AI764">
        <v>354</v>
      </c>
      <c r="AK764" t="s">
        <v>7756</v>
      </c>
      <c r="AL764" t="s">
        <v>8836</v>
      </c>
      <c r="AO764" s="76">
        <v>40129.654305555552</v>
      </c>
      <c r="AP764" s="79" t="str">
        <f>HYPERLINK("https://pbs.twimg.com/profile_banners/89471731/1643762149")</f>
        <v>https://pbs.twimg.com/profile_banners/89471731/1643762149</v>
      </c>
      <c r="AQ764" t="b">
        <v>1</v>
      </c>
      <c r="AR764" t="b">
        <v>0</v>
      </c>
      <c r="AS764" t="b">
        <v>1</v>
      </c>
      <c r="AU764">
        <v>17</v>
      </c>
      <c r="AV764" s="79" t="str">
        <f t="shared" si="10"/>
        <v>https://abs.twimg.com/images/themes/theme1/bg.png</v>
      </c>
      <c r="AW764" t="b">
        <v>0</v>
      </c>
      <c r="AX764" t="s">
        <v>9303</v>
      </c>
      <c r="AY764" s="79" t="str">
        <f>HYPERLINK("https://twitter.com/espnchrislarsen")</f>
        <v>https://twitter.com/espnchrislarsen</v>
      </c>
      <c r="AZ764" t="s">
        <v>66</v>
      </c>
      <c r="BA764" s="2"/>
    </row>
    <row r="765" spans="1:53" x14ac:dyDescent="0.45">
      <c r="A765" s="62" t="s">
        <v>760</v>
      </c>
      <c r="B765" s="63"/>
      <c r="C765" s="63"/>
      <c r="D765" s="64"/>
      <c r="E765" s="66"/>
      <c r="F765" s="98" t="str">
        <f>HYPERLINK("https://pbs.twimg.com/profile_images/524325054612393984/UiyOfEkD_normal.jpeg")</f>
        <v>https://pbs.twimg.com/profile_images/524325054612393984/UiyOfEkD_normal.jpeg</v>
      </c>
      <c r="G765" s="63"/>
      <c r="H765" s="67"/>
      <c r="I765" s="68"/>
      <c r="J765" s="68"/>
      <c r="K765" s="67" t="s">
        <v>10111</v>
      </c>
      <c r="L765" s="71"/>
      <c r="M765" s="72"/>
      <c r="N765" s="72"/>
      <c r="O765" s="73"/>
      <c r="P765" s="74"/>
      <c r="Q765" s="74"/>
      <c r="R765" s="81"/>
      <c r="S765" s="81"/>
      <c r="T765" s="81"/>
      <c r="U765" s="81"/>
      <c r="V765" s="48"/>
      <c r="W765" s="48"/>
      <c r="X765" s="48"/>
      <c r="Y765" s="48"/>
      <c r="Z765" s="47"/>
      <c r="AA765" s="69"/>
      <c r="AB765" s="69"/>
      <c r="AC765" s="70"/>
      <c r="AD765" t="s">
        <v>5799</v>
      </c>
      <c r="AE765" s="78" t="s">
        <v>7030</v>
      </c>
      <c r="AF765">
        <v>1850</v>
      </c>
      <c r="AG765">
        <v>685</v>
      </c>
      <c r="AH765">
        <v>137380</v>
      </c>
      <c r="AI765">
        <v>137477</v>
      </c>
      <c r="AK765" t="s">
        <v>8194</v>
      </c>
      <c r="AL765" t="s">
        <v>8830</v>
      </c>
      <c r="AM765" s="79" t="str">
        <f>HYPERLINK("https://t.co/PdSrKAdszf")</f>
        <v>https://t.co/PdSrKAdszf</v>
      </c>
      <c r="AO765" s="76">
        <v>41906.773113425923</v>
      </c>
      <c r="AP765" s="79" t="str">
        <f>HYPERLINK("https://pbs.twimg.com/profile_banners/2830269648/1663654392")</f>
        <v>https://pbs.twimg.com/profile_banners/2830269648/1663654392</v>
      </c>
      <c r="AQ765" t="b">
        <v>0</v>
      </c>
      <c r="AR765" t="b">
        <v>0</v>
      </c>
      <c r="AS765" t="b">
        <v>1</v>
      </c>
      <c r="AU765">
        <v>185</v>
      </c>
      <c r="AV765" s="79" t="str">
        <f t="shared" si="10"/>
        <v>https://abs.twimg.com/images/themes/theme1/bg.png</v>
      </c>
      <c r="AW765" t="b">
        <v>0</v>
      </c>
      <c r="AX765" t="s">
        <v>9303</v>
      </c>
      <c r="AY765" s="79" t="str">
        <f>HYPERLINK("https://twitter.com/scottolling")</f>
        <v>https://twitter.com/scottolling</v>
      </c>
      <c r="AZ765" t="s">
        <v>66</v>
      </c>
      <c r="BA765" s="2"/>
    </row>
    <row r="766" spans="1:53" x14ac:dyDescent="0.45">
      <c r="A766" s="62" t="s">
        <v>360</v>
      </c>
      <c r="B766" s="63"/>
      <c r="C766" s="63"/>
      <c r="D766" s="64"/>
      <c r="E766" s="66"/>
      <c r="F766" s="98" t="str">
        <f>HYPERLINK("https://pbs.twimg.com/profile_images/1497581577861320717/mI8FoDA3_normal.jpg")</f>
        <v>https://pbs.twimg.com/profile_images/1497581577861320717/mI8FoDA3_normal.jpg</v>
      </c>
      <c r="G766" s="63"/>
      <c r="H766" s="67"/>
      <c r="I766" s="68"/>
      <c r="J766" s="68"/>
      <c r="K766" s="67" t="s">
        <v>9601</v>
      </c>
      <c r="L766" s="71"/>
      <c r="M766" s="72"/>
      <c r="N766" s="72"/>
      <c r="O766" s="73"/>
      <c r="P766" s="74"/>
      <c r="Q766" s="74"/>
      <c r="R766" s="81"/>
      <c r="S766" s="81"/>
      <c r="T766" s="81"/>
      <c r="U766" s="81"/>
      <c r="V766" s="48"/>
      <c r="W766" s="48"/>
      <c r="X766" s="48"/>
      <c r="Y766" s="48"/>
      <c r="Z766" s="47"/>
      <c r="AA766" s="69"/>
      <c r="AB766" s="69"/>
      <c r="AC766" s="70"/>
      <c r="AD766" t="s">
        <v>5294</v>
      </c>
      <c r="AE766" s="78" t="s">
        <v>6572</v>
      </c>
      <c r="AF766">
        <v>2598</v>
      </c>
      <c r="AG766">
        <v>677</v>
      </c>
      <c r="AH766">
        <v>55817</v>
      </c>
      <c r="AI766">
        <v>28181</v>
      </c>
      <c r="AK766" t="s">
        <v>7751</v>
      </c>
      <c r="AL766" t="s">
        <v>8834</v>
      </c>
      <c r="AO766" s="76">
        <v>40876.660821759258</v>
      </c>
      <c r="AP766" s="79" t="str">
        <f>HYPERLINK("https://pbs.twimg.com/profile_banners/424284015/1599578848")</f>
        <v>https://pbs.twimg.com/profile_banners/424284015/1599578848</v>
      </c>
      <c r="AQ766" t="b">
        <v>1</v>
      </c>
      <c r="AR766" t="b">
        <v>0</v>
      </c>
      <c r="AS766" t="b">
        <v>1</v>
      </c>
      <c r="AU766">
        <v>29</v>
      </c>
      <c r="AV766" s="79" t="str">
        <f t="shared" si="10"/>
        <v>https://abs.twimg.com/images/themes/theme1/bg.png</v>
      </c>
      <c r="AW766" t="b">
        <v>0</v>
      </c>
      <c r="AX766" t="s">
        <v>9303</v>
      </c>
      <c r="AY766" s="79" t="str">
        <f>HYPERLINK("https://twitter.com/godoggofishfry1")</f>
        <v>https://twitter.com/godoggofishfry1</v>
      </c>
      <c r="AZ766" t="s">
        <v>66</v>
      </c>
      <c r="BA766" s="2"/>
    </row>
    <row r="767" spans="1:53" x14ac:dyDescent="0.45">
      <c r="A767" s="62" t="s">
        <v>322</v>
      </c>
      <c r="B767" s="63"/>
      <c r="C767" s="63"/>
      <c r="D767" s="64"/>
      <c r="E767" s="66"/>
      <c r="F767" s="98" t="str">
        <f>HYPERLINK("https://pbs.twimg.com/profile_images/1609764494690877441/pdemOR-a_normal.jpg")</f>
        <v>https://pbs.twimg.com/profile_images/1609764494690877441/pdemOR-a_normal.jpg</v>
      </c>
      <c r="G767" s="63"/>
      <c r="H767" s="67"/>
      <c r="I767" s="68"/>
      <c r="J767" s="68"/>
      <c r="K767" s="67" t="s">
        <v>9524</v>
      </c>
      <c r="L767" s="71"/>
      <c r="M767" s="72"/>
      <c r="N767" s="72"/>
      <c r="O767" s="73"/>
      <c r="P767" s="74"/>
      <c r="Q767" s="74"/>
      <c r="R767" s="81"/>
      <c r="S767" s="81"/>
      <c r="T767" s="81"/>
      <c r="U767" s="81"/>
      <c r="V767" s="48"/>
      <c r="W767" s="48"/>
      <c r="X767" s="48"/>
      <c r="Y767" s="48"/>
      <c r="Z767" s="47"/>
      <c r="AA767" s="69"/>
      <c r="AB767" s="69"/>
      <c r="AC767" s="70"/>
      <c r="AD767" t="s">
        <v>5218</v>
      </c>
      <c r="AE767" s="78" t="s">
        <v>6505</v>
      </c>
      <c r="AF767">
        <v>582</v>
      </c>
      <c r="AG767">
        <v>664</v>
      </c>
      <c r="AH767">
        <v>43382</v>
      </c>
      <c r="AI767">
        <v>33665</v>
      </c>
      <c r="AO767" s="76">
        <v>40270.797407407408</v>
      </c>
      <c r="AP767" s="79" t="str">
        <f>HYPERLINK("https://pbs.twimg.com/profile_banners/128962768/1668435646")</f>
        <v>https://pbs.twimg.com/profile_banners/128962768/1668435646</v>
      </c>
      <c r="AQ767" t="b">
        <v>0</v>
      </c>
      <c r="AR767" t="b">
        <v>0</v>
      </c>
      <c r="AS767" t="b">
        <v>1</v>
      </c>
      <c r="AU767">
        <v>3</v>
      </c>
      <c r="AV767" s="79" t="str">
        <f>HYPERLINK("https://abs.twimg.com/images/themes/theme16/bg.gif")</f>
        <v>https://abs.twimg.com/images/themes/theme16/bg.gif</v>
      </c>
      <c r="AW767" t="b">
        <v>0</v>
      </c>
      <c r="AX767" t="s">
        <v>9303</v>
      </c>
      <c r="AY767" s="79" t="str">
        <f>HYPERLINK("https://twitter.com/suppjules")</f>
        <v>https://twitter.com/suppjules</v>
      </c>
      <c r="AZ767" t="s">
        <v>66</v>
      </c>
      <c r="BA767" s="2"/>
    </row>
    <row r="768" spans="1:53" x14ac:dyDescent="0.45">
      <c r="A768" s="62" t="s">
        <v>791</v>
      </c>
      <c r="B768" s="63"/>
      <c r="C768" s="63"/>
      <c r="D768" s="64"/>
      <c r="E768" s="66"/>
      <c r="F768" s="98" t="str">
        <f>HYPERLINK("https://pbs.twimg.com/profile_images/1613681370802409472/uyR6RleG_normal.jpg")</f>
        <v>https://pbs.twimg.com/profile_images/1613681370802409472/uyR6RleG_normal.jpg</v>
      </c>
      <c r="G768" s="63"/>
      <c r="H768" s="67"/>
      <c r="I768" s="68"/>
      <c r="J768" s="68"/>
      <c r="K768" s="67" t="s">
        <v>10160</v>
      </c>
      <c r="L768" s="71"/>
      <c r="M768" s="72"/>
      <c r="N768" s="72"/>
      <c r="O768" s="73"/>
      <c r="P768" s="74"/>
      <c r="Q768" s="74"/>
      <c r="R768" s="81"/>
      <c r="S768" s="81"/>
      <c r="T768" s="81"/>
      <c r="U768" s="81"/>
      <c r="V768" s="48"/>
      <c r="W768" s="48"/>
      <c r="X768" s="48"/>
      <c r="Y768" s="48"/>
      <c r="Z768" s="47"/>
      <c r="AA768" s="69"/>
      <c r="AB768" s="69"/>
      <c r="AC768" s="70"/>
      <c r="AD768" t="s">
        <v>5846</v>
      </c>
      <c r="AE768" s="78" t="s">
        <v>7071</v>
      </c>
      <c r="AF768">
        <v>2645</v>
      </c>
      <c r="AG768">
        <v>643</v>
      </c>
      <c r="AH768">
        <v>30773</v>
      </c>
      <c r="AI768">
        <v>40380</v>
      </c>
      <c r="AK768" t="s">
        <v>8236</v>
      </c>
      <c r="AL768" t="s">
        <v>9103</v>
      </c>
      <c r="AM768" s="79" t="str">
        <f>HYPERLINK("https://t.co/ahotD6TBWy")</f>
        <v>https://t.co/ahotD6TBWy</v>
      </c>
      <c r="AO768" s="76">
        <v>40773.485000000001</v>
      </c>
      <c r="AP768" s="79" t="str">
        <f>HYPERLINK("https://pbs.twimg.com/profile_banners/357451246/1673566776")</f>
        <v>https://pbs.twimg.com/profile_banners/357451246/1673566776</v>
      </c>
      <c r="AQ768" t="b">
        <v>0</v>
      </c>
      <c r="AR768" t="b">
        <v>0</v>
      </c>
      <c r="AS768" t="b">
        <v>0</v>
      </c>
      <c r="AU768">
        <v>4</v>
      </c>
      <c r="AV768" s="79" t="str">
        <f>HYPERLINK("https://abs.twimg.com/images/themes/theme3/bg.gif")</f>
        <v>https://abs.twimg.com/images/themes/theme3/bg.gif</v>
      </c>
      <c r="AW768" t="b">
        <v>0</v>
      </c>
      <c r="AX768" t="s">
        <v>9303</v>
      </c>
      <c r="AY768" s="79" t="str">
        <f>HYPERLINK("https://twitter.com/mileycyrusmus23")</f>
        <v>https://twitter.com/mileycyrusmus23</v>
      </c>
      <c r="AZ768" t="s">
        <v>66</v>
      </c>
      <c r="BA768" s="2"/>
    </row>
    <row r="769" spans="1:53" x14ac:dyDescent="0.45">
      <c r="A769" s="62" t="s">
        <v>906</v>
      </c>
      <c r="B769" s="63"/>
      <c r="C769" s="63"/>
      <c r="D769" s="64"/>
      <c r="E769" s="66"/>
      <c r="F769" s="98" t="str">
        <f>HYPERLINK("https://pbs.twimg.com/profile_images/1511598394002837508/L6I0iLpM_normal.jpg")</f>
        <v>https://pbs.twimg.com/profile_images/1511598394002837508/L6I0iLpM_normal.jpg</v>
      </c>
      <c r="G769" s="63"/>
      <c r="H769" s="67"/>
      <c r="I769" s="68"/>
      <c r="J769" s="68"/>
      <c r="K769" s="67" t="s">
        <v>10325</v>
      </c>
      <c r="L769" s="71"/>
      <c r="M769" s="72"/>
      <c r="N769" s="72"/>
      <c r="O769" s="73"/>
      <c r="P769" s="74"/>
      <c r="Q769" s="74"/>
      <c r="R769" s="81"/>
      <c r="S769" s="81"/>
      <c r="T769" s="81"/>
      <c r="U769" s="81"/>
      <c r="V769" s="48"/>
      <c r="W769" s="48"/>
      <c r="X769" s="48"/>
      <c r="Y769" s="48"/>
      <c r="Z769" s="47"/>
      <c r="AA769" s="69"/>
      <c r="AB769" s="69"/>
      <c r="AC769" s="70"/>
      <c r="AD769" t="s">
        <v>6008</v>
      </c>
      <c r="AE769" s="78" t="s">
        <v>7216</v>
      </c>
      <c r="AF769">
        <v>2611</v>
      </c>
      <c r="AG769">
        <v>642</v>
      </c>
      <c r="AH769">
        <v>47047</v>
      </c>
      <c r="AI769">
        <v>194267</v>
      </c>
      <c r="AK769" t="s">
        <v>8380</v>
      </c>
      <c r="AO769" s="76">
        <v>41412.064421296294</v>
      </c>
      <c r="AP769" s="79" t="str">
        <f>HYPERLINK("https://pbs.twimg.com/profile_banners/1437141265/1610960064")</f>
        <v>https://pbs.twimg.com/profile_banners/1437141265/1610960064</v>
      </c>
      <c r="AQ769" t="b">
        <v>0</v>
      </c>
      <c r="AR769" t="b">
        <v>0</v>
      </c>
      <c r="AS769" t="b">
        <v>1</v>
      </c>
      <c r="AU769">
        <v>4</v>
      </c>
      <c r="AV769" s="79" t="str">
        <f>HYPERLINK("https://abs.twimg.com/images/themes/theme1/bg.png")</f>
        <v>https://abs.twimg.com/images/themes/theme1/bg.png</v>
      </c>
      <c r="AW769" t="b">
        <v>0</v>
      </c>
      <c r="AX769" t="s">
        <v>9303</v>
      </c>
      <c r="AY769" s="79" t="str">
        <f>HYPERLINK("https://twitter.com/john_graham19")</f>
        <v>https://twitter.com/john_graham19</v>
      </c>
      <c r="AZ769" t="s">
        <v>66</v>
      </c>
      <c r="BA769" s="2"/>
    </row>
    <row r="770" spans="1:53" x14ac:dyDescent="0.45">
      <c r="A770" s="62" t="s">
        <v>339</v>
      </c>
      <c r="B770" s="63"/>
      <c r="C770" s="63"/>
      <c r="D770" s="64"/>
      <c r="E770" s="66"/>
      <c r="F770" s="98" t="str">
        <f>HYPERLINK("https://pbs.twimg.com/profile_images/1614444601732993029/l8UIK5jF_normal.jpg")</f>
        <v>https://pbs.twimg.com/profile_images/1614444601732993029/l8UIK5jF_normal.jpg</v>
      </c>
      <c r="G770" s="63"/>
      <c r="H770" s="67"/>
      <c r="I770" s="68"/>
      <c r="J770" s="68"/>
      <c r="K770" s="67" t="s">
        <v>9559</v>
      </c>
      <c r="L770" s="71"/>
      <c r="M770" s="72"/>
      <c r="N770" s="72"/>
      <c r="O770" s="73"/>
      <c r="P770" s="74"/>
      <c r="Q770" s="74"/>
      <c r="R770" s="81"/>
      <c r="S770" s="81"/>
      <c r="T770" s="81"/>
      <c r="U770" s="81"/>
      <c r="V770" s="48"/>
      <c r="W770" s="48"/>
      <c r="X770" s="48"/>
      <c r="Y770" s="48"/>
      <c r="Z770" s="47"/>
      <c r="AA770" s="69"/>
      <c r="AB770" s="69"/>
      <c r="AC770" s="70"/>
      <c r="AD770" t="s">
        <v>5252</v>
      </c>
      <c r="AE770" s="78" t="s">
        <v>6533</v>
      </c>
      <c r="AF770">
        <v>433</v>
      </c>
      <c r="AG770">
        <v>639</v>
      </c>
      <c r="AH770">
        <v>27258</v>
      </c>
      <c r="AI770">
        <v>53454</v>
      </c>
      <c r="AK770" t="s">
        <v>7716</v>
      </c>
      <c r="AL770" t="s">
        <v>8812</v>
      </c>
      <c r="AO770" s="76">
        <v>41865.80641203704</v>
      </c>
      <c r="AP770" s="79" t="str">
        <f>HYPERLINK("https://pbs.twimg.com/profile_banners/2742915226/1672663452")</f>
        <v>https://pbs.twimg.com/profile_banners/2742915226/1672663452</v>
      </c>
      <c r="AQ770" t="b">
        <v>1</v>
      </c>
      <c r="AR770" t="b">
        <v>0</v>
      </c>
      <c r="AS770" t="b">
        <v>0</v>
      </c>
      <c r="AU770">
        <v>0</v>
      </c>
      <c r="AV770" s="79" t="str">
        <f>HYPERLINK("https://abs.twimg.com/images/themes/theme1/bg.png")</f>
        <v>https://abs.twimg.com/images/themes/theme1/bg.png</v>
      </c>
      <c r="AW770" t="b">
        <v>0</v>
      </c>
      <c r="AX770" t="s">
        <v>9303</v>
      </c>
      <c r="AY770" s="79" t="str">
        <f>HYPERLINK("https://twitter.com/reniismuvaa")</f>
        <v>https://twitter.com/reniismuvaa</v>
      </c>
      <c r="AZ770" t="s">
        <v>66</v>
      </c>
      <c r="BA770" s="2"/>
    </row>
    <row r="771" spans="1:53" x14ac:dyDescent="0.45">
      <c r="A771" s="62" t="s">
        <v>458</v>
      </c>
      <c r="B771" s="63"/>
      <c r="C771" s="63"/>
      <c r="D771" s="64"/>
      <c r="E771" s="66"/>
      <c r="F771" s="98" t="str">
        <f>HYPERLINK("https://pbs.twimg.com/profile_images/1613691297260265475/ao7Pgwgu_normal.jpg")</f>
        <v>https://pbs.twimg.com/profile_images/1613691297260265475/ao7Pgwgu_normal.jpg</v>
      </c>
      <c r="G771" s="63"/>
      <c r="H771" s="67"/>
      <c r="I771" s="68"/>
      <c r="J771" s="68"/>
      <c r="K771" s="67" t="s">
        <v>9724</v>
      </c>
      <c r="L771" s="71"/>
      <c r="M771" s="72"/>
      <c r="N771" s="72"/>
      <c r="O771" s="73"/>
      <c r="P771" s="74"/>
      <c r="Q771" s="74"/>
      <c r="R771" s="81"/>
      <c r="S771" s="81"/>
      <c r="T771" s="81"/>
      <c r="U771" s="81"/>
      <c r="V771" s="48"/>
      <c r="W771" s="48"/>
      <c r="X771" s="48"/>
      <c r="Y771" s="48"/>
      <c r="Z771" s="47"/>
      <c r="AA771" s="69"/>
      <c r="AB771" s="69"/>
      <c r="AC771" s="70"/>
      <c r="AD771" t="s">
        <v>5416</v>
      </c>
      <c r="AE771" s="78" t="s">
        <v>6688</v>
      </c>
      <c r="AF771">
        <v>864</v>
      </c>
      <c r="AG771">
        <v>639</v>
      </c>
      <c r="AH771">
        <v>44187</v>
      </c>
      <c r="AI771">
        <v>125608</v>
      </c>
      <c r="AK771" t="s">
        <v>7856</v>
      </c>
      <c r="AL771" t="s">
        <v>8888</v>
      </c>
      <c r="AM771" s="79" t="str">
        <f>HYPERLINK("https://t.co/uwzFTMKqH6")</f>
        <v>https://t.co/uwzFTMKqH6</v>
      </c>
      <c r="AO771" s="76">
        <v>43393.566493055558</v>
      </c>
      <c r="AP771" s="79" t="str">
        <f>HYPERLINK("https://pbs.twimg.com/profile_banners/1053640920023908352/1673572926")</f>
        <v>https://pbs.twimg.com/profile_banners/1053640920023908352/1673572926</v>
      </c>
      <c r="AQ771" t="b">
        <v>0</v>
      </c>
      <c r="AR771" t="b">
        <v>0</v>
      </c>
      <c r="AS771" t="b">
        <v>1</v>
      </c>
      <c r="AU771">
        <v>0</v>
      </c>
      <c r="AV771" s="79" t="str">
        <f>HYPERLINK("https://abs.twimg.com/images/themes/theme1/bg.png")</f>
        <v>https://abs.twimg.com/images/themes/theme1/bg.png</v>
      </c>
      <c r="AW771" t="b">
        <v>0</v>
      </c>
      <c r="AX771" t="s">
        <v>9303</v>
      </c>
      <c r="AY771" s="79" t="str">
        <f>HYPERLINK("https://twitter.com/rodrigo_s1997")</f>
        <v>https://twitter.com/rodrigo_s1997</v>
      </c>
      <c r="AZ771" t="s">
        <v>66</v>
      </c>
      <c r="BA771" s="2"/>
    </row>
    <row r="772" spans="1:53" x14ac:dyDescent="0.45">
      <c r="A772" s="62" t="s">
        <v>711</v>
      </c>
      <c r="B772" s="63"/>
      <c r="C772" s="63"/>
      <c r="D772" s="64"/>
      <c r="E772" s="66"/>
      <c r="F772" s="98" t="str">
        <f>HYPERLINK("https://pbs.twimg.com/profile_images/1619813836382429191/seTsVFqP_normal.jpg")</f>
        <v>https://pbs.twimg.com/profile_images/1619813836382429191/seTsVFqP_normal.jpg</v>
      </c>
      <c r="G772" s="63"/>
      <c r="H772" s="67"/>
      <c r="I772" s="68"/>
      <c r="J772" s="68"/>
      <c r="K772" s="67" t="s">
        <v>10048</v>
      </c>
      <c r="L772" s="71"/>
      <c r="M772" s="72"/>
      <c r="N772" s="72"/>
      <c r="O772" s="73"/>
      <c r="P772" s="74"/>
      <c r="Q772" s="74"/>
      <c r="R772" s="81"/>
      <c r="S772" s="81"/>
      <c r="T772" s="81"/>
      <c r="U772" s="81"/>
      <c r="V772" s="48"/>
      <c r="W772" s="48"/>
      <c r="X772" s="48"/>
      <c r="Y772" s="48"/>
      <c r="Z772" s="47"/>
      <c r="AA772" s="69"/>
      <c r="AB772" s="69"/>
      <c r="AC772" s="70"/>
      <c r="AD772" t="s">
        <v>5737</v>
      </c>
      <c r="AE772" s="78" t="s">
        <v>6974</v>
      </c>
      <c r="AF772">
        <v>655</v>
      </c>
      <c r="AG772">
        <v>636</v>
      </c>
      <c r="AH772">
        <v>153110</v>
      </c>
      <c r="AI772">
        <v>160300</v>
      </c>
      <c r="AK772" t="s">
        <v>8135</v>
      </c>
      <c r="AL772" t="s">
        <v>9056</v>
      </c>
      <c r="AO772" s="76">
        <v>42612.806319444448</v>
      </c>
      <c r="AP772" s="79" t="str">
        <f>HYPERLINK("https://pbs.twimg.com/profile_banners/770702904441212928/1675108360")</f>
        <v>https://pbs.twimg.com/profile_banners/770702904441212928/1675108360</v>
      </c>
      <c r="AQ772" t="b">
        <v>0</v>
      </c>
      <c r="AR772" t="b">
        <v>0</v>
      </c>
      <c r="AS772" t="b">
        <v>1</v>
      </c>
      <c r="AU772">
        <v>33</v>
      </c>
      <c r="AV772" s="79" t="str">
        <f>HYPERLINK("https://abs.twimg.com/images/themes/theme1/bg.png")</f>
        <v>https://abs.twimg.com/images/themes/theme1/bg.png</v>
      </c>
      <c r="AW772" t="b">
        <v>0</v>
      </c>
      <c r="AX772" t="s">
        <v>9303</v>
      </c>
      <c r="AY772" s="79" t="str">
        <f>HYPERLINK("https://twitter.com/markthewrid")</f>
        <v>https://twitter.com/markthewrid</v>
      </c>
      <c r="AZ772" t="s">
        <v>66</v>
      </c>
      <c r="BA772" s="2"/>
    </row>
    <row r="773" spans="1:53" x14ac:dyDescent="0.45">
      <c r="A773" s="62" t="s">
        <v>730</v>
      </c>
      <c r="B773" s="63"/>
      <c r="C773" s="63"/>
      <c r="D773" s="64"/>
      <c r="E773" s="66"/>
      <c r="F773" s="98" t="str">
        <f>HYPERLINK("https://pbs.twimg.com/profile_images/1248055714670657536/KN9NyEhe_normal.jpg")</f>
        <v>https://pbs.twimg.com/profile_images/1248055714670657536/KN9NyEhe_normal.jpg</v>
      </c>
      <c r="G773" s="63"/>
      <c r="H773" s="67"/>
      <c r="I773" s="68"/>
      <c r="J773" s="68"/>
      <c r="K773" s="67" t="s">
        <v>10077</v>
      </c>
      <c r="L773" s="71"/>
      <c r="M773" s="72"/>
      <c r="N773" s="72"/>
      <c r="O773" s="73"/>
      <c r="P773" s="74"/>
      <c r="Q773" s="74"/>
      <c r="R773" s="81"/>
      <c r="S773" s="81"/>
      <c r="T773" s="81"/>
      <c r="U773" s="81"/>
      <c r="V773" s="48"/>
      <c r="W773" s="48"/>
      <c r="X773" s="48"/>
      <c r="Y773" s="48"/>
      <c r="Z773" s="47"/>
      <c r="AA773" s="69"/>
      <c r="AB773" s="69"/>
      <c r="AC773" s="70"/>
      <c r="AD773" t="s">
        <v>5766</v>
      </c>
      <c r="AE773" s="78" t="s">
        <v>6999</v>
      </c>
      <c r="AF773">
        <v>598</v>
      </c>
      <c r="AG773">
        <v>634</v>
      </c>
      <c r="AH773">
        <v>14117</v>
      </c>
      <c r="AI773">
        <v>70225</v>
      </c>
      <c r="AK773" t="s">
        <v>8162</v>
      </c>
      <c r="AL773" t="s">
        <v>9068</v>
      </c>
      <c r="AO773" s="76">
        <v>40030.972650462965</v>
      </c>
      <c r="AP773" s="79" t="str">
        <f>HYPERLINK("https://pbs.twimg.com/profile_banners/63292856/1586394709")</f>
        <v>https://pbs.twimg.com/profile_banners/63292856/1586394709</v>
      </c>
      <c r="AQ773" t="b">
        <v>1</v>
      </c>
      <c r="AR773" t="b">
        <v>0</v>
      </c>
      <c r="AS773" t="b">
        <v>1</v>
      </c>
      <c r="AU773">
        <v>2</v>
      </c>
      <c r="AV773" s="79" t="str">
        <f>HYPERLINK("https://abs.twimg.com/images/themes/theme1/bg.png")</f>
        <v>https://abs.twimg.com/images/themes/theme1/bg.png</v>
      </c>
      <c r="AW773" t="b">
        <v>0</v>
      </c>
      <c r="AX773" t="s">
        <v>9303</v>
      </c>
      <c r="AY773" s="79" t="str">
        <f>HYPERLINK("https://twitter.com/deirdreja")</f>
        <v>https://twitter.com/deirdreja</v>
      </c>
      <c r="AZ773" t="s">
        <v>66</v>
      </c>
      <c r="BA773" s="2"/>
    </row>
    <row r="774" spans="1:53" x14ac:dyDescent="0.45">
      <c r="A774" s="62" t="s">
        <v>990</v>
      </c>
      <c r="B774" s="63"/>
      <c r="C774" s="63"/>
      <c r="D774" s="64"/>
      <c r="E774" s="66"/>
      <c r="F774" s="98" t="str">
        <f>HYPERLINK("https://pbs.twimg.com/profile_images/1617309043143462912/4j9fLggj_normal.jpg")</f>
        <v>https://pbs.twimg.com/profile_images/1617309043143462912/4j9fLggj_normal.jpg</v>
      </c>
      <c r="G774" s="63"/>
      <c r="H774" s="67"/>
      <c r="I774" s="68"/>
      <c r="J774" s="68"/>
      <c r="K774" s="67" t="s">
        <v>10455</v>
      </c>
      <c r="L774" s="71"/>
      <c r="M774" s="72"/>
      <c r="N774" s="72"/>
      <c r="O774" s="73"/>
      <c r="P774" s="74"/>
      <c r="Q774" s="74"/>
      <c r="R774" s="81"/>
      <c r="S774" s="81"/>
      <c r="T774" s="81"/>
      <c r="U774" s="81"/>
      <c r="V774" s="48"/>
      <c r="W774" s="48"/>
      <c r="X774" s="48"/>
      <c r="Y774" s="48"/>
      <c r="Z774" s="47"/>
      <c r="AA774" s="69"/>
      <c r="AB774" s="69"/>
      <c r="AC774" s="70"/>
      <c r="AD774" t="s">
        <v>6136</v>
      </c>
      <c r="AE774" s="78" t="s">
        <v>4790</v>
      </c>
      <c r="AF774">
        <v>462</v>
      </c>
      <c r="AG774">
        <v>631</v>
      </c>
      <c r="AH774">
        <v>11196</v>
      </c>
      <c r="AI774">
        <v>58242</v>
      </c>
      <c r="AK774" t="s">
        <v>8495</v>
      </c>
      <c r="AM774" s="79" t="str">
        <f>HYPERLINK("https://t.co/3sMf6dLtl9")</f>
        <v>https://t.co/3sMf6dLtl9</v>
      </c>
      <c r="AO774" s="76">
        <v>42820.549502314818</v>
      </c>
      <c r="AP774" s="79" t="str">
        <f>HYPERLINK("https://pbs.twimg.com/profile_banners/845986512965718016/1668372019")</f>
        <v>https://pbs.twimg.com/profile_banners/845986512965718016/1668372019</v>
      </c>
      <c r="AQ774" t="b">
        <v>1</v>
      </c>
      <c r="AR774" t="b">
        <v>0</v>
      </c>
      <c r="AS774" t="b">
        <v>1</v>
      </c>
      <c r="AU774">
        <v>0</v>
      </c>
      <c r="AW774" t="b">
        <v>0</v>
      </c>
      <c r="AX774" t="s">
        <v>9303</v>
      </c>
      <c r="AY774" s="79" t="str">
        <f>HYPERLINK("https://twitter.com/sloangallimore")</f>
        <v>https://twitter.com/sloangallimore</v>
      </c>
      <c r="AZ774" t="s">
        <v>66</v>
      </c>
      <c r="BA774" s="2"/>
    </row>
    <row r="775" spans="1:53" x14ac:dyDescent="0.45">
      <c r="A775" s="62" t="s">
        <v>875</v>
      </c>
      <c r="B775" s="63"/>
      <c r="C775" s="63"/>
      <c r="D775" s="64"/>
      <c r="E775" s="66"/>
      <c r="F775" s="98" t="str">
        <f>HYPERLINK("https://pbs.twimg.com/profile_images/1056189188956135424/Ll_Fqy1V_normal.jpg")</f>
        <v>https://pbs.twimg.com/profile_images/1056189188956135424/Ll_Fqy1V_normal.jpg</v>
      </c>
      <c r="G775" s="63"/>
      <c r="H775" s="67"/>
      <c r="I775" s="68"/>
      <c r="J775" s="68"/>
      <c r="K775" s="67" t="s">
        <v>10278</v>
      </c>
      <c r="L775" s="71"/>
      <c r="M775" s="72"/>
      <c r="N775" s="72"/>
      <c r="O775" s="73"/>
      <c r="P775" s="74"/>
      <c r="Q775" s="74"/>
      <c r="R775" s="81"/>
      <c r="S775" s="81"/>
      <c r="T775" s="81"/>
      <c r="U775" s="81"/>
      <c r="V775" s="48"/>
      <c r="W775" s="48"/>
      <c r="X775" s="48"/>
      <c r="Y775" s="48"/>
      <c r="Z775" s="47"/>
      <c r="AA775" s="69"/>
      <c r="AB775" s="69"/>
      <c r="AC775" s="70"/>
      <c r="AD775" t="s">
        <v>5961</v>
      </c>
      <c r="AE775" s="78" t="s">
        <v>7173</v>
      </c>
      <c r="AF775">
        <v>795</v>
      </c>
      <c r="AG775">
        <v>625</v>
      </c>
      <c r="AH775">
        <v>2143</v>
      </c>
      <c r="AI775">
        <v>972</v>
      </c>
      <c r="AK775" t="s">
        <v>8338</v>
      </c>
      <c r="AL775" t="s">
        <v>9149</v>
      </c>
      <c r="AO775" s="76">
        <v>40873.603425925925</v>
      </c>
      <c r="AP775" s="79" t="str">
        <f>HYPERLINK("https://pbs.twimg.com/profile_banners/421887811/1540650081")</f>
        <v>https://pbs.twimg.com/profile_banners/421887811/1540650081</v>
      </c>
      <c r="AQ775" t="b">
        <v>0</v>
      </c>
      <c r="AR775" t="b">
        <v>0</v>
      </c>
      <c r="AS775" t="b">
        <v>0</v>
      </c>
      <c r="AU775">
        <v>39</v>
      </c>
      <c r="AV775" s="79" t="str">
        <f>HYPERLINK("https://abs.twimg.com/images/themes/theme1/bg.png")</f>
        <v>https://abs.twimg.com/images/themes/theme1/bg.png</v>
      </c>
      <c r="AW775" t="b">
        <v>0</v>
      </c>
      <c r="AX775" t="s">
        <v>9303</v>
      </c>
      <c r="AY775" s="79" t="str">
        <f>HYPERLINK("https://twitter.com/scotcase")</f>
        <v>https://twitter.com/scotcase</v>
      </c>
      <c r="AZ775" t="s">
        <v>66</v>
      </c>
      <c r="BA775" s="2"/>
    </row>
    <row r="776" spans="1:53" x14ac:dyDescent="0.45">
      <c r="A776" s="62" t="s">
        <v>681</v>
      </c>
      <c r="B776" s="63"/>
      <c r="C776" s="63"/>
      <c r="D776" s="64"/>
      <c r="E776" s="66"/>
      <c r="F776" s="98" t="str">
        <f>HYPERLINK("https://pbs.twimg.com/profile_images/1557781393631023106/cMHk51tf_normal.jpg")</f>
        <v>https://pbs.twimg.com/profile_images/1557781393631023106/cMHk51tf_normal.jpg</v>
      </c>
      <c r="G776" s="63"/>
      <c r="H776" s="67"/>
      <c r="I776" s="68"/>
      <c r="J776" s="68"/>
      <c r="K776" s="67" t="s">
        <v>10002</v>
      </c>
      <c r="L776" s="71"/>
      <c r="M776" s="72"/>
      <c r="N776" s="72"/>
      <c r="O776" s="73"/>
      <c r="P776" s="74"/>
      <c r="Q776" s="74"/>
      <c r="R776" s="81"/>
      <c r="S776" s="81"/>
      <c r="T776" s="81"/>
      <c r="U776" s="81"/>
      <c r="V776" s="48"/>
      <c r="W776" s="48"/>
      <c r="X776" s="48"/>
      <c r="Y776" s="48"/>
      <c r="Z776" s="47"/>
      <c r="AA776" s="69"/>
      <c r="AB776" s="69"/>
      <c r="AC776" s="70"/>
      <c r="AD776" t="s">
        <v>5692</v>
      </c>
      <c r="AE776" s="78" t="s">
        <v>6933</v>
      </c>
      <c r="AF776">
        <v>1662</v>
      </c>
      <c r="AG776">
        <v>625</v>
      </c>
      <c r="AH776">
        <v>9753</v>
      </c>
      <c r="AI776">
        <v>8164</v>
      </c>
      <c r="AK776" t="s">
        <v>8098</v>
      </c>
      <c r="AL776" t="s">
        <v>9037</v>
      </c>
      <c r="AO776" s="76">
        <v>39916.202592592592</v>
      </c>
      <c r="AP776" s="79" t="str">
        <f>HYPERLINK("https://pbs.twimg.com/profile_banners/30810153/1569889012")</f>
        <v>https://pbs.twimg.com/profile_banners/30810153/1569889012</v>
      </c>
      <c r="AQ776" t="b">
        <v>0</v>
      </c>
      <c r="AR776" t="b">
        <v>0</v>
      </c>
      <c r="AS776" t="b">
        <v>1</v>
      </c>
      <c r="AU776">
        <v>5</v>
      </c>
      <c r="AV776" s="79" t="str">
        <f>HYPERLINK("https://abs.twimg.com/images/themes/theme5/bg.gif")</f>
        <v>https://abs.twimg.com/images/themes/theme5/bg.gif</v>
      </c>
      <c r="AW776" t="b">
        <v>0</v>
      </c>
      <c r="AX776" t="s">
        <v>9303</v>
      </c>
      <c r="AY776" s="79" t="str">
        <f>HYPERLINK("https://twitter.com/billymcdonald2")</f>
        <v>https://twitter.com/billymcdonald2</v>
      </c>
      <c r="AZ776" t="s">
        <v>66</v>
      </c>
      <c r="BA776" s="2"/>
    </row>
    <row r="777" spans="1:53" x14ac:dyDescent="0.45">
      <c r="A777" s="62" t="s">
        <v>705</v>
      </c>
      <c r="B777" s="63"/>
      <c r="C777" s="63"/>
      <c r="D777" s="64"/>
      <c r="E777" s="66"/>
      <c r="F777" s="98" t="str">
        <f>HYPERLINK("https://pbs.twimg.com/profile_images/1620605358052937731/fbecbdWB_normal.jpg")</f>
        <v>https://pbs.twimg.com/profile_images/1620605358052937731/fbecbdWB_normal.jpg</v>
      </c>
      <c r="G777" s="63"/>
      <c r="H777" s="67"/>
      <c r="I777" s="68"/>
      <c r="J777" s="68"/>
      <c r="K777" s="67" t="s">
        <v>10041</v>
      </c>
      <c r="L777" s="71"/>
      <c r="M777" s="72"/>
      <c r="N777" s="72"/>
      <c r="O777" s="73"/>
      <c r="P777" s="74"/>
      <c r="Q777" s="74"/>
      <c r="R777" s="81"/>
      <c r="S777" s="81"/>
      <c r="T777" s="81"/>
      <c r="U777" s="81"/>
      <c r="V777" s="48"/>
      <c r="W777" s="48"/>
      <c r="X777" s="48"/>
      <c r="Y777" s="48"/>
      <c r="Z777" s="47"/>
      <c r="AA777" s="69"/>
      <c r="AB777" s="69"/>
      <c r="AC777" s="70"/>
      <c r="AD777" t="s">
        <v>5731</v>
      </c>
      <c r="AE777" s="78" t="s">
        <v>6968</v>
      </c>
      <c r="AF777">
        <v>945</v>
      </c>
      <c r="AG777">
        <v>624</v>
      </c>
      <c r="AH777">
        <v>20108</v>
      </c>
      <c r="AI777">
        <v>15299</v>
      </c>
      <c r="AK777" t="s">
        <v>8129</v>
      </c>
      <c r="AL777" t="s">
        <v>9052</v>
      </c>
      <c r="AO777" s="76">
        <v>41087.272499999999</v>
      </c>
      <c r="AP777" s="79" t="str">
        <f>HYPERLINK("https://pbs.twimg.com/profile_banners/619741762/1625230970")</f>
        <v>https://pbs.twimg.com/profile_banners/619741762/1625230970</v>
      </c>
      <c r="AQ777" t="b">
        <v>0</v>
      </c>
      <c r="AR777" t="b">
        <v>0</v>
      </c>
      <c r="AS777" t="b">
        <v>1</v>
      </c>
      <c r="AU777">
        <v>1</v>
      </c>
      <c r="AV777" s="79" t="str">
        <f>HYPERLINK("https://abs.twimg.com/images/themes/theme1/bg.png")</f>
        <v>https://abs.twimg.com/images/themes/theme1/bg.png</v>
      </c>
      <c r="AW777" t="b">
        <v>0</v>
      </c>
      <c r="AX777" t="s">
        <v>9303</v>
      </c>
      <c r="AY777" s="79" t="str">
        <f>HYPERLINK("https://twitter.com/kholtonkjd")</f>
        <v>https://twitter.com/kholtonkjd</v>
      </c>
      <c r="AZ777" t="s">
        <v>66</v>
      </c>
      <c r="BA777" s="2"/>
    </row>
    <row r="778" spans="1:53" x14ac:dyDescent="0.45">
      <c r="A778" s="62" t="s">
        <v>609</v>
      </c>
      <c r="B778" s="63"/>
      <c r="C778" s="63"/>
      <c r="D778" s="64"/>
      <c r="E778" s="66"/>
      <c r="F778" s="98" t="str">
        <f>HYPERLINK("https://pbs.twimg.com/profile_images/1232963088275492865/ZPGfAdsS_normal.jpg")</f>
        <v>https://pbs.twimg.com/profile_images/1232963088275492865/ZPGfAdsS_normal.jpg</v>
      </c>
      <c r="G778" s="63"/>
      <c r="H778" s="67"/>
      <c r="I778" s="68"/>
      <c r="J778" s="68"/>
      <c r="K778" s="67" t="s">
        <v>9909</v>
      </c>
      <c r="L778" s="71"/>
      <c r="M778" s="72"/>
      <c r="N778" s="72"/>
      <c r="O778" s="73"/>
      <c r="P778" s="74"/>
      <c r="Q778" s="74"/>
      <c r="R778" s="81"/>
      <c r="S778" s="81"/>
      <c r="T778" s="81"/>
      <c r="U778" s="81"/>
      <c r="V778" s="48"/>
      <c r="W778" s="48"/>
      <c r="X778" s="48"/>
      <c r="Y778" s="48"/>
      <c r="Z778" s="47"/>
      <c r="AA778" s="69"/>
      <c r="AB778" s="69"/>
      <c r="AC778" s="70"/>
      <c r="AD778" t="s">
        <v>5600</v>
      </c>
      <c r="AE778" s="78" t="s">
        <v>6845</v>
      </c>
      <c r="AF778">
        <v>2276</v>
      </c>
      <c r="AG778">
        <v>620</v>
      </c>
      <c r="AH778">
        <v>914593</v>
      </c>
      <c r="AI778">
        <v>6882</v>
      </c>
      <c r="AK778" t="s">
        <v>8023</v>
      </c>
      <c r="AL778" t="s">
        <v>8992</v>
      </c>
      <c r="AO778" s="76">
        <v>43666.124201388891</v>
      </c>
      <c r="AP778" s="79" t="str">
        <f>HYPERLINK("https://pbs.twimg.com/profile_banners/1152412524966371329/1564221628")</f>
        <v>https://pbs.twimg.com/profile_banners/1152412524966371329/1564221628</v>
      </c>
      <c r="AQ778" t="b">
        <v>1</v>
      </c>
      <c r="AR778" t="b">
        <v>0</v>
      </c>
      <c r="AS778" t="b">
        <v>0</v>
      </c>
      <c r="AU778">
        <v>3</v>
      </c>
      <c r="AW778" t="b">
        <v>0</v>
      </c>
      <c r="AX778" t="s">
        <v>9303</v>
      </c>
      <c r="AY778" s="79" t="str">
        <f>HYPERLINK("https://twitter.com/oregakitaworld")</f>
        <v>https://twitter.com/oregakitaworld</v>
      </c>
      <c r="AZ778" t="s">
        <v>66</v>
      </c>
      <c r="BA778" s="2"/>
    </row>
    <row r="779" spans="1:53" x14ac:dyDescent="0.45">
      <c r="A779" s="62" t="s">
        <v>476</v>
      </c>
      <c r="B779" s="63"/>
      <c r="C779" s="63"/>
      <c r="D779" s="64"/>
      <c r="E779" s="66"/>
      <c r="F779" s="98" t="str">
        <f>HYPERLINK("https://pbs.twimg.com/profile_images/1550418204161351681/MFk8C0E5_normal.jpg")</f>
        <v>https://pbs.twimg.com/profile_images/1550418204161351681/MFk8C0E5_normal.jpg</v>
      </c>
      <c r="G779" s="63"/>
      <c r="H779" s="67"/>
      <c r="I779" s="68"/>
      <c r="J779" s="68"/>
      <c r="K779" s="67" t="s">
        <v>9748</v>
      </c>
      <c r="L779" s="71"/>
      <c r="M779" s="72"/>
      <c r="N779" s="72"/>
      <c r="O779" s="73"/>
      <c r="P779" s="74"/>
      <c r="Q779" s="74"/>
      <c r="R779" s="81"/>
      <c r="S779" s="81"/>
      <c r="T779" s="81"/>
      <c r="U779" s="81"/>
      <c r="V779" s="48"/>
      <c r="W779" s="48"/>
      <c r="X779" s="48"/>
      <c r="Y779" s="48"/>
      <c r="Z779" s="47"/>
      <c r="AA779" s="69"/>
      <c r="AB779" s="69"/>
      <c r="AC779" s="70"/>
      <c r="AD779" t="s">
        <v>5440</v>
      </c>
      <c r="AE779" s="78" t="s">
        <v>6705</v>
      </c>
      <c r="AF779">
        <v>587</v>
      </c>
      <c r="AG779">
        <v>619</v>
      </c>
      <c r="AH779">
        <v>60931</v>
      </c>
      <c r="AI779">
        <v>116805</v>
      </c>
      <c r="AK779" t="s">
        <v>7877</v>
      </c>
      <c r="AL779" t="s">
        <v>8898</v>
      </c>
      <c r="AM779" s="79" t="str">
        <f>HYPERLINK("https://t.co/HA1mIUHnaT")</f>
        <v>https://t.co/HA1mIUHnaT</v>
      </c>
      <c r="AO779" s="76">
        <v>43372.765428240738</v>
      </c>
      <c r="AP779" s="79" t="str">
        <f>HYPERLINK("https://pbs.twimg.com/profile_banners/1046102863880114177/1672790627")</f>
        <v>https://pbs.twimg.com/profile_banners/1046102863880114177/1672790627</v>
      </c>
      <c r="AQ779" t="b">
        <v>1</v>
      </c>
      <c r="AR779" t="b">
        <v>0</v>
      </c>
      <c r="AS779" t="b">
        <v>1</v>
      </c>
      <c r="AU779">
        <v>1</v>
      </c>
      <c r="AW779" t="b">
        <v>0</v>
      </c>
      <c r="AX779" t="s">
        <v>9303</v>
      </c>
      <c r="AY779" s="79" t="str">
        <f>HYPERLINK("https://twitter.com/tweetdowalter")</f>
        <v>https://twitter.com/tweetdowalter</v>
      </c>
      <c r="AZ779" t="s">
        <v>66</v>
      </c>
      <c r="BA779" s="2"/>
    </row>
    <row r="780" spans="1:53" x14ac:dyDescent="0.45">
      <c r="A780" s="62" t="s">
        <v>1404</v>
      </c>
      <c r="B780" s="63"/>
      <c r="C780" s="63"/>
      <c r="D780" s="64"/>
      <c r="E780" s="66"/>
      <c r="F780" s="98" t="str">
        <f>HYPERLINK("https://pbs.twimg.com/profile_images/1614404141/amberbeach_normal.jpg")</f>
        <v>https://pbs.twimg.com/profile_images/1614404141/amberbeach_normal.jpg</v>
      </c>
      <c r="G780" s="63"/>
      <c r="H780" s="67"/>
      <c r="I780" s="68"/>
      <c r="J780" s="68"/>
      <c r="K780" s="67" t="s">
        <v>10253</v>
      </c>
      <c r="L780" s="71"/>
      <c r="M780" s="72"/>
      <c r="N780" s="72"/>
      <c r="O780" s="73"/>
      <c r="P780" s="74"/>
      <c r="Q780" s="74"/>
      <c r="R780" s="81"/>
      <c r="S780" s="81"/>
      <c r="T780" s="81"/>
      <c r="U780" s="81"/>
      <c r="V780" s="48"/>
      <c r="W780" s="48"/>
      <c r="X780" s="48"/>
      <c r="Y780" s="48"/>
      <c r="Z780" s="47"/>
      <c r="AA780" s="69"/>
      <c r="AB780" s="69"/>
      <c r="AC780" s="70"/>
      <c r="AD780" t="s">
        <v>5936</v>
      </c>
      <c r="AE780" s="78" t="s">
        <v>4760</v>
      </c>
      <c r="AF780">
        <v>4942</v>
      </c>
      <c r="AG780">
        <v>616</v>
      </c>
      <c r="AH780">
        <v>35691</v>
      </c>
      <c r="AI780">
        <v>3974</v>
      </c>
      <c r="AK780" t="s">
        <v>8315</v>
      </c>
      <c r="AO780" s="76">
        <v>39863.847534722219</v>
      </c>
      <c r="AQ780" t="b">
        <v>0</v>
      </c>
      <c r="AR780" t="b">
        <v>0</v>
      </c>
      <c r="AS780" t="b">
        <v>0</v>
      </c>
      <c r="AU780">
        <v>60</v>
      </c>
      <c r="AV780" s="79" t="str">
        <f>HYPERLINK("https://abs.twimg.com/images/themes/theme4/bg.gif")</f>
        <v>https://abs.twimg.com/images/themes/theme4/bg.gif</v>
      </c>
      <c r="AW780" t="b">
        <v>0</v>
      </c>
      <c r="AX780" t="s">
        <v>9303</v>
      </c>
      <c r="AY780" s="79" t="str">
        <f>HYPERLINK("https://twitter.com/ambermiller86")</f>
        <v>https://twitter.com/ambermiller86</v>
      </c>
      <c r="AZ780" t="s">
        <v>65</v>
      </c>
      <c r="BA780" s="2"/>
    </row>
    <row r="781" spans="1:53" x14ac:dyDescent="0.45">
      <c r="A781" s="62" t="s">
        <v>820</v>
      </c>
      <c r="B781" s="63"/>
      <c r="C781" s="63"/>
      <c r="D781" s="64"/>
      <c r="E781" s="66"/>
      <c r="F781" s="98" t="str">
        <f>HYPERLINK("https://pbs.twimg.com/profile_images/1321816709641179137/ZxCDD5bQ_normal.jpg")</f>
        <v>https://pbs.twimg.com/profile_images/1321816709641179137/ZxCDD5bQ_normal.jpg</v>
      </c>
      <c r="G781" s="63"/>
      <c r="H781" s="67"/>
      <c r="I781" s="68"/>
      <c r="J781" s="68"/>
      <c r="K781" s="67" t="s">
        <v>10205</v>
      </c>
      <c r="L781" s="71"/>
      <c r="M781" s="72"/>
      <c r="N781" s="72"/>
      <c r="O781" s="73"/>
      <c r="P781" s="74"/>
      <c r="Q781" s="74"/>
      <c r="R781" s="81"/>
      <c r="S781" s="81"/>
      <c r="T781" s="81"/>
      <c r="U781" s="81"/>
      <c r="V781" s="48"/>
      <c r="W781" s="48"/>
      <c r="X781" s="48"/>
      <c r="Y781" s="48"/>
      <c r="Z781" s="47"/>
      <c r="AA781" s="69"/>
      <c r="AB781" s="69"/>
      <c r="AC781" s="70"/>
      <c r="AD781" t="s">
        <v>5889</v>
      </c>
      <c r="AE781" s="78" t="s">
        <v>7108</v>
      </c>
      <c r="AF781">
        <v>849</v>
      </c>
      <c r="AG781">
        <v>615</v>
      </c>
      <c r="AH781">
        <v>53957</v>
      </c>
      <c r="AI781">
        <v>3211</v>
      </c>
      <c r="AL781" t="s">
        <v>9122</v>
      </c>
      <c r="AO781" s="76">
        <v>40537.714918981481</v>
      </c>
      <c r="AQ781" t="b">
        <v>0</v>
      </c>
      <c r="AR781" t="b">
        <v>0</v>
      </c>
      <c r="AS781" t="b">
        <v>0</v>
      </c>
      <c r="AU781">
        <v>126</v>
      </c>
      <c r="AV781" s="79" t="str">
        <f>HYPERLINK("https://abs.twimg.com/images/themes/theme3/bg.gif")</f>
        <v>https://abs.twimg.com/images/themes/theme3/bg.gif</v>
      </c>
      <c r="AW781" t="b">
        <v>0</v>
      </c>
      <c r="AX781" t="s">
        <v>9303</v>
      </c>
      <c r="AY781" s="79" t="str">
        <f>HYPERLINK("https://twitter.com/h3artonf1r3")</f>
        <v>https://twitter.com/h3artonf1r3</v>
      </c>
      <c r="AZ781" t="s">
        <v>66</v>
      </c>
      <c r="BA781" s="2"/>
    </row>
    <row r="782" spans="1:53" x14ac:dyDescent="0.45">
      <c r="A782" s="62" t="s">
        <v>479</v>
      </c>
      <c r="B782" s="63"/>
      <c r="C782" s="63"/>
      <c r="D782" s="64"/>
      <c r="E782" s="66"/>
      <c r="F782" s="98" t="str">
        <f>HYPERLINK("https://pbs.twimg.com/profile_images/1609768622255120384/ceIuZUJ1_normal.jpg")</f>
        <v>https://pbs.twimg.com/profile_images/1609768622255120384/ceIuZUJ1_normal.jpg</v>
      </c>
      <c r="G782" s="63"/>
      <c r="H782" s="67"/>
      <c r="I782" s="68"/>
      <c r="J782" s="68"/>
      <c r="K782" s="67" t="s">
        <v>9751</v>
      </c>
      <c r="L782" s="71"/>
      <c r="M782" s="72"/>
      <c r="N782" s="72"/>
      <c r="O782" s="73"/>
      <c r="P782" s="74"/>
      <c r="Q782" s="74"/>
      <c r="R782" s="81"/>
      <c r="S782" s="81"/>
      <c r="T782" s="81"/>
      <c r="U782" s="81"/>
      <c r="V782" s="48"/>
      <c r="W782" s="48"/>
      <c r="X782" s="48"/>
      <c r="Y782" s="48"/>
      <c r="Z782" s="47"/>
      <c r="AA782" s="69"/>
      <c r="AB782" s="69"/>
      <c r="AC782" s="70"/>
      <c r="AD782" t="s">
        <v>5443</v>
      </c>
      <c r="AE782" s="78" t="s">
        <v>6708</v>
      </c>
      <c r="AF782">
        <v>730</v>
      </c>
      <c r="AG782">
        <v>615</v>
      </c>
      <c r="AH782">
        <v>104734</v>
      </c>
      <c r="AI782">
        <v>76738</v>
      </c>
      <c r="AO782" s="76">
        <v>39890.830266203702</v>
      </c>
      <c r="AQ782" t="b">
        <v>1</v>
      </c>
      <c r="AR782" t="b">
        <v>0</v>
      </c>
      <c r="AS782" t="b">
        <v>1</v>
      </c>
      <c r="AU782">
        <v>47</v>
      </c>
      <c r="AV782" s="79" t="str">
        <f>HYPERLINK("https://abs.twimg.com/images/themes/theme1/bg.png")</f>
        <v>https://abs.twimg.com/images/themes/theme1/bg.png</v>
      </c>
      <c r="AW782" t="b">
        <v>0</v>
      </c>
      <c r="AX782" t="s">
        <v>9303</v>
      </c>
      <c r="AY782" s="79" t="str">
        <f>HYPERLINK("https://twitter.com/laadaadidadi")</f>
        <v>https://twitter.com/laadaadidadi</v>
      </c>
      <c r="AZ782" t="s">
        <v>66</v>
      </c>
      <c r="BA782" s="2"/>
    </row>
    <row r="783" spans="1:53" x14ac:dyDescent="0.45">
      <c r="A783" s="62" t="s">
        <v>770</v>
      </c>
      <c r="B783" s="63"/>
      <c r="C783" s="63"/>
      <c r="D783" s="64"/>
      <c r="E783" s="66"/>
      <c r="F783" s="98" t="str">
        <f>HYPERLINK("https://pbs.twimg.com/profile_images/1495829608276635652/nDoQY1ec_normal.jpg")</f>
        <v>https://pbs.twimg.com/profile_images/1495829608276635652/nDoQY1ec_normal.jpg</v>
      </c>
      <c r="G783" s="63"/>
      <c r="H783" s="67"/>
      <c r="I783" s="68"/>
      <c r="J783" s="68"/>
      <c r="K783" s="67" t="s">
        <v>10128</v>
      </c>
      <c r="L783" s="71"/>
      <c r="M783" s="72"/>
      <c r="N783" s="72"/>
      <c r="O783" s="73"/>
      <c r="P783" s="74"/>
      <c r="Q783" s="74"/>
      <c r="R783" s="81"/>
      <c r="S783" s="81"/>
      <c r="T783" s="81"/>
      <c r="U783" s="81"/>
      <c r="V783" s="48"/>
      <c r="W783" s="48"/>
      <c r="X783" s="48"/>
      <c r="Y783" s="48"/>
      <c r="Z783" s="47"/>
      <c r="AA783" s="69"/>
      <c r="AB783" s="69"/>
      <c r="AC783" s="70"/>
      <c r="AD783" t="s">
        <v>5816</v>
      </c>
      <c r="AE783" s="78" t="s">
        <v>7044</v>
      </c>
      <c r="AF783">
        <v>507</v>
      </c>
      <c r="AG783">
        <v>615</v>
      </c>
      <c r="AH783">
        <v>10249</v>
      </c>
      <c r="AI783">
        <v>10167</v>
      </c>
      <c r="AK783" t="s">
        <v>8210</v>
      </c>
      <c r="AO783" s="76">
        <v>40691.903217592589</v>
      </c>
      <c r="AP783" s="79" t="str">
        <f>HYPERLINK("https://pbs.twimg.com/profile_banners/307020474/1625520966")</f>
        <v>https://pbs.twimg.com/profile_banners/307020474/1625520966</v>
      </c>
      <c r="AQ783" t="b">
        <v>1</v>
      </c>
      <c r="AR783" t="b">
        <v>0</v>
      </c>
      <c r="AS783" t="b">
        <v>0</v>
      </c>
      <c r="AU783">
        <v>4</v>
      </c>
      <c r="AV783" s="79" t="str">
        <f>HYPERLINK("https://abs.twimg.com/images/themes/theme1/bg.png")</f>
        <v>https://abs.twimg.com/images/themes/theme1/bg.png</v>
      </c>
      <c r="AW783" t="b">
        <v>0</v>
      </c>
      <c r="AX783" t="s">
        <v>9303</v>
      </c>
      <c r="AY783" s="79" t="str">
        <f>HYPERLINK("https://twitter.com/jguess12")</f>
        <v>https://twitter.com/jguess12</v>
      </c>
      <c r="AZ783" t="s">
        <v>66</v>
      </c>
      <c r="BA783" s="2"/>
    </row>
    <row r="784" spans="1:53" x14ac:dyDescent="0.45">
      <c r="A784" s="62" t="s">
        <v>224</v>
      </c>
      <c r="B784" s="63"/>
      <c r="C784" s="63"/>
      <c r="D784" s="64"/>
      <c r="E784" s="66"/>
      <c r="F784" s="98" t="str">
        <f>HYPERLINK("https://pbs.twimg.com/profile_images/1595559203489210368/-sGv_KoM_normal.jpg")</f>
        <v>https://pbs.twimg.com/profile_images/1595559203489210368/-sGv_KoM_normal.jpg</v>
      </c>
      <c r="G784" s="63"/>
      <c r="H784" s="67"/>
      <c r="I784" s="68"/>
      <c r="J784" s="68"/>
      <c r="K784" s="67" t="s">
        <v>9322</v>
      </c>
      <c r="L784" s="71"/>
      <c r="M784" s="72"/>
      <c r="N784" s="72"/>
      <c r="O784" s="73"/>
      <c r="P784" s="74"/>
      <c r="Q784" s="74"/>
      <c r="R784" s="81"/>
      <c r="S784" s="81"/>
      <c r="T784" s="81"/>
      <c r="U784" s="81"/>
      <c r="V784" s="48"/>
      <c r="W784" s="48"/>
      <c r="X784" s="48"/>
      <c r="Y784" s="48"/>
      <c r="Z784" s="47"/>
      <c r="AA784" s="69"/>
      <c r="AB784" s="69"/>
      <c r="AC784" s="70"/>
      <c r="AD784" t="s">
        <v>5018</v>
      </c>
      <c r="AE784" s="78" t="s">
        <v>6340</v>
      </c>
      <c r="AF784">
        <v>2746</v>
      </c>
      <c r="AG784">
        <v>614</v>
      </c>
      <c r="AH784">
        <v>17206</v>
      </c>
      <c r="AI784">
        <v>31710</v>
      </c>
      <c r="AK784" t="s">
        <v>7507</v>
      </c>
      <c r="AL784" t="s">
        <v>8682</v>
      </c>
      <c r="AM784" s="79" t="str">
        <f>HYPERLINK("https://t.co/FKbISbQA4Z")</f>
        <v>https://t.co/FKbISbQA4Z</v>
      </c>
      <c r="AO784" s="76">
        <v>43497.049490740741</v>
      </c>
      <c r="AP784" s="79" t="str">
        <f>HYPERLINK("https://pbs.twimg.com/profile_banners/1091141903083397120/1662503627")</f>
        <v>https://pbs.twimg.com/profile_banners/1091141903083397120/1662503627</v>
      </c>
      <c r="AQ784" t="b">
        <v>1</v>
      </c>
      <c r="AR784" t="b">
        <v>0</v>
      </c>
      <c r="AS784" t="b">
        <v>0</v>
      </c>
      <c r="AU784">
        <v>1</v>
      </c>
      <c r="AW784" t="b">
        <v>0</v>
      </c>
      <c r="AX784" t="s">
        <v>9303</v>
      </c>
      <c r="AY784" s="79" t="str">
        <f>HYPERLINK("https://twitter.com/wyndstrom1")</f>
        <v>https://twitter.com/wyndstrom1</v>
      </c>
      <c r="AZ784" t="s">
        <v>66</v>
      </c>
      <c r="BA784" s="2"/>
    </row>
    <row r="785" spans="1:53" x14ac:dyDescent="0.45">
      <c r="A785" s="62" t="s">
        <v>1256</v>
      </c>
      <c r="B785" s="63"/>
      <c r="C785" s="63"/>
      <c r="D785" s="64"/>
      <c r="E785" s="66"/>
      <c r="F785" s="98" t="str">
        <f>HYPERLINK("https://pbs.twimg.com/profile_images/1492313999844667393/w_tzUqLk_normal.jpg")</f>
        <v>https://pbs.twimg.com/profile_images/1492313999844667393/w_tzUqLk_normal.jpg</v>
      </c>
      <c r="G785" s="63"/>
      <c r="H785" s="67"/>
      <c r="I785" s="68"/>
      <c r="J785" s="68"/>
      <c r="K785" s="67" t="s">
        <v>9643</v>
      </c>
      <c r="L785" s="71"/>
      <c r="M785" s="72"/>
      <c r="N785" s="72"/>
      <c r="O785" s="73"/>
      <c r="P785" s="74"/>
      <c r="Q785" s="74"/>
      <c r="R785" s="81"/>
      <c r="S785" s="81"/>
      <c r="T785" s="81"/>
      <c r="U785" s="81"/>
      <c r="V785" s="48"/>
      <c r="W785" s="48"/>
      <c r="X785" s="48"/>
      <c r="Y785" s="48"/>
      <c r="Z785" s="47"/>
      <c r="AA785" s="69"/>
      <c r="AB785" s="69"/>
      <c r="AC785" s="70"/>
      <c r="AD785" t="s">
        <v>5336</v>
      </c>
      <c r="AE785" s="78" t="s">
        <v>6611</v>
      </c>
      <c r="AF785">
        <v>3</v>
      </c>
      <c r="AG785">
        <v>614</v>
      </c>
      <c r="AH785">
        <v>87</v>
      </c>
      <c r="AI785">
        <v>70</v>
      </c>
      <c r="AK785" t="s">
        <v>7788</v>
      </c>
      <c r="AM785" s="79" t="str">
        <f>HYPERLINK("https://t.co/ugpppmKitX")</f>
        <v>https://t.co/ugpppmKitX</v>
      </c>
      <c r="AO785" s="76">
        <v>44604.064143518517</v>
      </c>
      <c r="AP785" s="79" t="str">
        <f>HYPERLINK("https://pbs.twimg.com/profile_banners/1492310426968752128/1647467217")</f>
        <v>https://pbs.twimg.com/profile_banners/1492310426968752128/1647467217</v>
      </c>
      <c r="AQ785" t="b">
        <v>1</v>
      </c>
      <c r="AR785" t="b">
        <v>0</v>
      </c>
      <c r="AS785" t="b">
        <v>0</v>
      </c>
      <c r="AU785">
        <v>1</v>
      </c>
      <c r="AW785" t="b">
        <v>0</v>
      </c>
      <c r="AX785" t="s">
        <v>9303</v>
      </c>
      <c r="AY785" s="79" t="str">
        <f>HYPERLINK("https://twitter.com/hearingassistus")</f>
        <v>https://twitter.com/hearingassistus</v>
      </c>
      <c r="AZ785" t="s">
        <v>65</v>
      </c>
      <c r="BA785" s="2"/>
    </row>
    <row r="786" spans="1:53" x14ac:dyDescent="0.45">
      <c r="A786" s="62" t="s">
        <v>430</v>
      </c>
      <c r="B786" s="63"/>
      <c r="C786" s="63"/>
      <c r="D786" s="64"/>
      <c r="E786" s="66"/>
      <c r="F786" s="98" t="str">
        <f>HYPERLINK("https://pbs.twimg.com/profile_images/1136442121206976513/Riw_1NUW_normal.jpg")</f>
        <v>https://pbs.twimg.com/profile_images/1136442121206976513/Riw_1NUW_normal.jpg</v>
      </c>
      <c r="G786" s="63"/>
      <c r="H786" s="67"/>
      <c r="I786" s="68"/>
      <c r="J786" s="68"/>
      <c r="K786" s="67" t="s">
        <v>9682</v>
      </c>
      <c r="L786" s="71"/>
      <c r="M786" s="72"/>
      <c r="N786" s="72"/>
      <c r="O786" s="73"/>
      <c r="P786" s="74"/>
      <c r="Q786" s="74"/>
      <c r="R786" s="81"/>
      <c r="S786" s="81"/>
      <c r="T786" s="81"/>
      <c r="U786" s="81"/>
      <c r="V786" s="48"/>
      <c r="W786" s="48"/>
      <c r="X786" s="48"/>
      <c r="Y786" s="48"/>
      <c r="Z786" s="47"/>
      <c r="AA786" s="69"/>
      <c r="AB786" s="69"/>
      <c r="AC786" s="70"/>
      <c r="AD786" t="s">
        <v>5375</v>
      </c>
      <c r="AE786" s="78" t="s">
        <v>6648</v>
      </c>
      <c r="AF786">
        <v>367</v>
      </c>
      <c r="AG786">
        <v>612</v>
      </c>
      <c r="AH786">
        <v>51767</v>
      </c>
      <c r="AI786">
        <v>92974</v>
      </c>
      <c r="AK786" t="s">
        <v>7822</v>
      </c>
      <c r="AO786" s="76">
        <v>42335.582337962966</v>
      </c>
      <c r="AP786" s="79" t="str">
        <f>HYPERLINK("https://pbs.twimg.com/profile_banners/4378145113/1624021438")</f>
        <v>https://pbs.twimg.com/profile_banners/4378145113/1624021438</v>
      </c>
      <c r="AQ786" t="b">
        <v>1</v>
      </c>
      <c r="AR786" t="b">
        <v>0</v>
      </c>
      <c r="AS786" t="b">
        <v>0</v>
      </c>
      <c r="AU786">
        <v>4</v>
      </c>
      <c r="AV786" s="79" t="str">
        <f>HYPERLINK("https://abs.twimg.com/images/themes/theme1/bg.png")</f>
        <v>https://abs.twimg.com/images/themes/theme1/bg.png</v>
      </c>
      <c r="AW786" t="b">
        <v>0</v>
      </c>
      <c r="AX786" t="s">
        <v>9303</v>
      </c>
      <c r="AY786" s="79" t="str">
        <f>HYPERLINK("https://twitter.com/smileytude")</f>
        <v>https://twitter.com/smileytude</v>
      </c>
      <c r="AZ786" t="s">
        <v>66</v>
      </c>
      <c r="BA786" s="2"/>
    </row>
    <row r="787" spans="1:53" x14ac:dyDescent="0.45">
      <c r="A787" s="62" t="s">
        <v>347</v>
      </c>
      <c r="B787" s="63"/>
      <c r="C787" s="63"/>
      <c r="D787" s="64"/>
      <c r="E787" s="66"/>
      <c r="F787" s="98" t="str">
        <f>HYPERLINK("https://pbs.twimg.com/profile_images/606218691940712448/zl__JZzZ_normal.jpg")</f>
        <v>https://pbs.twimg.com/profile_images/606218691940712448/zl__JZzZ_normal.jpg</v>
      </c>
      <c r="G787" s="63"/>
      <c r="H787" s="67"/>
      <c r="I787" s="68"/>
      <c r="J787" s="68"/>
      <c r="K787" s="67" t="s">
        <v>9571</v>
      </c>
      <c r="L787" s="71"/>
      <c r="M787" s="72"/>
      <c r="N787" s="72"/>
      <c r="O787" s="73"/>
      <c r="P787" s="74"/>
      <c r="Q787" s="74"/>
      <c r="R787" s="81"/>
      <c r="S787" s="81"/>
      <c r="T787" s="81"/>
      <c r="U787" s="81"/>
      <c r="V787" s="48"/>
      <c r="W787" s="48"/>
      <c r="X787" s="48"/>
      <c r="Y787" s="48"/>
      <c r="Z787" s="47"/>
      <c r="AA787" s="69"/>
      <c r="AB787" s="69"/>
      <c r="AC787" s="70"/>
      <c r="AD787" t="s">
        <v>5264</v>
      </c>
      <c r="AE787" s="78" t="s">
        <v>6542</v>
      </c>
      <c r="AF787">
        <v>767</v>
      </c>
      <c r="AG787">
        <v>610</v>
      </c>
      <c r="AH787">
        <v>4838</v>
      </c>
      <c r="AI787">
        <v>397</v>
      </c>
      <c r="AK787" t="s">
        <v>7728</v>
      </c>
      <c r="AL787" t="s">
        <v>8819</v>
      </c>
      <c r="AM787" s="79" t="str">
        <f>HYPERLINK("https://t.co/ZYJDCRmqis")</f>
        <v>https://t.co/ZYJDCRmqis</v>
      </c>
      <c r="AO787" s="76">
        <v>41066.700787037036</v>
      </c>
      <c r="AP787" s="79" t="str">
        <f>HYPERLINK("https://pbs.twimg.com/profile_banners/601195695/1467907793")</f>
        <v>https://pbs.twimg.com/profile_banners/601195695/1467907793</v>
      </c>
      <c r="AQ787" t="b">
        <v>0</v>
      </c>
      <c r="AR787" t="b">
        <v>0</v>
      </c>
      <c r="AS787" t="b">
        <v>0</v>
      </c>
      <c r="AU787">
        <v>27</v>
      </c>
      <c r="AV787" s="79" t="str">
        <f>HYPERLINK("https://abs.twimg.com/images/themes/theme1/bg.png")</f>
        <v>https://abs.twimg.com/images/themes/theme1/bg.png</v>
      </c>
      <c r="AW787" t="b">
        <v>0</v>
      </c>
      <c r="AX787" t="s">
        <v>9303</v>
      </c>
      <c r="AY787" s="79" t="str">
        <f>HYPERLINK("https://twitter.com/delimarketnews")</f>
        <v>https://twitter.com/delimarketnews</v>
      </c>
      <c r="AZ787" t="s">
        <v>66</v>
      </c>
      <c r="BA787" s="2"/>
    </row>
    <row r="788" spans="1:53" x14ac:dyDescent="0.45">
      <c r="A788" s="62" t="s">
        <v>969</v>
      </c>
      <c r="B788" s="63"/>
      <c r="C788" s="63"/>
      <c r="D788" s="64"/>
      <c r="E788" s="66"/>
      <c r="F788" s="98" t="str">
        <f>HYPERLINK("https://pbs.twimg.com/profile_images/1620899920424181762/xWZuhL-C_normal.jpg")</f>
        <v>https://pbs.twimg.com/profile_images/1620899920424181762/xWZuhL-C_normal.jpg</v>
      </c>
      <c r="G788" s="63"/>
      <c r="H788" s="67"/>
      <c r="I788" s="68"/>
      <c r="J788" s="68"/>
      <c r="K788" s="67" t="s">
        <v>10431</v>
      </c>
      <c r="L788" s="71"/>
      <c r="M788" s="72"/>
      <c r="N788" s="72"/>
      <c r="O788" s="73"/>
      <c r="P788" s="74"/>
      <c r="Q788" s="74"/>
      <c r="R788" s="81"/>
      <c r="S788" s="81"/>
      <c r="T788" s="81"/>
      <c r="U788" s="81"/>
      <c r="V788" s="48"/>
      <c r="W788" s="48"/>
      <c r="X788" s="48"/>
      <c r="Y788" s="48"/>
      <c r="Z788" s="47"/>
      <c r="AA788" s="69"/>
      <c r="AB788" s="69"/>
      <c r="AC788" s="70"/>
      <c r="AD788" t="s">
        <v>6113</v>
      </c>
      <c r="AE788" s="78" t="s">
        <v>7309</v>
      </c>
      <c r="AF788">
        <v>1444</v>
      </c>
      <c r="AG788">
        <v>610</v>
      </c>
      <c r="AH788">
        <v>26473</v>
      </c>
      <c r="AI788">
        <v>77372</v>
      </c>
      <c r="AK788" t="s">
        <v>8474</v>
      </c>
      <c r="AL788" t="s">
        <v>8708</v>
      </c>
      <c r="AM788" s="79" t="str">
        <f>HYPERLINK("https://t.co/tObt0sFFtJ")</f>
        <v>https://t.co/tObt0sFFtJ</v>
      </c>
      <c r="AO788" s="76">
        <v>40086.907627314817</v>
      </c>
      <c r="AP788" s="79" t="str">
        <f>HYPERLINK("https://pbs.twimg.com/profile_banners/78716743/1675277854")</f>
        <v>https://pbs.twimg.com/profile_banners/78716743/1675277854</v>
      </c>
      <c r="AQ788" t="b">
        <v>0</v>
      </c>
      <c r="AR788" t="b">
        <v>0</v>
      </c>
      <c r="AS788" t="b">
        <v>0</v>
      </c>
      <c r="AU788">
        <v>2</v>
      </c>
      <c r="AV788" s="79" t="str">
        <f>HYPERLINK("https://abs.twimg.com/images/themes/theme1/bg.png")</f>
        <v>https://abs.twimg.com/images/themes/theme1/bg.png</v>
      </c>
      <c r="AW788" t="b">
        <v>0</v>
      </c>
      <c r="AX788" t="s">
        <v>9303</v>
      </c>
      <c r="AY788" s="79" t="str">
        <f>HYPERLINK("https://twitter.com/piscesmiley32")</f>
        <v>https://twitter.com/piscesmiley32</v>
      </c>
      <c r="AZ788" t="s">
        <v>66</v>
      </c>
      <c r="BA788" s="2"/>
    </row>
    <row r="789" spans="1:53" x14ac:dyDescent="0.45">
      <c r="A789" s="62" t="s">
        <v>1344</v>
      </c>
      <c r="B789" s="63"/>
      <c r="C789" s="63"/>
      <c r="D789" s="64"/>
      <c r="E789" s="66"/>
      <c r="F789" s="98" t="str">
        <f>HYPERLINK("https://pbs.twimg.com/profile_images/1573010789191258112/EzU7-1GK_normal.jpg")</f>
        <v>https://pbs.twimg.com/profile_images/1573010789191258112/EzU7-1GK_normal.jpg</v>
      </c>
      <c r="G789" s="63"/>
      <c r="H789" s="67"/>
      <c r="I789" s="68"/>
      <c r="J789" s="68"/>
      <c r="K789" s="67" t="s">
        <v>10051</v>
      </c>
      <c r="L789" s="71"/>
      <c r="M789" s="72"/>
      <c r="N789" s="72"/>
      <c r="O789" s="73"/>
      <c r="P789" s="74"/>
      <c r="Q789" s="74"/>
      <c r="R789" s="81"/>
      <c r="S789" s="81"/>
      <c r="T789" s="81"/>
      <c r="U789" s="81"/>
      <c r="V789" s="48"/>
      <c r="W789" s="48"/>
      <c r="X789" s="48"/>
      <c r="Y789" s="48"/>
      <c r="Z789" s="47"/>
      <c r="AA789" s="69"/>
      <c r="AB789" s="69"/>
      <c r="AC789" s="70"/>
      <c r="AD789" t="s">
        <v>5740</v>
      </c>
      <c r="AE789" s="78" t="s">
        <v>6977</v>
      </c>
      <c r="AF789">
        <v>1</v>
      </c>
      <c r="AG789">
        <v>610</v>
      </c>
      <c r="AH789">
        <v>642</v>
      </c>
      <c r="AI789">
        <v>0</v>
      </c>
      <c r="AK789" t="s">
        <v>8138</v>
      </c>
      <c r="AL789" t="s">
        <v>9057</v>
      </c>
      <c r="AM789" s="79" t="str">
        <f>HYPERLINK("https://t.co/0ID5dl3oP2")</f>
        <v>https://t.co/0ID5dl3oP2</v>
      </c>
      <c r="AO789" s="76">
        <v>43991.877800925926</v>
      </c>
      <c r="AP789" s="79" t="str">
        <f>HYPERLINK("https://pbs.twimg.com/profile_banners/1270461495764152320/1644612956")</f>
        <v>https://pbs.twimg.com/profile_banners/1270461495764152320/1644612956</v>
      </c>
      <c r="AQ789" t="b">
        <v>1</v>
      </c>
      <c r="AR789" t="b">
        <v>0</v>
      </c>
      <c r="AS789" t="b">
        <v>0</v>
      </c>
      <c r="AU789">
        <v>0</v>
      </c>
      <c r="AW789" t="b">
        <v>1</v>
      </c>
      <c r="AX789" t="s">
        <v>9303</v>
      </c>
      <c r="AY789" s="79" t="str">
        <f>HYPERLINK("https://twitter.com/poshmarksupport")</f>
        <v>https://twitter.com/poshmarksupport</v>
      </c>
      <c r="AZ789" t="s">
        <v>65</v>
      </c>
      <c r="BA789" s="2"/>
    </row>
    <row r="790" spans="1:53" x14ac:dyDescent="0.45">
      <c r="A790" s="62" t="s">
        <v>833</v>
      </c>
      <c r="B790" s="63"/>
      <c r="C790" s="63"/>
      <c r="D790" s="64"/>
      <c r="E790" s="66"/>
      <c r="F790" s="98" t="str">
        <f>HYPERLINK("https://pbs.twimg.com/profile_images/1611235801878388737/qkJa489d_normal.jpg")</f>
        <v>https://pbs.twimg.com/profile_images/1611235801878388737/qkJa489d_normal.jpg</v>
      </c>
      <c r="G790" s="63"/>
      <c r="H790" s="67"/>
      <c r="I790" s="68"/>
      <c r="J790" s="68"/>
      <c r="K790" s="67" t="s">
        <v>10226</v>
      </c>
      <c r="L790" s="71"/>
      <c r="M790" s="72"/>
      <c r="N790" s="72"/>
      <c r="O790" s="73"/>
      <c r="P790" s="74"/>
      <c r="Q790" s="74"/>
      <c r="R790" s="81"/>
      <c r="S790" s="81"/>
      <c r="T790" s="81"/>
      <c r="U790" s="81"/>
      <c r="V790" s="48"/>
      <c r="W790" s="48"/>
      <c r="X790" s="48"/>
      <c r="Y790" s="48"/>
      <c r="Z790" s="47"/>
      <c r="AA790" s="69"/>
      <c r="AB790" s="69"/>
      <c r="AC790" s="70"/>
      <c r="AD790" t="s">
        <v>5910</v>
      </c>
      <c r="AE790" s="78" t="s">
        <v>7127</v>
      </c>
      <c r="AF790">
        <v>519</v>
      </c>
      <c r="AG790">
        <v>607</v>
      </c>
      <c r="AH790">
        <v>7099</v>
      </c>
      <c r="AI790">
        <v>11685</v>
      </c>
      <c r="AK790" t="s">
        <v>8293</v>
      </c>
      <c r="AM790" s="79" t="str">
        <f>HYPERLINK("https://t.co/5GRDqAfgTP")</f>
        <v>https://t.co/5GRDqAfgTP</v>
      </c>
      <c r="AO790" s="76">
        <v>43907.149363425924</v>
      </c>
      <c r="AP790" s="79" t="str">
        <f>HYPERLINK("https://pbs.twimg.com/profile_banners/1239757057441452038/1672982412")</f>
        <v>https://pbs.twimg.com/profile_banners/1239757057441452038/1672982412</v>
      </c>
      <c r="AQ790" t="b">
        <v>1</v>
      </c>
      <c r="AR790" t="b">
        <v>0</v>
      </c>
      <c r="AS790" t="b">
        <v>0</v>
      </c>
      <c r="AU790">
        <v>1</v>
      </c>
      <c r="AW790" t="b">
        <v>0</v>
      </c>
      <c r="AX790" t="s">
        <v>9303</v>
      </c>
      <c r="AY790" s="79" t="str">
        <f>HYPERLINK("https://twitter.com/mileycardi")</f>
        <v>https://twitter.com/mileycardi</v>
      </c>
      <c r="AZ790" t="s">
        <v>66</v>
      </c>
      <c r="BA790" s="2"/>
    </row>
    <row r="791" spans="1:53" x14ac:dyDescent="0.45">
      <c r="A791" s="62" t="s">
        <v>1000</v>
      </c>
      <c r="B791" s="63"/>
      <c r="C791" s="63"/>
      <c r="D791" s="64"/>
      <c r="E791" s="66"/>
      <c r="F791" s="98" t="str">
        <f>HYPERLINK("https://pbs.twimg.com/profile_images/1618446382611709952/OPBLAWFZ_normal.jpg")</f>
        <v>https://pbs.twimg.com/profile_images/1618446382611709952/OPBLAWFZ_normal.jpg</v>
      </c>
      <c r="G791" s="63"/>
      <c r="H791" s="67"/>
      <c r="I791" s="68"/>
      <c r="J791" s="68"/>
      <c r="K791" s="67" t="s">
        <v>10475</v>
      </c>
      <c r="L791" s="71"/>
      <c r="M791" s="72"/>
      <c r="N791" s="72"/>
      <c r="O791" s="73"/>
      <c r="P791" s="74"/>
      <c r="Q791" s="74"/>
      <c r="R791" s="81"/>
      <c r="S791" s="81"/>
      <c r="T791" s="81"/>
      <c r="U791" s="81"/>
      <c r="V791" s="48"/>
      <c r="W791" s="48"/>
      <c r="X791" s="48"/>
      <c r="Y791" s="48"/>
      <c r="Z791" s="47"/>
      <c r="AA791" s="69"/>
      <c r="AB791" s="69"/>
      <c r="AC791" s="70"/>
      <c r="AD791" t="s">
        <v>6155</v>
      </c>
      <c r="AE791" s="78" t="s">
        <v>7341</v>
      </c>
      <c r="AF791">
        <v>2106</v>
      </c>
      <c r="AG791">
        <v>607</v>
      </c>
      <c r="AH791">
        <v>5362</v>
      </c>
      <c r="AI791">
        <v>18731</v>
      </c>
      <c r="AK791" t="s">
        <v>8514</v>
      </c>
      <c r="AO791" s="76">
        <v>44896.14267361111</v>
      </c>
      <c r="AQ791" t="b">
        <v>1</v>
      </c>
      <c r="AR791" t="b">
        <v>0</v>
      </c>
      <c r="AS791" t="b">
        <v>0</v>
      </c>
      <c r="AU791">
        <v>0</v>
      </c>
      <c r="AW791" t="b">
        <v>0</v>
      </c>
      <c r="AX791" t="s">
        <v>9303</v>
      </c>
      <c r="AY791" s="79" t="str">
        <f>HYPERLINK("https://twitter.com/lavishbarbie8")</f>
        <v>https://twitter.com/lavishbarbie8</v>
      </c>
      <c r="AZ791" t="s">
        <v>66</v>
      </c>
      <c r="BA791" s="2"/>
    </row>
    <row r="792" spans="1:53" x14ac:dyDescent="0.45">
      <c r="A792" s="62" t="s">
        <v>489</v>
      </c>
      <c r="B792" s="63"/>
      <c r="C792" s="63"/>
      <c r="D792" s="64"/>
      <c r="E792" s="66"/>
      <c r="F792" s="98" t="str">
        <f>HYPERLINK("https://pbs.twimg.com/profile_images/1292919583595208704/RWj0hOq8_normal.jpg")</f>
        <v>https://pbs.twimg.com/profile_images/1292919583595208704/RWj0hOq8_normal.jpg</v>
      </c>
      <c r="G792" s="63"/>
      <c r="H792" s="67"/>
      <c r="I792" s="68"/>
      <c r="J792" s="68"/>
      <c r="K792" s="67" t="s">
        <v>9762</v>
      </c>
      <c r="L792" s="71"/>
      <c r="M792" s="72"/>
      <c r="N792" s="72"/>
      <c r="O792" s="73"/>
      <c r="P792" s="74"/>
      <c r="Q792" s="74"/>
      <c r="R792" s="81"/>
      <c r="S792" s="81"/>
      <c r="T792" s="81"/>
      <c r="U792" s="81"/>
      <c r="V792" s="48"/>
      <c r="W792" s="48"/>
      <c r="X792" s="48"/>
      <c r="Y792" s="48"/>
      <c r="Z792" s="47"/>
      <c r="AA792" s="69"/>
      <c r="AB792" s="69"/>
      <c r="AC792" s="70"/>
      <c r="AD792" t="s">
        <v>5454</v>
      </c>
      <c r="AE792" s="78" t="s">
        <v>6717</v>
      </c>
      <c r="AF792">
        <v>434</v>
      </c>
      <c r="AG792">
        <v>606</v>
      </c>
      <c r="AH792">
        <v>15734</v>
      </c>
      <c r="AI792">
        <v>16407</v>
      </c>
      <c r="AK792" t="s">
        <v>7887</v>
      </c>
      <c r="AL792" t="s">
        <v>8906</v>
      </c>
      <c r="AO792" s="76">
        <v>41037.773831018516</v>
      </c>
      <c r="AP792" s="79" t="str">
        <f>HYPERLINK("https://pbs.twimg.com/profile_banners/574691084/1469259779")</f>
        <v>https://pbs.twimg.com/profile_banners/574691084/1469259779</v>
      </c>
      <c r="AQ792" t="b">
        <v>0</v>
      </c>
      <c r="AR792" t="b">
        <v>0</v>
      </c>
      <c r="AS792" t="b">
        <v>0</v>
      </c>
      <c r="AU792">
        <v>5</v>
      </c>
      <c r="AV792" s="79" t="str">
        <f>HYPERLINK("https://abs.twimg.com/images/themes/theme17/bg.gif")</f>
        <v>https://abs.twimg.com/images/themes/theme17/bg.gif</v>
      </c>
      <c r="AW792" t="b">
        <v>0</v>
      </c>
      <c r="AX792" t="s">
        <v>9303</v>
      </c>
      <c r="AY792" s="79" t="str">
        <f>HYPERLINK("https://twitter.com/xxradiatelove")</f>
        <v>https://twitter.com/xxradiatelove</v>
      </c>
      <c r="AZ792" t="s">
        <v>66</v>
      </c>
      <c r="BA792" s="2"/>
    </row>
    <row r="793" spans="1:53" x14ac:dyDescent="0.45">
      <c r="A793" s="62" t="s">
        <v>777</v>
      </c>
      <c r="B793" s="63"/>
      <c r="C793" s="63"/>
      <c r="D793" s="64"/>
      <c r="E793" s="66"/>
      <c r="F793" s="98" t="str">
        <f>HYPERLINK("https://pbs.twimg.com/profile_images/1609024028735324160/Hl1f8PNn_normal.jpg")</f>
        <v>https://pbs.twimg.com/profile_images/1609024028735324160/Hl1f8PNn_normal.jpg</v>
      </c>
      <c r="G793" s="63"/>
      <c r="H793" s="67"/>
      <c r="I793" s="68"/>
      <c r="J793" s="68"/>
      <c r="K793" s="67" t="s">
        <v>10135</v>
      </c>
      <c r="L793" s="71"/>
      <c r="M793" s="72"/>
      <c r="N793" s="72"/>
      <c r="O793" s="73"/>
      <c r="P793" s="74"/>
      <c r="Q793" s="74"/>
      <c r="R793" s="81"/>
      <c r="S793" s="81"/>
      <c r="T793" s="81"/>
      <c r="U793" s="81"/>
      <c r="V793" s="48"/>
      <c r="W793" s="48"/>
      <c r="X793" s="48"/>
      <c r="Y793" s="48"/>
      <c r="Z793" s="47"/>
      <c r="AA793" s="69"/>
      <c r="AB793" s="69"/>
      <c r="AC793" s="70"/>
      <c r="AD793" t="s">
        <v>5823</v>
      </c>
      <c r="AE793" s="78" t="s">
        <v>7050</v>
      </c>
      <c r="AF793">
        <v>386</v>
      </c>
      <c r="AG793">
        <v>597</v>
      </c>
      <c r="AH793">
        <v>11501</v>
      </c>
      <c r="AI793">
        <v>40297</v>
      </c>
      <c r="AO793" s="76">
        <v>41770.978750000002</v>
      </c>
      <c r="AP793" s="79" t="str">
        <f>HYPERLINK("https://pbs.twimg.com/profile_banners/2541977675/1634836279")</f>
        <v>https://pbs.twimg.com/profile_banners/2541977675/1634836279</v>
      </c>
      <c r="AQ793" t="b">
        <v>0</v>
      </c>
      <c r="AR793" t="b">
        <v>0</v>
      </c>
      <c r="AS793" t="b">
        <v>1</v>
      </c>
      <c r="AU793">
        <v>1</v>
      </c>
      <c r="AV793" s="79" t="str">
        <f>HYPERLINK("https://abs.twimg.com/images/themes/theme1/bg.png")</f>
        <v>https://abs.twimg.com/images/themes/theme1/bg.png</v>
      </c>
      <c r="AW793" t="b">
        <v>0</v>
      </c>
      <c r="AX793" t="s">
        <v>9303</v>
      </c>
      <c r="AY793" s="79" t="str">
        <f>HYPERLINK("https://twitter.com/giras0ul")</f>
        <v>https://twitter.com/giras0ul</v>
      </c>
      <c r="AZ793" t="s">
        <v>66</v>
      </c>
      <c r="BA793" s="2"/>
    </row>
    <row r="794" spans="1:53" x14ac:dyDescent="0.45">
      <c r="A794" s="62" t="s">
        <v>490</v>
      </c>
      <c r="B794" s="63"/>
      <c r="C794" s="63"/>
      <c r="D794" s="64"/>
      <c r="E794" s="66"/>
      <c r="F794" s="98" t="str">
        <f>HYPERLINK("https://pbs.twimg.com/profile_images/1609422446599307266/2UHtyLWc_normal.jpg")</f>
        <v>https://pbs.twimg.com/profile_images/1609422446599307266/2UHtyLWc_normal.jpg</v>
      </c>
      <c r="G794" s="63"/>
      <c r="H794" s="67"/>
      <c r="I794" s="68"/>
      <c r="J794" s="68"/>
      <c r="K794" s="67" t="s">
        <v>9763</v>
      </c>
      <c r="L794" s="71"/>
      <c r="M794" s="72"/>
      <c r="N794" s="72"/>
      <c r="O794" s="73"/>
      <c r="P794" s="74"/>
      <c r="Q794" s="74"/>
      <c r="R794" s="81"/>
      <c r="S794" s="81"/>
      <c r="T794" s="81"/>
      <c r="U794" s="81"/>
      <c r="V794" s="48"/>
      <c r="W794" s="48"/>
      <c r="X794" s="48"/>
      <c r="Y794" s="48"/>
      <c r="Z794" s="47"/>
      <c r="AA794" s="69"/>
      <c r="AB794" s="69"/>
      <c r="AC794" s="70"/>
      <c r="AD794" t="s">
        <v>5455</v>
      </c>
      <c r="AE794" s="78" t="s">
        <v>6718</v>
      </c>
      <c r="AF794">
        <v>829</v>
      </c>
      <c r="AG794">
        <v>593</v>
      </c>
      <c r="AH794">
        <v>10990</v>
      </c>
      <c r="AI794">
        <v>8561</v>
      </c>
      <c r="AK794" t="s">
        <v>7888</v>
      </c>
      <c r="AM794" s="79" t="str">
        <f>HYPERLINK("https://t.co/3oBvNIBM3T")</f>
        <v>https://t.co/3oBvNIBM3T</v>
      </c>
      <c r="AO794" s="76">
        <v>44051.384560185186</v>
      </c>
      <c r="AP794" s="79" t="str">
        <f>HYPERLINK("https://pbs.twimg.com/profile_banners/1292026162793910272/1641144292")</f>
        <v>https://pbs.twimg.com/profile_banners/1292026162793910272/1641144292</v>
      </c>
      <c r="AQ794" t="b">
        <v>1</v>
      </c>
      <c r="AR794" t="b">
        <v>0</v>
      </c>
      <c r="AS794" t="b">
        <v>1</v>
      </c>
      <c r="AU794">
        <v>3</v>
      </c>
      <c r="AW794" t="b">
        <v>0</v>
      </c>
      <c r="AX794" t="s">
        <v>9303</v>
      </c>
      <c r="AY794" s="79" t="str">
        <f>HYPERLINK("https://twitter.com/gossipmileyray")</f>
        <v>https://twitter.com/gossipmileyray</v>
      </c>
      <c r="AZ794" t="s">
        <v>66</v>
      </c>
      <c r="BA794" s="2"/>
    </row>
    <row r="795" spans="1:53" x14ac:dyDescent="0.45">
      <c r="A795" s="62" t="s">
        <v>941</v>
      </c>
      <c r="B795" s="63"/>
      <c r="C795" s="63"/>
      <c r="D795" s="64"/>
      <c r="E795" s="66"/>
      <c r="F795" s="98" t="str">
        <f>HYPERLINK("https://pbs.twimg.com/profile_images/1368430989282836480/tfRyUpkH_normal.jpg")</f>
        <v>https://pbs.twimg.com/profile_images/1368430989282836480/tfRyUpkH_normal.jpg</v>
      </c>
      <c r="G795" s="63"/>
      <c r="H795" s="67"/>
      <c r="I795" s="68"/>
      <c r="J795" s="68"/>
      <c r="K795" s="67" t="s">
        <v>10380</v>
      </c>
      <c r="L795" s="71"/>
      <c r="M795" s="72"/>
      <c r="N795" s="72"/>
      <c r="O795" s="73"/>
      <c r="P795" s="74"/>
      <c r="Q795" s="74"/>
      <c r="R795" s="81"/>
      <c r="S795" s="81"/>
      <c r="T795" s="81"/>
      <c r="U795" s="81"/>
      <c r="V795" s="48"/>
      <c r="W795" s="48"/>
      <c r="X795" s="48"/>
      <c r="Y795" s="48"/>
      <c r="Z795" s="47"/>
      <c r="AA795" s="69"/>
      <c r="AB795" s="69"/>
      <c r="AC795" s="70"/>
      <c r="AD795" t="s">
        <v>6063</v>
      </c>
      <c r="AE795" s="78" t="s">
        <v>7265</v>
      </c>
      <c r="AF795">
        <v>1389</v>
      </c>
      <c r="AG795">
        <v>593</v>
      </c>
      <c r="AH795">
        <v>6649</v>
      </c>
      <c r="AI795">
        <v>16617</v>
      </c>
      <c r="AK795" t="s">
        <v>8428</v>
      </c>
      <c r="AM795" s="79" t="str">
        <f>HYPERLINK("https://t.co/P7ba4cd96C")</f>
        <v>https://t.co/P7ba4cd96C</v>
      </c>
      <c r="AO795" s="76">
        <v>41954.031585648147</v>
      </c>
      <c r="AP795" s="79" t="str">
        <f>HYPERLINK("https://pbs.twimg.com/profile_banners/2871542861/1580959480")</f>
        <v>https://pbs.twimg.com/profile_banners/2871542861/1580959480</v>
      </c>
      <c r="AQ795" t="b">
        <v>1</v>
      </c>
      <c r="AR795" t="b">
        <v>0</v>
      </c>
      <c r="AS795" t="b">
        <v>1</v>
      </c>
      <c r="AU795">
        <v>2</v>
      </c>
      <c r="AV795" s="79" t="str">
        <f>HYPERLINK("https://abs.twimg.com/images/themes/theme1/bg.png")</f>
        <v>https://abs.twimg.com/images/themes/theme1/bg.png</v>
      </c>
      <c r="AW795" t="b">
        <v>0</v>
      </c>
      <c r="AX795" t="s">
        <v>9303</v>
      </c>
      <c r="AY795" s="79" t="str">
        <f>HYPERLINK("https://twitter.com/tiffcavanaugh")</f>
        <v>https://twitter.com/tiffcavanaugh</v>
      </c>
      <c r="AZ795" t="s">
        <v>66</v>
      </c>
      <c r="BA795" s="2"/>
    </row>
    <row r="796" spans="1:53" x14ac:dyDescent="0.45">
      <c r="A796" s="62" t="s">
        <v>259</v>
      </c>
      <c r="B796" s="63"/>
      <c r="C796" s="63"/>
      <c r="D796" s="64"/>
      <c r="E796" s="66"/>
      <c r="F796" s="98" t="str">
        <f>HYPERLINK("https://pbs.twimg.com/profile_images/895535173420277760/RbQrGvOA_normal.jpg")</f>
        <v>https://pbs.twimg.com/profile_images/895535173420277760/RbQrGvOA_normal.jpg</v>
      </c>
      <c r="G796" s="63"/>
      <c r="H796" s="67"/>
      <c r="I796" s="68"/>
      <c r="J796" s="68"/>
      <c r="K796" s="67" t="s">
        <v>9402</v>
      </c>
      <c r="L796" s="71"/>
      <c r="M796" s="72"/>
      <c r="N796" s="72"/>
      <c r="O796" s="73"/>
      <c r="P796" s="74"/>
      <c r="Q796" s="74"/>
      <c r="R796" s="81"/>
      <c r="S796" s="81"/>
      <c r="T796" s="81"/>
      <c r="U796" s="81"/>
      <c r="V796" s="48"/>
      <c r="W796" s="48"/>
      <c r="X796" s="48"/>
      <c r="Y796" s="48"/>
      <c r="Z796" s="47"/>
      <c r="AA796" s="69"/>
      <c r="AB796" s="69"/>
      <c r="AC796" s="70"/>
      <c r="AD796" t="s">
        <v>5097</v>
      </c>
      <c r="AE796" s="78" t="s">
        <v>6407</v>
      </c>
      <c r="AF796">
        <v>1623</v>
      </c>
      <c r="AG796">
        <v>591</v>
      </c>
      <c r="AH796">
        <v>81421</v>
      </c>
      <c r="AI796">
        <v>94504</v>
      </c>
      <c r="AO796" s="76">
        <v>42957.252465277779</v>
      </c>
      <c r="AQ796" t="b">
        <v>1</v>
      </c>
      <c r="AR796" t="b">
        <v>0</v>
      </c>
      <c r="AS796" t="b">
        <v>1</v>
      </c>
      <c r="AU796">
        <v>2</v>
      </c>
      <c r="AW796" t="b">
        <v>0</v>
      </c>
      <c r="AX796" t="s">
        <v>9303</v>
      </c>
      <c r="AY796" s="79" t="str">
        <f>HYPERLINK("https://twitter.com/direct7e")</f>
        <v>https://twitter.com/direct7e</v>
      </c>
      <c r="AZ796" t="s">
        <v>66</v>
      </c>
      <c r="BA796" s="2"/>
    </row>
    <row r="797" spans="1:53" x14ac:dyDescent="0.45">
      <c r="A797" s="62" t="s">
        <v>879</v>
      </c>
      <c r="B797" s="63"/>
      <c r="C797" s="63"/>
      <c r="D797" s="64"/>
      <c r="E797" s="66"/>
      <c r="F797" s="98" t="str">
        <f>HYPERLINK("https://pbs.twimg.com/profile_images/1618782324006477825/6WydtEfy_normal.jpg")</f>
        <v>https://pbs.twimg.com/profile_images/1618782324006477825/6WydtEfy_normal.jpg</v>
      </c>
      <c r="G797" s="63"/>
      <c r="H797" s="67"/>
      <c r="I797" s="68"/>
      <c r="J797" s="68"/>
      <c r="K797" s="67" t="s">
        <v>10282</v>
      </c>
      <c r="L797" s="71"/>
      <c r="M797" s="72"/>
      <c r="N797" s="72"/>
      <c r="O797" s="73"/>
      <c r="P797" s="74"/>
      <c r="Q797" s="74"/>
      <c r="R797" s="81"/>
      <c r="S797" s="81"/>
      <c r="T797" s="81"/>
      <c r="U797" s="81"/>
      <c r="V797" s="48"/>
      <c r="W797" s="48"/>
      <c r="X797" s="48"/>
      <c r="Y797" s="48"/>
      <c r="Z797" s="47"/>
      <c r="AA797" s="69"/>
      <c r="AB797" s="69"/>
      <c r="AC797" s="70"/>
      <c r="AD797" t="s">
        <v>5965</v>
      </c>
      <c r="AE797" s="78" t="s">
        <v>7177</v>
      </c>
      <c r="AF797">
        <v>591</v>
      </c>
      <c r="AG797">
        <v>590</v>
      </c>
      <c r="AH797">
        <v>5091</v>
      </c>
      <c r="AI797">
        <v>8015</v>
      </c>
      <c r="AK797" t="s">
        <v>8342</v>
      </c>
      <c r="AL797" t="s">
        <v>9151</v>
      </c>
      <c r="AM797" s="79" t="str">
        <f>HYPERLINK("https://t.co/gbVeOfpDqj")</f>
        <v>https://t.co/gbVeOfpDqj</v>
      </c>
      <c r="AO797" s="76">
        <v>40676.914930555555</v>
      </c>
      <c r="AP797" s="79" t="str">
        <f>HYPERLINK("https://pbs.twimg.com/profile_banners/298196823/1602666778")</f>
        <v>https://pbs.twimg.com/profile_banners/298196823/1602666778</v>
      </c>
      <c r="AQ797" t="b">
        <v>0</v>
      </c>
      <c r="AR797" t="b">
        <v>0</v>
      </c>
      <c r="AS797" t="b">
        <v>0</v>
      </c>
      <c r="AU797">
        <v>4</v>
      </c>
      <c r="AV797" s="79" t="str">
        <f>HYPERLINK("https://abs.twimg.com/images/themes/theme1/bg.png")</f>
        <v>https://abs.twimg.com/images/themes/theme1/bg.png</v>
      </c>
      <c r="AW797" t="b">
        <v>0</v>
      </c>
      <c r="AX797" t="s">
        <v>9303</v>
      </c>
      <c r="AY797" s="79" t="str">
        <f>HYPERLINK("https://twitter.com/bettafold")</f>
        <v>https://twitter.com/bettafold</v>
      </c>
      <c r="AZ797" t="s">
        <v>66</v>
      </c>
      <c r="BA797" s="2"/>
    </row>
    <row r="798" spans="1:53" x14ac:dyDescent="0.45">
      <c r="A798" s="62" t="s">
        <v>1029</v>
      </c>
      <c r="B798" s="63"/>
      <c r="C798" s="63"/>
      <c r="D798" s="64"/>
      <c r="E798" s="66"/>
      <c r="F798" s="98" t="str">
        <f>HYPERLINK("https://pbs.twimg.com/profile_images/1294846081503813632/AhmDuqja_normal.jpg")</f>
        <v>https://pbs.twimg.com/profile_images/1294846081503813632/AhmDuqja_normal.jpg</v>
      </c>
      <c r="G798" s="63"/>
      <c r="H798" s="67"/>
      <c r="I798" s="68"/>
      <c r="J798" s="68"/>
      <c r="K798" s="67" t="s">
        <v>10516</v>
      </c>
      <c r="L798" s="71"/>
      <c r="M798" s="72"/>
      <c r="N798" s="72"/>
      <c r="O798" s="73"/>
      <c r="P798" s="74"/>
      <c r="Q798" s="74"/>
      <c r="R798" s="81"/>
      <c r="S798" s="81"/>
      <c r="T798" s="81"/>
      <c r="U798" s="81"/>
      <c r="V798" s="48"/>
      <c r="W798" s="48"/>
      <c r="X798" s="48"/>
      <c r="Y798" s="48"/>
      <c r="Z798" s="47"/>
      <c r="AA798" s="69"/>
      <c r="AB798" s="69"/>
      <c r="AC798" s="70"/>
      <c r="AD798" t="s">
        <v>6194</v>
      </c>
      <c r="AE798" s="78" t="s">
        <v>7376</v>
      </c>
      <c r="AF798">
        <v>1639</v>
      </c>
      <c r="AG798">
        <v>589</v>
      </c>
      <c r="AH798">
        <v>9018</v>
      </c>
      <c r="AI798">
        <v>1009</v>
      </c>
      <c r="AK798" t="s">
        <v>8547</v>
      </c>
      <c r="AL798" t="s">
        <v>9247</v>
      </c>
      <c r="AO798" s="76">
        <v>43823.259259259263</v>
      </c>
      <c r="AP798" s="79" t="str">
        <f>HYPERLINK("https://pbs.twimg.com/profile_banners/1209356272551772160/1669243051")</f>
        <v>https://pbs.twimg.com/profile_banners/1209356272551772160/1669243051</v>
      </c>
      <c r="AQ798" t="b">
        <v>0</v>
      </c>
      <c r="AR798" t="b">
        <v>0</v>
      </c>
      <c r="AS798" t="b">
        <v>0</v>
      </c>
      <c r="AU798">
        <v>1</v>
      </c>
      <c r="AV798" s="79" t="str">
        <f>HYPERLINK("https://abs.twimg.com/images/themes/theme1/bg.png")</f>
        <v>https://abs.twimg.com/images/themes/theme1/bg.png</v>
      </c>
      <c r="AW798" t="b">
        <v>0</v>
      </c>
      <c r="AX798" t="s">
        <v>9303</v>
      </c>
      <c r="AY798" s="79" t="str">
        <f>HYPERLINK("https://twitter.com/jobrosfanwis")</f>
        <v>https://twitter.com/jobrosfanwis</v>
      </c>
      <c r="AZ798" t="s">
        <v>66</v>
      </c>
      <c r="BA798" s="2"/>
    </row>
    <row r="799" spans="1:53" x14ac:dyDescent="0.45">
      <c r="A799" s="62" t="s">
        <v>991</v>
      </c>
      <c r="B799" s="63"/>
      <c r="C799" s="63"/>
      <c r="D799" s="64"/>
      <c r="E799" s="66"/>
      <c r="F799" s="98" t="str">
        <f>HYPERLINK("https://pbs.twimg.com/profile_images/1619227701448933376/YzcGW2wH_normal.jpg")</f>
        <v>https://pbs.twimg.com/profile_images/1619227701448933376/YzcGW2wH_normal.jpg</v>
      </c>
      <c r="G799" s="63"/>
      <c r="H799" s="67"/>
      <c r="I799" s="68"/>
      <c r="J799" s="68"/>
      <c r="K799" s="67" t="s">
        <v>10456</v>
      </c>
      <c r="L799" s="71"/>
      <c r="M799" s="72"/>
      <c r="N799" s="72"/>
      <c r="O799" s="73"/>
      <c r="P799" s="74"/>
      <c r="Q799" s="74"/>
      <c r="R799" s="81"/>
      <c r="S799" s="81"/>
      <c r="T799" s="81"/>
      <c r="U799" s="81"/>
      <c r="V799" s="48"/>
      <c r="W799" s="48"/>
      <c r="X799" s="48"/>
      <c r="Y799" s="48"/>
      <c r="Z799" s="47"/>
      <c r="AA799" s="69"/>
      <c r="AB799" s="69"/>
      <c r="AC799" s="70"/>
      <c r="AD799" t="s">
        <v>6137</v>
      </c>
      <c r="AE799" s="78" t="s">
        <v>4789</v>
      </c>
      <c r="AF799">
        <v>339</v>
      </c>
      <c r="AG799">
        <v>582</v>
      </c>
      <c r="AH799">
        <v>17187</v>
      </c>
      <c r="AI799">
        <v>43907</v>
      </c>
      <c r="AK799" t="s">
        <v>1215</v>
      </c>
      <c r="AO799" s="76">
        <v>41520.161782407406</v>
      </c>
      <c r="AP799" s="79" t="str">
        <f>HYPERLINK("https://pbs.twimg.com/profile_banners/1724263200/1674870950")</f>
        <v>https://pbs.twimg.com/profile_banners/1724263200/1674870950</v>
      </c>
      <c r="AQ799" t="b">
        <v>1</v>
      </c>
      <c r="AR799" t="b">
        <v>0</v>
      </c>
      <c r="AS799" t="b">
        <v>1</v>
      </c>
      <c r="AU799">
        <v>0</v>
      </c>
      <c r="AV799" s="79" t="str">
        <f>HYPERLINK("https://abs.twimg.com/images/themes/theme1/bg.png")</f>
        <v>https://abs.twimg.com/images/themes/theme1/bg.png</v>
      </c>
      <c r="AW799" t="b">
        <v>0</v>
      </c>
      <c r="AX799" t="s">
        <v>9303</v>
      </c>
      <c r="AY799" s="79" t="str">
        <f>HYPERLINK("https://twitter.com/kxvelz")</f>
        <v>https://twitter.com/kxvelz</v>
      </c>
      <c r="AZ799" t="s">
        <v>66</v>
      </c>
      <c r="BA799" s="2"/>
    </row>
    <row r="800" spans="1:53" x14ac:dyDescent="0.45">
      <c r="A800" s="62" t="s">
        <v>725</v>
      </c>
      <c r="B800" s="63"/>
      <c r="C800" s="63"/>
      <c r="D800" s="64"/>
      <c r="E800" s="66"/>
      <c r="F800" s="98" t="str">
        <f>HYPERLINK("https://pbs.twimg.com/profile_images/1609391578899939329/EIY3xOyY_normal.jpg")</f>
        <v>https://pbs.twimg.com/profile_images/1609391578899939329/EIY3xOyY_normal.jpg</v>
      </c>
      <c r="G800" s="63"/>
      <c r="H800" s="67"/>
      <c r="I800" s="68"/>
      <c r="J800" s="68"/>
      <c r="K800" s="67" t="s">
        <v>10071</v>
      </c>
      <c r="L800" s="71"/>
      <c r="M800" s="72"/>
      <c r="N800" s="72"/>
      <c r="O800" s="73"/>
      <c r="P800" s="74"/>
      <c r="Q800" s="74"/>
      <c r="R800" s="81"/>
      <c r="S800" s="81"/>
      <c r="T800" s="81"/>
      <c r="U800" s="81"/>
      <c r="V800" s="48"/>
      <c r="W800" s="48"/>
      <c r="X800" s="48"/>
      <c r="Y800" s="48"/>
      <c r="Z800" s="47"/>
      <c r="AA800" s="69"/>
      <c r="AB800" s="69"/>
      <c r="AC800" s="70"/>
      <c r="AD800" t="s">
        <v>5760</v>
      </c>
      <c r="AE800" s="78" t="s">
        <v>4734</v>
      </c>
      <c r="AF800">
        <v>297</v>
      </c>
      <c r="AG800">
        <v>580</v>
      </c>
      <c r="AH800">
        <v>196781</v>
      </c>
      <c r="AI800">
        <v>190158</v>
      </c>
      <c r="AK800" t="s">
        <v>8157</v>
      </c>
      <c r="AL800" t="s">
        <v>4917</v>
      </c>
      <c r="AO800" s="76">
        <v>43110.044062499997</v>
      </c>
      <c r="AP800" s="79" t="str">
        <f>HYPERLINK("https://pbs.twimg.com/profile_banners/950895831313510401/1596971136")</f>
        <v>https://pbs.twimg.com/profile_banners/950895831313510401/1596971136</v>
      </c>
      <c r="AQ800" t="b">
        <v>1</v>
      </c>
      <c r="AR800" t="b">
        <v>0</v>
      </c>
      <c r="AS800" t="b">
        <v>0</v>
      </c>
      <c r="AU800">
        <v>12</v>
      </c>
      <c r="AW800" t="b">
        <v>0</v>
      </c>
      <c r="AX800" t="s">
        <v>9303</v>
      </c>
      <c r="AY800" s="79" t="str">
        <f>HYPERLINK("https://twitter.com/redrangerchris")</f>
        <v>https://twitter.com/redrangerchris</v>
      </c>
      <c r="AZ800" t="s">
        <v>66</v>
      </c>
      <c r="BA800" s="2"/>
    </row>
    <row r="801" spans="1:53" x14ac:dyDescent="0.45">
      <c r="A801" s="62" t="s">
        <v>1047</v>
      </c>
      <c r="B801" s="63"/>
      <c r="C801" s="63"/>
      <c r="D801" s="64"/>
      <c r="E801" s="66"/>
      <c r="F801" s="98" t="str">
        <f>HYPERLINK("https://pbs.twimg.com/profile_images/1356061114304487426/EsvSR-cw_normal.jpg")</f>
        <v>https://pbs.twimg.com/profile_images/1356061114304487426/EsvSR-cw_normal.jpg</v>
      </c>
      <c r="G801" s="63"/>
      <c r="H801" s="67"/>
      <c r="I801" s="68"/>
      <c r="J801" s="68"/>
      <c r="K801" s="67" t="s">
        <v>10558</v>
      </c>
      <c r="L801" s="71"/>
      <c r="M801" s="72"/>
      <c r="N801" s="72"/>
      <c r="O801" s="73"/>
      <c r="P801" s="74"/>
      <c r="Q801" s="74"/>
      <c r="R801" s="81"/>
      <c r="S801" s="81"/>
      <c r="T801" s="81"/>
      <c r="U801" s="81"/>
      <c r="V801" s="48"/>
      <c r="W801" s="48"/>
      <c r="X801" s="48"/>
      <c r="Y801" s="48"/>
      <c r="Z801" s="47"/>
      <c r="AA801" s="69"/>
      <c r="AB801" s="69"/>
      <c r="AC801" s="70"/>
      <c r="AD801" t="s">
        <v>6236</v>
      </c>
      <c r="AE801" s="78" t="s">
        <v>7412</v>
      </c>
      <c r="AF801">
        <v>4561</v>
      </c>
      <c r="AG801">
        <v>577</v>
      </c>
      <c r="AH801">
        <v>60766</v>
      </c>
      <c r="AI801">
        <v>40293</v>
      </c>
      <c r="AK801" t="s">
        <v>8584</v>
      </c>
      <c r="AL801" t="s">
        <v>9257</v>
      </c>
      <c r="AO801" s="76">
        <v>42373.088263888887</v>
      </c>
      <c r="AP801" s="79" t="str">
        <f>HYPERLINK("https://pbs.twimg.com/profile_banners/4700469321/1613093356")</f>
        <v>https://pbs.twimg.com/profile_banners/4700469321/1613093356</v>
      </c>
      <c r="AQ801" t="b">
        <v>1</v>
      </c>
      <c r="AR801" t="b">
        <v>0</v>
      </c>
      <c r="AS801" t="b">
        <v>0</v>
      </c>
      <c r="AU801">
        <v>1</v>
      </c>
      <c r="AW801" t="b">
        <v>0</v>
      </c>
      <c r="AX801" t="s">
        <v>9303</v>
      </c>
      <c r="AY801" s="79" t="str">
        <f>HYPERLINK("https://twitter.com/reminiscentxc")</f>
        <v>https://twitter.com/reminiscentxc</v>
      </c>
      <c r="AZ801" t="s">
        <v>66</v>
      </c>
      <c r="BA801" s="2"/>
    </row>
    <row r="802" spans="1:53" x14ac:dyDescent="0.45">
      <c r="A802" s="62" t="s">
        <v>349</v>
      </c>
      <c r="B802" s="63"/>
      <c r="C802" s="63"/>
      <c r="D802" s="64"/>
      <c r="E802" s="66"/>
      <c r="F802" s="98" t="str">
        <f>HYPERLINK("https://pbs.twimg.com/profile_images/1442300308923686921/PXXD5MAq_normal.jpg")</f>
        <v>https://pbs.twimg.com/profile_images/1442300308923686921/PXXD5MAq_normal.jpg</v>
      </c>
      <c r="G802" s="63"/>
      <c r="H802" s="67"/>
      <c r="I802" s="68"/>
      <c r="J802" s="68"/>
      <c r="K802" s="67" t="s">
        <v>9574</v>
      </c>
      <c r="L802" s="71"/>
      <c r="M802" s="72"/>
      <c r="N802" s="72"/>
      <c r="O802" s="73"/>
      <c r="P802" s="74"/>
      <c r="Q802" s="74"/>
      <c r="R802" s="81"/>
      <c r="S802" s="81"/>
      <c r="T802" s="81"/>
      <c r="U802" s="81"/>
      <c r="V802" s="48"/>
      <c r="W802" s="48"/>
      <c r="X802" s="48"/>
      <c r="Y802" s="48"/>
      <c r="Z802" s="47"/>
      <c r="AA802" s="69"/>
      <c r="AB802" s="69"/>
      <c r="AC802" s="70"/>
      <c r="AD802" t="s">
        <v>5267</v>
      </c>
      <c r="AE802" s="78" t="s">
        <v>6545</v>
      </c>
      <c r="AF802">
        <v>1202</v>
      </c>
      <c r="AG802">
        <v>571</v>
      </c>
      <c r="AH802">
        <v>7585</v>
      </c>
      <c r="AI802">
        <v>7175</v>
      </c>
      <c r="AO802" s="76">
        <v>44466.062083333331</v>
      </c>
      <c r="AQ802" t="b">
        <v>1</v>
      </c>
      <c r="AR802" t="b">
        <v>0</v>
      </c>
      <c r="AS802" t="b">
        <v>1</v>
      </c>
      <c r="AU802">
        <v>4</v>
      </c>
      <c r="AW802" t="b">
        <v>0</v>
      </c>
      <c r="AX802" t="s">
        <v>9303</v>
      </c>
      <c r="AY802" s="79" t="str">
        <f>HYPERLINK("https://twitter.com/eaglesfan12234")</f>
        <v>https://twitter.com/eaglesfan12234</v>
      </c>
      <c r="AZ802" t="s">
        <v>66</v>
      </c>
      <c r="BA802" s="2"/>
    </row>
    <row r="803" spans="1:53" x14ac:dyDescent="0.45">
      <c r="A803" s="62" t="s">
        <v>435</v>
      </c>
      <c r="B803" s="63"/>
      <c r="C803" s="63"/>
      <c r="D803" s="64"/>
      <c r="E803" s="66"/>
      <c r="F803" s="98" t="str">
        <f>HYPERLINK("https://pbs.twimg.com/profile_images/1618052059596554246/eJ7XknId_normal.jpg")</f>
        <v>https://pbs.twimg.com/profile_images/1618052059596554246/eJ7XknId_normal.jpg</v>
      </c>
      <c r="G803" s="63"/>
      <c r="H803" s="67"/>
      <c r="I803" s="68"/>
      <c r="J803" s="68"/>
      <c r="K803" s="67" t="s">
        <v>9690</v>
      </c>
      <c r="L803" s="71"/>
      <c r="M803" s="72"/>
      <c r="N803" s="72"/>
      <c r="O803" s="73"/>
      <c r="P803" s="74"/>
      <c r="Q803" s="74"/>
      <c r="R803" s="81"/>
      <c r="S803" s="81"/>
      <c r="T803" s="81"/>
      <c r="U803" s="81"/>
      <c r="V803" s="48"/>
      <c r="W803" s="48"/>
      <c r="X803" s="48"/>
      <c r="Y803" s="48"/>
      <c r="Z803" s="47"/>
      <c r="AA803" s="69"/>
      <c r="AB803" s="69"/>
      <c r="AC803" s="70"/>
      <c r="AD803" t="s">
        <v>5383</v>
      </c>
      <c r="AE803" s="78" t="s">
        <v>6656</v>
      </c>
      <c r="AF803">
        <v>533</v>
      </c>
      <c r="AG803">
        <v>570</v>
      </c>
      <c r="AH803">
        <v>19382</v>
      </c>
      <c r="AI803">
        <v>41838</v>
      </c>
      <c r="AK803" t="s">
        <v>7829</v>
      </c>
      <c r="AO803" s="76">
        <v>43271.941157407404</v>
      </c>
      <c r="AP803" s="79" t="str">
        <f>HYPERLINK("https://pbs.twimg.com/profile_banners/1009565373094604803/1673545267")</f>
        <v>https://pbs.twimg.com/profile_banners/1009565373094604803/1673545267</v>
      </c>
      <c r="AQ803" t="b">
        <v>1</v>
      </c>
      <c r="AR803" t="b">
        <v>0</v>
      </c>
      <c r="AS803" t="b">
        <v>0</v>
      </c>
      <c r="AU803">
        <v>0</v>
      </c>
      <c r="AW803" t="b">
        <v>0</v>
      </c>
      <c r="AX803" t="s">
        <v>9303</v>
      </c>
      <c r="AY803" s="79" t="str">
        <f>HYPERLINK("https://twitter.com/hileyhearts")</f>
        <v>https://twitter.com/hileyhearts</v>
      </c>
      <c r="AZ803" t="s">
        <v>66</v>
      </c>
      <c r="BA803" s="2"/>
    </row>
    <row r="804" spans="1:53" x14ac:dyDescent="0.45">
      <c r="A804" s="62" t="s">
        <v>891</v>
      </c>
      <c r="B804" s="63"/>
      <c r="C804" s="63"/>
      <c r="D804" s="64"/>
      <c r="E804" s="66"/>
      <c r="F804" s="98" t="str">
        <f>HYPERLINK("https://pbs.twimg.com/profile_images/1610261888818122753/zHO3b6p__normal.jpg")</f>
        <v>https://pbs.twimg.com/profile_images/1610261888818122753/zHO3b6p__normal.jpg</v>
      </c>
      <c r="G804" s="63"/>
      <c r="H804" s="67"/>
      <c r="I804" s="68"/>
      <c r="J804" s="68"/>
      <c r="K804" s="67" t="s">
        <v>10305</v>
      </c>
      <c r="L804" s="71"/>
      <c r="M804" s="72"/>
      <c r="N804" s="72"/>
      <c r="O804" s="73"/>
      <c r="P804" s="74"/>
      <c r="Q804" s="74"/>
      <c r="R804" s="81"/>
      <c r="S804" s="81"/>
      <c r="T804" s="81"/>
      <c r="U804" s="81"/>
      <c r="V804" s="48"/>
      <c r="W804" s="48"/>
      <c r="X804" s="48"/>
      <c r="Y804" s="48"/>
      <c r="Z804" s="47"/>
      <c r="AA804" s="69"/>
      <c r="AB804" s="69"/>
      <c r="AC804" s="70"/>
      <c r="AD804" t="s">
        <v>5988</v>
      </c>
      <c r="AE804" s="78" t="s">
        <v>7198</v>
      </c>
      <c r="AF804">
        <v>824</v>
      </c>
      <c r="AG804">
        <v>565</v>
      </c>
      <c r="AH804">
        <v>8580</v>
      </c>
      <c r="AI804">
        <v>19033</v>
      </c>
      <c r="AL804" t="s">
        <v>9163</v>
      </c>
      <c r="AM804" s="79" t="str">
        <f>HYPERLINK("https://t.co/QVgoNg5Yw1")</f>
        <v>https://t.co/QVgoNg5Yw1</v>
      </c>
      <c r="AO804" s="76">
        <v>40451.510613425926</v>
      </c>
      <c r="AP804" s="79" t="str">
        <f>HYPERLINK("https://pbs.twimg.com/profile_banners/196996720/1672751366")</f>
        <v>https://pbs.twimg.com/profile_banners/196996720/1672751366</v>
      </c>
      <c r="AQ804" t="b">
        <v>0</v>
      </c>
      <c r="AR804" t="b">
        <v>0</v>
      </c>
      <c r="AS804" t="b">
        <v>0</v>
      </c>
      <c r="AU804">
        <v>6</v>
      </c>
      <c r="AV804" s="79" t="str">
        <f>HYPERLINK("https://abs.twimg.com/images/themes/theme3/bg.gif")</f>
        <v>https://abs.twimg.com/images/themes/theme3/bg.gif</v>
      </c>
      <c r="AW804" t="b">
        <v>0</v>
      </c>
      <c r="AX804" t="s">
        <v>9303</v>
      </c>
      <c r="AY804" s="79" t="str">
        <f>HYPERLINK("https://twitter.com/mileylegndcyrus")</f>
        <v>https://twitter.com/mileylegndcyrus</v>
      </c>
      <c r="AZ804" t="s">
        <v>66</v>
      </c>
      <c r="BA804" s="2"/>
    </row>
    <row r="805" spans="1:53" x14ac:dyDescent="0.45">
      <c r="A805" s="62" t="s">
        <v>784</v>
      </c>
      <c r="B805" s="63"/>
      <c r="C805" s="63"/>
      <c r="D805" s="64"/>
      <c r="E805" s="66"/>
      <c r="F805" s="98" t="str">
        <f>HYPERLINK("https://pbs.twimg.com/profile_images/1609522227376181249/VZlQasoK_normal.jpg")</f>
        <v>https://pbs.twimg.com/profile_images/1609522227376181249/VZlQasoK_normal.jpg</v>
      </c>
      <c r="G805" s="63"/>
      <c r="H805" s="67"/>
      <c r="I805" s="68"/>
      <c r="J805" s="68"/>
      <c r="K805" s="67" t="s">
        <v>10144</v>
      </c>
      <c r="L805" s="71"/>
      <c r="M805" s="72"/>
      <c r="N805" s="72"/>
      <c r="O805" s="73"/>
      <c r="P805" s="74"/>
      <c r="Q805" s="74"/>
      <c r="R805" s="81"/>
      <c r="S805" s="81"/>
      <c r="T805" s="81"/>
      <c r="U805" s="81"/>
      <c r="V805" s="48"/>
      <c r="W805" s="48"/>
      <c r="X805" s="48"/>
      <c r="Y805" s="48"/>
      <c r="Z805" s="47"/>
      <c r="AA805" s="69"/>
      <c r="AB805" s="69"/>
      <c r="AC805" s="70"/>
      <c r="AD805" t="s">
        <v>5831</v>
      </c>
      <c r="AE805" s="78" t="s">
        <v>7056</v>
      </c>
      <c r="AF805">
        <v>408</v>
      </c>
      <c r="AG805">
        <v>565</v>
      </c>
      <c r="AH805">
        <v>22220</v>
      </c>
      <c r="AI805">
        <v>112373</v>
      </c>
      <c r="AK805" t="s">
        <v>8223</v>
      </c>
      <c r="AL805" t="s">
        <v>9099</v>
      </c>
      <c r="AO805" s="76">
        <v>43109.524189814816</v>
      </c>
      <c r="AP805" s="79" t="str">
        <f>HYPERLINK("https://pbs.twimg.com/profile_banners/950707436402257920/1600874201")</f>
        <v>https://pbs.twimg.com/profile_banners/950707436402257920/1600874201</v>
      </c>
      <c r="AQ805" t="b">
        <v>1</v>
      </c>
      <c r="AR805" t="b">
        <v>0</v>
      </c>
      <c r="AS805" t="b">
        <v>0</v>
      </c>
      <c r="AU805">
        <v>3</v>
      </c>
      <c r="AW805" t="b">
        <v>0</v>
      </c>
      <c r="AX805" t="s">
        <v>9303</v>
      </c>
      <c r="AY805" s="79" t="str">
        <f>HYPERLINK("https://twitter.com/mileyknows")</f>
        <v>https://twitter.com/mileyknows</v>
      </c>
      <c r="AZ805" t="s">
        <v>66</v>
      </c>
      <c r="BA805" s="2"/>
    </row>
    <row r="806" spans="1:53" x14ac:dyDescent="0.45">
      <c r="A806" s="62" t="s">
        <v>937</v>
      </c>
      <c r="B806" s="63"/>
      <c r="C806" s="63"/>
      <c r="D806" s="64"/>
      <c r="E806" s="66"/>
      <c r="F806" s="98" t="str">
        <f>HYPERLINK("https://pbs.twimg.com/profile_images/1589799915936415744/3C1bghAh_normal.jpg")</f>
        <v>https://pbs.twimg.com/profile_images/1589799915936415744/3C1bghAh_normal.jpg</v>
      </c>
      <c r="G806" s="63"/>
      <c r="H806" s="67"/>
      <c r="I806" s="68"/>
      <c r="J806" s="68"/>
      <c r="K806" s="67" t="s">
        <v>10375</v>
      </c>
      <c r="L806" s="71"/>
      <c r="M806" s="72"/>
      <c r="N806" s="72"/>
      <c r="O806" s="73"/>
      <c r="P806" s="74"/>
      <c r="Q806" s="74"/>
      <c r="R806" s="81"/>
      <c r="S806" s="81"/>
      <c r="T806" s="81"/>
      <c r="U806" s="81"/>
      <c r="V806" s="48"/>
      <c r="W806" s="48"/>
      <c r="X806" s="48"/>
      <c r="Y806" s="48"/>
      <c r="Z806" s="47"/>
      <c r="AA806" s="69"/>
      <c r="AB806" s="69"/>
      <c r="AC806" s="70"/>
      <c r="AD806" t="s">
        <v>6058</v>
      </c>
      <c r="AE806" s="78" t="s">
        <v>4772</v>
      </c>
      <c r="AF806">
        <v>612</v>
      </c>
      <c r="AG806">
        <v>565</v>
      </c>
      <c r="AH806">
        <v>1323</v>
      </c>
      <c r="AI806">
        <v>2540</v>
      </c>
      <c r="AK806" t="s">
        <v>8423</v>
      </c>
      <c r="AO806" s="76">
        <v>44797.746793981481</v>
      </c>
      <c r="AP806" s="79" t="str">
        <f>HYPERLINK("https://pbs.twimg.com/profile_banners/1562498775155097600/1667501255")</f>
        <v>https://pbs.twimg.com/profile_banners/1562498775155097600/1667501255</v>
      </c>
      <c r="AQ806" t="b">
        <v>1</v>
      </c>
      <c r="AR806" t="b">
        <v>0</v>
      </c>
      <c r="AS806" t="b">
        <v>0</v>
      </c>
      <c r="AU806">
        <v>0</v>
      </c>
      <c r="AW806" t="b">
        <v>0</v>
      </c>
      <c r="AX806" t="s">
        <v>9303</v>
      </c>
      <c r="AY806" s="79" t="str">
        <f>HYPERLINK("https://twitter.com/ellydelacruz22")</f>
        <v>https://twitter.com/ellydelacruz22</v>
      </c>
      <c r="AZ806" t="s">
        <v>66</v>
      </c>
      <c r="BA806" s="2"/>
    </row>
    <row r="807" spans="1:53" x14ac:dyDescent="0.45">
      <c r="A807" s="62" t="s">
        <v>385</v>
      </c>
      <c r="B807" s="63"/>
      <c r="C807" s="63"/>
      <c r="D807" s="64"/>
      <c r="E807" s="66"/>
      <c r="F807" s="98" t="str">
        <f>HYPERLINK("https://pbs.twimg.com/profile_images/1614374501713600515/Z7CHMaew_normal.jpg")</f>
        <v>https://pbs.twimg.com/profile_images/1614374501713600515/Z7CHMaew_normal.jpg</v>
      </c>
      <c r="G807" s="63"/>
      <c r="H807" s="67"/>
      <c r="I807" s="68"/>
      <c r="J807" s="68"/>
      <c r="K807" s="67" t="s">
        <v>9633</v>
      </c>
      <c r="L807" s="71"/>
      <c r="M807" s="72"/>
      <c r="N807" s="72"/>
      <c r="O807" s="73"/>
      <c r="P807" s="74"/>
      <c r="Q807" s="74"/>
      <c r="R807" s="81"/>
      <c r="S807" s="81"/>
      <c r="T807" s="81"/>
      <c r="U807" s="81"/>
      <c r="V807" s="48"/>
      <c r="W807" s="48"/>
      <c r="X807" s="48"/>
      <c r="Y807" s="48"/>
      <c r="Z807" s="47"/>
      <c r="AA807" s="69"/>
      <c r="AB807" s="69"/>
      <c r="AC807" s="70"/>
      <c r="AD807" t="s">
        <v>5326</v>
      </c>
      <c r="AE807" s="78" t="s">
        <v>6601</v>
      </c>
      <c r="AF807">
        <v>672</v>
      </c>
      <c r="AG807">
        <v>561</v>
      </c>
      <c r="AH807">
        <v>31527</v>
      </c>
      <c r="AI807">
        <v>33328</v>
      </c>
      <c r="AK807" t="s">
        <v>7779</v>
      </c>
      <c r="AM807" s="79" t="str">
        <f>HYPERLINK("https://t.co/d0Zxiu9qoj")</f>
        <v>https://t.co/d0Zxiu9qoj</v>
      </c>
      <c r="AO807" s="76">
        <v>42482.289270833331</v>
      </c>
      <c r="AP807" s="79" t="str">
        <f>HYPERLINK("https://pbs.twimg.com/profile_banners/723405109124702208/1647796227")</f>
        <v>https://pbs.twimg.com/profile_banners/723405109124702208/1647796227</v>
      </c>
      <c r="AQ807" t="b">
        <v>0</v>
      </c>
      <c r="AR807" t="b">
        <v>0</v>
      </c>
      <c r="AS807" t="b">
        <v>0</v>
      </c>
      <c r="AU807">
        <v>3</v>
      </c>
      <c r="AV807" s="79" t="str">
        <f>HYPERLINK("https://abs.twimg.com/images/themes/theme1/bg.png")</f>
        <v>https://abs.twimg.com/images/themes/theme1/bg.png</v>
      </c>
      <c r="AW807" t="b">
        <v>0</v>
      </c>
      <c r="AX807" t="s">
        <v>9303</v>
      </c>
      <c r="AY807" s="79" t="str">
        <f>HYPERLINK("https://twitter.com/wreckingball1b")</f>
        <v>https://twitter.com/wreckingball1b</v>
      </c>
      <c r="AZ807" t="s">
        <v>66</v>
      </c>
      <c r="BA807" s="2"/>
    </row>
    <row r="808" spans="1:53" x14ac:dyDescent="0.45">
      <c r="A808" s="62" t="s">
        <v>1390</v>
      </c>
      <c r="B808" s="63"/>
      <c r="C808" s="63"/>
      <c r="D808" s="64"/>
      <c r="E808" s="66"/>
      <c r="F808" s="98" t="str">
        <f>HYPERLINK("https://pbs.twimg.com/profile_images/378800000798900548/5f8d28c64202ba90cbc66e6d29e349a1_normal.jpeg")</f>
        <v>https://pbs.twimg.com/profile_images/378800000798900548/5f8d28c64202ba90cbc66e6d29e349a1_normal.jpeg</v>
      </c>
      <c r="G808" s="63"/>
      <c r="H808" s="67"/>
      <c r="I808" s="68"/>
      <c r="J808" s="68"/>
      <c r="K808" s="67" t="s">
        <v>10200</v>
      </c>
      <c r="L808" s="71"/>
      <c r="M808" s="72"/>
      <c r="N808" s="72"/>
      <c r="O808" s="73"/>
      <c r="P808" s="74"/>
      <c r="Q808" s="74"/>
      <c r="R808" s="81"/>
      <c r="S808" s="81"/>
      <c r="T808" s="81"/>
      <c r="U808" s="81"/>
      <c r="V808" s="48"/>
      <c r="W808" s="48"/>
      <c r="X808" s="48"/>
      <c r="Y808" s="48"/>
      <c r="Z808" s="47"/>
      <c r="AA808" s="69"/>
      <c r="AB808" s="69"/>
      <c r="AC808" s="70"/>
      <c r="AD808" t="s">
        <v>5884</v>
      </c>
      <c r="AE808" s="78" t="s">
        <v>7105</v>
      </c>
      <c r="AF808">
        <v>1144</v>
      </c>
      <c r="AG808">
        <v>559</v>
      </c>
      <c r="AH808">
        <v>1650</v>
      </c>
      <c r="AI808">
        <v>1927</v>
      </c>
      <c r="AK808" t="s">
        <v>8270</v>
      </c>
      <c r="AL808" t="s">
        <v>9119</v>
      </c>
      <c r="AM808" s="79" t="str">
        <f>HYPERLINK("https://t.co/t5bgM99LMe")</f>
        <v>https://t.co/t5bgM99LMe</v>
      </c>
      <c r="AO808" s="76">
        <v>41324.833935185183</v>
      </c>
      <c r="AP808" s="79" t="str">
        <f>HYPERLINK("https://pbs.twimg.com/profile_banners/1198486266/1395950223")</f>
        <v>https://pbs.twimg.com/profile_banners/1198486266/1395950223</v>
      </c>
      <c r="AQ808" t="b">
        <v>0</v>
      </c>
      <c r="AR808" t="b">
        <v>0</v>
      </c>
      <c r="AS808" t="b">
        <v>1</v>
      </c>
      <c r="AU808">
        <v>11</v>
      </c>
      <c r="AV808" s="79" t="str">
        <f>HYPERLINK("https://abs.twimg.com/images/themes/theme16/bg.gif")</f>
        <v>https://abs.twimg.com/images/themes/theme16/bg.gif</v>
      </c>
      <c r="AW808" t="b">
        <v>0</v>
      </c>
      <c r="AX808" t="s">
        <v>9303</v>
      </c>
      <c r="AY808" s="79" t="str">
        <f>HYPERLINK("https://twitter.com/zanfelpoisonivy")</f>
        <v>https://twitter.com/zanfelpoisonivy</v>
      </c>
      <c r="AZ808" t="s">
        <v>65</v>
      </c>
      <c r="BA808" s="2"/>
    </row>
    <row r="809" spans="1:53" x14ac:dyDescent="0.45">
      <c r="A809" s="62" t="s">
        <v>220</v>
      </c>
      <c r="B809" s="63"/>
      <c r="C809" s="63"/>
      <c r="D809" s="64"/>
      <c r="E809" s="66"/>
      <c r="F809" s="98" t="str">
        <f>HYPERLINK("https://pbs.twimg.com/profile_images/1470352502704902147/wTD6HKX__normal.jpg")</f>
        <v>https://pbs.twimg.com/profile_images/1470352502704902147/wTD6HKX__normal.jpg</v>
      </c>
      <c r="G809" s="63"/>
      <c r="H809" s="67"/>
      <c r="I809" s="68"/>
      <c r="J809" s="68"/>
      <c r="K809" s="67" t="s">
        <v>9311</v>
      </c>
      <c r="L809" s="71"/>
      <c r="M809" s="72"/>
      <c r="N809" s="72"/>
      <c r="O809" s="73"/>
      <c r="P809" s="74"/>
      <c r="Q809" s="74"/>
      <c r="R809" s="81"/>
      <c r="S809" s="81"/>
      <c r="T809" s="81"/>
      <c r="U809" s="81"/>
      <c r="V809" s="48"/>
      <c r="W809" s="48"/>
      <c r="X809" s="48"/>
      <c r="Y809" s="48"/>
      <c r="Z809" s="47"/>
      <c r="AA809" s="69"/>
      <c r="AB809" s="69"/>
      <c r="AC809" s="70"/>
      <c r="AD809" t="s">
        <v>5007</v>
      </c>
      <c r="AE809" s="78" t="s">
        <v>6334</v>
      </c>
      <c r="AF809">
        <v>58</v>
      </c>
      <c r="AG809">
        <v>559</v>
      </c>
      <c r="AH809">
        <v>21</v>
      </c>
      <c r="AI809">
        <v>763</v>
      </c>
      <c r="AK809" t="s">
        <v>7497</v>
      </c>
      <c r="AO809" s="76">
        <v>41078.600613425922</v>
      </c>
      <c r="AQ809" t="b">
        <v>0</v>
      </c>
      <c r="AR809" t="b">
        <v>0</v>
      </c>
      <c r="AS809" t="b">
        <v>1</v>
      </c>
      <c r="AU809">
        <v>9</v>
      </c>
      <c r="AV809" s="79" t="str">
        <f>HYPERLINK("https://abs.twimg.com/images/themes/theme1/bg.png")</f>
        <v>https://abs.twimg.com/images/themes/theme1/bg.png</v>
      </c>
      <c r="AW809" t="b">
        <v>0</v>
      </c>
      <c r="AX809" t="s">
        <v>9303</v>
      </c>
      <c r="AY809" s="79" t="str">
        <f>HYPERLINK("https://twitter.com/4swiin")</f>
        <v>https://twitter.com/4swiin</v>
      </c>
      <c r="AZ809" t="s">
        <v>66</v>
      </c>
      <c r="BA809" s="2"/>
    </row>
    <row r="810" spans="1:53" x14ac:dyDescent="0.45">
      <c r="A810" s="62" t="s">
        <v>1269</v>
      </c>
      <c r="B810" s="63"/>
      <c r="C810" s="63"/>
      <c r="D810" s="64"/>
      <c r="E810" s="66"/>
      <c r="F810" s="98" t="str">
        <f>HYPERLINK("https://pbs.twimg.com/profile_images/1209034388186390528/Og2Y_-pC_normal.jpg")</f>
        <v>https://pbs.twimg.com/profile_images/1209034388186390528/Og2Y_-pC_normal.jpg</v>
      </c>
      <c r="G810" s="63"/>
      <c r="H810" s="67"/>
      <c r="I810" s="68"/>
      <c r="J810" s="68"/>
      <c r="K810" s="67" t="s">
        <v>9729</v>
      </c>
      <c r="L810" s="71"/>
      <c r="M810" s="72"/>
      <c r="N810" s="72"/>
      <c r="O810" s="73"/>
      <c r="P810" s="74"/>
      <c r="Q810" s="74"/>
      <c r="R810" s="81"/>
      <c r="S810" s="81"/>
      <c r="T810" s="81"/>
      <c r="U810" s="81"/>
      <c r="V810" s="48"/>
      <c r="W810" s="48"/>
      <c r="X810" s="48"/>
      <c r="Y810" s="48"/>
      <c r="Z810" s="47"/>
      <c r="AA810" s="69"/>
      <c r="AB810" s="69"/>
      <c r="AC810" s="70"/>
      <c r="AD810" t="s">
        <v>5421</v>
      </c>
      <c r="AE810" s="78" t="s">
        <v>6693</v>
      </c>
      <c r="AF810">
        <v>561</v>
      </c>
      <c r="AG810">
        <v>556</v>
      </c>
      <c r="AH810">
        <v>739</v>
      </c>
      <c r="AI810">
        <v>735</v>
      </c>
      <c r="AK810" t="s">
        <v>7861</v>
      </c>
      <c r="AL810" t="s">
        <v>8889</v>
      </c>
      <c r="AM810" s="79" t="str">
        <f>HYPERLINK("https://t.co/UWyRy1KZgs")</f>
        <v>https://t.co/UWyRy1KZgs</v>
      </c>
      <c r="AO810" s="76">
        <v>41417.141851851855</v>
      </c>
      <c r="AP810" s="79" t="str">
        <f>HYPERLINK("https://pbs.twimg.com/profile_banners/1450423866/1641786298")</f>
        <v>https://pbs.twimg.com/profile_banners/1450423866/1641786298</v>
      </c>
      <c r="AQ810" t="b">
        <v>0</v>
      </c>
      <c r="AR810" t="b">
        <v>0</v>
      </c>
      <c r="AS810" t="b">
        <v>0</v>
      </c>
      <c r="AU810">
        <v>14</v>
      </c>
      <c r="AV810" s="79" t="str">
        <f>HYPERLINK("https://abs.twimg.com/images/themes/theme4/bg.gif")</f>
        <v>https://abs.twimg.com/images/themes/theme4/bg.gif</v>
      </c>
      <c r="AW810" t="b">
        <v>0</v>
      </c>
      <c r="AX810" t="s">
        <v>9303</v>
      </c>
      <c r="AY810" s="79" t="str">
        <f>HYPERLINK("https://twitter.com/sdmctech")</f>
        <v>https://twitter.com/sdmctech</v>
      </c>
      <c r="AZ810" t="s">
        <v>65</v>
      </c>
      <c r="BA810" s="2"/>
    </row>
    <row r="811" spans="1:53" x14ac:dyDescent="0.45">
      <c r="A811" s="62" t="s">
        <v>954</v>
      </c>
      <c r="B811" s="63"/>
      <c r="C811" s="63"/>
      <c r="D811" s="64"/>
      <c r="E811" s="66"/>
      <c r="F811" s="98" t="str">
        <f>HYPERLINK("https://pbs.twimg.com/profile_images/772574041928413184/3DMpdROH_normal.jpg")</f>
        <v>https://pbs.twimg.com/profile_images/772574041928413184/3DMpdROH_normal.jpg</v>
      </c>
      <c r="G811" s="63"/>
      <c r="H811" s="67"/>
      <c r="I811" s="68"/>
      <c r="J811" s="68"/>
      <c r="K811" s="67" t="s">
        <v>10408</v>
      </c>
      <c r="L811" s="71"/>
      <c r="M811" s="72"/>
      <c r="N811" s="72"/>
      <c r="O811" s="73"/>
      <c r="P811" s="74"/>
      <c r="Q811" s="74"/>
      <c r="R811" s="81"/>
      <c r="S811" s="81"/>
      <c r="T811" s="81"/>
      <c r="U811" s="81"/>
      <c r="V811" s="48"/>
      <c r="W811" s="48"/>
      <c r="X811" s="48"/>
      <c r="Y811" s="48"/>
      <c r="Z811" s="47"/>
      <c r="AA811" s="69"/>
      <c r="AB811" s="69"/>
      <c r="AC811" s="70"/>
      <c r="AD811" t="s">
        <v>6090</v>
      </c>
      <c r="AE811" s="78" t="s">
        <v>7289</v>
      </c>
      <c r="AF811">
        <v>360</v>
      </c>
      <c r="AG811">
        <v>556</v>
      </c>
      <c r="AH811">
        <v>31085</v>
      </c>
      <c r="AI811">
        <v>75397</v>
      </c>
      <c r="AK811" t="s">
        <v>8452</v>
      </c>
      <c r="AL811" t="s">
        <v>8749</v>
      </c>
      <c r="AM811" s="79" t="str">
        <f>HYPERLINK("https://t.co/22Z4ylzUSu")</f>
        <v>https://t.co/22Z4ylzUSu</v>
      </c>
      <c r="AO811" s="76">
        <v>39167.81422453704</v>
      </c>
      <c r="AP811" s="79" t="str">
        <f>HYPERLINK("https://pbs.twimg.com/profile_banners/2342381/1582532047")</f>
        <v>https://pbs.twimg.com/profile_banners/2342381/1582532047</v>
      </c>
      <c r="AQ811" t="b">
        <v>0</v>
      </c>
      <c r="AR811" t="b">
        <v>0</v>
      </c>
      <c r="AS811" t="b">
        <v>1</v>
      </c>
      <c r="AU811">
        <v>9</v>
      </c>
      <c r="AV811" s="79" t="str">
        <f>HYPERLINK("https://abs.twimg.com/images/themes/theme2/bg.gif")</f>
        <v>https://abs.twimg.com/images/themes/theme2/bg.gif</v>
      </c>
      <c r="AW811" t="b">
        <v>0</v>
      </c>
      <c r="AX811" t="s">
        <v>9303</v>
      </c>
      <c r="AY811" s="79" t="str">
        <f>HYPERLINK("https://twitter.com/rhuntington3")</f>
        <v>https://twitter.com/rhuntington3</v>
      </c>
      <c r="AZ811" t="s">
        <v>66</v>
      </c>
      <c r="BA811" s="2"/>
    </row>
    <row r="812" spans="1:53" x14ac:dyDescent="0.45">
      <c r="A812" s="62" t="s">
        <v>739</v>
      </c>
      <c r="B812" s="63"/>
      <c r="C812" s="63"/>
      <c r="D812" s="64"/>
      <c r="E812" s="66"/>
      <c r="F812" s="98" t="str">
        <f>HYPERLINK("https://pbs.twimg.com/profile_images/1079619645580165122/a5i8MVZf_normal.jpg")</f>
        <v>https://pbs.twimg.com/profile_images/1079619645580165122/a5i8MVZf_normal.jpg</v>
      </c>
      <c r="G812" s="63"/>
      <c r="H812" s="67"/>
      <c r="I812" s="68"/>
      <c r="J812" s="68"/>
      <c r="K812" s="67" t="s">
        <v>10088</v>
      </c>
      <c r="L812" s="71"/>
      <c r="M812" s="72"/>
      <c r="N812" s="72"/>
      <c r="O812" s="73"/>
      <c r="P812" s="74"/>
      <c r="Q812" s="74"/>
      <c r="R812" s="81"/>
      <c r="S812" s="81"/>
      <c r="T812" s="81"/>
      <c r="U812" s="81"/>
      <c r="V812" s="48"/>
      <c r="W812" s="48"/>
      <c r="X812" s="48"/>
      <c r="Y812" s="48"/>
      <c r="Z812" s="47"/>
      <c r="AA812" s="69"/>
      <c r="AB812" s="69"/>
      <c r="AC812" s="70"/>
      <c r="AD812" t="s">
        <v>5777</v>
      </c>
      <c r="AE812" s="78" t="s">
        <v>7009</v>
      </c>
      <c r="AF812">
        <v>825</v>
      </c>
      <c r="AG812">
        <v>556</v>
      </c>
      <c r="AH812">
        <v>11203</v>
      </c>
      <c r="AI812">
        <v>8309</v>
      </c>
      <c r="AK812" t="s">
        <v>8171</v>
      </c>
      <c r="AL812" t="s">
        <v>9005</v>
      </c>
      <c r="AM812" s="79" t="str">
        <f>HYPERLINK("https://t.co/cu2sCsh5uZ")</f>
        <v>https://t.co/cu2sCsh5uZ</v>
      </c>
      <c r="AO812" s="76">
        <v>40511.510972222219</v>
      </c>
      <c r="AP812" s="79" t="str">
        <f>HYPERLINK("https://pbs.twimg.com/profile_banners/220984673/1480024858")</f>
        <v>https://pbs.twimg.com/profile_banners/220984673/1480024858</v>
      </c>
      <c r="AQ812" t="b">
        <v>0</v>
      </c>
      <c r="AR812" t="b">
        <v>0</v>
      </c>
      <c r="AS812" t="b">
        <v>1</v>
      </c>
      <c r="AU812">
        <v>8</v>
      </c>
      <c r="AV812" s="79" t="str">
        <f>HYPERLINK("https://abs.twimg.com/images/themes/theme1/bg.png")</f>
        <v>https://abs.twimg.com/images/themes/theme1/bg.png</v>
      </c>
      <c r="AW812" t="b">
        <v>0</v>
      </c>
      <c r="AX812" t="s">
        <v>9303</v>
      </c>
      <c r="AY812" s="79" t="str">
        <f>HYPERLINK("https://twitter.com/thekid_dex")</f>
        <v>https://twitter.com/thekid_dex</v>
      </c>
      <c r="AZ812" t="s">
        <v>66</v>
      </c>
      <c r="BA812" s="2"/>
    </row>
    <row r="813" spans="1:53" x14ac:dyDescent="0.45">
      <c r="A813" s="62" t="s">
        <v>783</v>
      </c>
      <c r="B813" s="63"/>
      <c r="C813" s="63"/>
      <c r="D813" s="64"/>
      <c r="E813" s="66"/>
      <c r="F813" s="98" t="str">
        <f>HYPERLINK("https://pbs.twimg.com/profile_images/1448639201235410948/5A1pxnRk_normal.jpg")</f>
        <v>https://pbs.twimg.com/profile_images/1448639201235410948/5A1pxnRk_normal.jpg</v>
      </c>
      <c r="G813" s="63"/>
      <c r="H813" s="67"/>
      <c r="I813" s="68"/>
      <c r="J813" s="68"/>
      <c r="K813" s="67" t="s">
        <v>10143</v>
      </c>
      <c r="L813" s="71"/>
      <c r="M813" s="72"/>
      <c r="N813" s="72"/>
      <c r="O813" s="73"/>
      <c r="P813" s="74"/>
      <c r="Q813" s="74"/>
      <c r="R813" s="81"/>
      <c r="S813" s="81"/>
      <c r="T813" s="81"/>
      <c r="U813" s="81"/>
      <c r="V813" s="48"/>
      <c r="W813" s="48"/>
      <c r="X813" s="48"/>
      <c r="Y813" s="48"/>
      <c r="Z813" s="47"/>
      <c r="AA813" s="69"/>
      <c r="AB813" s="69"/>
      <c r="AC813" s="70"/>
      <c r="AD813" t="s">
        <v>5830</v>
      </c>
      <c r="AE813" s="78" t="s">
        <v>7055</v>
      </c>
      <c r="AF813">
        <v>2683</v>
      </c>
      <c r="AG813">
        <v>555</v>
      </c>
      <c r="AH813">
        <v>7749</v>
      </c>
      <c r="AI813">
        <v>9370</v>
      </c>
      <c r="AK813" t="s">
        <v>8222</v>
      </c>
      <c r="AL813" t="s">
        <v>9098</v>
      </c>
      <c r="AM813" s="79" t="str">
        <f>HYPERLINK("https://t.co/9SLX8pMrXM")</f>
        <v>https://t.co/9SLX8pMrXM</v>
      </c>
      <c r="AO813" s="76">
        <v>40502.053796296299</v>
      </c>
      <c r="AP813" s="79" t="str">
        <f>HYPERLINK("https://pbs.twimg.com/profile_banners/217621023/1634217482")</f>
        <v>https://pbs.twimg.com/profile_banners/217621023/1634217482</v>
      </c>
      <c r="AQ813" t="b">
        <v>0</v>
      </c>
      <c r="AR813" t="b">
        <v>0</v>
      </c>
      <c r="AS813" t="b">
        <v>0</v>
      </c>
      <c r="AU813">
        <v>21</v>
      </c>
      <c r="AV813" s="79" t="str">
        <f>HYPERLINK("https://abs.twimg.com/images/themes/theme9/bg.gif")</f>
        <v>https://abs.twimg.com/images/themes/theme9/bg.gif</v>
      </c>
      <c r="AW813" t="b">
        <v>0</v>
      </c>
      <c r="AX813" t="s">
        <v>9303</v>
      </c>
      <c r="AY813" s="79" t="str">
        <f>HYPERLINK("https://twitter.com/beaaar")</f>
        <v>https://twitter.com/beaaar</v>
      </c>
      <c r="AZ813" t="s">
        <v>66</v>
      </c>
      <c r="BA813" s="2"/>
    </row>
    <row r="814" spans="1:53" x14ac:dyDescent="0.45">
      <c r="A814" s="62" t="s">
        <v>985</v>
      </c>
      <c r="B814" s="63"/>
      <c r="C814" s="63"/>
      <c r="D814" s="64"/>
      <c r="E814" s="66"/>
      <c r="F814" s="98" t="str">
        <f>HYPERLINK("https://pbs.twimg.com/profile_images/1620648964306657282/0i16_Pwf_normal.jpg")</f>
        <v>https://pbs.twimg.com/profile_images/1620648964306657282/0i16_Pwf_normal.jpg</v>
      </c>
      <c r="G814" s="63"/>
      <c r="H814" s="67"/>
      <c r="I814" s="68"/>
      <c r="J814" s="68"/>
      <c r="K814" s="67" t="s">
        <v>10450</v>
      </c>
      <c r="L814" s="71"/>
      <c r="M814" s="72"/>
      <c r="N814" s="72"/>
      <c r="O814" s="73"/>
      <c r="P814" s="74"/>
      <c r="Q814" s="74"/>
      <c r="R814" s="81"/>
      <c r="S814" s="81"/>
      <c r="T814" s="81"/>
      <c r="U814" s="81"/>
      <c r="V814" s="48"/>
      <c r="W814" s="48"/>
      <c r="X814" s="48"/>
      <c r="Y814" s="48"/>
      <c r="Z814" s="47"/>
      <c r="AA814" s="69"/>
      <c r="AB814" s="69"/>
      <c r="AC814" s="70"/>
      <c r="AD814" t="s">
        <v>6131</v>
      </c>
      <c r="AE814" s="78" t="s">
        <v>7323</v>
      </c>
      <c r="AF814">
        <v>540</v>
      </c>
      <c r="AG814">
        <v>554</v>
      </c>
      <c r="AH814">
        <v>128232</v>
      </c>
      <c r="AI814">
        <v>19793</v>
      </c>
      <c r="AK814" t="s">
        <v>8490</v>
      </c>
      <c r="AL814" t="s">
        <v>9219</v>
      </c>
      <c r="AO814" s="76">
        <v>39925.156527777777</v>
      </c>
      <c r="AP814" s="79" t="str">
        <f>HYPERLINK("https://pbs.twimg.com/profile_banners/34171538/1540611524")</f>
        <v>https://pbs.twimg.com/profile_banners/34171538/1540611524</v>
      </c>
      <c r="AQ814" t="b">
        <v>0</v>
      </c>
      <c r="AR814" t="b">
        <v>0</v>
      </c>
      <c r="AS814" t="b">
        <v>0</v>
      </c>
      <c r="AU814">
        <v>21</v>
      </c>
      <c r="AV814" s="79" t="str">
        <f>HYPERLINK("https://abs.twimg.com/images/themes/theme10/bg.gif")</f>
        <v>https://abs.twimg.com/images/themes/theme10/bg.gif</v>
      </c>
      <c r="AW814" t="b">
        <v>0</v>
      </c>
      <c r="AX814" t="s">
        <v>9303</v>
      </c>
      <c r="AY814" s="79" t="str">
        <f>HYPERLINK("https://twitter.com/blondenevadan")</f>
        <v>https://twitter.com/blondenevadan</v>
      </c>
      <c r="AZ814" t="s">
        <v>66</v>
      </c>
      <c r="BA814" s="2"/>
    </row>
    <row r="815" spans="1:53" x14ac:dyDescent="0.45">
      <c r="A815" s="62" t="s">
        <v>444</v>
      </c>
      <c r="B815" s="63"/>
      <c r="C815" s="63"/>
      <c r="D815" s="64"/>
      <c r="E815" s="66"/>
      <c r="F815" s="98" t="str">
        <f>HYPERLINK("https://pbs.twimg.com/profile_images/1620487955075801096/v5o5Lh6w_normal.jpg")</f>
        <v>https://pbs.twimg.com/profile_images/1620487955075801096/v5o5Lh6w_normal.jpg</v>
      </c>
      <c r="G815" s="63"/>
      <c r="H815" s="67"/>
      <c r="I815" s="68"/>
      <c r="J815" s="68"/>
      <c r="K815" s="67" t="s">
        <v>9703</v>
      </c>
      <c r="L815" s="71"/>
      <c r="M815" s="72"/>
      <c r="N815" s="72"/>
      <c r="O815" s="73"/>
      <c r="P815" s="74"/>
      <c r="Q815" s="74"/>
      <c r="R815" s="81"/>
      <c r="S815" s="81"/>
      <c r="T815" s="81"/>
      <c r="U815" s="81"/>
      <c r="V815" s="48"/>
      <c r="W815" s="48"/>
      <c r="X815" s="48"/>
      <c r="Y815" s="48"/>
      <c r="Z815" s="47"/>
      <c r="AA815" s="69"/>
      <c r="AB815" s="69"/>
      <c r="AC815" s="70"/>
      <c r="AD815" t="s">
        <v>5395</v>
      </c>
      <c r="AE815" s="78" t="s">
        <v>6668</v>
      </c>
      <c r="AF815">
        <v>840</v>
      </c>
      <c r="AG815">
        <v>552</v>
      </c>
      <c r="AH815">
        <v>12558</v>
      </c>
      <c r="AI815">
        <v>2704</v>
      </c>
      <c r="AM815" s="79" t="str">
        <f>HYPERLINK("https://t.co/noBBS41W7Z")</f>
        <v>https://t.co/noBBS41W7Z</v>
      </c>
      <c r="AO815" s="76">
        <v>40323.615740740737</v>
      </c>
      <c r="AP815" s="79" t="str">
        <f>HYPERLINK("https://pbs.twimg.com/profile_banners/147981058/1660394168")</f>
        <v>https://pbs.twimg.com/profile_banners/147981058/1660394168</v>
      </c>
      <c r="AQ815" t="b">
        <v>1</v>
      </c>
      <c r="AR815" t="b">
        <v>0</v>
      </c>
      <c r="AS815" t="b">
        <v>1</v>
      </c>
      <c r="AU815">
        <v>2</v>
      </c>
      <c r="AV815" s="79" t="str">
        <f>HYPERLINK("https://abs.twimg.com/images/themes/theme1/bg.png")</f>
        <v>https://abs.twimg.com/images/themes/theme1/bg.png</v>
      </c>
      <c r="AW815" t="b">
        <v>0</v>
      </c>
      <c r="AX815" t="s">
        <v>9303</v>
      </c>
      <c r="AY815" s="79" t="str">
        <f>HYPERLINK("https://twitter.com/elvisrondon_")</f>
        <v>https://twitter.com/elvisrondon_</v>
      </c>
      <c r="AZ815" t="s">
        <v>66</v>
      </c>
      <c r="BA815" s="2"/>
    </row>
    <row r="816" spans="1:53" x14ac:dyDescent="0.45">
      <c r="A816" s="62" t="s">
        <v>708</v>
      </c>
      <c r="B816" s="63"/>
      <c r="C816" s="63"/>
      <c r="D816" s="64"/>
      <c r="E816" s="66"/>
      <c r="F816" s="98" t="str">
        <f>HYPERLINK("https://pbs.twimg.com/profile_images/1422690186660564997/r3cMPvpT_normal.jpg")</f>
        <v>https://pbs.twimg.com/profile_images/1422690186660564997/r3cMPvpT_normal.jpg</v>
      </c>
      <c r="G816" s="63"/>
      <c r="H816" s="67"/>
      <c r="I816" s="68"/>
      <c r="J816" s="68"/>
      <c r="K816" s="67" t="s">
        <v>10045</v>
      </c>
      <c r="L816" s="71"/>
      <c r="M816" s="72"/>
      <c r="N816" s="72"/>
      <c r="O816" s="73"/>
      <c r="P816" s="74"/>
      <c r="Q816" s="74"/>
      <c r="R816" s="81"/>
      <c r="S816" s="81"/>
      <c r="T816" s="81"/>
      <c r="U816" s="81"/>
      <c r="V816" s="48"/>
      <c r="W816" s="48"/>
      <c r="X816" s="48"/>
      <c r="Y816" s="48"/>
      <c r="Z816" s="47"/>
      <c r="AA816" s="69"/>
      <c r="AB816" s="69"/>
      <c r="AC816" s="70"/>
      <c r="AD816" t="s">
        <v>5735</v>
      </c>
      <c r="AE816" s="78" t="s">
        <v>6972</v>
      </c>
      <c r="AF816">
        <v>337</v>
      </c>
      <c r="AG816">
        <v>551</v>
      </c>
      <c r="AH816">
        <v>31253</v>
      </c>
      <c r="AI816">
        <v>18646</v>
      </c>
      <c r="AK816" t="s">
        <v>8133</v>
      </c>
      <c r="AL816" t="s">
        <v>9055</v>
      </c>
      <c r="AO816" s="76">
        <v>39962.145949074074</v>
      </c>
      <c r="AP816" s="79" t="str">
        <f>HYPERLINK("https://pbs.twimg.com/profile_banners/43262751/1647480449")</f>
        <v>https://pbs.twimg.com/profile_banners/43262751/1647480449</v>
      </c>
      <c r="AQ816" t="b">
        <v>0</v>
      </c>
      <c r="AR816" t="b">
        <v>0</v>
      </c>
      <c r="AS816" t="b">
        <v>1</v>
      </c>
      <c r="AU816">
        <v>9</v>
      </c>
      <c r="AV816" s="79" t="str">
        <f>HYPERLINK("https://abs.twimg.com/images/themes/theme14/bg.gif")</f>
        <v>https://abs.twimg.com/images/themes/theme14/bg.gif</v>
      </c>
      <c r="AW816" t="b">
        <v>0</v>
      </c>
      <c r="AX816" t="s">
        <v>9303</v>
      </c>
      <c r="AY816" s="79" t="str">
        <f>HYPERLINK("https://twitter.com/onlybmesb")</f>
        <v>https://twitter.com/onlybmesb</v>
      </c>
      <c r="AZ816" t="s">
        <v>66</v>
      </c>
      <c r="BA816" s="2"/>
    </row>
    <row r="817" spans="1:53" x14ac:dyDescent="0.45">
      <c r="A817" s="62" t="s">
        <v>1449</v>
      </c>
      <c r="B817" s="63"/>
      <c r="C817" s="63"/>
      <c r="D817" s="64"/>
      <c r="E817" s="66"/>
      <c r="F817" s="98" t="str">
        <f>HYPERLINK("https://pbs.twimg.com/profile_images/1591458335110230017/LwDIOnob_normal.jpg")</f>
        <v>https://pbs.twimg.com/profile_images/1591458335110230017/LwDIOnob_normal.jpg</v>
      </c>
      <c r="G817" s="63"/>
      <c r="H817" s="67"/>
      <c r="I817" s="68"/>
      <c r="J817" s="68"/>
      <c r="K817" s="67" t="s">
        <v>10382</v>
      </c>
      <c r="L817" s="71"/>
      <c r="M817" s="72"/>
      <c r="N817" s="72"/>
      <c r="O817" s="73"/>
      <c r="P817" s="74"/>
      <c r="Q817" s="74"/>
      <c r="R817" s="81"/>
      <c r="S817" s="81"/>
      <c r="T817" s="81"/>
      <c r="U817" s="81"/>
      <c r="V817" s="48"/>
      <c r="W817" s="48"/>
      <c r="X817" s="48"/>
      <c r="Y817" s="48"/>
      <c r="Z817" s="47"/>
      <c r="AA817" s="69"/>
      <c r="AB817" s="69"/>
      <c r="AC817" s="70"/>
      <c r="AD817" t="s">
        <v>1449</v>
      </c>
      <c r="AE817" s="78" t="s">
        <v>4774</v>
      </c>
      <c r="AF817">
        <v>537</v>
      </c>
      <c r="AG817">
        <v>548</v>
      </c>
      <c r="AH817">
        <v>5424</v>
      </c>
      <c r="AI817">
        <v>14690</v>
      </c>
      <c r="AK817" t="s">
        <v>8430</v>
      </c>
      <c r="AL817" t="s">
        <v>9196</v>
      </c>
      <c r="AM817" s="79" t="str">
        <f>HYPERLINK("https://t.co/aFrdZhU76I")</f>
        <v>https://t.co/aFrdZhU76I</v>
      </c>
      <c r="AO817" s="76">
        <v>42386.591122685182</v>
      </c>
      <c r="AP817" s="79" t="str">
        <f>HYPERLINK("https://pbs.twimg.com/profile_banners/4773794576/1668479987")</f>
        <v>https://pbs.twimg.com/profile_banners/4773794576/1668479987</v>
      </c>
      <c r="AQ817" t="b">
        <v>1</v>
      </c>
      <c r="AR817" t="b">
        <v>0</v>
      </c>
      <c r="AS817" t="b">
        <v>1</v>
      </c>
      <c r="AU817">
        <v>6</v>
      </c>
      <c r="AW817" t="b">
        <v>0</v>
      </c>
      <c r="AX817" t="s">
        <v>9303</v>
      </c>
      <c r="AY817" s="79" t="str">
        <f>HYPERLINK("https://twitter.com/lolgeselle")</f>
        <v>https://twitter.com/lolgeselle</v>
      </c>
      <c r="AZ817" t="s">
        <v>65</v>
      </c>
      <c r="BA817" s="2"/>
    </row>
    <row r="818" spans="1:53" x14ac:dyDescent="0.45">
      <c r="A818" s="62" t="s">
        <v>702</v>
      </c>
      <c r="B818" s="63"/>
      <c r="C818" s="63"/>
      <c r="D818" s="64"/>
      <c r="E818" s="66"/>
      <c r="F818" s="98" t="str">
        <f>HYPERLINK("https://pbs.twimg.com/profile_images/1217165332818739200/s3LFgfei_normal.jpg")</f>
        <v>https://pbs.twimg.com/profile_images/1217165332818739200/s3LFgfei_normal.jpg</v>
      </c>
      <c r="G818" s="63"/>
      <c r="H818" s="67"/>
      <c r="I818" s="68"/>
      <c r="J818" s="68"/>
      <c r="K818" s="67" t="s">
        <v>10037</v>
      </c>
      <c r="L818" s="71"/>
      <c r="M818" s="72"/>
      <c r="N818" s="72"/>
      <c r="O818" s="73"/>
      <c r="P818" s="74"/>
      <c r="Q818" s="74"/>
      <c r="R818" s="81"/>
      <c r="S818" s="81"/>
      <c r="T818" s="81"/>
      <c r="U818" s="81"/>
      <c r="V818" s="48"/>
      <c r="W818" s="48"/>
      <c r="X818" s="48"/>
      <c r="Y818" s="48"/>
      <c r="Z818" s="47"/>
      <c r="AA818" s="69"/>
      <c r="AB818" s="69"/>
      <c r="AC818" s="70"/>
      <c r="AD818" t="s">
        <v>5727</v>
      </c>
      <c r="AE818" s="78" t="s">
        <v>6964</v>
      </c>
      <c r="AF818">
        <v>397</v>
      </c>
      <c r="AG818">
        <v>541</v>
      </c>
      <c r="AH818">
        <v>135</v>
      </c>
      <c r="AI818">
        <v>396</v>
      </c>
      <c r="AK818" t="s">
        <v>8126</v>
      </c>
      <c r="AL818" t="s">
        <v>4924</v>
      </c>
      <c r="AM818" s="79" t="str">
        <f>HYPERLINK("https://t.co/GNcng9jA2G")</f>
        <v>https://t.co/GNcng9jA2G</v>
      </c>
      <c r="AO818" s="76">
        <v>43397.001504629632</v>
      </c>
      <c r="AP818" s="79" t="str">
        <f>HYPERLINK("https://pbs.twimg.com/profile_banners/1054885725059989509/1660841608")</f>
        <v>https://pbs.twimg.com/profile_banners/1054885725059989509/1660841608</v>
      </c>
      <c r="AQ818" t="b">
        <v>1</v>
      </c>
      <c r="AR818" t="b">
        <v>0</v>
      </c>
      <c r="AS818" t="b">
        <v>0</v>
      </c>
      <c r="AU818">
        <v>8</v>
      </c>
      <c r="AW818" t="b">
        <v>1</v>
      </c>
      <c r="AX818" t="s">
        <v>9303</v>
      </c>
      <c r="AY818" s="79" t="str">
        <f>HYPERLINK("https://twitter.com/_readysetfood")</f>
        <v>https://twitter.com/_readysetfood</v>
      </c>
      <c r="AZ818" t="s">
        <v>66</v>
      </c>
      <c r="BA818" s="2"/>
    </row>
    <row r="819" spans="1:53" x14ac:dyDescent="0.45">
      <c r="A819" s="62" t="s">
        <v>411</v>
      </c>
      <c r="B819" s="63"/>
      <c r="C819" s="63"/>
      <c r="D819" s="64"/>
      <c r="E819" s="66"/>
      <c r="F819" s="98" t="str">
        <f>HYPERLINK("https://pbs.twimg.com/profile_images/1591462628949377025/cEPE1EsQ_normal.jpg")</f>
        <v>https://pbs.twimg.com/profile_images/1591462628949377025/cEPE1EsQ_normal.jpg</v>
      </c>
      <c r="G819" s="63"/>
      <c r="H819" s="67"/>
      <c r="I819" s="68"/>
      <c r="J819" s="68"/>
      <c r="K819" s="67" t="s">
        <v>9662</v>
      </c>
      <c r="L819" s="71"/>
      <c r="M819" s="72"/>
      <c r="N819" s="72"/>
      <c r="O819" s="73"/>
      <c r="P819" s="74"/>
      <c r="Q819" s="74"/>
      <c r="R819" s="81"/>
      <c r="S819" s="81"/>
      <c r="T819" s="81"/>
      <c r="U819" s="81"/>
      <c r="V819" s="48"/>
      <c r="W819" s="48"/>
      <c r="X819" s="48"/>
      <c r="Y819" s="48"/>
      <c r="Z819" s="47"/>
      <c r="AA819" s="69"/>
      <c r="AB819" s="69"/>
      <c r="AC819" s="70"/>
      <c r="AD819" t="s">
        <v>5355</v>
      </c>
      <c r="AE819" s="78" t="s">
        <v>6629</v>
      </c>
      <c r="AF819">
        <v>525</v>
      </c>
      <c r="AG819">
        <v>534</v>
      </c>
      <c r="AH819">
        <v>32499</v>
      </c>
      <c r="AI819">
        <v>67680</v>
      </c>
      <c r="AK819" t="s">
        <v>7805</v>
      </c>
      <c r="AM819" s="79" t="str">
        <f>HYPERLINK("https://t.co/pWuwnefr8X")</f>
        <v>https://t.co/pWuwnefr8X</v>
      </c>
      <c r="AO819" s="76">
        <v>41384.727766203701</v>
      </c>
      <c r="AP819" s="79" t="str">
        <f>HYPERLINK("https://pbs.twimg.com/profile_banners/1367586187/1673198802")</f>
        <v>https://pbs.twimg.com/profile_banners/1367586187/1673198802</v>
      </c>
      <c r="AQ819" t="b">
        <v>1</v>
      </c>
      <c r="AR819" t="b">
        <v>0</v>
      </c>
      <c r="AS819" t="b">
        <v>1</v>
      </c>
      <c r="AU819">
        <v>7</v>
      </c>
      <c r="AV819" s="79" t="str">
        <f>HYPERLINK("https://abs.twimg.com/images/themes/theme1/bg.png")</f>
        <v>https://abs.twimg.com/images/themes/theme1/bg.png</v>
      </c>
      <c r="AW819" t="b">
        <v>0</v>
      </c>
      <c r="AX819" t="s">
        <v>9303</v>
      </c>
      <c r="AY819" s="79" t="str">
        <f>HYPERLINK("https://twitter.com/llopisgenovart")</f>
        <v>https://twitter.com/llopisgenovart</v>
      </c>
      <c r="AZ819" t="s">
        <v>66</v>
      </c>
      <c r="BA819" s="2"/>
    </row>
    <row r="820" spans="1:53" x14ac:dyDescent="0.45">
      <c r="A820" s="62" t="s">
        <v>382</v>
      </c>
      <c r="B820" s="63"/>
      <c r="C820" s="63"/>
      <c r="D820" s="64"/>
      <c r="E820" s="66"/>
      <c r="F820" s="98" t="str">
        <f>HYPERLINK("https://pbs.twimg.com/profile_images/1621051256545443841/IM1oMvL4_normal.jpg")</f>
        <v>https://pbs.twimg.com/profile_images/1621051256545443841/IM1oMvL4_normal.jpg</v>
      </c>
      <c r="G820" s="63"/>
      <c r="H820" s="67"/>
      <c r="I820" s="68"/>
      <c r="J820" s="68"/>
      <c r="K820" s="67" t="s">
        <v>9628</v>
      </c>
      <c r="L820" s="71"/>
      <c r="M820" s="72"/>
      <c r="N820" s="72"/>
      <c r="O820" s="73"/>
      <c r="P820" s="74"/>
      <c r="Q820" s="74"/>
      <c r="R820" s="81"/>
      <c r="S820" s="81"/>
      <c r="T820" s="81"/>
      <c r="U820" s="81"/>
      <c r="V820" s="48"/>
      <c r="W820" s="48"/>
      <c r="X820" s="48"/>
      <c r="Y820" s="48"/>
      <c r="Z820" s="47"/>
      <c r="AA820" s="69"/>
      <c r="AB820" s="69"/>
      <c r="AC820" s="70"/>
      <c r="AD820" t="s">
        <v>5321</v>
      </c>
      <c r="AE820" s="78" t="s">
        <v>6597</v>
      </c>
      <c r="AF820">
        <v>343</v>
      </c>
      <c r="AG820">
        <v>532</v>
      </c>
      <c r="AH820">
        <v>13493</v>
      </c>
      <c r="AI820">
        <v>57506</v>
      </c>
      <c r="AO820" s="76">
        <v>44244.788888888892</v>
      </c>
      <c r="AP820" s="79" t="str">
        <f>HYPERLINK("https://pbs.twimg.com/profile_banners/1362113468904701953/1675323712")</f>
        <v>https://pbs.twimg.com/profile_banners/1362113468904701953/1675323712</v>
      </c>
      <c r="AQ820" t="b">
        <v>1</v>
      </c>
      <c r="AR820" t="b">
        <v>0</v>
      </c>
      <c r="AS820" t="b">
        <v>0</v>
      </c>
      <c r="AU820">
        <v>2</v>
      </c>
      <c r="AW820" t="b">
        <v>0</v>
      </c>
      <c r="AX820" t="s">
        <v>9303</v>
      </c>
      <c r="AY820" s="79" t="str">
        <f>HYPERLINK("https://twitter.com/mctemru")</f>
        <v>https://twitter.com/mctemru</v>
      </c>
      <c r="AZ820" t="s">
        <v>66</v>
      </c>
      <c r="BA820" s="2"/>
    </row>
    <row r="821" spans="1:53" x14ac:dyDescent="0.45">
      <c r="A821" s="62" t="s">
        <v>1231</v>
      </c>
      <c r="B821" s="63"/>
      <c r="C821" s="63"/>
      <c r="D821" s="64"/>
      <c r="E821" s="66"/>
      <c r="F821" s="98" t="str">
        <f>HYPERLINK("https://pbs.twimg.com/profile_images/3603323964/49944a48543d6d7cf9478eca6e8be3dc_normal.jpeg")</f>
        <v>https://pbs.twimg.com/profile_images/3603323964/49944a48543d6d7cf9478eca6e8be3dc_normal.jpeg</v>
      </c>
      <c r="G821" s="63"/>
      <c r="H821" s="67"/>
      <c r="I821" s="68"/>
      <c r="J821" s="68"/>
      <c r="K821" s="67" t="s">
        <v>9579</v>
      </c>
      <c r="L821" s="71"/>
      <c r="M821" s="72"/>
      <c r="N821" s="72"/>
      <c r="O821" s="73"/>
      <c r="P821" s="74"/>
      <c r="Q821" s="74"/>
      <c r="R821" s="81"/>
      <c r="S821" s="81"/>
      <c r="T821" s="81"/>
      <c r="U821" s="81"/>
      <c r="V821" s="48"/>
      <c r="W821" s="48"/>
      <c r="X821" s="48"/>
      <c r="Y821" s="48"/>
      <c r="Z821" s="47"/>
      <c r="AA821" s="69"/>
      <c r="AB821" s="69"/>
      <c r="AC821" s="70"/>
      <c r="AD821" t="s">
        <v>5272</v>
      </c>
      <c r="AE821" s="78" t="s">
        <v>6550</v>
      </c>
      <c r="AF821">
        <v>190</v>
      </c>
      <c r="AG821">
        <v>531</v>
      </c>
      <c r="AH821">
        <v>639</v>
      </c>
      <c r="AI821">
        <v>161</v>
      </c>
      <c r="AK821" t="s">
        <v>7733</v>
      </c>
      <c r="AL821" t="s">
        <v>8822</v>
      </c>
      <c r="AM821" s="79" t="str">
        <f>HYPERLINK("http://t.co/yFw0gI0hrZ")</f>
        <v>http://t.co/yFw0gI0hrZ</v>
      </c>
      <c r="AO821" s="76">
        <v>40599.698240740741</v>
      </c>
      <c r="AP821" s="79" t="str">
        <f>HYPERLINK("https://pbs.twimg.com/profile_banners/257534367/1533057193")</f>
        <v>https://pbs.twimg.com/profile_banners/257534367/1533057193</v>
      </c>
      <c r="AQ821" t="b">
        <v>0</v>
      </c>
      <c r="AR821" t="b">
        <v>0</v>
      </c>
      <c r="AS821" t="b">
        <v>0</v>
      </c>
      <c r="AU821">
        <v>36</v>
      </c>
      <c r="AV821" s="79" t="str">
        <f>HYPERLINK("https://abs.twimg.com/images/themes/theme1/bg.png")</f>
        <v>https://abs.twimg.com/images/themes/theme1/bg.png</v>
      </c>
      <c r="AW821" t="b">
        <v>0</v>
      </c>
      <c r="AX821" t="s">
        <v>9303</v>
      </c>
      <c r="AY821" s="79" t="str">
        <f>HYPERLINK("https://twitter.com/boatpeoplesos")</f>
        <v>https://twitter.com/boatpeoplesos</v>
      </c>
      <c r="AZ821" t="s">
        <v>65</v>
      </c>
      <c r="BA821" s="2"/>
    </row>
    <row r="822" spans="1:53" x14ac:dyDescent="0.45">
      <c r="A822" s="62" t="s">
        <v>272</v>
      </c>
      <c r="B822" s="63"/>
      <c r="C822" s="63"/>
      <c r="D822" s="64"/>
      <c r="E822" s="66"/>
      <c r="F822" s="98" t="str">
        <f>HYPERLINK("https://pbs.twimg.com/profile_images/1609939360719290376/1FLe0T7b_normal.jpg")</f>
        <v>https://pbs.twimg.com/profile_images/1609939360719290376/1FLe0T7b_normal.jpg</v>
      </c>
      <c r="G822" s="63"/>
      <c r="H822" s="67"/>
      <c r="I822" s="68"/>
      <c r="J822" s="68"/>
      <c r="K822" s="67" t="s">
        <v>9418</v>
      </c>
      <c r="L822" s="71"/>
      <c r="M822" s="72"/>
      <c r="N822" s="72"/>
      <c r="O822" s="73"/>
      <c r="P822" s="74"/>
      <c r="Q822" s="74"/>
      <c r="R822" s="81"/>
      <c r="S822" s="81"/>
      <c r="T822" s="81"/>
      <c r="U822" s="81"/>
      <c r="V822" s="48"/>
      <c r="W822" s="48"/>
      <c r="X822" s="48"/>
      <c r="Y822" s="48"/>
      <c r="Z822" s="47"/>
      <c r="AA822" s="69"/>
      <c r="AB822" s="69"/>
      <c r="AC822" s="70"/>
      <c r="AD822" t="s">
        <v>5112</v>
      </c>
      <c r="AE822" s="78" t="s">
        <v>6421</v>
      </c>
      <c r="AF822">
        <v>883</v>
      </c>
      <c r="AG822">
        <v>528</v>
      </c>
      <c r="AH822">
        <v>1302</v>
      </c>
      <c r="AI822">
        <v>4990</v>
      </c>
      <c r="AK822" t="s">
        <v>7592</v>
      </c>
      <c r="AL822" t="s">
        <v>8741</v>
      </c>
      <c r="AO822" s="76">
        <v>42892.771018518521</v>
      </c>
      <c r="AP822" s="79" t="str">
        <f>HYPERLINK("https://pbs.twimg.com/profile_banners/872158714454839296/1496960736")</f>
        <v>https://pbs.twimg.com/profile_banners/872158714454839296/1496960736</v>
      </c>
      <c r="AQ822" t="b">
        <v>1</v>
      </c>
      <c r="AR822" t="b">
        <v>0</v>
      </c>
      <c r="AS822" t="b">
        <v>1</v>
      </c>
      <c r="AU822">
        <v>0</v>
      </c>
      <c r="AW822" t="b">
        <v>0</v>
      </c>
      <c r="AX822" t="s">
        <v>9303</v>
      </c>
      <c r="AY822" s="79" t="str">
        <f>HYPERLINK("https://twitter.com/thebuckramadan1")</f>
        <v>https://twitter.com/thebuckramadan1</v>
      </c>
      <c r="AZ822" t="s">
        <v>66</v>
      </c>
      <c r="BA822" s="2"/>
    </row>
    <row r="823" spans="1:53" x14ac:dyDescent="0.45">
      <c r="A823" s="62" t="s">
        <v>795</v>
      </c>
      <c r="B823" s="63"/>
      <c r="C823" s="63"/>
      <c r="D823" s="64"/>
      <c r="E823" s="66"/>
      <c r="F823" s="98" t="str">
        <f>HYPERLINK("https://pbs.twimg.com/profile_images/1615047350371684370/0pJ89crA_normal.jpg")</f>
        <v>https://pbs.twimg.com/profile_images/1615047350371684370/0pJ89crA_normal.jpg</v>
      </c>
      <c r="G823" s="63"/>
      <c r="H823" s="67"/>
      <c r="I823" s="68"/>
      <c r="J823" s="68"/>
      <c r="K823" s="67" t="s">
        <v>10165</v>
      </c>
      <c r="L823" s="71"/>
      <c r="M823" s="72"/>
      <c r="N823" s="72"/>
      <c r="O823" s="73"/>
      <c r="P823" s="74"/>
      <c r="Q823" s="74"/>
      <c r="R823" s="81"/>
      <c r="S823" s="81"/>
      <c r="T823" s="81"/>
      <c r="U823" s="81"/>
      <c r="V823" s="48"/>
      <c r="W823" s="48"/>
      <c r="X823" s="48"/>
      <c r="Y823" s="48"/>
      <c r="Z823" s="47"/>
      <c r="AA823" s="69"/>
      <c r="AB823" s="69"/>
      <c r="AC823" s="70"/>
      <c r="AD823" t="s">
        <v>5851</v>
      </c>
      <c r="AE823" s="78" t="s">
        <v>7076</v>
      </c>
      <c r="AF823">
        <v>545</v>
      </c>
      <c r="AG823">
        <v>527</v>
      </c>
      <c r="AH823">
        <v>16352</v>
      </c>
      <c r="AI823">
        <v>39977</v>
      </c>
      <c r="AK823" t="s">
        <v>8241</v>
      </c>
      <c r="AO823" s="76">
        <v>43832.623680555553</v>
      </c>
      <c r="AP823" s="79" t="str">
        <f>HYPERLINK("https://pbs.twimg.com/profile_banners/1212749865668624386/1672932119")</f>
        <v>https://pbs.twimg.com/profile_banners/1212749865668624386/1672932119</v>
      </c>
      <c r="AQ823" t="b">
        <v>1</v>
      </c>
      <c r="AR823" t="b">
        <v>0</v>
      </c>
      <c r="AS823" t="b">
        <v>1</v>
      </c>
      <c r="AU823">
        <v>0</v>
      </c>
      <c r="AW823" t="b">
        <v>0</v>
      </c>
      <c r="AX823" t="s">
        <v>9303</v>
      </c>
      <c r="AY823" s="79" t="str">
        <f>HYPERLINK("https://twitter.com/endlessmart94")</f>
        <v>https://twitter.com/endlessmart94</v>
      </c>
      <c r="AZ823" t="s">
        <v>66</v>
      </c>
      <c r="BA823" s="2"/>
    </row>
    <row r="824" spans="1:53" x14ac:dyDescent="0.45">
      <c r="A824" s="62" t="s">
        <v>250</v>
      </c>
      <c r="B824" s="63"/>
      <c r="C824" s="63"/>
      <c r="D824" s="64"/>
      <c r="E824" s="66"/>
      <c r="F824" s="98" t="str">
        <f>HYPERLINK("https://pbs.twimg.com/profile_images/1412196969796280325/MGHgLawA_normal.jpg")</f>
        <v>https://pbs.twimg.com/profile_images/1412196969796280325/MGHgLawA_normal.jpg</v>
      </c>
      <c r="G824" s="63"/>
      <c r="H824" s="67"/>
      <c r="I824" s="68"/>
      <c r="J824" s="68"/>
      <c r="K824" s="67" t="s">
        <v>9389</v>
      </c>
      <c r="L824" s="71"/>
      <c r="M824" s="72"/>
      <c r="N824" s="72"/>
      <c r="O824" s="73"/>
      <c r="P824" s="74"/>
      <c r="Q824" s="74"/>
      <c r="R824" s="81"/>
      <c r="S824" s="81"/>
      <c r="T824" s="81"/>
      <c r="U824" s="81"/>
      <c r="V824" s="48"/>
      <c r="W824" s="48"/>
      <c r="X824" s="48"/>
      <c r="Y824" s="48"/>
      <c r="Z824" s="47"/>
      <c r="AA824" s="69"/>
      <c r="AB824" s="69"/>
      <c r="AC824" s="70"/>
      <c r="AD824" t="s">
        <v>5084</v>
      </c>
      <c r="AE824" s="78" t="s">
        <v>6396</v>
      </c>
      <c r="AF824">
        <v>545</v>
      </c>
      <c r="AG824">
        <v>526</v>
      </c>
      <c r="AH824">
        <v>17493</v>
      </c>
      <c r="AI824">
        <v>33276</v>
      </c>
      <c r="AK824" t="s">
        <v>7568</v>
      </c>
      <c r="AL824" t="s">
        <v>8728</v>
      </c>
      <c r="AO824" s="76">
        <v>41173.625115740739</v>
      </c>
      <c r="AP824" s="79" t="str">
        <f>HYPERLINK("https://pbs.twimg.com/profile_banners/837976136/1665876472")</f>
        <v>https://pbs.twimg.com/profile_banners/837976136/1665876472</v>
      </c>
      <c r="AQ824" t="b">
        <v>1</v>
      </c>
      <c r="AR824" t="b">
        <v>0</v>
      </c>
      <c r="AS824" t="b">
        <v>1</v>
      </c>
      <c r="AU824">
        <v>3</v>
      </c>
      <c r="AV824" s="79" t="str">
        <f>HYPERLINK("https://abs.twimg.com/images/themes/theme1/bg.png")</f>
        <v>https://abs.twimg.com/images/themes/theme1/bg.png</v>
      </c>
      <c r="AW824" t="b">
        <v>0</v>
      </c>
      <c r="AX824" t="s">
        <v>9303</v>
      </c>
      <c r="AY824" s="79" t="str">
        <f>HYPERLINK("https://twitter.com/hopeihave2")</f>
        <v>https://twitter.com/hopeihave2</v>
      </c>
      <c r="AZ824" t="s">
        <v>66</v>
      </c>
      <c r="BA824" s="2"/>
    </row>
    <row r="825" spans="1:53" x14ac:dyDescent="0.45">
      <c r="A825" s="62" t="s">
        <v>1162</v>
      </c>
      <c r="B825" s="63"/>
      <c r="C825" s="63"/>
      <c r="D825" s="64"/>
      <c r="E825" s="66"/>
      <c r="F825" s="98" t="str">
        <f>HYPERLINK("https://pbs.twimg.com/profile_images/1260510509016641536/eiBMYk-__normal.jpg")</f>
        <v>https://pbs.twimg.com/profile_images/1260510509016641536/eiBMYk-__normal.jpg</v>
      </c>
      <c r="G825" s="63"/>
      <c r="H825" s="67"/>
      <c r="I825" s="68"/>
      <c r="J825" s="68"/>
      <c r="K825" s="67" t="s">
        <v>9425</v>
      </c>
      <c r="L825" s="71"/>
      <c r="M825" s="72"/>
      <c r="N825" s="72"/>
      <c r="O825" s="73"/>
      <c r="P825" s="74"/>
      <c r="Q825" s="74"/>
      <c r="R825" s="81"/>
      <c r="S825" s="81"/>
      <c r="T825" s="81"/>
      <c r="U825" s="81"/>
      <c r="V825" s="48"/>
      <c r="W825" s="48"/>
      <c r="X825" s="48"/>
      <c r="Y825" s="48"/>
      <c r="Z825" s="47"/>
      <c r="AA825" s="69"/>
      <c r="AB825" s="69"/>
      <c r="AC825" s="70"/>
      <c r="AD825" t="s">
        <v>5119</v>
      </c>
      <c r="AE825" s="78" t="s">
        <v>6427</v>
      </c>
      <c r="AF825">
        <v>155</v>
      </c>
      <c r="AG825">
        <v>524</v>
      </c>
      <c r="AH825">
        <v>471</v>
      </c>
      <c r="AI825">
        <v>110</v>
      </c>
      <c r="AK825" t="s">
        <v>7598</v>
      </c>
      <c r="AL825" t="s">
        <v>8745</v>
      </c>
      <c r="AM825" s="79" t="str">
        <f>HYPERLINK("https://t.co/PNCkRtH6ea")</f>
        <v>https://t.co/PNCkRtH6ea</v>
      </c>
      <c r="AO825" s="76">
        <v>43091.338333333333</v>
      </c>
      <c r="AP825" s="79" t="str">
        <f>HYPERLINK("https://pbs.twimg.com/profile_banners/944117101177872384/1539226347")</f>
        <v>https://pbs.twimg.com/profile_banners/944117101177872384/1539226347</v>
      </c>
      <c r="AQ825" t="b">
        <v>0</v>
      </c>
      <c r="AR825" t="b">
        <v>0</v>
      </c>
      <c r="AS825" t="b">
        <v>0</v>
      </c>
      <c r="AU825">
        <v>18</v>
      </c>
      <c r="AV825" s="79" t="str">
        <f>HYPERLINK("https://abs.twimg.com/images/themes/theme1/bg.png")</f>
        <v>https://abs.twimg.com/images/themes/theme1/bg.png</v>
      </c>
      <c r="AW825" t="b">
        <v>0</v>
      </c>
      <c r="AX825" t="s">
        <v>9303</v>
      </c>
      <c r="AY825" s="79" t="str">
        <f>HYPERLINK("https://twitter.com/geekplusrobot")</f>
        <v>https://twitter.com/geekplusrobot</v>
      </c>
      <c r="AZ825" t="s">
        <v>65</v>
      </c>
      <c r="BA825" s="2"/>
    </row>
    <row r="826" spans="1:53" x14ac:dyDescent="0.45">
      <c r="A826" s="62" t="s">
        <v>962</v>
      </c>
      <c r="B826" s="63"/>
      <c r="C826" s="63"/>
      <c r="D826" s="64"/>
      <c r="E826" s="66"/>
      <c r="F826" s="98" t="str">
        <f>HYPERLINK("https://pbs.twimg.com/profile_images/1579662822526550016/WWPmgrST_normal.jpg")</f>
        <v>https://pbs.twimg.com/profile_images/1579662822526550016/WWPmgrST_normal.jpg</v>
      </c>
      <c r="G826" s="63"/>
      <c r="H826" s="67"/>
      <c r="I826" s="68"/>
      <c r="J826" s="68"/>
      <c r="K826" s="67" t="s">
        <v>10424</v>
      </c>
      <c r="L826" s="71"/>
      <c r="M826" s="72"/>
      <c r="N826" s="72"/>
      <c r="O826" s="73"/>
      <c r="P826" s="74"/>
      <c r="Q826" s="74"/>
      <c r="R826" s="81"/>
      <c r="S826" s="81"/>
      <c r="T826" s="81"/>
      <c r="U826" s="81"/>
      <c r="V826" s="48"/>
      <c r="W826" s="48"/>
      <c r="X826" s="48"/>
      <c r="Y826" s="48"/>
      <c r="Z826" s="47"/>
      <c r="AA826" s="69"/>
      <c r="AB826" s="69"/>
      <c r="AC826" s="70"/>
      <c r="AD826" t="s">
        <v>6106</v>
      </c>
      <c r="AE826" s="78" t="s">
        <v>7304</v>
      </c>
      <c r="AF826">
        <v>311</v>
      </c>
      <c r="AG826">
        <v>523</v>
      </c>
      <c r="AH826">
        <v>10203</v>
      </c>
      <c r="AI826">
        <v>2238</v>
      </c>
      <c r="AK826" t="s">
        <v>8467</v>
      </c>
      <c r="AM826" s="79" t="str">
        <f>HYPERLINK("https://t.co/TrLXvPG74C")</f>
        <v>https://t.co/TrLXvPG74C</v>
      </c>
      <c r="AO826" s="76">
        <v>40942.603136574071</v>
      </c>
      <c r="AP826" s="79" t="str">
        <f>HYPERLINK("https://pbs.twimg.com/profile_banners/482090980/1641971938")</f>
        <v>https://pbs.twimg.com/profile_banners/482090980/1641971938</v>
      </c>
      <c r="AQ826" t="b">
        <v>0</v>
      </c>
      <c r="AR826" t="b">
        <v>0</v>
      </c>
      <c r="AS826" t="b">
        <v>0</v>
      </c>
      <c r="AU826">
        <v>0</v>
      </c>
      <c r="AV826" s="79" t="str">
        <f>HYPERLINK("https://abs.twimg.com/images/themes/theme1/bg.png")</f>
        <v>https://abs.twimg.com/images/themes/theme1/bg.png</v>
      </c>
      <c r="AW826" t="b">
        <v>0</v>
      </c>
      <c r="AX826" t="s">
        <v>9303</v>
      </c>
      <c r="AY826" s="79" t="str">
        <f>HYPERLINK("https://twitter.com/boojiemonroe")</f>
        <v>https://twitter.com/boojiemonroe</v>
      </c>
      <c r="AZ826" t="s">
        <v>66</v>
      </c>
      <c r="BA826" s="2"/>
    </row>
    <row r="827" spans="1:53" x14ac:dyDescent="0.45">
      <c r="A827" s="62" t="s">
        <v>298</v>
      </c>
      <c r="B827" s="63"/>
      <c r="C827" s="63"/>
      <c r="D827" s="64"/>
      <c r="E827" s="66"/>
      <c r="F827" s="98" t="str">
        <f>HYPERLINK("https://pbs.twimg.com/profile_images/1561836711830663168/y_PpIZXD_normal.jpg")</f>
        <v>https://pbs.twimg.com/profile_images/1561836711830663168/y_PpIZXD_normal.jpg</v>
      </c>
      <c r="G827" s="63"/>
      <c r="H827" s="67"/>
      <c r="I827" s="68"/>
      <c r="J827" s="68"/>
      <c r="K827" s="67" t="s">
        <v>9473</v>
      </c>
      <c r="L827" s="71"/>
      <c r="M827" s="72"/>
      <c r="N827" s="72"/>
      <c r="O827" s="73"/>
      <c r="P827" s="74"/>
      <c r="Q827" s="74"/>
      <c r="R827" s="81"/>
      <c r="S827" s="81"/>
      <c r="T827" s="81"/>
      <c r="U827" s="81"/>
      <c r="V827" s="48"/>
      <c r="W827" s="48"/>
      <c r="X827" s="48"/>
      <c r="Y827" s="48"/>
      <c r="Z827" s="47"/>
      <c r="AA827" s="69"/>
      <c r="AB827" s="69"/>
      <c r="AC827" s="70"/>
      <c r="AD827" t="s">
        <v>5167</v>
      </c>
      <c r="AE827" s="78" t="s">
        <v>6466</v>
      </c>
      <c r="AF827">
        <v>605</v>
      </c>
      <c r="AG827">
        <v>509</v>
      </c>
      <c r="AH827">
        <v>18755</v>
      </c>
      <c r="AI827">
        <v>14658</v>
      </c>
      <c r="AK827" t="s">
        <v>7638</v>
      </c>
      <c r="AO827" s="76">
        <v>44372.541516203702</v>
      </c>
      <c r="AQ827" t="b">
        <v>1</v>
      </c>
      <c r="AR827" t="b">
        <v>0</v>
      </c>
      <c r="AS827" t="b">
        <v>0</v>
      </c>
      <c r="AU827">
        <v>1</v>
      </c>
      <c r="AW827" t="b">
        <v>0</v>
      </c>
      <c r="AX827" t="s">
        <v>9303</v>
      </c>
      <c r="AY827" s="79" t="str">
        <f>HYPERLINK("https://twitter.com/bravocharlie322")</f>
        <v>https://twitter.com/bravocharlie322</v>
      </c>
      <c r="AZ827" t="s">
        <v>66</v>
      </c>
      <c r="BA827" s="2"/>
    </row>
    <row r="828" spans="1:53" x14ac:dyDescent="0.45">
      <c r="A828" s="62" t="s">
        <v>1045</v>
      </c>
      <c r="B828" s="63"/>
      <c r="C828" s="63"/>
      <c r="D828" s="64"/>
      <c r="E828" s="66"/>
      <c r="F828" s="98" t="str">
        <f>HYPERLINK("https://pbs.twimg.com/profile_images/1004243547472556032/yayWifmC_normal.jpg")</f>
        <v>https://pbs.twimg.com/profile_images/1004243547472556032/yayWifmC_normal.jpg</v>
      </c>
      <c r="G828" s="63"/>
      <c r="H828" s="67"/>
      <c r="I828" s="68"/>
      <c r="J828" s="68"/>
      <c r="K828" s="67" t="s">
        <v>10550</v>
      </c>
      <c r="L828" s="71"/>
      <c r="M828" s="72"/>
      <c r="N828" s="72"/>
      <c r="O828" s="73"/>
      <c r="P828" s="74"/>
      <c r="Q828" s="74"/>
      <c r="R828" s="81"/>
      <c r="S828" s="81"/>
      <c r="T828" s="81"/>
      <c r="U828" s="81"/>
      <c r="V828" s="48"/>
      <c r="W828" s="48"/>
      <c r="X828" s="48"/>
      <c r="Y828" s="48"/>
      <c r="Z828" s="47"/>
      <c r="AA828" s="69"/>
      <c r="AB828" s="69"/>
      <c r="AC828" s="70"/>
      <c r="AD828" t="s">
        <v>6228</v>
      </c>
      <c r="AE828" s="78" t="s">
        <v>7404</v>
      </c>
      <c r="AF828">
        <v>99</v>
      </c>
      <c r="AG828">
        <v>491</v>
      </c>
      <c r="AH828">
        <v>34203</v>
      </c>
      <c r="AI828">
        <v>4</v>
      </c>
      <c r="AK828" t="s">
        <v>8576</v>
      </c>
      <c r="AL828" t="s">
        <v>8827</v>
      </c>
      <c r="AM828" s="79" t="str">
        <f>HYPERLINK("https://t.co/ydqiiNn5iA")</f>
        <v>https://t.co/ydqiiNn5iA</v>
      </c>
      <c r="AO828" s="76">
        <v>42852.199675925927</v>
      </c>
      <c r="AQ828" t="b">
        <v>1</v>
      </c>
      <c r="AR828" t="b">
        <v>0</v>
      </c>
      <c r="AS828" t="b">
        <v>0</v>
      </c>
      <c r="AU828">
        <v>26</v>
      </c>
      <c r="AW828" t="b">
        <v>0</v>
      </c>
      <c r="AX828" t="s">
        <v>9303</v>
      </c>
      <c r="AY828" s="79" t="str">
        <f>HYPERLINK("https://twitter.com/joeclark947")</f>
        <v>https://twitter.com/joeclark947</v>
      </c>
      <c r="AZ828" t="s">
        <v>66</v>
      </c>
      <c r="BA828" s="2"/>
    </row>
    <row r="829" spans="1:53" x14ac:dyDescent="0.45">
      <c r="A829" s="62" t="s">
        <v>510</v>
      </c>
      <c r="B829" s="63"/>
      <c r="C829" s="63"/>
      <c r="D829" s="64"/>
      <c r="E829" s="66"/>
      <c r="F829" s="98" t="str">
        <f>HYPERLINK("https://pbs.twimg.com/profile_images/1582200729875480578/ogmJnKDi_normal.jpg")</f>
        <v>https://pbs.twimg.com/profile_images/1582200729875480578/ogmJnKDi_normal.jpg</v>
      </c>
      <c r="G829" s="63"/>
      <c r="H829" s="67"/>
      <c r="I829" s="68"/>
      <c r="J829" s="68"/>
      <c r="K829" s="67" t="s">
        <v>9793</v>
      </c>
      <c r="L829" s="71"/>
      <c r="M829" s="72"/>
      <c r="N829" s="72"/>
      <c r="O829" s="73"/>
      <c r="P829" s="74"/>
      <c r="Q829" s="74"/>
      <c r="R829" s="81"/>
      <c r="S829" s="81"/>
      <c r="T829" s="81"/>
      <c r="U829" s="81"/>
      <c r="V829" s="48"/>
      <c r="W829" s="48"/>
      <c r="X829" s="48"/>
      <c r="Y829" s="48"/>
      <c r="Z829" s="47"/>
      <c r="AA829" s="69"/>
      <c r="AB829" s="69"/>
      <c r="AC829" s="70"/>
      <c r="AD829" t="s">
        <v>5485</v>
      </c>
      <c r="AE829" s="78" t="s">
        <v>6742</v>
      </c>
      <c r="AF829">
        <v>1448</v>
      </c>
      <c r="AG829">
        <v>488</v>
      </c>
      <c r="AH829">
        <v>83767</v>
      </c>
      <c r="AI829">
        <v>29660</v>
      </c>
      <c r="AK829" t="s">
        <v>7914</v>
      </c>
      <c r="AL829" t="s">
        <v>8922</v>
      </c>
      <c r="AM829" s="79" t="str">
        <f>HYPERLINK("https://t.co/qUYe56QcwW")</f>
        <v>https://t.co/qUYe56QcwW</v>
      </c>
      <c r="AO829" s="76">
        <v>40061.777002314811</v>
      </c>
      <c r="AP829" s="79" t="str">
        <f>HYPERLINK("https://pbs.twimg.com/profile_banners/71863852/1666061026")</f>
        <v>https://pbs.twimg.com/profile_banners/71863852/1666061026</v>
      </c>
      <c r="AQ829" t="b">
        <v>0</v>
      </c>
      <c r="AR829" t="b">
        <v>0</v>
      </c>
      <c r="AS829" t="b">
        <v>0</v>
      </c>
      <c r="AU829">
        <v>7</v>
      </c>
      <c r="AV829" s="79" t="str">
        <f>HYPERLINK("https://abs.twimg.com/images/themes/theme11/bg.gif")</f>
        <v>https://abs.twimg.com/images/themes/theme11/bg.gif</v>
      </c>
      <c r="AW829" t="b">
        <v>0</v>
      </c>
      <c r="AX829" t="s">
        <v>9303</v>
      </c>
      <c r="AY829" s="79" t="str">
        <f>HYPERLINK("https://twitter.com/inalittledove")</f>
        <v>https://twitter.com/inalittledove</v>
      </c>
      <c r="AZ829" t="s">
        <v>66</v>
      </c>
      <c r="BA829" s="2"/>
    </row>
    <row r="830" spans="1:53" x14ac:dyDescent="0.45">
      <c r="A830" s="62" t="s">
        <v>1167</v>
      </c>
      <c r="B830" s="63"/>
      <c r="C830" s="63"/>
      <c r="D830" s="64"/>
      <c r="E830" s="66"/>
      <c r="F830" s="98" t="str">
        <f>HYPERLINK("https://pbs.twimg.com/profile_images/600096919965143040/lA0vAfNp_normal.jpg")</f>
        <v>https://pbs.twimg.com/profile_images/600096919965143040/lA0vAfNp_normal.jpg</v>
      </c>
      <c r="G830" s="63"/>
      <c r="H830" s="67"/>
      <c r="I830" s="68"/>
      <c r="J830" s="68"/>
      <c r="K830" s="67" t="s">
        <v>9442</v>
      </c>
      <c r="L830" s="71"/>
      <c r="M830" s="72"/>
      <c r="N830" s="72"/>
      <c r="O830" s="73"/>
      <c r="P830" s="74"/>
      <c r="Q830" s="74"/>
      <c r="R830" s="81"/>
      <c r="S830" s="81"/>
      <c r="T830" s="81"/>
      <c r="U830" s="81"/>
      <c r="V830" s="48"/>
      <c r="W830" s="48"/>
      <c r="X830" s="48"/>
      <c r="Y830" s="48"/>
      <c r="Z830" s="47"/>
      <c r="AA830" s="69"/>
      <c r="AB830" s="69"/>
      <c r="AC830" s="70"/>
      <c r="AD830" t="s">
        <v>5136</v>
      </c>
      <c r="AE830" s="78" t="s">
        <v>4663</v>
      </c>
      <c r="AF830">
        <v>267</v>
      </c>
      <c r="AG830">
        <v>477</v>
      </c>
      <c r="AH830">
        <v>5299</v>
      </c>
      <c r="AI830">
        <v>18328</v>
      </c>
      <c r="AL830" t="s">
        <v>8755</v>
      </c>
      <c r="AO830" s="76">
        <v>40779.834687499999</v>
      </c>
      <c r="AP830" s="79" t="str">
        <f>HYPERLINK("https://pbs.twimg.com/profile_banners/361443934/1427728997")</f>
        <v>https://pbs.twimg.com/profile_banners/361443934/1427728997</v>
      </c>
      <c r="AQ830" t="b">
        <v>0</v>
      </c>
      <c r="AR830" t="b">
        <v>0</v>
      </c>
      <c r="AS830" t="b">
        <v>1</v>
      </c>
      <c r="AU830">
        <v>6</v>
      </c>
      <c r="AV830" s="79" t="str">
        <f>HYPERLINK("https://abs.twimg.com/images/themes/theme1/bg.png")</f>
        <v>https://abs.twimg.com/images/themes/theme1/bg.png</v>
      </c>
      <c r="AW830" t="b">
        <v>0</v>
      </c>
      <c r="AX830" t="s">
        <v>9303</v>
      </c>
      <c r="AY830" s="79" t="str">
        <f>HYPERLINK("https://twitter.com/wolfm")</f>
        <v>https://twitter.com/wolfm</v>
      </c>
      <c r="AZ830" t="s">
        <v>65</v>
      </c>
      <c r="BA830" s="2"/>
    </row>
    <row r="831" spans="1:53" x14ac:dyDescent="0.45">
      <c r="A831" s="62" t="s">
        <v>1565</v>
      </c>
      <c r="B831" s="63"/>
      <c r="C831" s="63"/>
      <c r="D831" s="64"/>
      <c r="E831" s="66"/>
      <c r="F831" s="98" t="str">
        <f>HYPERLINK("https://pbs.twimg.com/profile_images/933043995650932737/2ZeBolN8_normal.jpg")</f>
        <v>https://pbs.twimg.com/profile_images/933043995650932737/2ZeBolN8_normal.jpg</v>
      </c>
      <c r="G831" s="63"/>
      <c r="H831" s="67"/>
      <c r="I831" s="68"/>
      <c r="J831" s="68"/>
      <c r="K831" s="67" t="s">
        <v>10648</v>
      </c>
      <c r="L831" s="71"/>
      <c r="M831" s="72"/>
      <c r="N831" s="72"/>
      <c r="O831" s="73"/>
      <c r="P831" s="74"/>
      <c r="Q831" s="74"/>
      <c r="R831" s="81"/>
      <c r="S831" s="81"/>
      <c r="T831" s="81"/>
      <c r="U831" s="81"/>
      <c r="V831" s="48"/>
      <c r="W831" s="48"/>
      <c r="X831" s="48"/>
      <c r="Y831" s="48"/>
      <c r="Z831" s="47"/>
      <c r="AA831" s="69"/>
      <c r="AB831" s="69"/>
      <c r="AC831" s="70"/>
      <c r="AD831" t="s">
        <v>6323</v>
      </c>
      <c r="AE831" s="78" t="s">
        <v>7485</v>
      </c>
      <c r="AF831">
        <v>13</v>
      </c>
      <c r="AG831">
        <v>475</v>
      </c>
      <c r="AH831">
        <v>236</v>
      </c>
      <c r="AI831">
        <v>365</v>
      </c>
      <c r="AK831" t="s">
        <v>8668</v>
      </c>
      <c r="AL831" t="s">
        <v>8742</v>
      </c>
      <c r="AM831" s="79" t="str">
        <f>HYPERLINK("https://t.co/pbeW3x0cqm")</f>
        <v>https://t.co/pbeW3x0cqm</v>
      </c>
      <c r="AO831" s="76">
        <v>42944.94332175926</v>
      </c>
      <c r="AP831" s="79" t="str">
        <f>HYPERLINK("https://pbs.twimg.com/profile_banners/891065327060230144/1542644905")</f>
        <v>https://pbs.twimg.com/profile_banners/891065327060230144/1542644905</v>
      </c>
      <c r="AQ831" t="b">
        <v>1</v>
      </c>
      <c r="AR831" t="b">
        <v>0</v>
      </c>
      <c r="AS831" t="b">
        <v>0</v>
      </c>
      <c r="AU831">
        <v>6</v>
      </c>
      <c r="AW831" t="b">
        <v>0</v>
      </c>
      <c r="AX831" t="s">
        <v>9303</v>
      </c>
      <c r="AY831" s="79" t="str">
        <f>HYPERLINK("https://twitter.com/nocow")</f>
        <v>https://twitter.com/nocow</v>
      </c>
      <c r="AZ831" t="s">
        <v>65</v>
      </c>
      <c r="BA831" s="2"/>
    </row>
    <row r="832" spans="1:53" x14ac:dyDescent="0.45">
      <c r="A832" s="62" t="s">
        <v>830</v>
      </c>
      <c r="B832" s="63"/>
      <c r="C832" s="63"/>
      <c r="D832" s="64"/>
      <c r="E832" s="66"/>
      <c r="F832" s="98" t="str">
        <f>HYPERLINK("https://pbs.twimg.com/profile_images/789162453837807616/vqgexgQn_normal.jpg")</f>
        <v>https://pbs.twimg.com/profile_images/789162453837807616/vqgexgQn_normal.jpg</v>
      </c>
      <c r="G832" s="63"/>
      <c r="H832" s="67"/>
      <c r="I832" s="68"/>
      <c r="J832" s="68"/>
      <c r="K832" s="67" t="s">
        <v>10158</v>
      </c>
      <c r="L832" s="71"/>
      <c r="M832" s="72"/>
      <c r="N832" s="72"/>
      <c r="O832" s="73"/>
      <c r="P832" s="74"/>
      <c r="Q832" s="74"/>
      <c r="R832" s="81"/>
      <c r="S832" s="81"/>
      <c r="T832" s="81"/>
      <c r="U832" s="81"/>
      <c r="V832" s="48"/>
      <c r="W832" s="48"/>
      <c r="X832" s="48"/>
      <c r="Y832" s="48"/>
      <c r="Z832" s="47"/>
      <c r="AA832" s="69"/>
      <c r="AB832" s="69"/>
      <c r="AC832" s="70"/>
      <c r="AD832" t="s">
        <v>5844</v>
      </c>
      <c r="AE832" s="78" t="s">
        <v>7069</v>
      </c>
      <c r="AF832">
        <v>163</v>
      </c>
      <c r="AG832">
        <v>472</v>
      </c>
      <c r="AH832">
        <v>2039</v>
      </c>
      <c r="AI832">
        <v>3608</v>
      </c>
      <c r="AK832" t="s">
        <v>8234</v>
      </c>
      <c r="AL832" t="s">
        <v>9101</v>
      </c>
      <c r="AM832" s="79" t="str">
        <f>HYPERLINK("https://t.co/JVhOXGjzZz")</f>
        <v>https://t.co/JVhOXGjzZz</v>
      </c>
      <c r="AO832" s="76">
        <v>42663.734548611108</v>
      </c>
      <c r="AP832" s="79" t="str">
        <f>HYPERLINK("https://pbs.twimg.com/profile_banners/789158678498713601/1525454067")</f>
        <v>https://pbs.twimg.com/profile_banners/789158678498713601/1525454067</v>
      </c>
      <c r="AQ832" t="b">
        <v>0</v>
      </c>
      <c r="AR832" t="b">
        <v>0</v>
      </c>
      <c r="AS832" t="b">
        <v>0</v>
      </c>
      <c r="AU832">
        <v>5</v>
      </c>
      <c r="AV832" s="79" t="str">
        <f>HYPERLINK("https://abs.twimg.com/images/themes/theme1/bg.png")</f>
        <v>https://abs.twimg.com/images/themes/theme1/bg.png</v>
      </c>
      <c r="AW832" t="b">
        <v>0</v>
      </c>
      <c r="AX832" t="s">
        <v>9303</v>
      </c>
      <c r="AY832" s="79" t="str">
        <f>HYPERLINK("https://twitter.com/ctwpanthers")</f>
        <v>https://twitter.com/ctwpanthers</v>
      </c>
      <c r="AZ832" t="s">
        <v>66</v>
      </c>
      <c r="BA832" s="2"/>
    </row>
    <row r="833" spans="1:53" x14ac:dyDescent="0.45">
      <c r="A833" s="62" t="s">
        <v>443</v>
      </c>
      <c r="B833" s="63"/>
      <c r="C833" s="63"/>
      <c r="D833" s="64"/>
      <c r="E833" s="66"/>
      <c r="F833" s="98" t="str">
        <f>HYPERLINK("https://pbs.twimg.com/profile_images/1618130143993536514/esJIyk7a_normal.jpg")</f>
        <v>https://pbs.twimg.com/profile_images/1618130143993536514/esJIyk7a_normal.jpg</v>
      </c>
      <c r="G833" s="63"/>
      <c r="H833" s="67"/>
      <c r="I833" s="68"/>
      <c r="J833" s="68"/>
      <c r="K833" s="67" t="s">
        <v>9702</v>
      </c>
      <c r="L833" s="71"/>
      <c r="M833" s="72"/>
      <c r="N833" s="72"/>
      <c r="O833" s="73"/>
      <c r="P833" s="74"/>
      <c r="Q833" s="74"/>
      <c r="R833" s="81"/>
      <c r="S833" s="81"/>
      <c r="T833" s="81"/>
      <c r="U833" s="81"/>
      <c r="V833" s="48"/>
      <c r="W833" s="48"/>
      <c r="X833" s="48"/>
      <c r="Y833" s="48"/>
      <c r="Z833" s="47"/>
      <c r="AA833" s="69"/>
      <c r="AB833" s="69"/>
      <c r="AC833" s="70"/>
      <c r="AD833" t="s">
        <v>5394</v>
      </c>
      <c r="AE833" s="78" t="s">
        <v>6667</v>
      </c>
      <c r="AF833">
        <v>412</v>
      </c>
      <c r="AG833">
        <v>467</v>
      </c>
      <c r="AH833">
        <v>19570</v>
      </c>
      <c r="AI833">
        <v>54128</v>
      </c>
      <c r="AK833" t="s">
        <v>7838</v>
      </c>
      <c r="AO833" s="76">
        <v>44122.610960648148</v>
      </c>
      <c r="AP833" s="79" t="str">
        <f>HYPERLINK("https://pbs.twimg.com/profile_banners/1317837736397672448/1675297975")</f>
        <v>https://pbs.twimg.com/profile_banners/1317837736397672448/1675297975</v>
      </c>
      <c r="AQ833" t="b">
        <v>1</v>
      </c>
      <c r="AR833" t="b">
        <v>0</v>
      </c>
      <c r="AS833" t="b">
        <v>0</v>
      </c>
      <c r="AU833">
        <v>1</v>
      </c>
      <c r="AW833" t="b">
        <v>0</v>
      </c>
      <c r="AX833" t="s">
        <v>9303</v>
      </c>
      <c r="AY833" s="79" t="str">
        <f>HYPERLINK("https://twitter.com/neverbegera")</f>
        <v>https://twitter.com/neverbegera</v>
      </c>
      <c r="AZ833" t="s">
        <v>66</v>
      </c>
      <c r="BA833" s="2"/>
    </row>
    <row r="834" spans="1:53" x14ac:dyDescent="0.45">
      <c r="A834" s="62" t="s">
        <v>342</v>
      </c>
      <c r="B834" s="63"/>
      <c r="C834" s="63"/>
      <c r="D834" s="64"/>
      <c r="E834" s="66"/>
      <c r="F834" s="98" t="str">
        <f>HYPERLINK("https://pbs.twimg.com/profile_images/1492920281203191821/SHZ5QYM5_normal.jpg")</f>
        <v>https://pbs.twimg.com/profile_images/1492920281203191821/SHZ5QYM5_normal.jpg</v>
      </c>
      <c r="G834" s="63"/>
      <c r="H834" s="67"/>
      <c r="I834" s="68"/>
      <c r="J834" s="68"/>
      <c r="K834" s="67" t="s">
        <v>9564</v>
      </c>
      <c r="L834" s="71"/>
      <c r="M834" s="72"/>
      <c r="N834" s="72"/>
      <c r="O834" s="73"/>
      <c r="P834" s="74"/>
      <c r="Q834" s="74"/>
      <c r="R834" s="81"/>
      <c r="S834" s="81"/>
      <c r="T834" s="81"/>
      <c r="U834" s="81"/>
      <c r="V834" s="48"/>
      <c r="W834" s="48"/>
      <c r="X834" s="48"/>
      <c r="Y834" s="48"/>
      <c r="Z834" s="47"/>
      <c r="AA834" s="69"/>
      <c r="AB834" s="69"/>
      <c r="AC834" s="70"/>
      <c r="AD834" t="s">
        <v>5257</v>
      </c>
      <c r="AE834" s="78" t="s">
        <v>6537</v>
      </c>
      <c r="AF834">
        <v>1843</v>
      </c>
      <c r="AG834">
        <v>467</v>
      </c>
      <c r="AH834">
        <v>3172</v>
      </c>
      <c r="AI834">
        <v>3673</v>
      </c>
      <c r="AK834" t="s">
        <v>7721</v>
      </c>
      <c r="AL834" t="s">
        <v>4908</v>
      </c>
      <c r="AM834" s="79" t="str">
        <f>HYPERLINK("https://t.co/j0uAfgFLv3")</f>
        <v>https://t.co/j0uAfgFLv3</v>
      </c>
      <c r="AO834" s="76">
        <v>44605.349768518521</v>
      </c>
      <c r="AP834" s="79" t="str">
        <f>HYPERLINK("https://pbs.twimg.com/profile_banners/1492776345105010688/1648340003")</f>
        <v>https://pbs.twimg.com/profile_banners/1492776345105010688/1648340003</v>
      </c>
      <c r="AQ834" t="b">
        <v>1</v>
      </c>
      <c r="AR834" t="b">
        <v>0</v>
      </c>
      <c r="AS834" t="b">
        <v>1</v>
      </c>
      <c r="AU834">
        <v>0</v>
      </c>
      <c r="AW834" t="b">
        <v>0</v>
      </c>
      <c r="AX834" t="s">
        <v>9303</v>
      </c>
      <c r="AY834" s="79" t="str">
        <f>HYPERLINK("https://twitter.com/nftwanda_43")</f>
        <v>https://twitter.com/nftwanda_43</v>
      </c>
      <c r="AZ834" t="s">
        <v>66</v>
      </c>
      <c r="BA834" s="2"/>
    </row>
    <row r="835" spans="1:53" x14ac:dyDescent="0.45">
      <c r="A835" s="62" t="s">
        <v>288</v>
      </c>
      <c r="B835" s="63"/>
      <c r="C835" s="63"/>
      <c r="D835" s="64"/>
      <c r="E835" s="66"/>
      <c r="F835" s="98" t="str">
        <f>HYPERLINK("https://pbs.twimg.com/profile_images/1097874028067520512/nnoE1wKN_normal.png")</f>
        <v>https://pbs.twimg.com/profile_images/1097874028067520512/nnoE1wKN_normal.png</v>
      </c>
      <c r="G835" s="63"/>
      <c r="H835" s="67"/>
      <c r="I835" s="68"/>
      <c r="J835" s="68"/>
      <c r="K835" s="67" t="s">
        <v>9446</v>
      </c>
      <c r="L835" s="71"/>
      <c r="M835" s="72"/>
      <c r="N835" s="72"/>
      <c r="O835" s="73"/>
      <c r="P835" s="74"/>
      <c r="Q835" s="74"/>
      <c r="R835" s="81"/>
      <c r="S835" s="81"/>
      <c r="T835" s="81"/>
      <c r="U835" s="81"/>
      <c r="V835" s="48"/>
      <c r="W835" s="48"/>
      <c r="X835" s="48"/>
      <c r="Y835" s="48"/>
      <c r="Z835" s="47"/>
      <c r="AA835" s="69"/>
      <c r="AB835" s="69"/>
      <c r="AC835" s="70"/>
      <c r="AD835" t="s">
        <v>5140</v>
      </c>
      <c r="AE835" s="78" t="s">
        <v>6443</v>
      </c>
      <c r="AF835">
        <v>982</v>
      </c>
      <c r="AG835">
        <v>465</v>
      </c>
      <c r="AH835">
        <v>4011</v>
      </c>
      <c r="AI835">
        <v>1349</v>
      </c>
      <c r="AK835" t="s">
        <v>7614</v>
      </c>
      <c r="AL835" t="s">
        <v>8710</v>
      </c>
      <c r="AM835" s="79" t="str">
        <f>HYPERLINK("https://t.co/OdbhVpZfEo")</f>
        <v>https://t.co/OdbhVpZfEo</v>
      </c>
      <c r="AO835" s="76">
        <v>42759.677245370367</v>
      </c>
      <c r="AP835" s="79" t="str">
        <f>HYPERLINK("https://pbs.twimg.com/profile_banners/823927145475035136/1519488023")</f>
        <v>https://pbs.twimg.com/profile_banners/823927145475035136/1519488023</v>
      </c>
      <c r="AQ835" t="b">
        <v>0</v>
      </c>
      <c r="AR835" t="b">
        <v>0</v>
      </c>
      <c r="AS835" t="b">
        <v>0</v>
      </c>
      <c r="AU835">
        <v>13</v>
      </c>
      <c r="AV835" s="79" t="str">
        <f>HYPERLINK("https://abs.twimg.com/images/themes/theme1/bg.png")</f>
        <v>https://abs.twimg.com/images/themes/theme1/bg.png</v>
      </c>
      <c r="AW835" t="b">
        <v>1</v>
      </c>
      <c r="AX835" t="s">
        <v>9303</v>
      </c>
      <c r="AY835" s="79" t="str">
        <f>HYPERLINK("https://twitter.com/wakeuprickm")</f>
        <v>https://twitter.com/wakeuprickm</v>
      </c>
      <c r="AZ835" t="s">
        <v>66</v>
      </c>
      <c r="BA835" s="2"/>
    </row>
    <row r="836" spans="1:53" x14ac:dyDescent="0.45">
      <c r="A836" s="62" t="s">
        <v>1446</v>
      </c>
      <c r="B836" s="63"/>
      <c r="C836" s="63"/>
      <c r="D836" s="64"/>
      <c r="E836" s="66"/>
      <c r="F836" s="98" t="str">
        <f>HYPERLINK("https://pbs.twimg.com/profile_images/843506414513459200/Q6hH2Jp7_normal.jpg")</f>
        <v>https://pbs.twimg.com/profile_images/843506414513459200/Q6hH2Jp7_normal.jpg</v>
      </c>
      <c r="G836" s="63"/>
      <c r="H836" s="67"/>
      <c r="I836" s="68"/>
      <c r="J836" s="68"/>
      <c r="K836" s="67" t="s">
        <v>10372</v>
      </c>
      <c r="L836" s="71"/>
      <c r="M836" s="72"/>
      <c r="N836" s="72"/>
      <c r="O836" s="73"/>
      <c r="P836" s="74"/>
      <c r="Q836" s="74"/>
      <c r="R836" s="81"/>
      <c r="S836" s="81"/>
      <c r="T836" s="81"/>
      <c r="U836" s="81"/>
      <c r="V836" s="48"/>
      <c r="W836" s="48"/>
      <c r="X836" s="48"/>
      <c r="Y836" s="48"/>
      <c r="Z836" s="47"/>
      <c r="AA836" s="69"/>
      <c r="AB836" s="69"/>
      <c r="AC836" s="70"/>
      <c r="AD836" t="s">
        <v>6055</v>
      </c>
      <c r="AE836" s="78" t="s">
        <v>4771</v>
      </c>
      <c r="AF836">
        <v>1031</v>
      </c>
      <c r="AG836">
        <v>465</v>
      </c>
      <c r="AH836">
        <v>17081</v>
      </c>
      <c r="AI836">
        <v>26113</v>
      </c>
      <c r="AO836" s="76">
        <v>40071.612291666665</v>
      </c>
      <c r="AP836" s="79" t="str">
        <f>HYPERLINK("https://pbs.twimg.com/profile_banners/74463202/1489942602")</f>
        <v>https://pbs.twimg.com/profile_banners/74463202/1489942602</v>
      </c>
      <c r="AQ836" t="b">
        <v>0</v>
      </c>
      <c r="AR836" t="b">
        <v>0</v>
      </c>
      <c r="AS836" t="b">
        <v>1</v>
      </c>
      <c r="AU836">
        <v>3</v>
      </c>
      <c r="AV836" s="79" t="str">
        <f>HYPERLINK("https://abs.twimg.com/images/themes/theme1/bg.png")</f>
        <v>https://abs.twimg.com/images/themes/theme1/bg.png</v>
      </c>
      <c r="AW836" t="b">
        <v>0</v>
      </c>
      <c r="AX836" t="s">
        <v>9303</v>
      </c>
      <c r="AY836" s="79" t="str">
        <f>HYPERLINK("https://twitter.com/andi0304")</f>
        <v>https://twitter.com/andi0304</v>
      </c>
      <c r="AZ836" t="s">
        <v>65</v>
      </c>
      <c r="BA836" s="2"/>
    </row>
    <row r="837" spans="1:53" x14ac:dyDescent="0.45">
      <c r="A837" s="62" t="s">
        <v>1400</v>
      </c>
      <c r="B837" s="63"/>
      <c r="C837" s="63"/>
      <c r="D837" s="64"/>
      <c r="E837" s="66"/>
      <c r="F837" s="98" t="str">
        <f>HYPERLINK("https://pbs.twimg.com/profile_images/1774280632/daniel_pentecost_normal.JPG")</f>
        <v>https://pbs.twimg.com/profile_images/1774280632/daniel_pentecost_normal.JPG</v>
      </c>
      <c r="G837" s="63"/>
      <c r="H837" s="67"/>
      <c r="I837" s="68"/>
      <c r="J837" s="68"/>
      <c r="K837" s="67" t="s">
        <v>10222</v>
      </c>
      <c r="L837" s="71"/>
      <c r="M837" s="72"/>
      <c r="N837" s="72"/>
      <c r="O837" s="73"/>
      <c r="P837" s="74"/>
      <c r="Q837" s="74"/>
      <c r="R837" s="81"/>
      <c r="S837" s="81"/>
      <c r="T837" s="81"/>
      <c r="U837" s="81"/>
      <c r="V837" s="48"/>
      <c r="W837" s="48"/>
      <c r="X837" s="48"/>
      <c r="Y837" s="48"/>
      <c r="Z837" s="47"/>
      <c r="AA837" s="69"/>
      <c r="AB837" s="69"/>
      <c r="AC837" s="70"/>
      <c r="AD837" t="s">
        <v>5906</v>
      </c>
      <c r="AE837" s="78" t="s">
        <v>4757</v>
      </c>
      <c r="AF837">
        <v>687</v>
      </c>
      <c r="AG837">
        <v>457</v>
      </c>
      <c r="AH837">
        <v>3255</v>
      </c>
      <c r="AI837">
        <v>3481</v>
      </c>
      <c r="AK837" t="s">
        <v>8289</v>
      </c>
      <c r="AM837" s="79" t="str">
        <f>HYPERLINK("https://t.co/gqnYP7KYvh")</f>
        <v>https://t.co/gqnYP7KYvh</v>
      </c>
      <c r="AO837" s="76">
        <v>39585.939212962963</v>
      </c>
      <c r="AP837" s="79" t="str">
        <f>HYPERLINK("https://pbs.twimg.com/profile_banners/14815339/1453321347")</f>
        <v>https://pbs.twimg.com/profile_banners/14815339/1453321347</v>
      </c>
      <c r="AQ837" t="b">
        <v>0</v>
      </c>
      <c r="AR837" t="b">
        <v>0</v>
      </c>
      <c r="AS837" t="b">
        <v>1</v>
      </c>
      <c r="AU837">
        <v>4</v>
      </c>
      <c r="AV837" s="79" t="str">
        <f>HYPERLINK("https://abs.twimg.com/images/themes/theme8/bg.gif")</f>
        <v>https://abs.twimg.com/images/themes/theme8/bg.gif</v>
      </c>
      <c r="AW837" t="b">
        <v>0</v>
      </c>
      <c r="AX837" t="s">
        <v>9303</v>
      </c>
      <c r="AY837" s="79" t="str">
        <f>HYPERLINK("https://twitter.com/davoice")</f>
        <v>https://twitter.com/davoice</v>
      </c>
      <c r="AZ837" t="s">
        <v>65</v>
      </c>
      <c r="BA837" s="2"/>
    </row>
    <row r="838" spans="1:53" x14ac:dyDescent="0.45">
      <c r="A838" s="62" t="s">
        <v>404</v>
      </c>
      <c r="B838" s="63"/>
      <c r="C838" s="63"/>
      <c r="D838" s="64"/>
      <c r="E838" s="66"/>
      <c r="F838" s="98" t="str">
        <f>HYPERLINK("https://pbs.twimg.com/profile_images/1591501390873997312/RxgHmOqa_normal.jpg")</f>
        <v>https://pbs.twimg.com/profile_images/1591501390873997312/RxgHmOqa_normal.jpg</v>
      </c>
      <c r="G838" s="63"/>
      <c r="H838" s="67"/>
      <c r="I838" s="68"/>
      <c r="J838" s="68"/>
      <c r="K838" s="67" t="s">
        <v>9654</v>
      </c>
      <c r="L838" s="71"/>
      <c r="M838" s="72"/>
      <c r="N838" s="72"/>
      <c r="O838" s="73"/>
      <c r="P838" s="74"/>
      <c r="Q838" s="74"/>
      <c r="R838" s="81"/>
      <c r="S838" s="81"/>
      <c r="T838" s="81"/>
      <c r="U838" s="81"/>
      <c r="V838" s="48"/>
      <c r="W838" s="48"/>
      <c r="X838" s="48"/>
      <c r="Y838" s="48"/>
      <c r="Z838" s="47"/>
      <c r="AA838" s="69"/>
      <c r="AB838" s="69"/>
      <c r="AC838" s="70"/>
      <c r="AD838" t="s">
        <v>5347</v>
      </c>
      <c r="AE838" s="78" t="s">
        <v>6622</v>
      </c>
      <c r="AF838">
        <v>160</v>
      </c>
      <c r="AG838">
        <v>454</v>
      </c>
      <c r="AH838">
        <v>14799</v>
      </c>
      <c r="AI838">
        <v>10321</v>
      </c>
      <c r="AK838" t="s">
        <v>7798</v>
      </c>
      <c r="AO838" s="76">
        <v>44486.617974537039</v>
      </c>
      <c r="AQ838" t="b">
        <v>1</v>
      </c>
      <c r="AR838" t="b">
        <v>0</v>
      </c>
      <c r="AS838" t="b">
        <v>0</v>
      </c>
      <c r="AU838">
        <v>5</v>
      </c>
      <c r="AW838" t="b">
        <v>0</v>
      </c>
      <c r="AX838" t="s">
        <v>9303</v>
      </c>
      <c r="AY838" s="79" t="str">
        <f>HYPERLINK("https://twitter.com/michaelgoligh20")</f>
        <v>https://twitter.com/michaelgoligh20</v>
      </c>
      <c r="AZ838" t="s">
        <v>66</v>
      </c>
      <c r="BA838" s="2"/>
    </row>
    <row r="839" spans="1:53" x14ac:dyDescent="0.45">
      <c r="A839" s="62" t="s">
        <v>377</v>
      </c>
      <c r="B839" s="63"/>
      <c r="C839" s="63"/>
      <c r="D839" s="64"/>
      <c r="E839" s="66"/>
      <c r="F839" s="98" t="str">
        <f>HYPERLINK("https://pbs.twimg.com/profile_images/1549466897585999875/dyajeG0A_normal.jpg")</f>
        <v>https://pbs.twimg.com/profile_images/1549466897585999875/dyajeG0A_normal.jpg</v>
      </c>
      <c r="G839" s="63"/>
      <c r="H839" s="67"/>
      <c r="I839" s="68"/>
      <c r="J839" s="68"/>
      <c r="K839" s="67" t="s">
        <v>9623</v>
      </c>
      <c r="L839" s="71"/>
      <c r="M839" s="72"/>
      <c r="N839" s="72"/>
      <c r="O839" s="73"/>
      <c r="P839" s="74"/>
      <c r="Q839" s="74"/>
      <c r="R839" s="81"/>
      <c r="S839" s="81"/>
      <c r="T839" s="81"/>
      <c r="U839" s="81"/>
      <c r="V839" s="48"/>
      <c r="W839" s="48"/>
      <c r="X839" s="48"/>
      <c r="Y839" s="48"/>
      <c r="Z839" s="47"/>
      <c r="AA839" s="69"/>
      <c r="AB839" s="69"/>
      <c r="AC839" s="70"/>
      <c r="AD839" t="s">
        <v>5316</v>
      </c>
      <c r="AE839" s="78" t="s">
        <v>6593</v>
      </c>
      <c r="AF839">
        <v>260</v>
      </c>
      <c r="AG839">
        <v>451</v>
      </c>
      <c r="AH839">
        <v>21309</v>
      </c>
      <c r="AI839">
        <v>8441</v>
      </c>
      <c r="AK839" t="s">
        <v>7770</v>
      </c>
      <c r="AO839" s="76">
        <v>44482.171643518515</v>
      </c>
      <c r="AP839" s="79" t="str">
        <f>HYPERLINK("https://pbs.twimg.com/profile_banners/1448138076442677249/1655602799")</f>
        <v>https://pbs.twimg.com/profile_banners/1448138076442677249/1655602799</v>
      </c>
      <c r="AQ839" t="b">
        <v>1</v>
      </c>
      <c r="AR839" t="b">
        <v>0</v>
      </c>
      <c r="AS839" t="b">
        <v>0</v>
      </c>
      <c r="AU839">
        <v>2</v>
      </c>
      <c r="AW839" t="b">
        <v>0</v>
      </c>
      <c r="AX839" t="s">
        <v>9303</v>
      </c>
      <c r="AY839" s="79" t="str">
        <f>HYPERLINK("https://twitter.com/pasdempeo")</f>
        <v>https://twitter.com/pasdempeo</v>
      </c>
      <c r="AZ839" t="s">
        <v>66</v>
      </c>
      <c r="BA839" s="2"/>
    </row>
    <row r="840" spans="1:53" x14ac:dyDescent="0.45">
      <c r="A840" s="62" t="s">
        <v>756</v>
      </c>
      <c r="B840" s="63"/>
      <c r="C840" s="63"/>
      <c r="D840" s="64"/>
      <c r="E840" s="66"/>
      <c r="F840" s="98" t="str">
        <f>HYPERLINK("https://pbs.twimg.com/profile_images/1615125488434913280/TKfhMVTv_normal.jpg")</f>
        <v>https://pbs.twimg.com/profile_images/1615125488434913280/TKfhMVTv_normal.jpg</v>
      </c>
      <c r="G840" s="63"/>
      <c r="H840" s="67"/>
      <c r="I840" s="68"/>
      <c r="J840" s="68"/>
      <c r="K840" s="67" t="s">
        <v>10107</v>
      </c>
      <c r="L840" s="71"/>
      <c r="M840" s="72"/>
      <c r="N840" s="72"/>
      <c r="O840" s="73"/>
      <c r="P840" s="74"/>
      <c r="Q840" s="74"/>
      <c r="R840" s="81"/>
      <c r="S840" s="81"/>
      <c r="T840" s="81"/>
      <c r="U840" s="81"/>
      <c r="V840" s="48"/>
      <c r="W840" s="48"/>
      <c r="X840" s="48"/>
      <c r="Y840" s="48"/>
      <c r="Z840" s="47"/>
      <c r="AA840" s="69"/>
      <c r="AB840" s="69"/>
      <c r="AC840" s="70"/>
      <c r="AD840" t="s">
        <v>5795</v>
      </c>
      <c r="AE840" s="78" t="s">
        <v>7027</v>
      </c>
      <c r="AF840">
        <v>69</v>
      </c>
      <c r="AG840">
        <v>450</v>
      </c>
      <c r="AH840">
        <v>157809</v>
      </c>
      <c r="AI840">
        <v>166387</v>
      </c>
      <c r="AK840" t="s">
        <v>8190</v>
      </c>
      <c r="AL840" t="s">
        <v>9084</v>
      </c>
      <c r="AO840" s="76">
        <v>40967.971053240741</v>
      </c>
      <c r="AQ840" t="b">
        <v>1</v>
      </c>
      <c r="AR840" t="b">
        <v>0</v>
      </c>
      <c r="AS840" t="b">
        <v>1</v>
      </c>
      <c r="AU840">
        <v>3</v>
      </c>
      <c r="AV840" s="79" t="str">
        <f>HYPERLINK("https://abs.twimg.com/images/themes/theme1/bg.png")</f>
        <v>https://abs.twimg.com/images/themes/theme1/bg.png</v>
      </c>
      <c r="AW840" t="b">
        <v>0</v>
      </c>
      <c r="AX840" t="s">
        <v>9303</v>
      </c>
      <c r="AY840" s="79" t="str">
        <f>HYPERLINK("https://twitter.com/andykillingback")</f>
        <v>https://twitter.com/andykillingback</v>
      </c>
      <c r="AZ840" t="s">
        <v>66</v>
      </c>
      <c r="BA840" s="2"/>
    </row>
    <row r="841" spans="1:53" x14ac:dyDescent="0.45">
      <c r="A841" s="62" t="s">
        <v>750</v>
      </c>
      <c r="B841" s="63"/>
      <c r="C841" s="63"/>
      <c r="D841" s="64"/>
      <c r="E841" s="66"/>
      <c r="F841" s="98" t="str">
        <f>HYPERLINK("https://pbs.twimg.com/profile_images/1615518395373441026/iEtcA4dQ_normal.jpg")</f>
        <v>https://pbs.twimg.com/profile_images/1615518395373441026/iEtcA4dQ_normal.jpg</v>
      </c>
      <c r="G841" s="63"/>
      <c r="H841" s="67"/>
      <c r="I841" s="68"/>
      <c r="J841" s="68"/>
      <c r="K841" s="67" t="s">
        <v>10101</v>
      </c>
      <c r="L841" s="71"/>
      <c r="M841" s="72"/>
      <c r="N841" s="72"/>
      <c r="O841" s="73"/>
      <c r="P841" s="74"/>
      <c r="Q841" s="74"/>
      <c r="R841" s="81"/>
      <c r="S841" s="81"/>
      <c r="T841" s="81"/>
      <c r="U841" s="81"/>
      <c r="V841" s="48"/>
      <c r="W841" s="48"/>
      <c r="X841" s="48"/>
      <c r="Y841" s="48"/>
      <c r="Z841" s="47"/>
      <c r="AA841" s="69"/>
      <c r="AB841" s="69"/>
      <c r="AC841" s="70"/>
      <c r="AD841" t="s">
        <v>5789</v>
      </c>
      <c r="AE841" s="78" t="s">
        <v>7021</v>
      </c>
      <c r="AF841">
        <v>817</v>
      </c>
      <c r="AG841">
        <v>446</v>
      </c>
      <c r="AH841">
        <v>11705</v>
      </c>
      <c r="AI841">
        <v>51155</v>
      </c>
      <c r="AK841" t="s">
        <v>8184</v>
      </c>
      <c r="AL841" t="s">
        <v>9081</v>
      </c>
      <c r="AO841" s="76">
        <v>43591.904131944444</v>
      </c>
      <c r="AP841" s="79" t="str">
        <f>HYPERLINK("https://pbs.twimg.com/profile_banners/1125516071241494528/1673793515")</f>
        <v>https://pbs.twimg.com/profile_banners/1125516071241494528/1673793515</v>
      </c>
      <c r="AQ841" t="b">
        <v>1</v>
      </c>
      <c r="AR841" t="b">
        <v>0</v>
      </c>
      <c r="AS841" t="b">
        <v>1</v>
      </c>
      <c r="AU841">
        <v>3</v>
      </c>
      <c r="AW841" t="b">
        <v>0</v>
      </c>
      <c r="AX841" t="s">
        <v>9303</v>
      </c>
      <c r="AY841" s="79" t="str">
        <f>HYPERLINK("https://twitter.com/apmix_yt")</f>
        <v>https://twitter.com/apmix_yt</v>
      </c>
      <c r="AZ841" t="s">
        <v>66</v>
      </c>
      <c r="BA841" s="2"/>
    </row>
    <row r="842" spans="1:53" x14ac:dyDescent="0.45">
      <c r="A842" s="62" t="s">
        <v>909</v>
      </c>
      <c r="B842" s="63"/>
      <c r="C842" s="63"/>
      <c r="D842" s="64"/>
      <c r="E842" s="66"/>
      <c r="F842" s="98" t="str">
        <f>HYPERLINK("https://pbs.twimg.com/profile_images/1583855077114060800/T6hgRz6l_normal.jpg")</f>
        <v>https://pbs.twimg.com/profile_images/1583855077114060800/T6hgRz6l_normal.jpg</v>
      </c>
      <c r="G842" s="63"/>
      <c r="H842" s="67"/>
      <c r="I842" s="68"/>
      <c r="J842" s="68"/>
      <c r="K842" s="67" t="s">
        <v>10330</v>
      </c>
      <c r="L842" s="71"/>
      <c r="M842" s="72"/>
      <c r="N842" s="72"/>
      <c r="O842" s="73"/>
      <c r="P842" s="74"/>
      <c r="Q842" s="74"/>
      <c r="R842" s="81"/>
      <c r="S842" s="81"/>
      <c r="T842" s="81"/>
      <c r="U842" s="81"/>
      <c r="V842" s="48"/>
      <c r="W842" s="48"/>
      <c r="X842" s="48"/>
      <c r="Y842" s="48"/>
      <c r="Z842" s="47"/>
      <c r="AA842" s="69"/>
      <c r="AB842" s="69"/>
      <c r="AC842" s="70"/>
      <c r="AD842" t="s">
        <v>6013</v>
      </c>
      <c r="AE842" s="78" t="s">
        <v>7221</v>
      </c>
      <c r="AF842">
        <v>341</v>
      </c>
      <c r="AG842">
        <v>443</v>
      </c>
      <c r="AH842">
        <v>2835</v>
      </c>
      <c r="AI842">
        <v>5762</v>
      </c>
      <c r="AK842" t="s">
        <v>8384</v>
      </c>
      <c r="AL842" t="s">
        <v>4914</v>
      </c>
      <c r="AM842" s="79" t="str">
        <f>HYPERLINK("https://t.co/Ga23b3G2uI")</f>
        <v>https://t.co/Ga23b3G2uI</v>
      </c>
      <c r="AO842" s="76">
        <v>42578.220497685186</v>
      </c>
      <c r="AP842" s="79" t="str">
        <f>HYPERLINK("https://pbs.twimg.com/profile_banners/758169422536245248/1623377800")</f>
        <v>https://pbs.twimg.com/profile_banners/758169422536245248/1623377800</v>
      </c>
      <c r="AQ842" t="b">
        <v>0</v>
      </c>
      <c r="AR842" t="b">
        <v>0</v>
      </c>
      <c r="AS842" t="b">
        <v>1</v>
      </c>
      <c r="AU842">
        <v>1</v>
      </c>
      <c r="AV842" s="79" t="str">
        <f>HYPERLINK("https://abs.twimg.com/images/themes/theme1/bg.png")</f>
        <v>https://abs.twimg.com/images/themes/theme1/bg.png</v>
      </c>
      <c r="AW842" t="b">
        <v>0</v>
      </c>
      <c r="AX842" t="s">
        <v>9303</v>
      </c>
      <c r="AY842" s="79" t="str">
        <f>HYPERLINK("https://twitter.com/kurtmangum2")</f>
        <v>https://twitter.com/kurtmangum2</v>
      </c>
      <c r="AZ842" t="s">
        <v>66</v>
      </c>
      <c r="BA842" s="2"/>
    </row>
    <row r="843" spans="1:53" x14ac:dyDescent="0.45">
      <c r="A843" s="62" t="s">
        <v>929</v>
      </c>
      <c r="B843" s="63"/>
      <c r="C843" s="63"/>
      <c r="D843" s="64"/>
      <c r="E843" s="66"/>
      <c r="F843" s="98" t="str">
        <f>HYPERLINK("https://pbs.twimg.com/profile_images/64514252/laura_cropped_brick_headshot_normal.jpg")</f>
        <v>https://pbs.twimg.com/profile_images/64514252/laura_cropped_brick_headshot_normal.jpg</v>
      </c>
      <c r="G843" s="63"/>
      <c r="H843" s="67"/>
      <c r="I843" s="68"/>
      <c r="J843" s="68"/>
      <c r="K843" s="67" t="s">
        <v>10362</v>
      </c>
      <c r="L843" s="71"/>
      <c r="M843" s="72"/>
      <c r="N843" s="72"/>
      <c r="O843" s="73"/>
      <c r="P843" s="74"/>
      <c r="Q843" s="74"/>
      <c r="R843" s="81"/>
      <c r="S843" s="81"/>
      <c r="T843" s="81"/>
      <c r="U843" s="81"/>
      <c r="V843" s="48"/>
      <c r="W843" s="48"/>
      <c r="X843" s="48"/>
      <c r="Y843" s="48"/>
      <c r="Z843" s="47"/>
      <c r="AA843" s="69"/>
      <c r="AB843" s="69"/>
      <c r="AC843" s="70"/>
      <c r="AD843" t="s">
        <v>6045</v>
      </c>
      <c r="AE843" s="78" t="s">
        <v>7250</v>
      </c>
      <c r="AF843">
        <v>564</v>
      </c>
      <c r="AG843">
        <v>438</v>
      </c>
      <c r="AH843">
        <v>570</v>
      </c>
      <c r="AI843">
        <v>140</v>
      </c>
      <c r="AK843" t="s">
        <v>8412</v>
      </c>
      <c r="AL843" t="s">
        <v>9189</v>
      </c>
      <c r="AM843" s="79" t="str">
        <f>HYPERLINK("http://t.co/K4tYLmMBDA")</f>
        <v>http://t.co/K4tYLmMBDA</v>
      </c>
      <c r="AO843" s="76">
        <v>39669.7965625</v>
      </c>
      <c r="AQ843" t="b">
        <v>0</v>
      </c>
      <c r="AR843" t="b">
        <v>0</v>
      </c>
      <c r="AS843" t="b">
        <v>0</v>
      </c>
      <c r="AU843">
        <v>13</v>
      </c>
      <c r="AV843" s="79" t="str">
        <f>HYPERLINK("https://abs.twimg.com/images/themes/theme10/bg.gif")</f>
        <v>https://abs.twimg.com/images/themes/theme10/bg.gif</v>
      </c>
      <c r="AW843" t="b">
        <v>0</v>
      </c>
      <c r="AX843" t="s">
        <v>9303</v>
      </c>
      <c r="AY843" s="79" t="str">
        <f>HYPERLINK("https://twitter.com/lsfaeth")</f>
        <v>https://twitter.com/lsfaeth</v>
      </c>
      <c r="AZ843" t="s">
        <v>66</v>
      </c>
      <c r="BA843" s="2"/>
    </row>
    <row r="844" spans="1:53" x14ac:dyDescent="0.45">
      <c r="A844" s="62" t="s">
        <v>376</v>
      </c>
      <c r="B844" s="63"/>
      <c r="C844" s="63"/>
      <c r="D844" s="64"/>
      <c r="E844" s="66"/>
      <c r="F844" s="98" t="str">
        <f>HYPERLINK("https://pbs.twimg.com/profile_images/1542554166874218496/ukgYCz2o_normal.jpg")</f>
        <v>https://pbs.twimg.com/profile_images/1542554166874218496/ukgYCz2o_normal.jpg</v>
      </c>
      <c r="G844" s="63"/>
      <c r="H844" s="67"/>
      <c r="I844" s="68"/>
      <c r="J844" s="68"/>
      <c r="K844" s="67" t="s">
        <v>9622</v>
      </c>
      <c r="L844" s="71"/>
      <c r="M844" s="72"/>
      <c r="N844" s="72"/>
      <c r="O844" s="73"/>
      <c r="P844" s="74"/>
      <c r="Q844" s="74"/>
      <c r="R844" s="81"/>
      <c r="S844" s="81"/>
      <c r="T844" s="81"/>
      <c r="U844" s="81"/>
      <c r="V844" s="48"/>
      <c r="W844" s="48"/>
      <c r="X844" s="48"/>
      <c r="Y844" s="48"/>
      <c r="Z844" s="47"/>
      <c r="AA844" s="69"/>
      <c r="AB844" s="69"/>
      <c r="AC844" s="70"/>
      <c r="AD844" t="s">
        <v>5315</v>
      </c>
      <c r="AE844" s="78" t="s">
        <v>6592</v>
      </c>
      <c r="AF844">
        <v>445</v>
      </c>
      <c r="AG844">
        <v>437</v>
      </c>
      <c r="AH844">
        <v>58839</v>
      </c>
      <c r="AI844">
        <v>58116</v>
      </c>
      <c r="AK844" t="s">
        <v>7769</v>
      </c>
      <c r="AO844" s="76">
        <v>41465.843206018515</v>
      </c>
      <c r="AP844" s="79" t="str">
        <f>HYPERLINK("https://pbs.twimg.com/profile_banners/1583909742/1636471352")</f>
        <v>https://pbs.twimg.com/profile_banners/1583909742/1636471352</v>
      </c>
      <c r="AQ844" t="b">
        <v>1</v>
      </c>
      <c r="AR844" t="b">
        <v>0</v>
      </c>
      <c r="AS844" t="b">
        <v>0</v>
      </c>
      <c r="AU844">
        <v>0</v>
      </c>
      <c r="AV844" s="79" t="str">
        <f>HYPERLINK("https://abs.twimg.com/images/themes/theme1/bg.png")</f>
        <v>https://abs.twimg.com/images/themes/theme1/bg.png</v>
      </c>
      <c r="AW844" t="b">
        <v>0</v>
      </c>
      <c r="AX844" t="s">
        <v>9303</v>
      </c>
      <c r="AY844" s="79" t="str">
        <f>HYPERLINK("https://twitter.com/angelwings_anne")</f>
        <v>https://twitter.com/angelwings_anne</v>
      </c>
      <c r="AZ844" t="s">
        <v>66</v>
      </c>
      <c r="BA844" s="2"/>
    </row>
    <row r="845" spans="1:53" x14ac:dyDescent="0.45">
      <c r="A845" s="62" t="s">
        <v>460</v>
      </c>
      <c r="B845" s="63"/>
      <c r="C845" s="63"/>
      <c r="D845" s="64"/>
      <c r="E845" s="66"/>
      <c r="F845" s="98" t="str">
        <f>HYPERLINK("https://pbs.twimg.com/profile_images/1580659790656700416/Yp2hH6qr_normal.png")</f>
        <v>https://pbs.twimg.com/profile_images/1580659790656700416/Yp2hH6qr_normal.png</v>
      </c>
      <c r="G845" s="63"/>
      <c r="H845" s="67"/>
      <c r="I845" s="68"/>
      <c r="J845" s="68"/>
      <c r="K845" s="67" t="s">
        <v>9624</v>
      </c>
      <c r="L845" s="71"/>
      <c r="M845" s="72"/>
      <c r="N845" s="72"/>
      <c r="O845" s="73"/>
      <c r="P845" s="74"/>
      <c r="Q845" s="74"/>
      <c r="R845" s="81"/>
      <c r="S845" s="81"/>
      <c r="T845" s="81"/>
      <c r="U845" s="81"/>
      <c r="V845" s="48"/>
      <c r="W845" s="48"/>
      <c r="X845" s="48"/>
      <c r="Y845" s="48"/>
      <c r="Z845" s="47"/>
      <c r="AA845" s="69"/>
      <c r="AB845" s="69"/>
      <c r="AC845" s="70"/>
      <c r="AD845" t="s">
        <v>5317</v>
      </c>
      <c r="AE845" s="78" t="s">
        <v>6594</v>
      </c>
      <c r="AF845">
        <v>17</v>
      </c>
      <c r="AG845">
        <v>435</v>
      </c>
      <c r="AH845">
        <v>1615</v>
      </c>
      <c r="AI845">
        <v>4836</v>
      </c>
      <c r="AK845" t="s">
        <v>7771</v>
      </c>
      <c r="AM845" s="79" t="str">
        <f>HYPERLINK("https://t.co/vPrRCtHVZJ")</f>
        <v>https://t.co/vPrRCtHVZJ</v>
      </c>
      <c r="AO845" s="76">
        <v>43581.010266203702</v>
      </c>
      <c r="AP845" s="79" t="str">
        <f>HYPERLINK("https://pbs.twimg.com/profile_banners/1121568265749196800/1666629786")</f>
        <v>https://pbs.twimg.com/profile_banners/1121568265749196800/1666629786</v>
      </c>
      <c r="AQ845" t="b">
        <v>1</v>
      </c>
      <c r="AR845" t="b">
        <v>0</v>
      </c>
      <c r="AS845" t="b">
        <v>0</v>
      </c>
      <c r="AU845">
        <v>0</v>
      </c>
      <c r="AW845" t="b">
        <v>0</v>
      </c>
      <c r="AX845" t="s">
        <v>9303</v>
      </c>
      <c r="AY845" s="79" t="str">
        <f>HYPERLINK("https://twitter.com/betrremedies")</f>
        <v>https://twitter.com/betrremedies</v>
      </c>
      <c r="AZ845" t="s">
        <v>66</v>
      </c>
      <c r="BA845" s="2"/>
    </row>
    <row r="846" spans="1:53" x14ac:dyDescent="0.45">
      <c r="A846" s="62" t="s">
        <v>924</v>
      </c>
      <c r="B846" s="63"/>
      <c r="C846" s="63"/>
      <c r="D846" s="64"/>
      <c r="E846" s="66"/>
      <c r="F846" s="98" t="str">
        <f>HYPERLINK("https://pbs.twimg.com/profile_images/1491401484470214666/jWP4-yrf_normal.jpg")</f>
        <v>https://pbs.twimg.com/profile_images/1491401484470214666/jWP4-yrf_normal.jpg</v>
      </c>
      <c r="G846" s="63"/>
      <c r="H846" s="67"/>
      <c r="I846" s="68"/>
      <c r="J846" s="68"/>
      <c r="K846" s="67" t="s">
        <v>10357</v>
      </c>
      <c r="L846" s="71"/>
      <c r="M846" s="72"/>
      <c r="N846" s="72"/>
      <c r="O846" s="73"/>
      <c r="P846" s="74"/>
      <c r="Q846" s="74"/>
      <c r="R846" s="81"/>
      <c r="S846" s="81"/>
      <c r="T846" s="81"/>
      <c r="U846" s="81"/>
      <c r="V846" s="48"/>
      <c r="W846" s="48"/>
      <c r="X846" s="48"/>
      <c r="Y846" s="48"/>
      <c r="Z846" s="47"/>
      <c r="AA846" s="69"/>
      <c r="AB846" s="69"/>
      <c r="AC846" s="70"/>
      <c r="AD846" t="s">
        <v>6040</v>
      </c>
      <c r="AE846" s="78" t="s">
        <v>7245</v>
      </c>
      <c r="AF846">
        <v>1144</v>
      </c>
      <c r="AG846">
        <v>432</v>
      </c>
      <c r="AH846">
        <v>11835</v>
      </c>
      <c r="AI846">
        <v>7173</v>
      </c>
      <c r="AL846" t="s">
        <v>9187</v>
      </c>
      <c r="AO846" s="76">
        <v>39941.592418981483</v>
      </c>
      <c r="AP846" s="79" t="str">
        <f>HYPERLINK("https://pbs.twimg.com/profile_banners/38672597/1518396712")</f>
        <v>https://pbs.twimg.com/profile_banners/38672597/1518396712</v>
      </c>
      <c r="AQ846" t="b">
        <v>1</v>
      </c>
      <c r="AR846" t="b">
        <v>0</v>
      </c>
      <c r="AS846" t="b">
        <v>1</v>
      </c>
      <c r="AU846">
        <v>30</v>
      </c>
      <c r="AV846" s="79" t="str">
        <f>HYPERLINK("https://abs.twimg.com/images/themes/theme1/bg.png")</f>
        <v>https://abs.twimg.com/images/themes/theme1/bg.png</v>
      </c>
      <c r="AW846" t="b">
        <v>0</v>
      </c>
      <c r="AX846" t="s">
        <v>9303</v>
      </c>
      <c r="AY846" s="79" t="str">
        <f>HYPERLINK("https://twitter.com/queenbrealtor")</f>
        <v>https://twitter.com/queenbrealtor</v>
      </c>
      <c r="AZ846" t="s">
        <v>66</v>
      </c>
      <c r="BA846" s="2"/>
    </row>
    <row r="847" spans="1:53" x14ac:dyDescent="0.45">
      <c r="A847" s="62" t="s">
        <v>521</v>
      </c>
      <c r="B847" s="63"/>
      <c r="C847" s="63"/>
      <c r="D847" s="64"/>
      <c r="E847" s="66"/>
      <c r="F847" s="98" t="str">
        <f>HYPERLINK("https://pbs.twimg.com/profile_images/1553225478911164417/z3Tz74so_normal.jpg")</f>
        <v>https://pbs.twimg.com/profile_images/1553225478911164417/z3Tz74so_normal.jpg</v>
      </c>
      <c r="G847" s="63"/>
      <c r="H847" s="67"/>
      <c r="I847" s="68"/>
      <c r="J847" s="68"/>
      <c r="K847" s="67" t="s">
        <v>9811</v>
      </c>
      <c r="L847" s="71"/>
      <c r="M847" s="72"/>
      <c r="N847" s="72"/>
      <c r="O847" s="73"/>
      <c r="P847" s="74"/>
      <c r="Q847" s="74"/>
      <c r="R847" s="81"/>
      <c r="S847" s="81"/>
      <c r="T847" s="81"/>
      <c r="U847" s="81"/>
      <c r="V847" s="48"/>
      <c r="W847" s="48"/>
      <c r="X847" s="48"/>
      <c r="Y847" s="48"/>
      <c r="Z847" s="47"/>
      <c r="AA847" s="69"/>
      <c r="AB847" s="69"/>
      <c r="AC847" s="70"/>
      <c r="AD847" t="s">
        <v>5502</v>
      </c>
      <c r="AE847" s="78" t="s">
        <v>6757</v>
      </c>
      <c r="AF847">
        <v>1874</v>
      </c>
      <c r="AG847">
        <v>431</v>
      </c>
      <c r="AH847">
        <v>10522</v>
      </c>
      <c r="AI847">
        <v>5118</v>
      </c>
      <c r="AK847" t="s">
        <v>7930</v>
      </c>
      <c r="AL847" t="s">
        <v>8738</v>
      </c>
      <c r="AO847" s="76">
        <v>40155.037164351852</v>
      </c>
      <c r="AP847" s="79" t="str">
        <f>HYPERLINK("https://pbs.twimg.com/profile_banners/95317712/1659036475")</f>
        <v>https://pbs.twimg.com/profile_banners/95317712/1659036475</v>
      </c>
      <c r="AQ847" t="b">
        <v>0</v>
      </c>
      <c r="AR847" t="b">
        <v>0</v>
      </c>
      <c r="AS847" t="b">
        <v>0</v>
      </c>
      <c r="AU847">
        <v>18</v>
      </c>
      <c r="AV847" s="79" t="str">
        <f>HYPERLINK("https://abs.twimg.com/images/themes/theme5/bg.gif")</f>
        <v>https://abs.twimg.com/images/themes/theme5/bg.gif</v>
      </c>
      <c r="AW847" t="b">
        <v>0</v>
      </c>
      <c r="AX847" t="s">
        <v>9303</v>
      </c>
      <c r="AY847" s="79" t="str">
        <f>HYPERLINK("https://twitter.com/areusing")</f>
        <v>https://twitter.com/areusing</v>
      </c>
      <c r="AZ847" t="s">
        <v>66</v>
      </c>
      <c r="BA847" s="2"/>
    </row>
    <row r="848" spans="1:53" x14ac:dyDescent="0.45">
      <c r="A848" s="62" t="s">
        <v>785</v>
      </c>
      <c r="B848" s="63"/>
      <c r="C848" s="63"/>
      <c r="D848" s="64"/>
      <c r="E848" s="66"/>
      <c r="F848" s="98" t="str">
        <f>HYPERLINK("https://pbs.twimg.com/profile_images/1339117956828078080/5mEamU7V_normal.jpg")</f>
        <v>https://pbs.twimg.com/profile_images/1339117956828078080/5mEamU7V_normal.jpg</v>
      </c>
      <c r="G848" s="63"/>
      <c r="H848" s="67"/>
      <c r="I848" s="68"/>
      <c r="J848" s="68"/>
      <c r="K848" s="67" t="s">
        <v>10145</v>
      </c>
      <c r="L848" s="71"/>
      <c r="M848" s="72"/>
      <c r="N848" s="72"/>
      <c r="O848" s="73"/>
      <c r="P848" s="74"/>
      <c r="Q848" s="74"/>
      <c r="R848" s="81"/>
      <c r="S848" s="81"/>
      <c r="T848" s="81"/>
      <c r="U848" s="81"/>
      <c r="V848" s="48"/>
      <c r="W848" s="48"/>
      <c r="X848" s="48"/>
      <c r="Y848" s="48"/>
      <c r="Z848" s="47"/>
      <c r="AA848" s="69"/>
      <c r="AB848" s="69"/>
      <c r="AC848" s="70"/>
      <c r="AD848" t="s">
        <v>5832</v>
      </c>
      <c r="AE848" s="78" t="s">
        <v>7057</v>
      </c>
      <c r="AF848">
        <v>986</v>
      </c>
      <c r="AG848">
        <v>430</v>
      </c>
      <c r="AH848">
        <v>77535</v>
      </c>
      <c r="AI848">
        <v>2634</v>
      </c>
      <c r="AK848" t="s">
        <v>8224</v>
      </c>
      <c r="AO848" s="76">
        <v>42355.371111111112</v>
      </c>
      <c r="AP848" s="79" t="str">
        <f>HYPERLINK("https://pbs.twimg.com/profile_banners/4583026399/1498700436")</f>
        <v>https://pbs.twimg.com/profile_banners/4583026399/1498700436</v>
      </c>
      <c r="AQ848" t="b">
        <v>0</v>
      </c>
      <c r="AR848" t="b">
        <v>0</v>
      </c>
      <c r="AS848" t="b">
        <v>0</v>
      </c>
      <c r="AU848">
        <v>137</v>
      </c>
      <c r="AV848" s="79" t="str">
        <f>HYPERLINK("https://abs.twimg.com/images/themes/theme7/bg.gif")</f>
        <v>https://abs.twimg.com/images/themes/theme7/bg.gif</v>
      </c>
      <c r="AW848" t="b">
        <v>0</v>
      </c>
      <c r="AX848" t="s">
        <v>9303</v>
      </c>
      <c r="AY848" s="79" t="str">
        <f>HYPERLINK("https://twitter.com/jennerjann")</f>
        <v>https://twitter.com/jennerjann</v>
      </c>
      <c r="AZ848" t="s">
        <v>66</v>
      </c>
      <c r="BA848" s="2"/>
    </row>
    <row r="849" spans="1:53" x14ac:dyDescent="0.45">
      <c r="A849" s="62" t="s">
        <v>1048</v>
      </c>
      <c r="B849" s="63"/>
      <c r="C849" s="63"/>
      <c r="D849" s="64"/>
      <c r="E849" s="66"/>
      <c r="F849" s="98" t="str">
        <f>HYPERLINK("https://pbs.twimg.com/profile_images/1571527220002275328/pEkE3ktu_normal.jpg")</f>
        <v>https://pbs.twimg.com/profile_images/1571527220002275328/pEkE3ktu_normal.jpg</v>
      </c>
      <c r="G849" s="63"/>
      <c r="H849" s="67"/>
      <c r="I849" s="68"/>
      <c r="J849" s="68"/>
      <c r="K849" s="67" t="s">
        <v>10559</v>
      </c>
      <c r="L849" s="71"/>
      <c r="M849" s="72"/>
      <c r="N849" s="72"/>
      <c r="O849" s="73"/>
      <c r="P849" s="74"/>
      <c r="Q849" s="74"/>
      <c r="R849" s="81"/>
      <c r="S849" s="81"/>
      <c r="T849" s="81"/>
      <c r="U849" s="81"/>
      <c r="V849" s="48"/>
      <c r="W849" s="48"/>
      <c r="X849" s="48"/>
      <c r="Y849" s="48"/>
      <c r="Z849" s="47"/>
      <c r="AA849" s="69"/>
      <c r="AB849" s="69"/>
      <c r="AC849" s="70"/>
      <c r="AD849" t="s">
        <v>6237</v>
      </c>
      <c r="AE849" s="78" t="s">
        <v>7413</v>
      </c>
      <c r="AF849">
        <v>977</v>
      </c>
      <c r="AG849">
        <v>429</v>
      </c>
      <c r="AH849">
        <v>4815</v>
      </c>
      <c r="AI849">
        <v>10527</v>
      </c>
      <c r="AK849" t="s">
        <v>8585</v>
      </c>
      <c r="AL849" t="s">
        <v>9258</v>
      </c>
      <c r="AM849" s="79" t="str">
        <f>HYPERLINK("https://t.co/trxl04gTQj")</f>
        <v>https://t.co/trxl04gTQj</v>
      </c>
      <c r="AO849" s="76">
        <v>39948.715162037035</v>
      </c>
      <c r="AP849" s="79" t="str">
        <f>HYPERLINK("https://pbs.twimg.com/profile_banners/40283751/1545537750")</f>
        <v>https://pbs.twimg.com/profile_banners/40283751/1545537750</v>
      </c>
      <c r="AQ849" t="b">
        <v>0</v>
      </c>
      <c r="AR849" t="b">
        <v>0</v>
      </c>
      <c r="AS849" t="b">
        <v>1</v>
      </c>
      <c r="AU849">
        <v>13</v>
      </c>
      <c r="AV849" s="79" t="str">
        <f>HYPERLINK("https://abs.twimg.com/images/themes/theme1/bg.png")</f>
        <v>https://abs.twimg.com/images/themes/theme1/bg.png</v>
      </c>
      <c r="AW849" t="b">
        <v>0</v>
      </c>
      <c r="AX849" t="s">
        <v>9303</v>
      </c>
      <c r="AY849" s="79" t="str">
        <f>HYPERLINK("https://twitter.com/dwntwndwn")</f>
        <v>https://twitter.com/dwntwndwn</v>
      </c>
      <c r="AZ849" t="s">
        <v>66</v>
      </c>
      <c r="BA849" s="2"/>
    </row>
    <row r="850" spans="1:53" x14ac:dyDescent="0.45">
      <c r="A850" s="62" t="s">
        <v>1373</v>
      </c>
      <c r="B850" s="63"/>
      <c r="C850" s="63"/>
      <c r="D850" s="64"/>
      <c r="E850" s="66"/>
      <c r="F850" s="98" t="str">
        <f>HYPERLINK("https://pbs.twimg.com/profile_images/1550317856415535104/Ah6NjeGC_normal.jpg")</f>
        <v>https://pbs.twimg.com/profile_images/1550317856415535104/Ah6NjeGC_normal.jpg</v>
      </c>
      <c r="G850" s="63"/>
      <c r="H850" s="67"/>
      <c r="I850" s="68"/>
      <c r="J850" s="68"/>
      <c r="K850" s="67" t="s">
        <v>10156</v>
      </c>
      <c r="L850" s="71"/>
      <c r="M850" s="72"/>
      <c r="N850" s="72"/>
      <c r="O850" s="73"/>
      <c r="P850" s="74"/>
      <c r="Q850" s="74"/>
      <c r="R850" s="81"/>
      <c r="S850" s="81"/>
      <c r="T850" s="81"/>
      <c r="U850" s="81"/>
      <c r="V850" s="48"/>
      <c r="W850" s="48"/>
      <c r="X850" s="48"/>
      <c r="Y850" s="48"/>
      <c r="Z850" s="47"/>
      <c r="AA850" s="69"/>
      <c r="AB850" s="69"/>
      <c r="AC850" s="70"/>
      <c r="AD850" t="s">
        <v>5842</v>
      </c>
      <c r="AE850" s="78" t="s">
        <v>7068</v>
      </c>
      <c r="AF850">
        <v>1163</v>
      </c>
      <c r="AG850">
        <v>428</v>
      </c>
      <c r="AH850">
        <v>287</v>
      </c>
      <c r="AI850">
        <v>3709</v>
      </c>
      <c r="AK850" t="s">
        <v>8232</v>
      </c>
      <c r="AO850" s="76">
        <v>44764.12976851852</v>
      </c>
      <c r="AQ850" t="b">
        <v>1</v>
      </c>
      <c r="AR850" t="b">
        <v>0</v>
      </c>
      <c r="AS850" t="b">
        <v>1</v>
      </c>
      <c r="AU850">
        <v>0</v>
      </c>
      <c r="AW850" t="b">
        <v>0</v>
      </c>
      <c r="AX850" t="s">
        <v>9303</v>
      </c>
      <c r="AY850" s="79" t="str">
        <f>HYPERLINK("https://twitter.com/tullius_john")</f>
        <v>https://twitter.com/tullius_john</v>
      </c>
      <c r="AZ850" t="s">
        <v>65</v>
      </c>
      <c r="BA850" s="2"/>
    </row>
    <row r="851" spans="1:53" x14ac:dyDescent="0.45">
      <c r="A851" s="62" t="s">
        <v>759</v>
      </c>
      <c r="B851" s="63"/>
      <c r="C851" s="63"/>
      <c r="D851" s="64"/>
      <c r="E851" s="66"/>
      <c r="F851" s="98" t="str">
        <f>HYPERLINK("https://pbs.twimg.com/profile_images/1568655827279695872/AjW53t0J_normal.jpg")</f>
        <v>https://pbs.twimg.com/profile_images/1568655827279695872/AjW53t0J_normal.jpg</v>
      </c>
      <c r="G851" s="63"/>
      <c r="H851" s="67"/>
      <c r="I851" s="68"/>
      <c r="J851" s="68"/>
      <c r="K851" s="67" t="s">
        <v>10110</v>
      </c>
      <c r="L851" s="71"/>
      <c r="M851" s="72"/>
      <c r="N851" s="72"/>
      <c r="O851" s="73"/>
      <c r="P851" s="74"/>
      <c r="Q851" s="74"/>
      <c r="R851" s="81"/>
      <c r="S851" s="81"/>
      <c r="T851" s="81"/>
      <c r="U851" s="81"/>
      <c r="V851" s="48"/>
      <c r="W851" s="48"/>
      <c r="X851" s="48"/>
      <c r="Y851" s="48"/>
      <c r="Z851" s="47"/>
      <c r="AA851" s="69"/>
      <c r="AB851" s="69"/>
      <c r="AC851" s="70"/>
      <c r="AD851" t="s">
        <v>5798</v>
      </c>
      <c r="AE851" s="78" t="s">
        <v>7029</v>
      </c>
      <c r="AF851">
        <v>878</v>
      </c>
      <c r="AG851">
        <v>427</v>
      </c>
      <c r="AH851">
        <v>52180</v>
      </c>
      <c r="AI851">
        <v>154517</v>
      </c>
      <c r="AK851" t="s">
        <v>8193</v>
      </c>
      <c r="AO851" s="76">
        <v>41512.105428240742</v>
      </c>
      <c r="AP851" s="79" t="str">
        <f>HYPERLINK("https://pbs.twimg.com/profile_banners/1700760433/1675282912")</f>
        <v>https://pbs.twimg.com/profile_banners/1700760433/1675282912</v>
      </c>
      <c r="AQ851" t="b">
        <v>0</v>
      </c>
      <c r="AR851" t="b">
        <v>0</v>
      </c>
      <c r="AS851" t="b">
        <v>0</v>
      </c>
      <c r="AU851">
        <v>5</v>
      </c>
      <c r="AV851" s="79" t="str">
        <f>HYPERLINK("https://abs.twimg.com/images/themes/theme5/bg.gif")</f>
        <v>https://abs.twimg.com/images/themes/theme5/bg.gif</v>
      </c>
      <c r="AW851" t="b">
        <v>0</v>
      </c>
      <c r="AX851" t="s">
        <v>9303</v>
      </c>
      <c r="AY851" s="79" t="str">
        <f>HYPERLINK("https://twitter.com/lightofsileence")</f>
        <v>https://twitter.com/lightofsileence</v>
      </c>
      <c r="AZ851" t="s">
        <v>66</v>
      </c>
      <c r="BA851" s="2"/>
    </row>
    <row r="852" spans="1:53" x14ac:dyDescent="0.45">
      <c r="A852" s="62" t="s">
        <v>548</v>
      </c>
      <c r="B852" s="63"/>
      <c r="C852" s="63"/>
      <c r="D852" s="64"/>
      <c r="E852" s="66"/>
      <c r="F852" s="98" t="str">
        <f>HYPERLINK("https://pbs.twimg.com/profile_images/1607603208066572288/iqWd6WJK_normal.jpg")</f>
        <v>https://pbs.twimg.com/profile_images/1607603208066572288/iqWd6WJK_normal.jpg</v>
      </c>
      <c r="G852" s="63"/>
      <c r="H852" s="67"/>
      <c r="I852" s="68"/>
      <c r="J852" s="68"/>
      <c r="K852" s="67" t="s">
        <v>9845</v>
      </c>
      <c r="L852" s="71"/>
      <c r="M852" s="72"/>
      <c r="N852" s="72"/>
      <c r="O852" s="73"/>
      <c r="P852" s="74"/>
      <c r="Q852" s="74"/>
      <c r="R852" s="81"/>
      <c r="S852" s="81"/>
      <c r="T852" s="81"/>
      <c r="U852" s="81"/>
      <c r="V852" s="48"/>
      <c r="W852" s="48"/>
      <c r="X852" s="48"/>
      <c r="Y852" s="48"/>
      <c r="Z852" s="47"/>
      <c r="AA852" s="69"/>
      <c r="AB852" s="69"/>
      <c r="AC852" s="70"/>
      <c r="AD852" t="s">
        <v>5536</v>
      </c>
      <c r="AE852" s="78" t="s">
        <v>6785</v>
      </c>
      <c r="AF852">
        <v>1008</v>
      </c>
      <c r="AG852">
        <v>426</v>
      </c>
      <c r="AH852">
        <v>10969</v>
      </c>
      <c r="AI852">
        <v>67668</v>
      </c>
      <c r="AK852" t="s">
        <v>7959</v>
      </c>
      <c r="AL852" t="s">
        <v>8942</v>
      </c>
      <c r="AM852" s="79" t="str">
        <f>HYPERLINK("https://t.co/EEB6Ia9cLz")</f>
        <v>https://t.co/EEB6Ia9cLz</v>
      </c>
      <c r="AO852" s="76">
        <v>40414.169537037036</v>
      </c>
      <c r="AP852" s="79" t="str">
        <f>HYPERLINK("https://pbs.twimg.com/profile_banners/182234724/1672117469")</f>
        <v>https://pbs.twimg.com/profile_banners/182234724/1672117469</v>
      </c>
      <c r="AQ852" t="b">
        <v>0</v>
      </c>
      <c r="AR852" t="b">
        <v>0</v>
      </c>
      <c r="AS852" t="b">
        <v>1</v>
      </c>
      <c r="AU852">
        <v>0</v>
      </c>
      <c r="AV852" s="79" t="str">
        <f>HYPERLINK("https://abs.twimg.com/images/themes/theme15/bg.png")</f>
        <v>https://abs.twimg.com/images/themes/theme15/bg.png</v>
      </c>
      <c r="AW852" t="b">
        <v>0</v>
      </c>
      <c r="AX852" t="s">
        <v>9303</v>
      </c>
      <c r="AY852" s="79" t="str">
        <f>HYPERLINK("https://twitter.com/heduardomatz")</f>
        <v>https://twitter.com/heduardomatz</v>
      </c>
      <c r="AZ852" t="s">
        <v>66</v>
      </c>
      <c r="BA852" s="2"/>
    </row>
    <row r="853" spans="1:53" x14ac:dyDescent="0.45">
      <c r="A853" s="62" t="s">
        <v>478</v>
      </c>
      <c r="B853" s="63"/>
      <c r="C853" s="63"/>
      <c r="D853" s="64"/>
      <c r="E853" s="66"/>
      <c r="F853" s="98" t="str">
        <f>HYPERLINK("https://pbs.twimg.com/profile_images/1619701982310141954/nfPNcjp1_normal.jpg")</f>
        <v>https://pbs.twimg.com/profile_images/1619701982310141954/nfPNcjp1_normal.jpg</v>
      </c>
      <c r="G853" s="63"/>
      <c r="H853" s="67"/>
      <c r="I853" s="68"/>
      <c r="J853" s="68"/>
      <c r="K853" s="67" t="s">
        <v>9750</v>
      </c>
      <c r="L853" s="71"/>
      <c r="M853" s="72"/>
      <c r="N853" s="72"/>
      <c r="O853" s="73"/>
      <c r="P853" s="74"/>
      <c r="Q853" s="74"/>
      <c r="R853" s="81"/>
      <c r="S853" s="81"/>
      <c r="T853" s="81"/>
      <c r="U853" s="81"/>
      <c r="V853" s="48"/>
      <c r="W853" s="48"/>
      <c r="X853" s="48"/>
      <c r="Y853" s="48"/>
      <c r="Z853" s="47"/>
      <c r="AA853" s="69"/>
      <c r="AB853" s="69"/>
      <c r="AC853" s="70"/>
      <c r="AD853" t="s">
        <v>5442</v>
      </c>
      <c r="AE853" s="78" t="s">
        <v>6707</v>
      </c>
      <c r="AF853">
        <v>1971</v>
      </c>
      <c r="AG853">
        <v>423</v>
      </c>
      <c r="AH853">
        <v>87848</v>
      </c>
      <c r="AI853">
        <v>170633</v>
      </c>
      <c r="AK853" t="s">
        <v>7879</v>
      </c>
      <c r="AL853" t="s">
        <v>8900</v>
      </c>
      <c r="AO853" s="76">
        <v>42699.852858796294</v>
      </c>
      <c r="AP853" s="79" t="str">
        <f>HYPERLINK("https://pbs.twimg.com/profile_banners/802247515324219393/1675005609")</f>
        <v>https://pbs.twimg.com/profile_banners/802247515324219393/1675005609</v>
      </c>
      <c r="AQ853" t="b">
        <v>1</v>
      </c>
      <c r="AR853" t="b">
        <v>0</v>
      </c>
      <c r="AS853" t="b">
        <v>0</v>
      </c>
      <c r="AU853">
        <v>1</v>
      </c>
      <c r="AW853" t="b">
        <v>0</v>
      </c>
      <c r="AX853" t="s">
        <v>9303</v>
      </c>
      <c r="AY853" s="79" t="str">
        <f>HYPERLINK("https://twitter.com/igorferreiracl")</f>
        <v>https://twitter.com/igorferreiracl</v>
      </c>
      <c r="AZ853" t="s">
        <v>66</v>
      </c>
      <c r="BA853" s="2"/>
    </row>
    <row r="854" spans="1:53" x14ac:dyDescent="0.45">
      <c r="A854" s="62" t="s">
        <v>405</v>
      </c>
      <c r="B854" s="63"/>
      <c r="C854" s="63"/>
      <c r="D854" s="64"/>
      <c r="E854" s="66"/>
      <c r="F854" s="98" t="str">
        <f>HYPERLINK("https://pbs.twimg.com/profile_images/1606436069704179713/SHDTDmEc_normal.jpg")</f>
        <v>https://pbs.twimg.com/profile_images/1606436069704179713/SHDTDmEc_normal.jpg</v>
      </c>
      <c r="G854" s="63"/>
      <c r="H854" s="67"/>
      <c r="I854" s="68"/>
      <c r="J854" s="68"/>
      <c r="K854" s="67" t="s">
        <v>9656</v>
      </c>
      <c r="L854" s="71"/>
      <c r="M854" s="72"/>
      <c r="N854" s="72"/>
      <c r="O854" s="73"/>
      <c r="P854" s="74"/>
      <c r="Q854" s="74"/>
      <c r="R854" s="81"/>
      <c r="S854" s="81"/>
      <c r="T854" s="81"/>
      <c r="U854" s="81"/>
      <c r="V854" s="48"/>
      <c r="W854" s="48"/>
      <c r="X854" s="48"/>
      <c r="Y854" s="48"/>
      <c r="Z854" s="47"/>
      <c r="AA854" s="69"/>
      <c r="AB854" s="69"/>
      <c r="AC854" s="70"/>
      <c r="AD854" t="s">
        <v>5349</v>
      </c>
      <c r="AE854" s="78" t="s">
        <v>6623</v>
      </c>
      <c r="AF854">
        <v>589</v>
      </c>
      <c r="AG854">
        <v>421</v>
      </c>
      <c r="AH854">
        <v>16251</v>
      </c>
      <c r="AI854">
        <v>71885</v>
      </c>
      <c r="AK854" t="s">
        <v>7800</v>
      </c>
      <c r="AL854" t="s">
        <v>8860</v>
      </c>
      <c r="AO854" s="76">
        <v>40678.934305555558</v>
      </c>
      <c r="AQ854" t="b">
        <v>1</v>
      </c>
      <c r="AR854" t="b">
        <v>0</v>
      </c>
      <c r="AS854" t="b">
        <v>0</v>
      </c>
      <c r="AU854">
        <v>3</v>
      </c>
      <c r="AV854" s="79" t="str">
        <f>HYPERLINK("https://abs.twimg.com/images/themes/theme1/bg.png")</f>
        <v>https://abs.twimg.com/images/themes/theme1/bg.png</v>
      </c>
      <c r="AW854" t="b">
        <v>0</v>
      </c>
      <c r="AX854" t="s">
        <v>9303</v>
      </c>
      <c r="AY854" s="79" t="str">
        <f>HYPERLINK("https://twitter.com/pbjlady")</f>
        <v>https://twitter.com/pbjlady</v>
      </c>
      <c r="AZ854" t="s">
        <v>66</v>
      </c>
      <c r="BA854" s="2"/>
    </row>
    <row r="855" spans="1:53" x14ac:dyDescent="0.45">
      <c r="A855" s="62" t="s">
        <v>807</v>
      </c>
      <c r="B855" s="63"/>
      <c r="C855" s="63"/>
      <c r="D855" s="64"/>
      <c r="E855" s="66"/>
      <c r="F855" s="98" t="str">
        <f>HYPERLINK("https://pbs.twimg.com/profile_images/1097508718223257600/W9XlJBRj_normal.jpg")</f>
        <v>https://pbs.twimg.com/profile_images/1097508718223257600/W9XlJBRj_normal.jpg</v>
      </c>
      <c r="G855" s="63"/>
      <c r="H855" s="67"/>
      <c r="I855" s="68"/>
      <c r="J855" s="68"/>
      <c r="K855" s="67" t="s">
        <v>10186</v>
      </c>
      <c r="L855" s="71"/>
      <c r="M855" s="72"/>
      <c r="N855" s="72"/>
      <c r="O855" s="73"/>
      <c r="P855" s="74"/>
      <c r="Q855" s="74"/>
      <c r="R855" s="81"/>
      <c r="S855" s="81"/>
      <c r="T855" s="81"/>
      <c r="U855" s="81"/>
      <c r="V855" s="48"/>
      <c r="W855" s="48"/>
      <c r="X855" s="48"/>
      <c r="Y855" s="48"/>
      <c r="Z855" s="47"/>
      <c r="AA855" s="69"/>
      <c r="AB855" s="69"/>
      <c r="AC855" s="70"/>
      <c r="AD855" t="s">
        <v>5870</v>
      </c>
      <c r="AE855" s="78" t="s">
        <v>7093</v>
      </c>
      <c r="AF855">
        <v>989</v>
      </c>
      <c r="AG855">
        <v>418</v>
      </c>
      <c r="AH855">
        <v>1203</v>
      </c>
      <c r="AI855">
        <v>4500</v>
      </c>
      <c r="AK855" t="s">
        <v>8259</v>
      </c>
      <c r="AO855" s="76">
        <v>42659.926655092589</v>
      </c>
      <c r="AP855" s="79" t="str">
        <f>HYPERLINK("https://pbs.twimg.com/profile_banners/787778744287191041/1661079138")</f>
        <v>https://pbs.twimg.com/profile_banners/787778744287191041/1661079138</v>
      </c>
      <c r="AQ855" t="b">
        <v>0</v>
      </c>
      <c r="AR855" t="b">
        <v>0</v>
      </c>
      <c r="AS855" t="b">
        <v>0</v>
      </c>
      <c r="AU855">
        <v>1</v>
      </c>
      <c r="AV855" s="79" t="str">
        <f>HYPERLINK("https://abs.twimg.com/images/themes/theme1/bg.png")</f>
        <v>https://abs.twimg.com/images/themes/theme1/bg.png</v>
      </c>
      <c r="AW855" t="b">
        <v>0</v>
      </c>
      <c r="AX855" t="s">
        <v>9303</v>
      </c>
      <c r="AY855" s="79" t="str">
        <f>HYPERLINK("https://twitter.com/sebrango_9")</f>
        <v>https://twitter.com/sebrango_9</v>
      </c>
      <c r="AZ855" t="s">
        <v>66</v>
      </c>
      <c r="BA855" s="2"/>
    </row>
    <row r="856" spans="1:53" x14ac:dyDescent="0.45">
      <c r="A856" s="62" t="s">
        <v>758</v>
      </c>
      <c r="B856" s="63"/>
      <c r="C856" s="63"/>
      <c r="D856" s="64"/>
      <c r="E856" s="66"/>
      <c r="F856" s="98" t="str">
        <f>HYPERLINK("https://pbs.twimg.com/profile_images/1618355420791279617/h59HvrxZ_normal.jpg")</f>
        <v>https://pbs.twimg.com/profile_images/1618355420791279617/h59HvrxZ_normal.jpg</v>
      </c>
      <c r="G856" s="63"/>
      <c r="H856" s="67"/>
      <c r="I856" s="68"/>
      <c r="J856" s="68"/>
      <c r="K856" s="67" t="s">
        <v>10109</v>
      </c>
      <c r="L856" s="71"/>
      <c r="M856" s="72"/>
      <c r="N856" s="72"/>
      <c r="O856" s="73"/>
      <c r="P856" s="74"/>
      <c r="Q856" s="74"/>
      <c r="R856" s="81"/>
      <c r="S856" s="81"/>
      <c r="T856" s="81"/>
      <c r="U856" s="81"/>
      <c r="V856" s="48"/>
      <c r="W856" s="48"/>
      <c r="X856" s="48"/>
      <c r="Y856" s="48"/>
      <c r="Z856" s="47"/>
      <c r="AA856" s="69"/>
      <c r="AB856" s="69"/>
      <c r="AC856" s="70"/>
      <c r="AD856" t="s">
        <v>5797</v>
      </c>
      <c r="AE856" s="78" t="s">
        <v>4738</v>
      </c>
      <c r="AF856">
        <v>579</v>
      </c>
      <c r="AG856">
        <v>416</v>
      </c>
      <c r="AH856">
        <v>26949</v>
      </c>
      <c r="AI856">
        <v>281</v>
      </c>
      <c r="AK856" t="s">
        <v>8192</v>
      </c>
      <c r="AL856" t="s">
        <v>4899</v>
      </c>
      <c r="AO856" s="76">
        <v>40213.160011574073</v>
      </c>
      <c r="AP856" s="79" t="str">
        <f>HYPERLINK("https://pbs.twimg.com/profile_banners/111203701/1611273315")</f>
        <v>https://pbs.twimg.com/profile_banners/111203701/1611273315</v>
      </c>
      <c r="AQ856" t="b">
        <v>0</v>
      </c>
      <c r="AR856" t="b">
        <v>0</v>
      </c>
      <c r="AS856" t="b">
        <v>1</v>
      </c>
      <c r="AU856">
        <v>1</v>
      </c>
      <c r="AV856" s="79" t="str">
        <f>HYPERLINK("https://abs.twimg.com/images/themes/theme15/bg.png")</f>
        <v>https://abs.twimg.com/images/themes/theme15/bg.png</v>
      </c>
      <c r="AW856" t="b">
        <v>0</v>
      </c>
      <c r="AX856" t="s">
        <v>9303</v>
      </c>
      <c r="AY856" s="79" t="str">
        <f>HYPERLINK("https://twitter.com/buchananbunch_4")</f>
        <v>https://twitter.com/buchananbunch_4</v>
      </c>
      <c r="AZ856" t="s">
        <v>66</v>
      </c>
      <c r="BA856" s="2"/>
    </row>
    <row r="857" spans="1:53" x14ac:dyDescent="0.45">
      <c r="A857" s="62" t="s">
        <v>243</v>
      </c>
      <c r="B857" s="63"/>
      <c r="C857" s="63"/>
      <c r="D857" s="64"/>
      <c r="E857" s="66"/>
      <c r="F857" s="98" t="str">
        <f>HYPERLINK("https://pbs.twimg.com/profile_images/1563508734818586629/f9V9-80I_normal.jpg")</f>
        <v>https://pbs.twimg.com/profile_images/1563508734818586629/f9V9-80I_normal.jpg</v>
      </c>
      <c r="G857" s="63"/>
      <c r="H857" s="67"/>
      <c r="I857" s="68"/>
      <c r="J857" s="68"/>
      <c r="K857" s="67" t="s">
        <v>9379</v>
      </c>
      <c r="L857" s="71"/>
      <c r="M857" s="72"/>
      <c r="N857" s="72"/>
      <c r="O857" s="73"/>
      <c r="P857" s="74"/>
      <c r="Q857" s="74"/>
      <c r="R857" s="81"/>
      <c r="S857" s="81"/>
      <c r="T857" s="81"/>
      <c r="U857" s="81"/>
      <c r="V857" s="48"/>
      <c r="W857" s="48"/>
      <c r="X857" s="48"/>
      <c r="Y857" s="48"/>
      <c r="Z857" s="47"/>
      <c r="AA857" s="69"/>
      <c r="AB857" s="69"/>
      <c r="AC857" s="70"/>
      <c r="AD857" t="s">
        <v>5075</v>
      </c>
      <c r="AE857" s="78" t="s">
        <v>4653</v>
      </c>
      <c r="AF857">
        <v>166</v>
      </c>
      <c r="AG857">
        <v>413</v>
      </c>
      <c r="AH857">
        <v>34932</v>
      </c>
      <c r="AI857">
        <v>83434</v>
      </c>
      <c r="AK857" t="s">
        <v>7561</v>
      </c>
      <c r="AL857" t="s">
        <v>8725</v>
      </c>
      <c r="AM857" s="79" t="str">
        <f>HYPERLINK("https://t.co/k1dB2hLKz0")</f>
        <v>https://t.co/k1dB2hLKz0</v>
      </c>
      <c r="AO857" s="76">
        <v>42382.138738425929</v>
      </c>
      <c r="AP857" s="79" t="str">
        <f>HYPERLINK("https://pbs.twimg.com/profile_banners/4751172014/1661604516")</f>
        <v>https://pbs.twimg.com/profile_banners/4751172014/1661604516</v>
      </c>
      <c r="AQ857" t="b">
        <v>0</v>
      </c>
      <c r="AR857" t="b">
        <v>0</v>
      </c>
      <c r="AS857" t="b">
        <v>0</v>
      </c>
      <c r="AU857">
        <v>13</v>
      </c>
      <c r="AV857" s="79" t="str">
        <f>HYPERLINK("https://abs.twimg.com/images/themes/theme1/bg.png")</f>
        <v>https://abs.twimg.com/images/themes/theme1/bg.png</v>
      </c>
      <c r="AW857" t="b">
        <v>0</v>
      </c>
      <c r="AX857" t="s">
        <v>9303</v>
      </c>
      <c r="AY857" s="79" t="str">
        <f>HYPERLINK("https://twitter.com/jeonsleeve")</f>
        <v>https://twitter.com/jeonsleeve</v>
      </c>
      <c r="AZ857" t="s">
        <v>66</v>
      </c>
      <c r="BA857" s="2"/>
    </row>
    <row r="858" spans="1:53" x14ac:dyDescent="0.45">
      <c r="A858" s="62" t="s">
        <v>511</v>
      </c>
      <c r="B858" s="63"/>
      <c r="C858" s="63"/>
      <c r="D858" s="64"/>
      <c r="E858" s="66"/>
      <c r="F858" s="98" t="str">
        <f>HYPERLINK("https://pbs.twimg.com/profile_images/1609221983555788800/noWV7nam_normal.jpg")</f>
        <v>https://pbs.twimg.com/profile_images/1609221983555788800/noWV7nam_normal.jpg</v>
      </c>
      <c r="G858" s="63"/>
      <c r="H858" s="67"/>
      <c r="I858" s="68"/>
      <c r="J858" s="68"/>
      <c r="K858" s="67" t="s">
        <v>9794</v>
      </c>
      <c r="L858" s="71"/>
      <c r="M858" s="72"/>
      <c r="N858" s="72"/>
      <c r="O858" s="73"/>
      <c r="P858" s="74"/>
      <c r="Q858" s="74"/>
      <c r="R858" s="81"/>
      <c r="S858" s="81"/>
      <c r="T858" s="81"/>
      <c r="U858" s="81"/>
      <c r="V858" s="48"/>
      <c r="W858" s="48"/>
      <c r="X858" s="48"/>
      <c r="Y858" s="48"/>
      <c r="Z858" s="47"/>
      <c r="AA858" s="69"/>
      <c r="AB858" s="69"/>
      <c r="AC858" s="70"/>
      <c r="AD858" t="s">
        <v>5486</v>
      </c>
      <c r="AE858" s="78" t="s">
        <v>6743</v>
      </c>
      <c r="AF858">
        <v>467</v>
      </c>
      <c r="AG858">
        <v>409</v>
      </c>
      <c r="AH858">
        <v>10825</v>
      </c>
      <c r="AI858">
        <v>123870</v>
      </c>
      <c r="AK858" t="s">
        <v>7915</v>
      </c>
      <c r="AO858" s="76">
        <v>44083.545439814814</v>
      </c>
      <c r="AP858" s="79" t="str">
        <f>HYPERLINK("https://pbs.twimg.com/profile_banners/1303680861607546882/1673446332")</f>
        <v>https://pbs.twimg.com/profile_banners/1303680861607546882/1673446332</v>
      </c>
      <c r="AQ858" t="b">
        <v>1</v>
      </c>
      <c r="AR858" t="b">
        <v>0</v>
      </c>
      <c r="AS858" t="b">
        <v>0</v>
      </c>
      <c r="AU858">
        <v>0</v>
      </c>
      <c r="AW858" t="b">
        <v>0</v>
      </c>
      <c r="AX858" t="s">
        <v>9303</v>
      </c>
      <c r="AY858" s="79" t="str">
        <f>HYPERLINK("https://twitter.com/summdoja")</f>
        <v>https://twitter.com/summdoja</v>
      </c>
      <c r="AZ858" t="s">
        <v>66</v>
      </c>
      <c r="BA858" s="2"/>
    </row>
    <row r="859" spans="1:53" x14ac:dyDescent="0.45">
      <c r="A859" s="62" t="s">
        <v>383</v>
      </c>
      <c r="B859" s="63"/>
      <c r="C859" s="63"/>
      <c r="D859" s="64"/>
      <c r="E859" s="66"/>
      <c r="F859" s="98" t="str">
        <f>HYPERLINK("https://pbs.twimg.com/profile_images/1617542025259192327/OB3jIV7B_normal.jpg")</f>
        <v>https://pbs.twimg.com/profile_images/1617542025259192327/OB3jIV7B_normal.jpg</v>
      </c>
      <c r="G859" s="63"/>
      <c r="H859" s="67"/>
      <c r="I859" s="68"/>
      <c r="J859" s="68"/>
      <c r="K859" s="67" t="s">
        <v>9629</v>
      </c>
      <c r="L859" s="71"/>
      <c r="M859" s="72"/>
      <c r="N859" s="72"/>
      <c r="O859" s="73"/>
      <c r="P859" s="74"/>
      <c r="Q859" s="74"/>
      <c r="R859" s="81"/>
      <c r="S859" s="81"/>
      <c r="T859" s="81"/>
      <c r="U859" s="81"/>
      <c r="V859" s="48"/>
      <c r="W859" s="48"/>
      <c r="X859" s="48"/>
      <c r="Y859" s="48"/>
      <c r="Z859" s="47"/>
      <c r="AA859" s="69"/>
      <c r="AB859" s="69"/>
      <c r="AC859" s="70"/>
      <c r="AD859" t="s">
        <v>5322</v>
      </c>
      <c r="AE859" s="78" t="s">
        <v>6598</v>
      </c>
      <c r="AF859">
        <v>46</v>
      </c>
      <c r="AG859">
        <v>405</v>
      </c>
      <c r="AH859">
        <v>601</v>
      </c>
      <c r="AI859">
        <v>3039</v>
      </c>
      <c r="AK859" t="s">
        <v>7775</v>
      </c>
      <c r="AL859" t="s">
        <v>8847</v>
      </c>
      <c r="AO859" s="76">
        <v>40143.238576388889</v>
      </c>
      <c r="AP859" s="79" t="str">
        <f>HYPERLINK("https://pbs.twimg.com/profile_banners/92693685/1664212257")</f>
        <v>https://pbs.twimg.com/profile_banners/92693685/1664212257</v>
      </c>
      <c r="AQ859" t="b">
        <v>0</v>
      </c>
      <c r="AR859" t="b">
        <v>0</v>
      </c>
      <c r="AS859" t="b">
        <v>1</v>
      </c>
      <c r="AU859">
        <v>3</v>
      </c>
      <c r="AV859" s="79" t="str">
        <f>HYPERLINK("https://abs.twimg.com/images/themes/theme1/bg.png")</f>
        <v>https://abs.twimg.com/images/themes/theme1/bg.png</v>
      </c>
      <c r="AW859" t="b">
        <v>0</v>
      </c>
      <c r="AX859" t="s">
        <v>9303</v>
      </c>
      <c r="AY859" s="79" t="str">
        <f>HYPERLINK("https://twitter.com/mileyssoap")</f>
        <v>https://twitter.com/mileyssoap</v>
      </c>
      <c r="AZ859" t="s">
        <v>66</v>
      </c>
      <c r="BA859" s="2"/>
    </row>
    <row r="860" spans="1:53" x14ac:dyDescent="0.45">
      <c r="A860" s="62" t="s">
        <v>439</v>
      </c>
      <c r="B860" s="63"/>
      <c r="C860" s="63"/>
      <c r="D860" s="64"/>
      <c r="E860" s="66"/>
      <c r="F860" s="98" t="str">
        <f>HYPERLINK("https://pbs.twimg.com/profile_images/1605879247284862977/x-gqR-4D_normal.jpg")</f>
        <v>https://pbs.twimg.com/profile_images/1605879247284862977/x-gqR-4D_normal.jpg</v>
      </c>
      <c r="G860" s="63"/>
      <c r="H860" s="67"/>
      <c r="I860" s="68"/>
      <c r="J860" s="68"/>
      <c r="K860" s="67" t="s">
        <v>9694</v>
      </c>
      <c r="L860" s="71"/>
      <c r="M860" s="72"/>
      <c r="N860" s="72"/>
      <c r="O860" s="73"/>
      <c r="P860" s="74"/>
      <c r="Q860" s="74"/>
      <c r="R860" s="81"/>
      <c r="S860" s="81"/>
      <c r="T860" s="81"/>
      <c r="U860" s="81"/>
      <c r="V860" s="48"/>
      <c r="W860" s="48"/>
      <c r="X860" s="48"/>
      <c r="Y860" s="48"/>
      <c r="Z860" s="47"/>
      <c r="AA860" s="69"/>
      <c r="AB860" s="69"/>
      <c r="AC860" s="70"/>
      <c r="AD860" t="s">
        <v>5386</v>
      </c>
      <c r="AE860" s="78" t="s">
        <v>6660</v>
      </c>
      <c r="AF860">
        <v>1710</v>
      </c>
      <c r="AG860">
        <v>396</v>
      </c>
      <c r="AH860">
        <v>23972</v>
      </c>
      <c r="AI860">
        <v>28805</v>
      </c>
      <c r="AK860" t="s">
        <v>7831</v>
      </c>
      <c r="AL860" t="s">
        <v>8875</v>
      </c>
      <c r="AM860" s="79" t="str">
        <f>HYPERLINK("https://t.co/hn7epm16A3")</f>
        <v>https://t.co/hn7epm16A3</v>
      </c>
      <c r="AO860" s="76">
        <v>44389.639432870368</v>
      </c>
      <c r="AP860" s="79" t="str">
        <f>HYPERLINK("https://pbs.twimg.com/profile_banners/1414605590115008515/1670034398")</f>
        <v>https://pbs.twimg.com/profile_banners/1414605590115008515/1670034398</v>
      </c>
      <c r="AQ860" t="b">
        <v>1</v>
      </c>
      <c r="AR860" t="b">
        <v>0</v>
      </c>
      <c r="AS860" t="b">
        <v>1</v>
      </c>
      <c r="AU860">
        <v>0</v>
      </c>
      <c r="AW860" t="b">
        <v>0</v>
      </c>
      <c r="AX860" t="s">
        <v>9303</v>
      </c>
      <c r="AY860" s="79" t="str">
        <f>HYPERLINK("https://twitter.com/alexanderojasa")</f>
        <v>https://twitter.com/alexanderojasa</v>
      </c>
      <c r="AZ860" t="s">
        <v>66</v>
      </c>
      <c r="BA860" s="2"/>
    </row>
    <row r="861" spans="1:53" x14ac:dyDescent="0.45">
      <c r="A861" s="62" t="s">
        <v>743</v>
      </c>
      <c r="B861" s="63"/>
      <c r="C861" s="63"/>
      <c r="D861" s="64"/>
      <c r="E861" s="66"/>
      <c r="F861" s="98" t="str">
        <f>HYPERLINK("https://pbs.twimg.com/profile_images/978322560692584454/7v89DGKc_normal.jpg")</f>
        <v>https://pbs.twimg.com/profile_images/978322560692584454/7v89DGKc_normal.jpg</v>
      </c>
      <c r="G861" s="63"/>
      <c r="H861" s="67"/>
      <c r="I861" s="68"/>
      <c r="J861" s="68"/>
      <c r="K861" s="67" t="s">
        <v>10093</v>
      </c>
      <c r="L861" s="71"/>
      <c r="M861" s="72"/>
      <c r="N861" s="72"/>
      <c r="O861" s="73"/>
      <c r="P861" s="74"/>
      <c r="Q861" s="74"/>
      <c r="R861" s="81"/>
      <c r="S861" s="81"/>
      <c r="T861" s="81"/>
      <c r="U861" s="81"/>
      <c r="V861" s="48"/>
      <c r="W861" s="48"/>
      <c r="X861" s="48"/>
      <c r="Y861" s="48"/>
      <c r="Z861" s="47"/>
      <c r="AA861" s="69"/>
      <c r="AB861" s="69"/>
      <c r="AC861" s="70"/>
      <c r="AD861" t="s">
        <v>5781</v>
      </c>
      <c r="AE861" s="78" t="s">
        <v>7014</v>
      </c>
      <c r="AF861">
        <v>3953</v>
      </c>
      <c r="AG861">
        <v>393</v>
      </c>
      <c r="AH861">
        <v>60775</v>
      </c>
      <c r="AI861">
        <v>76484</v>
      </c>
      <c r="AK861" t="s">
        <v>8176</v>
      </c>
      <c r="AL861" t="s">
        <v>9076</v>
      </c>
      <c r="AO861" s="76">
        <v>42135.075474537036</v>
      </c>
      <c r="AP861" s="79" t="str">
        <f>HYPERLINK("https://pbs.twimg.com/profile_banners/3191596225/1529057355")</f>
        <v>https://pbs.twimg.com/profile_banners/3191596225/1529057355</v>
      </c>
      <c r="AQ861" t="b">
        <v>0</v>
      </c>
      <c r="AR861" t="b">
        <v>0</v>
      </c>
      <c r="AS861" t="b">
        <v>0</v>
      </c>
      <c r="AU861">
        <v>23</v>
      </c>
      <c r="AV861" s="79" t="str">
        <f>HYPERLINK("https://abs.twimg.com/images/themes/theme1/bg.png")</f>
        <v>https://abs.twimg.com/images/themes/theme1/bg.png</v>
      </c>
      <c r="AW861" t="b">
        <v>0</v>
      </c>
      <c r="AX861" t="s">
        <v>9303</v>
      </c>
      <c r="AY861" s="79" t="str">
        <f>HYPERLINK("https://twitter.com/rockybrillo")</f>
        <v>https://twitter.com/rockybrillo</v>
      </c>
      <c r="AZ861" t="s">
        <v>66</v>
      </c>
      <c r="BA861" s="2"/>
    </row>
    <row r="862" spans="1:53" x14ac:dyDescent="0.45">
      <c r="A862" s="62" t="s">
        <v>1072</v>
      </c>
      <c r="B862" s="63"/>
      <c r="C862" s="63"/>
      <c r="D862" s="64"/>
      <c r="E862" s="66"/>
      <c r="F862" s="98" t="str">
        <f>HYPERLINK("https://pbs.twimg.com/profile_images/1580231000076046336/i4I2CVG-_normal.jpg")</f>
        <v>https://pbs.twimg.com/profile_images/1580231000076046336/i4I2CVG-_normal.jpg</v>
      </c>
      <c r="G862" s="63"/>
      <c r="H862" s="67"/>
      <c r="I862" s="68"/>
      <c r="J862" s="68"/>
      <c r="K862" s="67" t="s">
        <v>10603</v>
      </c>
      <c r="L862" s="71"/>
      <c r="M862" s="72"/>
      <c r="N862" s="72"/>
      <c r="O862" s="73"/>
      <c r="P862" s="74"/>
      <c r="Q862" s="74"/>
      <c r="R862" s="81"/>
      <c r="S862" s="81"/>
      <c r="T862" s="81"/>
      <c r="U862" s="81"/>
      <c r="V862" s="48"/>
      <c r="W862" s="48"/>
      <c r="X862" s="48"/>
      <c r="Y862" s="48"/>
      <c r="Z862" s="47"/>
      <c r="AA862" s="69"/>
      <c r="AB862" s="69"/>
      <c r="AC862" s="70"/>
      <c r="AD862" t="s">
        <v>6279</v>
      </c>
      <c r="AE862" s="78" t="s">
        <v>4819</v>
      </c>
      <c r="AF862">
        <v>727</v>
      </c>
      <c r="AG862">
        <v>392</v>
      </c>
      <c r="AH862">
        <v>967</v>
      </c>
      <c r="AI862">
        <v>1597</v>
      </c>
      <c r="AK862" t="s">
        <v>8627</v>
      </c>
      <c r="AL862" t="s">
        <v>9284</v>
      </c>
      <c r="AM862" s="79" t="str">
        <f>HYPERLINK("https://t.co/01p99jLQAm")</f>
        <v>https://t.co/01p99jLQAm</v>
      </c>
      <c r="AO862" s="76">
        <v>39709.623703703706</v>
      </c>
      <c r="AP862" s="79" t="str">
        <f>HYPERLINK("https://pbs.twimg.com/profile_banners/16347656/1596071881")</f>
        <v>https://pbs.twimg.com/profile_banners/16347656/1596071881</v>
      </c>
      <c r="AQ862" t="b">
        <v>0</v>
      </c>
      <c r="AR862" t="b">
        <v>0</v>
      </c>
      <c r="AS862" t="b">
        <v>0</v>
      </c>
      <c r="AU862">
        <v>22</v>
      </c>
      <c r="AV862" s="79" t="str">
        <f>HYPERLINK("https://abs.twimg.com/images/themes/theme9/bg.gif")</f>
        <v>https://abs.twimg.com/images/themes/theme9/bg.gif</v>
      </c>
      <c r="AW862" t="b">
        <v>1</v>
      </c>
      <c r="AX862" t="s">
        <v>9303</v>
      </c>
      <c r="AY862" s="79" t="str">
        <f>HYPERLINK("https://twitter.com/finksta")</f>
        <v>https://twitter.com/finksta</v>
      </c>
      <c r="AZ862" t="s">
        <v>66</v>
      </c>
      <c r="BA862" s="2"/>
    </row>
    <row r="863" spans="1:53" x14ac:dyDescent="0.45">
      <c r="A863" s="62" t="s">
        <v>940</v>
      </c>
      <c r="B863" s="63"/>
      <c r="C863" s="63"/>
      <c r="D863" s="64"/>
      <c r="E863" s="66"/>
      <c r="F863" s="98" t="str">
        <f>HYPERLINK("https://pbs.twimg.com/profile_images/1618534051509403808/IZzO7LjM_normal.jpg")</f>
        <v>https://pbs.twimg.com/profile_images/1618534051509403808/IZzO7LjM_normal.jpg</v>
      </c>
      <c r="G863" s="63"/>
      <c r="H863" s="67"/>
      <c r="I863" s="68"/>
      <c r="J863" s="68"/>
      <c r="K863" s="67" t="s">
        <v>10379</v>
      </c>
      <c r="L863" s="71"/>
      <c r="M863" s="72"/>
      <c r="N863" s="72"/>
      <c r="O863" s="73"/>
      <c r="P863" s="74"/>
      <c r="Q863" s="74"/>
      <c r="R863" s="81"/>
      <c r="S863" s="81"/>
      <c r="T863" s="81"/>
      <c r="U863" s="81"/>
      <c r="V863" s="48"/>
      <c r="W863" s="48"/>
      <c r="X863" s="48"/>
      <c r="Y863" s="48"/>
      <c r="Z863" s="47"/>
      <c r="AA863" s="69"/>
      <c r="AB863" s="69"/>
      <c r="AC863" s="70"/>
      <c r="AD863" t="s">
        <v>6062</v>
      </c>
      <c r="AE863" s="78" t="s">
        <v>7264</v>
      </c>
      <c r="AF863">
        <v>615</v>
      </c>
      <c r="AG863">
        <v>391</v>
      </c>
      <c r="AH863">
        <v>102495</v>
      </c>
      <c r="AI863">
        <v>80851</v>
      </c>
      <c r="AK863" t="s">
        <v>8427</v>
      </c>
      <c r="AL863" t="s">
        <v>9195</v>
      </c>
      <c r="AO863" s="76">
        <v>44141.656099537038</v>
      </c>
      <c r="AP863" s="79" t="str">
        <f>HYPERLINK("https://pbs.twimg.com/profile_banners/1324739391819055104/1674723823")</f>
        <v>https://pbs.twimg.com/profile_banners/1324739391819055104/1674723823</v>
      </c>
      <c r="AQ863" t="b">
        <v>1</v>
      </c>
      <c r="AR863" t="b">
        <v>0</v>
      </c>
      <c r="AS863" t="b">
        <v>0</v>
      </c>
      <c r="AU863">
        <v>1</v>
      </c>
      <c r="AW863" t="b">
        <v>0</v>
      </c>
      <c r="AX863" t="s">
        <v>9303</v>
      </c>
      <c r="AY863" s="79" t="str">
        <f>HYPERLINK("https://twitter.com/lourdes61179889")</f>
        <v>https://twitter.com/lourdes61179889</v>
      </c>
      <c r="AZ863" t="s">
        <v>66</v>
      </c>
      <c r="BA863" s="2"/>
    </row>
    <row r="864" spans="1:53" x14ac:dyDescent="0.45">
      <c r="A864" s="62" t="s">
        <v>995</v>
      </c>
      <c r="B864" s="63"/>
      <c r="C864" s="63"/>
      <c r="D864" s="64"/>
      <c r="E864" s="66"/>
      <c r="F864" s="98" t="str">
        <f>HYPERLINK("https://pbs.twimg.com/profile_images/1316859679117512704/T2q5UEO3_normal.jpg")</f>
        <v>https://pbs.twimg.com/profile_images/1316859679117512704/T2q5UEO3_normal.jpg</v>
      </c>
      <c r="G864" s="63"/>
      <c r="H864" s="67"/>
      <c r="I864" s="68"/>
      <c r="J864" s="68"/>
      <c r="K864" s="67" t="s">
        <v>10459</v>
      </c>
      <c r="L864" s="71"/>
      <c r="M864" s="72"/>
      <c r="N864" s="72"/>
      <c r="O864" s="73"/>
      <c r="P864" s="74"/>
      <c r="Q864" s="74"/>
      <c r="R864" s="81"/>
      <c r="S864" s="81"/>
      <c r="T864" s="81"/>
      <c r="U864" s="81"/>
      <c r="V864" s="48"/>
      <c r="W864" s="48"/>
      <c r="X864" s="48"/>
      <c r="Y864" s="48"/>
      <c r="Z864" s="47"/>
      <c r="AA864" s="69"/>
      <c r="AB864" s="69"/>
      <c r="AC864" s="70"/>
      <c r="AD864" t="s">
        <v>6140</v>
      </c>
      <c r="AE864" s="78" t="s">
        <v>7329</v>
      </c>
      <c r="AF864">
        <v>666</v>
      </c>
      <c r="AG864">
        <v>386</v>
      </c>
      <c r="AH864">
        <v>16804</v>
      </c>
      <c r="AI864">
        <v>3419</v>
      </c>
      <c r="AK864" t="s">
        <v>8498</v>
      </c>
      <c r="AL864" t="s">
        <v>9224</v>
      </c>
      <c r="AO864" s="76">
        <v>39926.648888888885</v>
      </c>
      <c r="AP864" s="79" t="str">
        <f>HYPERLINK("https://pbs.twimg.com/profile_banners/34642297/1585502113")</f>
        <v>https://pbs.twimg.com/profile_banners/34642297/1585502113</v>
      </c>
      <c r="AQ864" t="b">
        <v>1</v>
      </c>
      <c r="AR864" t="b">
        <v>0</v>
      </c>
      <c r="AS864" t="b">
        <v>0</v>
      </c>
      <c r="AU864">
        <v>0</v>
      </c>
      <c r="AV864" s="79" t="str">
        <f>HYPERLINK("https://abs.twimg.com/images/themes/theme1/bg.png")</f>
        <v>https://abs.twimg.com/images/themes/theme1/bg.png</v>
      </c>
      <c r="AW864" t="b">
        <v>0</v>
      </c>
      <c r="AX864" t="s">
        <v>9303</v>
      </c>
      <c r="AY864" s="79" t="str">
        <f>HYPERLINK("https://twitter.com/netuserms")</f>
        <v>https://twitter.com/netuserms</v>
      </c>
      <c r="AZ864" t="s">
        <v>66</v>
      </c>
      <c r="BA864" s="2"/>
    </row>
    <row r="865" spans="1:53" x14ac:dyDescent="0.45">
      <c r="A865" s="62" t="s">
        <v>913</v>
      </c>
      <c r="B865" s="63"/>
      <c r="C865" s="63"/>
      <c r="D865" s="64"/>
      <c r="E865" s="66"/>
      <c r="F865" s="98" t="str">
        <f>HYPERLINK("https://pbs.twimg.com/profile_images/3304348460/354981addad05ba8fb798a8563782705_normal.jpeg")</f>
        <v>https://pbs.twimg.com/profile_images/3304348460/354981addad05ba8fb798a8563782705_normal.jpeg</v>
      </c>
      <c r="G865" s="63"/>
      <c r="H865" s="67"/>
      <c r="I865" s="68"/>
      <c r="J865" s="68"/>
      <c r="K865" s="67" t="s">
        <v>10335</v>
      </c>
      <c r="L865" s="71"/>
      <c r="M865" s="72"/>
      <c r="N865" s="72"/>
      <c r="O865" s="73"/>
      <c r="P865" s="74"/>
      <c r="Q865" s="74"/>
      <c r="R865" s="81"/>
      <c r="S865" s="81"/>
      <c r="T865" s="81"/>
      <c r="U865" s="81"/>
      <c r="V865" s="48"/>
      <c r="W865" s="48"/>
      <c r="X865" s="48"/>
      <c r="Y865" s="48"/>
      <c r="Z865" s="47"/>
      <c r="AA865" s="69"/>
      <c r="AB865" s="69"/>
      <c r="AC865" s="70"/>
      <c r="AD865" t="s">
        <v>6018</v>
      </c>
      <c r="AE865" s="78" t="s">
        <v>7226</v>
      </c>
      <c r="AF865">
        <v>520</v>
      </c>
      <c r="AG865">
        <v>382</v>
      </c>
      <c r="AH865">
        <v>8003</v>
      </c>
      <c r="AI865">
        <v>5894</v>
      </c>
      <c r="AK865" t="s">
        <v>8388</v>
      </c>
      <c r="AO865" s="76">
        <v>40795.042592592596</v>
      </c>
      <c r="AP865" s="79" t="str">
        <f>HYPERLINK("https://pbs.twimg.com/profile_banners/370433822/1360882622")</f>
        <v>https://pbs.twimg.com/profile_banners/370433822/1360882622</v>
      </c>
      <c r="AQ865" t="b">
        <v>1</v>
      </c>
      <c r="AR865" t="b">
        <v>0</v>
      </c>
      <c r="AS865" t="b">
        <v>0</v>
      </c>
      <c r="AU865">
        <v>4</v>
      </c>
      <c r="AV865" s="79" t="str">
        <f>HYPERLINK("https://abs.twimg.com/images/themes/theme1/bg.png")</f>
        <v>https://abs.twimg.com/images/themes/theme1/bg.png</v>
      </c>
      <c r="AW865" t="b">
        <v>0</v>
      </c>
      <c r="AX865" t="s">
        <v>9303</v>
      </c>
      <c r="AY865" s="79" t="str">
        <f>HYPERLINK("https://twitter.com/morganjhudson")</f>
        <v>https://twitter.com/morganjhudson</v>
      </c>
      <c r="AZ865" t="s">
        <v>66</v>
      </c>
      <c r="BA865" s="2"/>
    </row>
    <row r="866" spans="1:53" x14ac:dyDescent="0.45">
      <c r="A866" s="62" t="s">
        <v>1417</v>
      </c>
      <c r="B866" s="63"/>
      <c r="C866" s="63"/>
      <c r="D866" s="64"/>
      <c r="E866" s="66"/>
      <c r="F866" s="98" t="str">
        <f>HYPERLINK("https://pbs.twimg.com/profile_images/1101975481816150016/K-4iJkXh_normal.jpg")</f>
        <v>https://pbs.twimg.com/profile_images/1101975481816150016/K-4iJkXh_normal.jpg</v>
      </c>
      <c r="G866" s="63"/>
      <c r="H866" s="67"/>
      <c r="I866" s="68"/>
      <c r="J866" s="68"/>
      <c r="K866" s="67" t="s">
        <v>10294</v>
      </c>
      <c r="L866" s="71"/>
      <c r="M866" s="72"/>
      <c r="N866" s="72"/>
      <c r="O866" s="73"/>
      <c r="P866" s="74"/>
      <c r="Q866" s="74"/>
      <c r="R866" s="81"/>
      <c r="S866" s="81"/>
      <c r="T866" s="81"/>
      <c r="U866" s="81"/>
      <c r="V866" s="48"/>
      <c r="W866" s="48"/>
      <c r="X866" s="48"/>
      <c r="Y866" s="48"/>
      <c r="Z866" s="47"/>
      <c r="AA866" s="69"/>
      <c r="AB866" s="69"/>
      <c r="AC866" s="70"/>
      <c r="AD866" t="s">
        <v>5977</v>
      </c>
      <c r="AE866" s="78" t="s">
        <v>4763</v>
      </c>
      <c r="AF866">
        <v>180</v>
      </c>
      <c r="AG866">
        <v>381</v>
      </c>
      <c r="AH866">
        <v>27035</v>
      </c>
      <c r="AI866">
        <v>21341</v>
      </c>
      <c r="AK866" t="s">
        <v>8354</v>
      </c>
      <c r="AO866" s="76">
        <v>43526.943124999998</v>
      </c>
      <c r="AP866" s="79" t="str">
        <f>HYPERLINK("https://pbs.twimg.com/profile_banners/1101974991216799746/1551608237")</f>
        <v>https://pbs.twimg.com/profile_banners/1101974991216799746/1551608237</v>
      </c>
      <c r="AQ866" t="b">
        <v>1</v>
      </c>
      <c r="AR866" t="b">
        <v>0</v>
      </c>
      <c r="AS866" t="b">
        <v>1</v>
      </c>
      <c r="AU866">
        <v>1</v>
      </c>
      <c r="AW866" t="b">
        <v>0</v>
      </c>
      <c r="AX866" t="s">
        <v>9303</v>
      </c>
      <c r="AY866" s="79" t="str">
        <f>HYPERLINK("https://twitter.com/jameszaky")</f>
        <v>https://twitter.com/jameszaky</v>
      </c>
      <c r="AZ866" t="s">
        <v>65</v>
      </c>
      <c r="BA866" s="2"/>
    </row>
    <row r="867" spans="1:53" x14ac:dyDescent="0.45">
      <c r="A867" s="62" t="s">
        <v>621</v>
      </c>
      <c r="B867" s="63"/>
      <c r="C867" s="63"/>
      <c r="D867" s="64"/>
      <c r="E867" s="66"/>
      <c r="F867" s="98" t="str">
        <f>HYPERLINK("https://pbs.twimg.com/profile_images/952558144227553280/_58oM5B8_normal.jpg")</f>
        <v>https://pbs.twimg.com/profile_images/952558144227553280/_58oM5B8_normal.jpg</v>
      </c>
      <c r="G867" s="63"/>
      <c r="H867" s="67"/>
      <c r="I867" s="68"/>
      <c r="J867" s="68"/>
      <c r="K867" s="67" t="s">
        <v>9923</v>
      </c>
      <c r="L867" s="71"/>
      <c r="M867" s="72"/>
      <c r="N867" s="72"/>
      <c r="O867" s="73"/>
      <c r="P867" s="74"/>
      <c r="Q867" s="74"/>
      <c r="R867" s="81"/>
      <c r="S867" s="81"/>
      <c r="T867" s="81"/>
      <c r="U867" s="81"/>
      <c r="V867" s="48"/>
      <c r="W867" s="48"/>
      <c r="X867" s="48"/>
      <c r="Y867" s="48"/>
      <c r="Z867" s="47"/>
      <c r="AA867" s="69"/>
      <c r="AB867" s="69"/>
      <c r="AC867" s="70"/>
      <c r="AD867" t="s">
        <v>5614</v>
      </c>
      <c r="AE867" s="78" t="s">
        <v>6858</v>
      </c>
      <c r="AF867">
        <v>2063</v>
      </c>
      <c r="AG867">
        <v>378</v>
      </c>
      <c r="AH867">
        <v>23299</v>
      </c>
      <c r="AI867">
        <v>20252</v>
      </c>
      <c r="AL867" t="s">
        <v>8999</v>
      </c>
      <c r="AO867" s="76">
        <v>42537.636307870373</v>
      </c>
      <c r="AQ867" t="b">
        <v>1</v>
      </c>
      <c r="AR867" t="b">
        <v>0</v>
      </c>
      <c r="AS867" t="b">
        <v>1</v>
      </c>
      <c r="AU867">
        <v>14</v>
      </c>
      <c r="AW867" t="b">
        <v>0</v>
      </c>
      <c r="AX867" t="s">
        <v>9303</v>
      </c>
      <c r="AY867" s="79" t="str">
        <f>HYPERLINK("https://twitter.com/aurorastarkey")</f>
        <v>https://twitter.com/aurorastarkey</v>
      </c>
      <c r="AZ867" t="s">
        <v>66</v>
      </c>
      <c r="BA867" s="2"/>
    </row>
    <row r="868" spans="1:53" x14ac:dyDescent="0.45">
      <c r="A868" s="62" t="s">
        <v>970</v>
      </c>
      <c r="B868" s="63"/>
      <c r="C868" s="63"/>
      <c r="D868" s="64"/>
      <c r="E868" s="66"/>
      <c r="F868" s="98" t="str">
        <f>HYPERLINK("https://pbs.twimg.com/profile_images/1571042011507216386/NFlVmAWi_normal.jpg")</f>
        <v>https://pbs.twimg.com/profile_images/1571042011507216386/NFlVmAWi_normal.jpg</v>
      </c>
      <c r="G868" s="63"/>
      <c r="H868" s="67"/>
      <c r="I868" s="68"/>
      <c r="J868" s="68"/>
      <c r="K868" s="67" t="s">
        <v>10432</v>
      </c>
      <c r="L868" s="71"/>
      <c r="M868" s="72"/>
      <c r="N868" s="72"/>
      <c r="O868" s="73"/>
      <c r="P868" s="74"/>
      <c r="Q868" s="74"/>
      <c r="R868" s="81"/>
      <c r="S868" s="81"/>
      <c r="T868" s="81"/>
      <c r="U868" s="81"/>
      <c r="V868" s="48"/>
      <c r="W868" s="48"/>
      <c r="X868" s="48"/>
      <c r="Y868" s="48"/>
      <c r="Z868" s="47"/>
      <c r="AA868" s="69"/>
      <c r="AB868" s="69"/>
      <c r="AC868" s="70"/>
      <c r="AD868" t="s">
        <v>6114</v>
      </c>
      <c r="AE868" s="78" t="s">
        <v>7310</v>
      </c>
      <c r="AF868">
        <v>212</v>
      </c>
      <c r="AG868">
        <v>378</v>
      </c>
      <c r="AH868">
        <v>9660</v>
      </c>
      <c r="AI868">
        <v>9752</v>
      </c>
      <c r="AO868" s="76">
        <v>41090.187986111108</v>
      </c>
      <c r="AP868" s="79" t="str">
        <f>HYPERLINK("https://pbs.twimg.com/profile_banners/622503616/1623401020")</f>
        <v>https://pbs.twimg.com/profile_banners/622503616/1623401020</v>
      </c>
      <c r="AQ868" t="b">
        <v>0</v>
      </c>
      <c r="AR868" t="b">
        <v>0</v>
      </c>
      <c r="AS868" t="b">
        <v>1</v>
      </c>
      <c r="AU868">
        <v>0</v>
      </c>
      <c r="AV868" s="79" t="str">
        <f>HYPERLINK("https://abs.twimg.com/images/themes/theme3/bg.gif")</f>
        <v>https://abs.twimg.com/images/themes/theme3/bg.gif</v>
      </c>
      <c r="AW868" t="b">
        <v>0</v>
      </c>
      <c r="AX868" t="s">
        <v>9303</v>
      </c>
      <c r="AY868" s="79" t="str">
        <f>HYPERLINK("https://twitter.com/twistedbruvver")</f>
        <v>https://twitter.com/twistedbruvver</v>
      </c>
      <c r="AZ868" t="s">
        <v>66</v>
      </c>
      <c r="BA868" s="2"/>
    </row>
    <row r="869" spans="1:53" x14ac:dyDescent="0.45">
      <c r="A869" s="62" t="s">
        <v>501</v>
      </c>
      <c r="B869" s="63"/>
      <c r="C869" s="63"/>
      <c r="D869" s="64"/>
      <c r="E869" s="66"/>
      <c r="F869" s="98" t="str">
        <f>HYPERLINK("https://pbs.twimg.com/profile_images/1495223909800628228/i4yhqR78_normal.jpg")</f>
        <v>https://pbs.twimg.com/profile_images/1495223909800628228/i4yhqR78_normal.jpg</v>
      </c>
      <c r="G869" s="63"/>
      <c r="H869" s="67"/>
      <c r="I869" s="68"/>
      <c r="J869" s="68"/>
      <c r="K869" s="67" t="s">
        <v>9777</v>
      </c>
      <c r="L869" s="71"/>
      <c r="M869" s="72"/>
      <c r="N869" s="72"/>
      <c r="O869" s="73"/>
      <c r="P869" s="74"/>
      <c r="Q869" s="74"/>
      <c r="R869" s="81"/>
      <c r="S869" s="81"/>
      <c r="T869" s="81"/>
      <c r="U869" s="81"/>
      <c r="V869" s="48"/>
      <c r="W869" s="48"/>
      <c r="X869" s="48"/>
      <c r="Y869" s="48"/>
      <c r="Z869" s="47"/>
      <c r="AA869" s="69"/>
      <c r="AB869" s="69"/>
      <c r="AC869" s="70"/>
      <c r="AD869" t="s">
        <v>5469</v>
      </c>
      <c r="AE869" s="78" t="s">
        <v>4706</v>
      </c>
      <c r="AF869">
        <v>417</v>
      </c>
      <c r="AG869">
        <v>375</v>
      </c>
      <c r="AH869">
        <v>1900</v>
      </c>
      <c r="AI869">
        <v>5847</v>
      </c>
      <c r="AK869" t="s">
        <v>7901</v>
      </c>
      <c r="AL869" t="s">
        <v>8912</v>
      </c>
      <c r="AM869" s="79" t="str">
        <f>HYPERLINK("https://t.co/96zYZpIZWS")</f>
        <v>https://t.co/96zYZpIZWS</v>
      </c>
      <c r="AO869" s="76">
        <v>42214.879467592589</v>
      </c>
      <c r="AP869" s="79" t="str">
        <f>HYPERLINK("https://pbs.twimg.com/profile_banners/3300881408/1664901216")</f>
        <v>https://pbs.twimg.com/profile_banners/3300881408/1664901216</v>
      </c>
      <c r="AQ869" t="b">
        <v>0</v>
      </c>
      <c r="AR869" t="b">
        <v>0</v>
      </c>
      <c r="AS869" t="b">
        <v>1</v>
      </c>
      <c r="AU869">
        <v>11</v>
      </c>
      <c r="AV869" s="79" t="str">
        <f>HYPERLINK("https://abs.twimg.com/images/themes/theme1/bg.png")</f>
        <v>https://abs.twimg.com/images/themes/theme1/bg.png</v>
      </c>
      <c r="AW869" t="b">
        <v>0</v>
      </c>
      <c r="AX869" t="s">
        <v>9303</v>
      </c>
      <c r="AY869" s="79" t="str">
        <f>HYPERLINK("https://twitter.com/cosplaymeg")</f>
        <v>https://twitter.com/cosplaymeg</v>
      </c>
      <c r="AZ869" t="s">
        <v>66</v>
      </c>
      <c r="BA869" s="2"/>
    </row>
    <row r="870" spans="1:53" x14ac:dyDescent="0.45">
      <c r="A870" s="62" t="s">
        <v>1554</v>
      </c>
      <c r="B870" s="63"/>
      <c r="C870" s="63"/>
      <c r="D870" s="64"/>
      <c r="E870" s="66"/>
      <c r="F870" s="98" t="str">
        <f>HYPERLINK("https://pbs.twimg.com/profile_images/1483498776539062275/BQ4U6T3y_normal.jpg")</f>
        <v>https://pbs.twimg.com/profile_images/1483498776539062275/BQ4U6T3y_normal.jpg</v>
      </c>
      <c r="G870" s="63"/>
      <c r="H870" s="67"/>
      <c r="I870" s="68"/>
      <c r="J870" s="68"/>
      <c r="K870" s="67" t="s">
        <v>10615</v>
      </c>
      <c r="L870" s="71"/>
      <c r="M870" s="72"/>
      <c r="N870" s="72"/>
      <c r="O870" s="73"/>
      <c r="P870" s="74"/>
      <c r="Q870" s="74"/>
      <c r="R870" s="81"/>
      <c r="S870" s="81"/>
      <c r="T870" s="81"/>
      <c r="U870" s="81"/>
      <c r="V870" s="48"/>
      <c r="W870" s="48"/>
      <c r="X870" s="48"/>
      <c r="Y870" s="48"/>
      <c r="Z870" s="47"/>
      <c r="AA870" s="69"/>
      <c r="AB870" s="69"/>
      <c r="AC870" s="70"/>
      <c r="AD870" t="s">
        <v>6291</v>
      </c>
      <c r="AE870" s="78" t="s">
        <v>7456</v>
      </c>
      <c r="AF870">
        <v>20</v>
      </c>
      <c r="AG870">
        <v>375</v>
      </c>
      <c r="AH870">
        <v>10</v>
      </c>
      <c r="AI870">
        <v>0</v>
      </c>
      <c r="AK870" t="s">
        <v>8637</v>
      </c>
      <c r="AL870" t="s">
        <v>9289</v>
      </c>
      <c r="AM870" s="79" t="str">
        <f>HYPERLINK("https://t.co/i7bXxWZrTw")</f>
        <v>https://t.co/i7bXxWZrTw</v>
      </c>
      <c r="AO870" s="76">
        <v>44576.738993055558</v>
      </c>
      <c r="AP870" s="79" t="str">
        <f>HYPERLINK("https://pbs.twimg.com/profile_banners/1482408127588880391/1642269184")</f>
        <v>https://pbs.twimg.com/profile_banners/1482408127588880391/1642269184</v>
      </c>
      <c r="AQ870" t="b">
        <v>1</v>
      </c>
      <c r="AR870" t="b">
        <v>0</v>
      </c>
      <c r="AS870" t="b">
        <v>0</v>
      </c>
      <c r="AU870">
        <v>4</v>
      </c>
      <c r="AW870" t="b">
        <v>0</v>
      </c>
      <c r="AX870" t="s">
        <v>9303</v>
      </c>
      <c r="AY870" s="79" t="str">
        <f>HYPERLINK("https://twitter.com/speakergilbert")</f>
        <v>https://twitter.com/speakergilbert</v>
      </c>
      <c r="AZ870" t="s">
        <v>65</v>
      </c>
      <c r="BA870" s="2"/>
    </row>
    <row r="871" spans="1:53" x14ac:dyDescent="0.45">
      <c r="A871" s="62" t="s">
        <v>848</v>
      </c>
      <c r="B871" s="63"/>
      <c r="C871" s="63"/>
      <c r="D871" s="64"/>
      <c r="E871" s="66"/>
      <c r="F871" s="98" t="str">
        <f>HYPERLINK("https://pbs.twimg.com/profile_images/1610019066949013504/Mh1VbueL_normal.jpg")</f>
        <v>https://pbs.twimg.com/profile_images/1610019066949013504/Mh1VbueL_normal.jpg</v>
      </c>
      <c r="G871" s="63"/>
      <c r="H871" s="67"/>
      <c r="I871" s="68"/>
      <c r="J871" s="68"/>
      <c r="K871" s="67" t="s">
        <v>10244</v>
      </c>
      <c r="L871" s="71"/>
      <c r="M871" s="72"/>
      <c r="N871" s="72"/>
      <c r="O871" s="73"/>
      <c r="P871" s="74"/>
      <c r="Q871" s="74"/>
      <c r="R871" s="81"/>
      <c r="S871" s="81"/>
      <c r="T871" s="81"/>
      <c r="U871" s="81"/>
      <c r="V871" s="48"/>
      <c r="W871" s="48"/>
      <c r="X871" s="48"/>
      <c r="Y871" s="48"/>
      <c r="Z871" s="47"/>
      <c r="AA871" s="69"/>
      <c r="AB871" s="69"/>
      <c r="AC871" s="70"/>
      <c r="AD871" t="s">
        <v>5928</v>
      </c>
      <c r="AE871" s="78" t="s">
        <v>7143</v>
      </c>
      <c r="AF871">
        <v>14</v>
      </c>
      <c r="AG871">
        <v>374</v>
      </c>
      <c r="AH871">
        <v>198</v>
      </c>
      <c r="AI871">
        <v>4008</v>
      </c>
      <c r="AL871" t="s">
        <v>8830</v>
      </c>
      <c r="AO871" s="76">
        <v>41487.325138888889</v>
      </c>
      <c r="AP871" s="79" t="str">
        <f>HYPERLINK("https://pbs.twimg.com/profile_banners/1637386086/1672693444")</f>
        <v>https://pbs.twimg.com/profile_banners/1637386086/1672693444</v>
      </c>
      <c r="AQ871" t="b">
        <v>0</v>
      </c>
      <c r="AR871" t="b">
        <v>0</v>
      </c>
      <c r="AS871" t="b">
        <v>1</v>
      </c>
      <c r="AU871">
        <v>2</v>
      </c>
      <c r="AV871" s="79" t="str">
        <f>HYPERLINK("https://abs.twimg.com/images/themes/theme1/bg.png")</f>
        <v>https://abs.twimg.com/images/themes/theme1/bg.png</v>
      </c>
      <c r="AW871" t="b">
        <v>0</v>
      </c>
      <c r="AX871" t="s">
        <v>9303</v>
      </c>
      <c r="AY871" s="79" t="str">
        <f>HYPERLINK("https://twitter.com/aquixoticpisces")</f>
        <v>https://twitter.com/aquixoticpisces</v>
      </c>
      <c r="AZ871" t="s">
        <v>66</v>
      </c>
      <c r="BA871" s="2"/>
    </row>
    <row r="872" spans="1:53" x14ac:dyDescent="0.45">
      <c r="A872" s="62" t="s">
        <v>473</v>
      </c>
      <c r="B872" s="63"/>
      <c r="C872" s="63"/>
      <c r="D872" s="64"/>
      <c r="E872" s="66"/>
      <c r="F872" s="98" t="str">
        <f>HYPERLINK("https://pbs.twimg.com/profile_images/1612837485209337859/B-BZl2wQ_normal.jpg")</f>
        <v>https://pbs.twimg.com/profile_images/1612837485209337859/B-BZl2wQ_normal.jpg</v>
      </c>
      <c r="G872" s="63"/>
      <c r="H872" s="67"/>
      <c r="I872" s="68"/>
      <c r="J872" s="68"/>
      <c r="K872" s="67" t="s">
        <v>9745</v>
      </c>
      <c r="L872" s="71"/>
      <c r="M872" s="72"/>
      <c r="N872" s="72"/>
      <c r="O872" s="73"/>
      <c r="P872" s="74"/>
      <c r="Q872" s="74"/>
      <c r="R872" s="81"/>
      <c r="S872" s="81"/>
      <c r="T872" s="81"/>
      <c r="U872" s="81"/>
      <c r="V872" s="48"/>
      <c r="W872" s="48"/>
      <c r="X872" s="48"/>
      <c r="Y872" s="48"/>
      <c r="Z872" s="47"/>
      <c r="AA872" s="69"/>
      <c r="AB872" s="69"/>
      <c r="AC872" s="70"/>
      <c r="AD872" t="s">
        <v>5437</v>
      </c>
      <c r="AE872" s="78" t="s">
        <v>6702</v>
      </c>
      <c r="AF872">
        <v>56</v>
      </c>
      <c r="AG872">
        <v>373</v>
      </c>
      <c r="AH872">
        <v>602</v>
      </c>
      <c r="AI872">
        <v>891</v>
      </c>
      <c r="AK872" t="s">
        <v>7875</v>
      </c>
      <c r="AL872" t="s">
        <v>8897</v>
      </c>
      <c r="AM872" s="79" t="str">
        <f>HYPERLINK("https://t.co/tpRy0t1w8Q")</f>
        <v>https://t.co/tpRy0t1w8Q</v>
      </c>
      <c r="AO872" s="76">
        <v>44237.830011574071</v>
      </c>
      <c r="AP872" s="79" t="str">
        <f>HYPERLINK("https://pbs.twimg.com/profile_banners/1359591730648141824/1675341322")</f>
        <v>https://pbs.twimg.com/profile_banners/1359591730648141824/1675341322</v>
      </c>
      <c r="AQ872" t="b">
        <v>1</v>
      </c>
      <c r="AR872" t="b">
        <v>0</v>
      </c>
      <c r="AS872" t="b">
        <v>0</v>
      </c>
      <c r="AU872">
        <v>0</v>
      </c>
      <c r="AW872" t="b">
        <v>0</v>
      </c>
      <c r="AX872" t="s">
        <v>9303</v>
      </c>
      <c r="AY872" s="79" t="str">
        <f>HYPERLINK("https://twitter.com/mileyarabicnet")</f>
        <v>https://twitter.com/mileyarabicnet</v>
      </c>
      <c r="AZ872" t="s">
        <v>66</v>
      </c>
      <c r="BA872" s="2"/>
    </row>
    <row r="873" spans="1:53" x14ac:dyDescent="0.45">
      <c r="A873" s="62" t="s">
        <v>353</v>
      </c>
      <c r="B873" s="63"/>
      <c r="C873" s="63"/>
      <c r="D873" s="64"/>
      <c r="E873" s="66"/>
      <c r="F873" s="98" t="str">
        <f>HYPERLINK("https://pbs.twimg.com/profile_images/1291136680687091712/mWAnTLJy_normal.jpg")</f>
        <v>https://pbs.twimg.com/profile_images/1291136680687091712/mWAnTLJy_normal.jpg</v>
      </c>
      <c r="G873" s="63"/>
      <c r="H873" s="67"/>
      <c r="I873" s="68"/>
      <c r="J873" s="68"/>
      <c r="K873" s="67" t="s">
        <v>9578</v>
      </c>
      <c r="L873" s="71"/>
      <c r="M873" s="72"/>
      <c r="N873" s="72"/>
      <c r="O873" s="73"/>
      <c r="P873" s="74"/>
      <c r="Q873" s="74"/>
      <c r="R873" s="81"/>
      <c r="S873" s="81"/>
      <c r="T873" s="81"/>
      <c r="U873" s="81"/>
      <c r="V873" s="48"/>
      <c r="W873" s="48"/>
      <c r="X873" s="48"/>
      <c r="Y873" s="48"/>
      <c r="Z873" s="47"/>
      <c r="AA873" s="69"/>
      <c r="AB873" s="69"/>
      <c r="AC873" s="70"/>
      <c r="AD873" t="s">
        <v>5271</v>
      </c>
      <c r="AE873" s="78" t="s">
        <v>6549</v>
      </c>
      <c r="AF873">
        <v>596</v>
      </c>
      <c r="AG873">
        <v>372</v>
      </c>
      <c r="AH873">
        <v>1490</v>
      </c>
      <c r="AI873">
        <v>1608</v>
      </c>
      <c r="AK873" t="s">
        <v>7732</v>
      </c>
      <c r="AM873" s="79" t="str">
        <f>HYPERLINK("https://t.co/v1za2VZG9d")</f>
        <v>https://t.co/v1za2VZG9d</v>
      </c>
      <c r="AO873" s="76">
        <v>41987.782187500001</v>
      </c>
      <c r="AP873" s="79" t="str">
        <f>HYPERLINK("https://pbs.twimg.com/profile_banners/2930121516/1596665949")</f>
        <v>https://pbs.twimg.com/profile_banners/2930121516/1596665949</v>
      </c>
      <c r="AQ873" t="b">
        <v>0</v>
      </c>
      <c r="AR873" t="b">
        <v>0</v>
      </c>
      <c r="AS873" t="b">
        <v>1</v>
      </c>
      <c r="AU873">
        <v>8</v>
      </c>
      <c r="AV873" s="79" t="str">
        <f>HYPERLINK("https://abs.twimg.com/images/themes/theme1/bg.png")</f>
        <v>https://abs.twimg.com/images/themes/theme1/bg.png</v>
      </c>
      <c r="AW873" t="b">
        <v>0</v>
      </c>
      <c r="AX873" t="s">
        <v>9303</v>
      </c>
      <c r="AY873" s="79" t="str">
        <f>HYPERLINK("https://twitter.com/joannethelola")</f>
        <v>https://twitter.com/joannethelola</v>
      </c>
      <c r="AZ873" t="s">
        <v>66</v>
      </c>
      <c r="BA873" s="2"/>
    </row>
    <row r="874" spans="1:53" x14ac:dyDescent="0.45">
      <c r="A874" s="62" t="s">
        <v>787</v>
      </c>
      <c r="B874" s="63"/>
      <c r="C874" s="63"/>
      <c r="D874" s="64"/>
      <c r="E874" s="66"/>
      <c r="F874" s="98" t="str">
        <f>HYPERLINK("https://pbs.twimg.com/profile_images/637809153101201411/XxB7-v7L_normal.jpg")</f>
        <v>https://pbs.twimg.com/profile_images/637809153101201411/XxB7-v7L_normal.jpg</v>
      </c>
      <c r="G874" s="63"/>
      <c r="H874" s="67"/>
      <c r="I874" s="68"/>
      <c r="J874" s="68"/>
      <c r="K874" s="67" t="s">
        <v>10149</v>
      </c>
      <c r="L874" s="71"/>
      <c r="M874" s="72"/>
      <c r="N874" s="72"/>
      <c r="O874" s="73"/>
      <c r="P874" s="74"/>
      <c r="Q874" s="74"/>
      <c r="R874" s="81"/>
      <c r="S874" s="81"/>
      <c r="T874" s="81"/>
      <c r="U874" s="81"/>
      <c r="V874" s="48"/>
      <c r="W874" s="48"/>
      <c r="X874" s="48"/>
      <c r="Y874" s="48"/>
      <c r="Z874" s="47"/>
      <c r="AA874" s="69"/>
      <c r="AB874" s="69"/>
      <c r="AC874" s="70"/>
      <c r="AD874" t="s">
        <v>5835</v>
      </c>
      <c r="AE874" s="78" t="s">
        <v>7061</v>
      </c>
      <c r="AF874">
        <v>583</v>
      </c>
      <c r="AG874">
        <v>372</v>
      </c>
      <c r="AH874">
        <v>5920</v>
      </c>
      <c r="AI874">
        <v>127</v>
      </c>
      <c r="AK874" t="s">
        <v>8227</v>
      </c>
      <c r="AO874" s="76">
        <v>39962.795613425929</v>
      </c>
      <c r="AP874" s="79" t="str">
        <f>HYPERLINK("https://pbs.twimg.com/profile_banners/43386992/1609532737")</f>
        <v>https://pbs.twimg.com/profile_banners/43386992/1609532737</v>
      </c>
      <c r="AQ874" t="b">
        <v>1</v>
      </c>
      <c r="AR874" t="b">
        <v>0</v>
      </c>
      <c r="AS874" t="b">
        <v>0</v>
      </c>
      <c r="AU874">
        <v>4</v>
      </c>
      <c r="AV874" s="79" t="str">
        <f>HYPERLINK("https://abs.twimg.com/images/themes/theme1/bg.png")</f>
        <v>https://abs.twimg.com/images/themes/theme1/bg.png</v>
      </c>
      <c r="AW874" t="b">
        <v>0</v>
      </c>
      <c r="AX874" t="s">
        <v>9303</v>
      </c>
      <c r="AY874" s="79" t="str">
        <f>HYPERLINK("https://twitter.com/94hoo")</f>
        <v>https://twitter.com/94hoo</v>
      </c>
      <c r="AZ874" t="s">
        <v>66</v>
      </c>
      <c r="BA874" s="2"/>
    </row>
    <row r="875" spans="1:53" x14ac:dyDescent="0.45">
      <c r="A875" s="62" t="s">
        <v>483</v>
      </c>
      <c r="B875" s="63"/>
      <c r="C875" s="63"/>
      <c r="D875" s="64"/>
      <c r="E875" s="66"/>
      <c r="F875" s="98" t="str">
        <f>HYPERLINK("https://pbs.twimg.com/profile_images/1269115412878290944/pvibukhc_normal.jpg")</f>
        <v>https://pbs.twimg.com/profile_images/1269115412878290944/pvibukhc_normal.jpg</v>
      </c>
      <c r="G875" s="63"/>
      <c r="H875" s="67"/>
      <c r="I875" s="68"/>
      <c r="J875" s="68"/>
      <c r="K875" s="67" t="s">
        <v>9755</v>
      </c>
      <c r="L875" s="71"/>
      <c r="M875" s="72"/>
      <c r="N875" s="72"/>
      <c r="O875" s="73"/>
      <c r="P875" s="74"/>
      <c r="Q875" s="74"/>
      <c r="R875" s="81"/>
      <c r="S875" s="81"/>
      <c r="T875" s="81"/>
      <c r="U875" s="81"/>
      <c r="V875" s="48"/>
      <c r="W875" s="48"/>
      <c r="X875" s="48"/>
      <c r="Y875" s="48"/>
      <c r="Z875" s="47"/>
      <c r="AA875" s="69"/>
      <c r="AB875" s="69"/>
      <c r="AC875" s="70"/>
      <c r="AD875" t="s">
        <v>5447</v>
      </c>
      <c r="AE875" s="78" t="s">
        <v>6712</v>
      </c>
      <c r="AF875">
        <v>148</v>
      </c>
      <c r="AG875">
        <v>371</v>
      </c>
      <c r="AH875">
        <v>10990</v>
      </c>
      <c r="AI875">
        <v>39537</v>
      </c>
      <c r="AK875" t="s">
        <v>7882</v>
      </c>
      <c r="AL875" t="s">
        <v>8903</v>
      </c>
      <c r="AO875" s="76">
        <v>43265.581967592596</v>
      </c>
      <c r="AQ875" t="b">
        <v>1</v>
      </c>
      <c r="AR875" t="b">
        <v>0</v>
      </c>
      <c r="AS875" t="b">
        <v>0</v>
      </c>
      <c r="AU875">
        <v>20</v>
      </c>
      <c r="AW875" t="b">
        <v>0</v>
      </c>
      <c r="AX875" t="s">
        <v>9303</v>
      </c>
      <c r="AY875" s="79" t="str">
        <f>HYPERLINK("https://twitter.com/ebrundo1")</f>
        <v>https://twitter.com/ebrundo1</v>
      </c>
      <c r="AZ875" t="s">
        <v>66</v>
      </c>
      <c r="BA875" s="2"/>
    </row>
    <row r="876" spans="1:53" x14ac:dyDescent="0.45">
      <c r="A876" s="62" t="s">
        <v>914</v>
      </c>
      <c r="B876" s="63"/>
      <c r="C876" s="63"/>
      <c r="D876" s="64"/>
      <c r="E876" s="66"/>
      <c r="F876" s="98" t="str">
        <f>HYPERLINK("https://pbs.twimg.com/profile_images/1573328353716838403/T9E8hKB6_normal.jpg")</f>
        <v>https://pbs.twimg.com/profile_images/1573328353716838403/T9E8hKB6_normal.jpg</v>
      </c>
      <c r="G876" s="63"/>
      <c r="H876" s="67"/>
      <c r="I876" s="68"/>
      <c r="J876" s="68"/>
      <c r="K876" s="67" t="s">
        <v>10338</v>
      </c>
      <c r="L876" s="71"/>
      <c r="M876" s="72"/>
      <c r="N876" s="72"/>
      <c r="O876" s="73"/>
      <c r="P876" s="74"/>
      <c r="Q876" s="74"/>
      <c r="R876" s="81"/>
      <c r="S876" s="81"/>
      <c r="T876" s="81"/>
      <c r="U876" s="81"/>
      <c r="V876" s="48"/>
      <c r="W876" s="48"/>
      <c r="X876" s="48"/>
      <c r="Y876" s="48"/>
      <c r="Z876" s="47"/>
      <c r="AA876" s="69"/>
      <c r="AB876" s="69"/>
      <c r="AC876" s="70"/>
      <c r="AD876" t="s">
        <v>6021</v>
      </c>
      <c r="AE876" s="78" t="s">
        <v>7229</v>
      </c>
      <c r="AF876">
        <v>537</v>
      </c>
      <c r="AG876">
        <v>371</v>
      </c>
      <c r="AH876">
        <v>11237</v>
      </c>
      <c r="AI876">
        <v>19864</v>
      </c>
      <c r="AK876" t="s">
        <v>8391</v>
      </c>
      <c r="AL876" t="s">
        <v>9181</v>
      </c>
      <c r="AO876" s="76">
        <v>39506.414571759262</v>
      </c>
      <c r="AP876" s="79" t="str">
        <f>HYPERLINK("https://pbs.twimg.com/profile_banners/14053954/1538138703")</f>
        <v>https://pbs.twimg.com/profile_banners/14053954/1538138703</v>
      </c>
      <c r="AQ876" t="b">
        <v>0</v>
      </c>
      <c r="AR876" t="b">
        <v>0</v>
      </c>
      <c r="AS876" t="b">
        <v>1</v>
      </c>
      <c r="AU876">
        <v>11</v>
      </c>
      <c r="AV876" s="79" t="str">
        <f>HYPERLINK("https://abs.twimg.com/images/themes/theme1/bg.png")</f>
        <v>https://abs.twimg.com/images/themes/theme1/bg.png</v>
      </c>
      <c r="AW876" t="b">
        <v>0</v>
      </c>
      <c r="AX876" t="s">
        <v>9303</v>
      </c>
      <c r="AY876" s="79" t="str">
        <f>HYPERLINK("https://twitter.com/ashgogate")</f>
        <v>https://twitter.com/ashgogate</v>
      </c>
      <c r="AZ876" t="s">
        <v>66</v>
      </c>
      <c r="BA876" s="2"/>
    </row>
    <row r="877" spans="1:53" x14ac:dyDescent="0.45">
      <c r="A877" s="62" t="s">
        <v>837</v>
      </c>
      <c r="B877" s="63"/>
      <c r="C877" s="63"/>
      <c r="D877" s="64"/>
      <c r="E877" s="66"/>
      <c r="F877" s="98" t="str">
        <f>HYPERLINK("https://pbs.twimg.com/profile_images/1541739401004257280/HmtdpT2z_normal.jpg")</f>
        <v>https://pbs.twimg.com/profile_images/1541739401004257280/HmtdpT2z_normal.jpg</v>
      </c>
      <c r="G877" s="63"/>
      <c r="H877" s="67"/>
      <c r="I877" s="68"/>
      <c r="J877" s="68"/>
      <c r="K877" s="67" t="s">
        <v>10230</v>
      </c>
      <c r="L877" s="71"/>
      <c r="M877" s="72"/>
      <c r="N877" s="72"/>
      <c r="O877" s="73"/>
      <c r="P877" s="74"/>
      <c r="Q877" s="74"/>
      <c r="R877" s="81"/>
      <c r="S877" s="81"/>
      <c r="T877" s="81"/>
      <c r="U877" s="81"/>
      <c r="V877" s="48"/>
      <c r="W877" s="48"/>
      <c r="X877" s="48"/>
      <c r="Y877" s="48"/>
      <c r="Z877" s="47"/>
      <c r="AA877" s="69"/>
      <c r="AB877" s="69"/>
      <c r="AC877" s="70"/>
      <c r="AD877" t="s">
        <v>5914</v>
      </c>
      <c r="AE877" s="78" t="s">
        <v>7131</v>
      </c>
      <c r="AF877">
        <v>1370</v>
      </c>
      <c r="AG877">
        <v>371</v>
      </c>
      <c r="AH877">
        <v>14923</v>
      </c>
      <c r="AI877">
        <v>35955</v>
      </c>
      <c r="AK877" t="s">
        <v>8297</v>
      </c>
      <c r="AL877" t="s">
        <v>9130</v>
      </c>
      <c r="AM877" s="79" t="str">
        <f>HYPERLINK("https://t.co/RjTb1oXI19")</f>
        <v>https://t.co/RjTb1oXI19</v>
      </c>
      <c r="AO877" s="76">
        <v>41568.344270833331</v>
      </c>
      <c r="AP877" s="79" t="str">
        <f>HYPERLINK("https://pbs.twimg.com/profile_banners/1977952837/1648375471")</f>
        <v>https://pbs.twimg.com/profile_banners/1977952837/1648375471</v>
      </c>
      <c r="AQ877" t="b">
        <v>0</v>
      </c>
      <c r="AR877" t="b">
        <v>0</v>
      </c>
      <c r="AS877" t="b">
        <v>1</v>
      </c>
      <c r="AU877">
        <v>3</v>
      </c>
      <c r="AV877" s="79" t="str">
        <f>HYPERLINK("https://abs.twimg.com/images/themes/theme17/bg.gif")</f>
        <v>https://abs.twimg.com/images/themes/theme17/bg.gif</v>
      </c>
      <c r="AW877" t="b">
        <v>0</v>
      </c>
      <c r="AX877" t="s">
        <v>9303</v>
      </c>
      <c r="AY877" s="79" t="str">
        <f>HYPERLINK("https://twitter.com/killerangelfrog")</f>
        <v>https://twitter.com/killerangelfrog</v>
      </c>
      <c r="AZ877" t="s">
        <v>66</v>
      </c>
      <c r="BA877" s="2"/>
    </row>
    <row r="878" spans="1:53" x14ac:dyDescent="0.45">
      <c r="A878" s="62" t="s">
        <v>246</v>
      </c>
      <c r="B878" s="63"/>
      <c r="C878" s="63"/>
      <c r="D878" s="64"/>
      <c r="E878" s="66"/>
      <c r="F878" s="98" t="str">
        <f>HYPERLINK("https://pbs.twimg.com/profile_images/3459378985/52463a76d2b17d68f692661374b526ef_normal.jpeg")</f>
        <v>https://pbs.twimg.com/profile_images/3459378985/52463a76d2b17d68f692661374b526ef_normal.jpeg</v>
      </c>
      <c r="G878" s="63"/>
      <c r="H878" s="67"/>
      <c r="I878" s="68"/>
      <c r="J878" s="68"/>
      <c r="K878" s="67" t="s">
        <v>9384</v>
      </c>
      <c r="L878" s="71"/>
      <c r="M878" s="72"/>
      <c r="N878" s="72"/>
      <c r="O878" s="73"/>
      <c r="P878" s="74"/>
      <c r="Q878" s="74"/>
      <c r="R878" s="81"/>
      <c r="S878" s="81"/>
      <c r="T878" s="81"/>
      <c r="U878" s="81"/>
      <c r="V878" s="48"/>
      <c r="W878" s="48"/>
      <c r="X878" s="48"/>
      <c r="Y878" s="48"/>
      <c r="Z878" s="47"/>
      <c r="AA878" s="69"/>
      <c r="AB878" s="69"/>
      <c r="AC878" s="70"/>
      <c r="AD878" t="s">
        <v>5080</v>
      </c>
      <c r="AE878" s="78" t="s">
        <v>6391</v>
      </c>
      <c r="AF878">
        <v>2139</v>
      </c>
      <c r="AG878">
        <v>371</v>
      </c>
      <c r="AH878">
        <v>41302</v>
      </c>
      <c r="AI878">
        <v>385707</v>
      </c>
      <c r="AK878" t="s">
        <v>7564</v>
      </c>
      <c r="AO878" s="76">
        <v>40108.052835648145</v>
      </c>
      <c r="AQ878" t="b">
        <v>1</v>
      </c>
      <c r="AR878" t="b">
        <v>0</v>
      </c>
      <c r="AS878" t="b">
        <v>0</v>
      </c>
      <c r="AU878">
        <v>0</v>
      </c>
      <c r="AV878" s="79" t="str">
        <f>HYPERLINK("https://abs.twimg.com/images/themes/theme1/bg.png")</f>
        <v>https://abs.twimg.com/images/themes/theme1/bg.png</v>
      </c>
      <c r="AW878" t="b">
        <v>0</v>
      </c>
      <c r="AX878" t="s">
        <v>9303</v>
      </c>
      <c r="AY878" s="79" t="str">
        <f>HYPERLINK("https://twitter.com/soupermario")</f>
        <v>https://twitter.com/soupermario</v>
      </c>
      <c r="AZ878" t="s">
        <v>66</v>
      </c>
      <c r="BA878" s="2"/>
    </row>
    <row r="879" spans="1:53" x14ac:dyDescent="0.45">
      <c r="A879" s="62" t="s">
        <v>1430</v>
      </c>
      <c r="B879" s="63"/>
      <c r="C879" s="63"/>
      <c r="D879" s="64"/>
      <c r="E879" s="66"/>
      <c r="F879" s="98" t="str">
        <f>HYPERLINK("https://pbs.twimg.com/profile_images/1481813671877746699/nFgBEaIl_normal.jpg")</f>
        <v>https://pbs.twimg.com/profile_images/1481813671877746699/nFgBEaIl_normal.jpg</v>
      </c>
      <c r="G879" s="63"/>
      <c r="H879" s="67"/>
      <c r="I879" s="68"/>
      <c r="J879" s="68"/>
      <c r="K879" s="67" t="s">
        <v>10336</v>
      </c>
      <c r="L879" s="71"/>
      <c r="M879" s="72"/>
      <c r="N879" s="72"/>
      <c r="O879" s="73"/>
      <c r="P879" s="74"/>
      <c r="Q879" s="74"/>
      <c r="R879" s="81"/>
      <c r="S879" s="81"/>
      <c r="T879" s="81"/>
      <c r="U879" s="81"/>
      <c r="V879" s="48"/>
      <c r="W879" s="48"/>
      <c r="X879" s="48"/>
      <c r="Y879" s="48"/>
      <c r="Z879" s="47"/>
      <c r="AA879" s="69"/>
      <c r="AB879" s="69"/>
      <c r="AC879" s="70"/>
      <c r="AD879" t="s">
        <v>6019</v>
      </c>
      <c r="AE879" s="78" t="s">
        <v>7227</v>
      </c>
      <c r="AF879">
        <v>3395</v>
      </c>
      <c r="AG879">
        <v>371</v>
      </c>
      <c r="AH879">
        <v>9877</v>
      </c>
      <c r="AI879">
        <v>30483</v>
      </c>
      <c r="AK879" t="s">
        <v>8389</v>
      </c>
      <c r="AO879" s="76">
        <v>40605.286458333336</v>
      </c>
      <c r="AQ879" t="b">
        <v>1</v>
      </c>
      <c r="AR879" t="b">
        <v>0</v>
      </c>
      <c r="AS879" t="b">
        <v>1</v>
      </c>
      <c r="AU879">
        <v>0</v>
      </c>
      <c r="AV879" s="79" t="str">
        <f>HYPERLINK("https://abs.twimg.com/images/themes/theme1/bg.png")</f>
        <v>https://abs.twimg.com/images/themes/theme1/bg.png</v>
      </c>
      <c r="AW879" t="b">
        <v>0</v>
      </c>
      <c r="AX879" t="s">
        <v>9303</v>
      </c>
      <c r="AY879" s="79" t="str">
        <f>HYPERLINK("https://twitter.com/ragekage57")</f>
        <v>https://twitter.com/ragekage57</v>
      </c>
      <c r="AZ879" t="s">
        <v>65</v>
      </c>
      <c r="BA879" s="2"/>
    </row>
    <row r="880" spans="1:53" x14ac:dyDescent="0.45">
      <c r="A880" s="62" t="s">
        <v>260</v>
      </c>
      <c r="B880" s="63"/>
      <c r="C880" s="63"/>
      <c r="D880" s="64"/>
      <c r="E880" s="66"/>
      <c r="F880" s="98" t="str">
        <f>HYPERLINK("https://pbs.twimg.com/profile_images/1618569775738667010/4fzmt2YR_normal.jpg")</f>
        <v>https://pbs.twimg.com/profile_images/1618569775738667010/4fzmt2YR_normal.jpg</v>
      </c>
      <c r="G880" s="63"/>
      <c r="H880" s="67"/>
      <c r="I880" s="68"/>
      <c r="J880" s="68"/>
      <c r="K880" s="67" t="s">
        <v>9403</v>
      </c>
      <c r="L880" s="71"/>
      <c r="M880" s="72"/>
      <c r="N880" s="72"/>
      <c r="O880" s="73"/>
      <c r="P880" s="74"/>
      <c r="Q880" s="74"/>
      <c r="R880" s="81"/>
      <c r="S880" s="81"/>
      <c r="T880" s="81"/>
      <c r="U880" s="81"/>
      <c r="V880" s="48"/>
      <c r="W880" s="48"/>
      <c r="X880" s="48"/>
      <c r="Y880" s="48"/>
      <c r="Z880" s="47"/>
      <c r="AA880" s="69"/>
      <c r="AB880" s="69"/>
      <c r="AC880" s="70"/>
      <c r="AD880" t="s">
        <v>5098</v>
      </c>
      <c r="AE880" s="78" t="s">
        <v>6408</v>
      </c>
      <c r="AF880">
        <v>339</v>
      </c>
      <c r="AG880">
        <v>366</v>
      </c>
      <c r="AH880">
        <v>29379</v>
      </c>
      <c r="AI880">
        <v>15085</v>
      </c>
      <c r="AK880" t="s">
        <v>7581</v>
      </c>
      <c r="AL880" t="s">
        <v>8734</v>
      </c>
      <c r="AM880" s="79" t="str">
        <f>HYPERLINK("https://t.co/SCF2pgTQQE")</f>
        <v>https://t.co/SCF2pgTQQE</v>
      </c>
      <c r="AO880" s="76">
        <v>39928.121608796297</v>
      </c>
      <c r="AP880" s="79" t="str">
        <f>HYPERLINK("https://pbs.twimg.com/profile_banners/35125460/1673418660")</f>
        <v>https://pbs.twimg.com/profile_banners/35125460/1673418660</v>
      </c>
      <c r="AQ880" t="b">
        <v>0</v>
      </c>
      <c r="AR880" t="b">
        <v>0</v>
      </c>
      <c r="AS880" t="b">
        <v>1</v>
      </c>
      <c r="AU880">
        <v>1</v>
      </c>
      <c r="AV880" s="79" t="str">
        <f>HYPERLINK("https://abs.twimg.com/images/themes/theme1/bg.png")</f>
        <v>https://abs.twimg.com/images/themes/theme1/bg.png</v>
      </c>
      <c r="AW880" t="b">
        <v>0</v>
      </c>
      <c r="AX880" t="s">
        <v>9303</v>
      </c>
      <c r="AY880" s="79" t="str">
        <f>HYPERLINK("https://twitter.com/wild_fl0w3r_")</f>
        <v>https://twitter.com/wild_fl0w3r_</v>
      </c>
      <c r="AZ880" t="s">
        <v>66</v>
      </c>
      <c r="BA880" s="2"/>
    </row>
    <row r="881" spans="1:53" x14ac:dyDescent="0.45">
      <c r="A881" s="62" t="s">
        <v>779</v>
      </c>
      <c r="B881" s="63"/>
      <c r="C881" s="63"/>
      <c r="D881" s="64"/>
      <c r="E881" s="66"/>
      <c r="F881" s="98" t="str">
        <f>HYPERLINK("https://pbs.twimg.com/profile_images/1616519827685871619/AVn3qy_v_normal.jpg")</f>
        <v>https://pbs.twimg.com/profile_images/1616519827685871619/AVn3qy_v_normal.jpg</v>
      </c>
      <c r="G881" s="63"/>
      <c r="H881" s="67"/>
      <c r="I881" s="68"/>
      <c r="J881" s="68"/>
      <c r="K881" s="67" t="s">
        <v>10138</v>
      </c>
      <c r="L881" s="71"/>
      <c r="M881" s="72"/>
      <c r="N881" s="72"/>
      <c r="O881" s="73"/>
      <c r="P881" s="74"/>
      <c r="Q881" s="74"/>
      <c r="R881" s="81"/>
      <c r="S881" s="81"/>
      <c r="T881" s="81"/>
      <c r="U881" s="81"/>
      <c r="V881" s="48"/>
      <c r="W881" s="48"/>
      <c r="X881" s="48"/>
      <c r="Y881" s="48"/>
      <c r="Z881" s="47"/>
      <c r="AA881" s="69"/>
      <c r="AB881" s="69"/>
      <c r="AC881" s="70"/>
      <c r="AD881" t="s">
        <v>5826</v>
      </c>
      <c r="AE881" s="78" t="s">
        <v>7052</v>
      </c>
      <c r="AF881">
        <v>532</v>
      </c>
      <c r="AG881">
        <v>364</v>
      </c>
      <c r="AH881">
        <v>18767</v>
      </c>
      <c r="AI881">
        <v>55290</v>
      </c>
      <c r="AK881" t="s">
        <v>8219</v>
      </c>
      <c r="AO881" s="76">
        <v>43900.027719907404</v>
      </c>
      <c r="AP881" s="79" t="str">
        <f>HYPERLINK("https://pbs.twimg.com/profile_banners/1237176276621852675/1674243342")</f>
        <v>https://pbs.twimg.com/profile_banners/1237176276621852675/1674243342</v>
      </c>
      <c r="AQ881" t="b">
        <v>1</v>
      </c>
      <c r="AR881" t="b">
        <v>0</v>
      </c>
      <c r="AS881" t="b">
        <v>0</v>
      </c>
      <c r="AU881">
        <v>0</v>
      </c>
      <c r="AW881" t="b">
        <v>0</v>
      </c>
      <c r="AX881" t="s">
        <v>9303</v>
      </c>
      <c r="AY881" s="79" t="str">
        <f>HYPERLINK("https://twitter.com/tammyha13715584")</f>
        <v>https://twitter.com/tammyha13715584</v>
      </c>
      <c r="AZ881" t="s">
        <v>66</v>
      </c>
      <c r="BA881" s="2"/>
    </row>
    <row r="882" spans="1:53" x14ac:dyDescent="0.45">
      <c r="A882" s="62" t="s">
        <v>691</v>
      </c>
      <c r="B882" s="63"/>
      <c r="C882" s="63"/>
      <c r="D882" s="64"/>
      <c r="E882" s="66"/>
      <c r="F882" s="98" t="str">
        <f>HYPERLINK("https://pbs.twimg.com/profile_images/1610912723885297665/UKDdgqGw_normal.jpg")</f>
        <v>https://pbs.twimg.com/profile_images/1610912723885297665/UKDdgqGw_normal.jpg</v>
      </c>
      <c r="G882" s="63"/>
      <c r="H882" s="67"/>
      <c r="I882" s="68"/>
      <c r="J882" s="68"/>
      <c r="K882" s="67" t="s">
        <v>10023</v>
      </c>
      <c r="L882" s="71"/>
      <c r="M882" s="72"/>
      <c r="N882" s="72"/>
      <c r="O882" s="73"/>
      <c r="P882" s="74"/>
      <c r="Q882" s="74"/>
      <c r="R882" s="81"/>
      <c r="S882" s="81"/>
      <c r="T882" s="81"/>
      <c r="U882" s="81"/>
      <c r="V882" s="48"/>
      <c r="W882" s="48"/>
      <c r="X882" s="48"/>
      <c r="Y882" s="48"/>
      <c r="Z882" s="47"/>
      <c r="AA882" s="69"/>
      <c r="AB882" s="69"/>
      <c r="AC882" s="70"/>
      <c r="AD882" t="s">
        <v>5713</v>
      </c>
      <c r="AE882" s="78" t="s">
        <v>6951</v>
      </c>
      <c r="AF882">
        <v>595</v>
      </c>
      <c r="AG882">
        <v>363</v>
      </c>
      <c r="AH882">
        <v>7767</v>
      </c>
      <c r="AI882">
        <v>40752</v>
      </c>
      <c r="AK882" t="s">
        <v>8116</v>
      </c>
      <c r="AL882" t="s">
        <v>9044</v>
      </c>
      <c r="AO882" s="76">
        <v>44130.673217592594</v>
      </c>
      <c r="AP882" s="79" t="str">
        <f>HYPERLINK("https://pbs.twimg.com/profile_banners/1320759406355763206/1672906508")</f>
        <v>https://pbs.twimg.com/profile_banners/1320759406355763206/1672906508</v>
      </c>
      <c r="AQ882" t="b">
        <v>1</v>
      </c>
      <c r="AR882" t="b">
        <v>0</v>
      </c>
      <c r="AS882" t="b">
        <v>0</v>
      </c>
      <c r="AU882">
        <v>15</v>
      </c>
      <c r="AW882" t="b">
        <v>0</v>
      </c>
      <c r="AX882" t="s">
        <v>9303</v>
      </c>
      <c r="AY882" s="79" t="str">
        <f>HYPERLINK("https://twitter.com/anataeasia")</f>
        <v>https://twitter.com/anataeasia</v>
      </c>
      <c r="AZ882" t="s">
        <v>66</v>
      </c>
      <c r="BA882" s="2"/>
    </row>
    <row r="883" spans="1:53" x14ac:dyDescent="0.45">
      <c r="A883" s="62" t="s">
        <v>238</v>
      </c>
      <c r="B883" s="63"/>
      <c r="C883" s="63"/>
      <c r="D883" s="64"/>
      <c r="E883" s="66"/>
      <c r="F883" s="98" t="str">
        <f>HYPERLINK("https://pbs.twimg.com/profile_images/1491421921841487890/rrXHVuzq_normal.jpg")</f>
        <v>https://pbs.twimg.com/profile_images/1491421921841487890/rrXHVuzq_normal.jpg</v>
      </c>
      <c r="G883" s="63"/>
      <c r="H883" s="67"/>
      <c r="I883" s="68"/>
      <c r="J883" s="68"/>
      <c r="K883" s="67" t="s">
        <v>9369</v>
      </c>
      <c r="L883" s="71"/>
      <c r="M883" s="72"/>
      <c r="N883" s="72"/>
      <c r="O883" s="73"/>
      <c r="P883" s="74"/>
      <c r="Q883" s="74"/>
      <c r="R883" s="81"/>
      <c r="S883" s="81"/>
      <c r="T883" s="81"/>
      <c r="U883" s="81"/>
      <c r="V883" s="48"/>
      <c r="W883" s="48"/>
      <c r="X883" s="48"/>
      <c r="Y883" s="48"/>
      <c r="Z883" s="47"/>
      <c r="AA883" s="69"/>
      <c r="AB883" s="69"/>
      <c r="AC883" s="70"/>
      <c r="AD883" t="s">
        <v>5065</v>
      </c>
      <c r="AE883" s="78" t="s">
        <v>6380</v>
      </c>
      <c r="AF883">
        <v>560</v>
      </c>
      <c r="AG883">
        <v>363</v>
      </c>
      <c r="AH883">
        <v>4565</v>
      </c>
      <c r="AI883">
        <v>4714</v>
      </c>
      <c r="AK883" t="s">
        <v>7551</v>
      </c>
      <c r="AL883" t="s">
        <v>8720</v>
      </c>
      <c r="AO883" s="76">
        <v>44601.592638888891</v>
      </c>
      <c r="AP883" s="79" t="str">
        <f>HYPERLINK("https://pbs.twimg.com/profile_banners/1491414830112288768/1664536763")</f>
        <v>https://pbs.twimg.com/profile_banners/1491414830112288768/1664536763</v>
      </c>
      <c r="AQ883" t="b">
        <v>1</v>
      </c>
      <c r="AR883" t="b">
        <v>0</v>
      </c>
      <c r="AS883" t="b">
        <v>1</v>
      </c>
      <c r="AU883">
        <v>2</v>
      </c>
      <c r="AW883" t="b">
        <v>0</v>
      </c>
      <c r="AX883" t="s">
        <v>9303</v>
      </c>
      <c r="AY883" s="79" t="str">
        <f>HYPERLINK("https://twitter.com/chefkawasaki_")</f>
        <v>https://twitter.com/chefkawasaki_</v>
      </c>
      <c r="AZ883" t="s">
        <v>66</v>
      </c>
      <c r="BA883" s="2"/>
    </row>
    <row r="884" spans="1:53" x14ac:dyDescent="0.45">
      <c r="A884" s="62" t="s">
        <v>719</v>
      </c>
      <c r="B884" s="63"/>
      <c r="C884" s="63"/>
      <c r="D884" s="64"/>
      <c r="E884" s="66"/>
      <c r="F884" s="98" t="str">
        <f>HYPERLINK("https://pbs.twimg.com/profile_images/1440491658668249101/dGKm1Ogb_normal.jpg")</f>
        <v>https://pbs.twimg.com/profile_images/1440491658668249101/dGKm1Ogb_normal.jpg</v>
      </c>
      <c r="G884" s="63"/>
      <c r="H884" s="67"/>
      <c r="I884" s="68"/>
      <c r="J884" s="68"/>
      <c r="K884" s="67" t="s">
        <v>10062</v>
      </c>
      <c r="L884" s="71"/>
      <c r="M884" s="72"/>
      <c r="N884" s="72"/>
      <c r="O884" s="73"/>
      <c r="P884" s="74"/>
      <c r="Q884" s="74"/>
      <c r="R884" s="81"/>
      <c r="S884" s="81"/>
      <c r="T884" s="81"/>
      <c r="U884" s="81"/>
      <c r="V884" s="48"/>
      <c r="W884" s="48"/>
      <c r="X884" s="48"/>
      <c r="Y884" s="48"/>
      <c r="Z884" s="47"/>
      <c r="AA884" s="69"/>
      <c r="AB884" s="69"/>
      <c r="AC884" s="70"/>
      <c r="AD884" t="s">
        <v>5751</v>
      </c>
      <c r="AE884" s="78" t="s">
        <v>6987</v>
      </c>
      <c r="AF884">
        <v>1105</v>
      </c>
      <c r="AG884">
        <v>362</v>
      </c>
      <c r="AH884">
        <v>50431</v>
      </c>
      <c r="AI884">
        <v>5663</v>
      </c>
      <c r="AO884" s="76">
        <v>41574.875763888886</v>
      </c>
      <c r="AQ884" t="b">
        <v>1</v>
      </c>
      <c r="AR884" t="b">
        <v>0</v>
      </c>
      <c r="AS884" t="b">
        <v>0</v>
      </c>
      <c r="AU884">
        <v>8</v>
      </c>
      <c r="AV884" s="79" t="str">
        <f>HYPERLINK("https://abs.twimg.com/images/themes/theme1/bg.png")</f>
        <v>https://abs.twimg.com/images/themes/theme1/bg.png</v>
      </c>
      <c r="AW884" t="b">
        <v>0</v>
      </c>
      <c r="AX884" t="s">
        <v>9303</v>
      </c>
      <c r="AY884" s="79" t="str">
        <f>HYPERLINK("https://twitter.com/jiprk99")</f>
        <v>https://twitter.com/jiprk99</v>
      </c>
      <c r="AZ884" t="s">
        <v>66</v>
      </c>
      <c r="BA884" s="2"/>
    </row>
    <row r="885" spans="1:53" x14ac:dyDescent="0.45">
      <c r="A885" s="62" t="s">
        <v>979</v>
      </c>
      <c r="B885" s="63"/>
      <c r="C885" s="63"/>
      <c r="D885" s="64"/>
      <c r="E885" s="66"/>
      <c r="F885" s="98" t="str">
        <f>HYPERLINK("https://pbs.twimg.com/profile_images/1324211928097386496/BzqXykHt_normal.jpg")</f>
        <v>https://pbs.twimg.com/profile_images/1324211928097386496/BzqXykHt_normal.jpg</v>
      </c>
      <c r="G885" s="63"/>
      <c r="H885" s="67"/>
      <c r="I885" s="68"/>
      <c r="J885" s="68"/>
      <c r="K885" s="67" t="s">
        <v>10442</v>
      </c>
      <c r="L885" s="71"/>
      <c r="M885" s="72"/>
      <c r="N885" s="72"/>
      <c r="O885" s="73"/>
      <c r="P885" s="74"/>
      <c r="Q885" s="74"/>
      <c r="R885" s="81"/>
      <c r="S885" s="81"/>
      <c r="T885" s="81"/>
      <c r="U885" s="81"/>
      <c r="V885" s="48"/>
      <c r="W885" s="48"/>
      <c r="X885" s="48"/>
      <c r="Y885" s="48"/>
      <c r="Z885" s="47"/>
      <c r="AA885" s="69"/>
      <c r="AB885" s="69"/>
      <c r="AC885" s="70"/>
      <c r="AD885" t="s">
        <v>6123</v>
      </c>
      <c r="AE885" s="78" t="s">
        <v>7317</v>
      </c>
      <c r="AF885">
        <v>500</v>
      </c>
      <c r="AG885">
        <v>361</v>
      </c>
      <c r="AH885">
        <v>19056</v>
      </c>
      <c r="AI885">
        <v>383</v>
      </c>
      <c r="AK885" t="s">
        <v>8483</v>
      </c>
      <c r="AL885" t="s">
        <v>9216</v>
      </c>
      <c r="AO885" s="76">
        <v>40875.763437499998</v>
      </c>
      <c r="AP885" s="79" t="str">
        <f>HYPERLINK("https://pbs.twimg.com/profile_banners/423601970/1581299986")</f>
        <v>https://pbs.twimg.com/profile_banners/423601970/1581299986</v>
      </c>
      <c r="AQ885" t="b">
        <v>0</v>
      </c>
      <c r="AR885" t="b">
        <v>0</v>
      </c>
      <c r="AS885" t="b">
        <v>1</v>
      </c>
      <c r="AU885">
        <v>15</v>
      </c>
      <c r="AV885" s="79" t="str">
        <f>HYPERLINK("https://abs.twimg.com/images/themes/theme2/bg.gif")</f>
        <v>https://abs.twimg.com/images/themes/theme2/bg.gif</v>
      </c>
      <c r="AW885" t="b">
        <v>0</v>
      </c>
      <c r="AX885" t="s">
        <v>9303</v>
      </c>
      <c r="AY885" s="79" t="str">
        <f>HYPERLINK("https://twitter.com/r_hernandez11")</f>
        <v>https://twitter.com/r_hernandez11</v>
      </c>
      <c r="AZ885" t="s">
        <v>66</v>
      </c>
      <c r="BA885" s="2"/>
    </row>
    <row r="886" spans="1:53" x14ac:dyDescent="0.45">
      <c r="A886" s="62" t="s">
        <v>648</v>
      </c>
      <c r="B886" s="63"/>
      <c r="C886" s="63"/>
      <c r="D886" s="64"/>
      <c r="E886" s="66"/>
      <c r="F886" s="98" t="str">
        <f>HYPERLINK("https://pbs.twimg.com/profile_images/1610028306656624646/Ksrp7fBa_normal.jpg")</f>
        <v>https://pbs.twimg.com/profile_images/1610028306656624646/Ksrp7fBa_normal.jpg</v>
      </c>
      <c r="G886" s="63"/>
      <c r="H886" s="67"/>
      <c r="I886" s="68"/>
      <c r="J886" s="68"/>
      <c r="K886" s="67" t="s">
        <v>9959</v>
      </c>
      <c r="L886" s="71"/>
      <c r="M886" s="72"/>
      <c r="N886" s="72"/>
      <c r="O886" s="73"/>
      <c r="P886" s="74"/>
      <c r="Q886" s="74"/>
      <c r="R886" s="81"/>
      <c r="S886" s="81"/>
      <c r="T886" s="81"/>
      <c r="U886" s="81"/>
      <c r="V886" s="48"/>
      <c r="W886" s="48"/>
      <c r="X886" s="48"/>
      <c r="Y886" s="48"/>
      <c r="Z886" s="47"/>
      <c r="AA886" s="69"/>
      <c r="AB886" s="69"/>
      <c r="AC886" s="70"/>
      <c r="AD886" t="s">
        <v>5650</v>
      </c>
      <c r="AE886" s="78" t="s">
        <v>6892</v>
      </c>
      <c r="AF886">
        <v>67</v>
      </c>
      <c r="AG886">
        <v>361</v>
      </c>
      <c r="AH886">
        <v>3748</v>
      </c>
      <c r="AI886">
        <v>6599</v>
      </c>
      <c r="AK886" t="s">
        <v>8061</v>
      </c>
      <c r="AL886" t="s">
        <v>9017</v>
      </c>
      <c r="AM886" s="79" t="str">
        <f>HYPERLINK("https://t.co/aTW0UJVvKC")</f>
        <v>https://t.co/aTW0UJVvKC</v>
      </c>
      <c r="AO886" s="76">
        <v>41809.056435185186</v>
      </c>
      <c r="AP886" s="79" t="str">
        <f>HYPERLINK("https://pbs.twimg.com/profile_banners/2575845943/1672936585")</f>
        <v>https://pbs.twimg.com/profile_banners/2575845943/1672936585</v>
      </c>
      <c r="AQ886" t="b">
        <v>0</v>
      </c>
      <c r="AR886" t="b">
        <v>0</v>
      </c>
      <c r="AS886" t="b">
        <v>0</v>
      </c>
      <c r="AU886">
        <v>2</v>
      </c>
      <c r="AV886" s="79" t="str">
        <f>HYPERLINK("https://abs.twimg.com/images/themes/theme1/bg.png")</f>
        <v>https://abs.twimg.com/images/themes/theme1/bg.png</v>
      </c>
      <c r="AW886" t="b">
        <v>0</v>
      </c>
      <c r="AX886" t="s">
        <v>9303</v>
      </c>
      <c r="AY886" s="79" t="str">
        <f>HYPERLINK("https://twitter.com/gypsyhearttour")</f>
        <v>https://twitter.com/gypsyhearttour</v>
      </c>
      <c r="AZ886" t="s">
        <v>66</v>
      </c>
      <c r="BA886" s="2"/>
    </row>
    <row r="887" spans="1:53" x14ac:dyDescent="0.45">
      <c r="A887" s="62" t="s">
        <v>871</v>
      </c>
      <c r="B887" s="63"/>
      <c r="C887" s="63"/>
      <c r="D887" s="64"/>
      <c r="E887" s="66"/>
      <c r="F887" s="98" t="str">
        <f>HYPERLINK("https://pbs.twimg.com/profile_images/1419166141222727682/j7q5ttjI_normal.jpg")</f>
        <v>https://pbs.twimg.com/profile_images/1419166141222727682/j7q5ttjI_normal.jpg</v>
      </c>
      <c r="G887" s="63"/>
      <c r="H887" s="67"/>
      <c r="I887" s="68"/>
      <c r="J887" s="68"/>
      <c r="K887" s="67" t="s">
        <v>10275</v>
      </c>
      <c r="L887" s="71"/>
      <c r="M887" s="72"/>
      <c r="N887" s="72"/>
      <c r="O887" s="73"/>
      <c r="P887" s="74"/>
      <c r="Q887" s="74"/>
      <c r="R887" s="81"/>
      <c r="S887" s="81"/>
      <c r="T887" s="81"/>
      <c r="U887" s="81"/>
      <c r="V887" s="48"/>
      <c r="W887" s="48"/>
      <c r="X887" s="48"/>
      <c r="Y887" s="48"/>
      <c r="Z887" s="47"/>
      <c r="AA887" s="69"/>
      <c r="AB887" s="69"/>
      <c r="AC887" s="70"/>
      <c r="AD887" t="s">
        <v>5958</v>
      </c>
      <c r="AE887" s="78" t="s">
        <v>7170</v>
      </c>
      <c r="AF887">
        <v>1285</v>
      </c>
      <c r="AG887">
        <v>360</v>
      </c>
      <c r="AH887">
        <v>77883</v>
      </c>
      <c r="AI887">
        <v>98556</v>
      </c>
      <c r="AK887" t="s">
        <v>8336</v>
      </c>
      <c r="AO887" s="76">
        <v>42072.003506944442</v>
      </c>
      <c r="AP887" s="79" t="str">
        <f>HYPERLINK("https://pbs.twimg.com/profile_banners/3068783406/1484970569")</f>
        <v>https://pbs.twimg.com/profile_banners/3068783406/1484970569</v>
      </c>
      <c r="AQ887" t="b">
        <v>1</v>
      </c>
      <c r="AR887" t="b">
        <v>0</v>
      </c>
      <c r="AS887" t="b">
        <v>0</v>
      </c>
      <c r="AU887">
        <v>1</v>
      </c>
      <c r="AV887" s="79" t="str">
        <f>HYPERLINK("https://abs.twimg.com/images/themes/theme1/bg.png")</f>
        <v>https://abs.twimg.com/images/themes/theme1/bg.png</v>
      </c>
      <c r="AW887" t="b">
        <v>0</v>
      </c>
      <c r="AX887" t="s">
        <v>9303</v>
      </c>
      <c r="AY887" s="79" t="str">
        <f>HYPERLINK("https://twitter.com/gregpacknett")</f>
        <v>https://twitter.com/gregpacknett</v>
      </c>
      <c r="AZ887" t="s">
        <v>66</v>
      </c>
      <c r="BA887" s="2"/>
    </row>
    <row r="888" spans="1:53" x14ac:dyDescent="0.45">
      <c r="A888" s="62" t="s">
        <v>889</v>
      </c>
      <c r="B888" s="63"/>
      <c r="C888" s="63"/>
      <c r="D888" s="64"/>
      <c r="E888" s="66"/>
      <c r="F888" s="98" t="str">
        <f>HYPERLINK("https://pbs.twimg.com/profile_images/1479629019049971713/dF1V_Nu6_normal.jpg")</f>
        <v>https://pbs.twimg.com/profile_images/1479629019049971713/dF1V_Nu6_normal.jpg</v>
      </c>
      <c r="G888" s="63"/>
      <c r="H888" s="67"/>
      <c r="I888" s="68"/>
      <c r="J888" s="68"/>
      <c r="K888" s="67" t="s">
        <v>10303</v>
      </c>
      <c r="L888" s="71"/>
      <c r="M888" s="72"/>
      <c r="N888" s="72"/>
      <c r="O888" s="73"/>
      <c r="P888" s="74"/>
      <c r="Q888" s="74"/>
      <c r="R888" s="81"/>
      <c r="S888" s="81"/>
      <c r="T888" s="81"/>
      <c r="U888" s="81"/>
      <c r="V888" s="48"/>
      <c r="W888" s="48"/>
      <c r="X888" s="48"/>
      <c r="Y888" s="48"/>
      <c r="Z888" s="47"/>
      <c r="AA888" s="69"/>
      <c r="AB888" s="69"/>
      <c r="AC888" s="70"/>
      <c r="AD888" t="s">
        <v>5986</v>
      </c>
      <c r="AE888" s="78" t="s">
        <v>7196</v>
      </c>
      <c r="AF888">
        <v>576</v>
      </c>
      <c r="AG888">
        <v>358</v>
      </c>
      <c r="AH888">
        <v>1286</v>
      </c>
      <c r="AI888">
        <v>2400</v>
      </c>
      <c r="AK888" t="s">
        <v>8361</v>
      </c>
      <c r="AL888" t="s">
        <v>8973</v>
      </c>
      <c r="AM888" s="79" t="str">
        <f>HYPERLINK("https://t.co/P0cbcxtY1B")</f>
        <v>https://t.co/P0cbcxtY1B</v>
      </c>
      <c r="AO888" s="76">
        <v>43257.637708333335</v>
      </c>
      <c r="AP888" s="79" t="str">
        <f>HYPERLINK("https://pbs.twimg.com/profile_banners/1004381974524395520/1578518251")</f>
        <v>https://pbs.twimg.com/profile_banners/1004381974524395520/1578518251</v>
      </c>
      <c r="AQ888" t="b">
        <v>1</v>
      </c>
      <c r="AR888" t="b">
        <v>0</v>
      </c>
      <c r="AS888" t="b">
        <v>1</v>
      </c>
      <c r="AU888">
        <v>1</v>
      </c>
      <c r="AW888" t="b">
        <v>0</v>
      </c>
      <c r="AX888" t="s">
        <v>9303</v>
      </c>
      <c r="AY888" s="79" t="str">
        <f>HYPERLINK("https://twitter.com/coupleyfit")</f>
        <v>https://twitter.com/coupleyfit</v>
      </c>
      <c r="AZ888" t="s">
        <v>66</v>
      </c>
      <c r="BA888" s="2"/>
    </row>
    <row r="889" spans="1:53" x14ac:dyDescent="0.45">
      <c r="A889" s="62" t="s">
        <v>486</v>
      </c>
      <c r="B889" s="63"/>
      <c r="C889" s="63"/>
      <c r="D889" s="64"/>
      <c r="E889" s="66"/>
      <c r="F889" s="98" t="str">
        <f>HYPERLINK("https://pbs.twimg.com/profile_images/1374446928000286729/3c4dIU7B_normal.jpg")</f>
        <v>https://pbs.twimg.com/profile_images/1374446928000286729/3c4dIU7B_normal.jpg</v>
      </c>
      <c r="G889" s="63"/>
      <c r="H889" s="67"/>
      <c r="I889" s="68"/>
      <c r="J889" s="68"/>
      <c r="K889" s="67" t="s">
        <v>9759</v>
      </c>
      <c r="L889" s="71"/>
      <c r="M889" s="72"/>
      <c r="N889" s="72"/>
      <c r="O889" s="73"/>
      <c r="P889" s="74"/>
      <c r="Q889" s="74"/>
      <c r="R889" s="81"/>
      <c r="S889" s="81"/>
      <c r="T889" s="81"/>
      <c r="U889" s="81"/>
      <c r="V889" s="48"/>
      <c r="W889" s="48"/>
      <c r="X889" s="48"/>
      <c r="Y889" s="48"/>
      <c r="Z889" s="47"/>
      <c r="AA889" s="69"/>
      <c r="AB889" s="69"/>
      <c r="AC889" s="70"/>
      <c r="AD889" t="s">
        <v>5451</v>
      </c>
      <c r="AE889" s="78" t="s">
        <v>6715</v>
      </c>
      <c r="AF889">
        <v>646</v>
      </c>
      <c r="AG889">
        <v>347</v>
      </c>
      <c r="AH889">
        <v>9973</v>
      </c>
      <c r="AI889">
        <v>27089</v>
      </c>
      <c r="AK889" t="s">
        <v>7885</v>
      </c>
      <c r="AL889" t="s">
        <v>8905</v>
      </c>
      <c r="AM889" s="79" t="str">
        <f>HYPERLINK("https://t.co/TwJn8OH0QZ")</f>
        <v>https://t.co/TwJn8OH0QZ</v>
      </c>
      <c r="AO889" s="76">
        <v>43447.991585648146</v>
      </c>
      <c r="AP889" s="79" t="str">
        <f>HYPERLINK("https://pbs.twimg.com/profile_banners/1073363912391843841/1616528659")</f>
        <v>https://pbs.twimg.com/profile_banners/1073363912391843841/1616528659</v>
      </c>
      <c r="AQ889" t="b">
        <v>1</v>
      </c>
      <c r="AR889" t="b">
        <v>0</v>
      </c>
      <c r="AS889" t="b">
        <v>0</v>
      </c>
      <c r="AU889">
        <v>0</v>
      </c>
      <c r="AW889" t="b">
        <v>0</v>
      </c>
      <c r="AX889" t="s">
        <v>9303</v>
      </c>
      <c r="AY889" s="79" t="str">
        <f>HYPERLINK("https://twitter.com/sheiscomingley")</f>
        <v>https://twitter.com/sheiscomingley</v>
      </c>
      <c r="AZ889" t="s">
        <v>66</v>
      </c>
      <c r="BA889" s="2"/>
    </row>
    <row r="890" spans="1:53" x14ac:dyDescent="0.45">
      <c r="A890" s="62" t="s">
        <v>1409</v>
      </c>
      <c r="B890" s="63"/>
      <c r="C890" s="63"/>
      <c r="D890" s="64"/>
      <c r="E890" s="66"/>
      <c r="F890" s="98" t="str">
        <f>HYPERLINK("https://pbs.twimg.com/profile_images/2493765054/school_front_for_web_normal.jpg")</f>
        <v>https://pbs.twimg.com/profile_images/2493765054/school_front_for_web_normal.jpg</v>
      </c>
      <c r="G890" s="63"/>
      <c r="H890" s="67"/>
      <c r="I890" s="68"/>
      <c r="J890" s="68"/>
      <c r="K890" s="67" t="s">
        <v>10273</v>
      </c>
      <c r="L890" s="71"/>
      <c r="M890" s="72"/>
      <c r="N890" s="72"/>
      <c r="O890" s="73"/>
      <c r="P890" s="74"/>
      <c r="Q890" s="74"/>
      <c r="R890" s="81"/>
      <c r="S890" s="81"/>
      <c r="T890" s="81"/>
      <c r="U890" s="81"/>
      <c r="V890" s="48"/>
      <c r="W890" s="48"/>
      <c r="X890" s="48"/>
      <c r="Y890" s="48"/>
      <c r="Z890" s="47"/>
      <c r="AA890" s="69"/>
      <c r="AB890" s="69"/>
      <c r="AC890" s="70"/>
      <c r="AD890" t="s">
        <v>5956</v>
      </c>
      <c r="AE890" s="78" t="s">
        <v>7168</v>
      </c>
      <c r="AF890">
        <v>5</v>
      </c>
      <c r="AG890">
        <v>346</v>
      </c>
      <c r="AH890">
        <v>415</v>
      </c>
      <c r="AI890">
        <v>1</v>
      </c>
      <c r="AK890" t="s">
        <v>8334</v>
      </c>
      <c r="AO890" s="76">
        <v>41133.029930555553</v>
      </c>
      <c r="AQ890" t="b">
        <v>1</v>
      </c>
      <c r="AR890" t="b">
        <v>0</v>
      </c>
      <c r="AS890" t="b">
        <v>0</v>
      </c>
      <c r="AU890">
        <v>0</v>
      </c>
      <c r="AV890" s="79" t="str">
        <f>HYPERLINK("https://abs.twimg.com/images/themes/theme1/bg.png")</f>
        <v>https://abs.twimg.com/images/themes/theme1/bg.png</v>
      </c>
      <c r="AW890" t="b">
        <v>0</v>
      </c>
      <c r="AX890" t="s">
        <v>9303</v>
      </c>
      <c r="AY890" s="79" t="str">
        <f>HYPERLINK("https://twitter.com/laurens55high")</f>
        <v>https://twitter.com/laurens55high</v>
      </c>
      <c r="AZ890" t="s">
        <v>65</v>
      </c>
      <c r="BA890" s="2"/>
    </row>
    <row r="891" spans="1:53" x14ac:dyDescent="0.45">
      <c r="A891" s="62" t="s">
        <v>1081</v>
      </c>
      <c r="B891" s="63"/>
      <c r="C891" s="63"/>
      <c r="D891" s="64"/>
      <c r="E891" s="66"/>
      <c r="F891" s="98" t="str">
        <f>HYPERLINK("https://pbs.twimg.com/profile_images/1616354786256764929/FLXhKE-r_normal.jpg")</f>
        <v>https://pbs.twimg.com/profile_images/1616354786256764929/FLXhKE-r_normal.jpg</v>
      </c>
      <c r="G891" s="63"/>
      <c r="H891" s="67"/>
      <c r="I891" s="68"/>
      <c r="J891" s="68"/>
      <c r="K891" s="67" t="s">
        <v>10618</v>
      </c>
      <c r="L891" s="71"/>
      <c r="M891" s="72"/>
      <c r="N891" s="72"/>
      <c r="O891" s="73"/>
      <c r="P891" s="74"/>
      <c r="Q891" s="74"/>
      <c r="R891" s="81"/>
      <c r="S891" s="81"/>
      <c r="T891" s="81"/>
      <c r="U891" s="81"/>
      <c r="V891" s="48"/>
      <c r="W891" s="48"/>
      <c r="X891" s="48"/>
      <c r="Y891" s="48"/>
      <c r="Z891" s="47"/>
      <c r="AA891" s="69"/>
      <c r="AB891" s="69"/>
      <c r="AC891" s="70"/>
      <c r="AD891" t="s">
        <v>6294</v>
      </c>
      <c r="AE891" s="78" t="s">
        <v>7459</v>
      </c>
      <c r="AF891">
        <v>462</v>
      </c>
      <c r="AG891">
        <v>342</v>
      </c>
      <c r="AH891">
        <v>28292</v>
      </c>
      <c r="AI891">
        <v>39550</v>
      </c>
      <c r="AK891" t="s">
        <v>8640</v>
      </c>
      <c r="AL891" t="s">
        <v>9291</v>
      </c>
      <c r="AM891" s="79" t="str">
        <f>HYPERLINK("https://t.co/zWo1Sgw6dF")</f>
        <v>https://t.co/zWo1Sgw6dF</v>
      </c>
      <c r="AO891" s="76">
        <v>42514.706331018519</v>
      </c>
      <c r="AP891" s="79" t="str">
        <f>HYPERLINK("https://pbs.twimg.com/profile_banners/735152660979060736/1675331114")</f>
        <v>https://pbs.twimg.com/profile_banners/735152660979060736/1675331114</v>
      </c>
      <c r="AQ891" t="b">
        <v>0</v>
      </c>
      <c r="AR891" t="b">
        <v>0</v>
      </c>
      <c r="AS891" t="b">
        <v>1</v>
      </c>
      <c r="AU891">
        <v>5</v>
      </c>
      <c r="AV891" s="79" t="str">
        <f>HYPERLINK("https://abs.twimg.com/images/themes/theme1/bg.png")</f>
        <v>https://abs.twimg.com/images/themes/theme1/bg.png</v>
      </c>
      <c r="AW891" t="b">
        <v>0</v>
      </c>
      <c r="AX891" t="s">
        <v>9303</v>
      </c>
      <c r="AY891" s="79" t="str">
        <f>HYPERLINK("https://twitter.com/hinataswish")</f>
        <v>https://twitter.com/hinataswish</v>
      </c>
      <c r="AZ891" t="s">
        <v>66</v>
      </c>
      <c r="BA891" s="2"/>
    </row>
    <row r="892" spans="1:53" x14ac:dyDescent="0.45">
      <c r="A892" s="62" t="s">
        <v>870</v>
      </c>
      <c r="B892" s="63"/>
      <c r="C892" s="63"/>
      <c r="D892" s="64"/>
      <c r="E892" s="66"/>
      <c r="F892" s="98" t="str">
        <f>HYPERLINK("https://pbs.twimg.com/profile_images/1552501189459251200/2Yt83eOc_normal.jpg")</f>
        <v>https://pbs.twimg.com/profile_images/1552501189459251200/2Yt83eOc_normal.jpg</v>
      </c>
      <c r="G892" s="63"/>
      <c r="H892" s="67"/>
      <c r="I892" s="68"/>
      <c r="J892" s="68"/>
      <c r="K892" s="67" t="s">
        <v>10274</v>
      </c>
      <c r="L892" s="71"/>
      <c r="M892" s="72"/>
      <c r="N892" s="72"/>
      <c r="O892" s="73"/>
      <c r="P892" s="74"/>
      <c r="Q892" s="74"/>
      <c r="R892" s="81"/>
      <c r="S892" s="81"/>
      <c r="T892" s="81"/>
      <c r="U892" s="81"/>
      <c r="V892" s="48"/>
      <c r="W892" s="48"/>
      <c r="X892" s="48"/>
      <c r="Y892" s="48"/>
      <c r="Z892" s="47"/>
      <c r="AA892" s="69"/>
      <c r="AB892" s="69"/>
      <c r="AC892" s="70"/>
      <c r="AD892" t="s">
        <v>5957</v>
      </c>
      <c r="AE892" s="78" t="s">
        <v>7169</v>
      </c>
      <c r="AF892">
        <v>244</v>
      </c>
      <c r="AG892">
        <v>341</v>
      </c>
      <c r="AH892">
        <v>7792</v>
      </c>
      <c r="AI892">
        <v>2187</v>
      </c>
      <c r="AK892" t="s">
        <v>8335</v>
      </c>
      <c r="AM892" s="79" t="str">
        <f>HYPERLINK("https://t.co/y9HYezqD1I")</f>
        <v>https://t.co/y9HYezqD1I</v>
      </c>
      <c r="AO892" s="76">
        <v>42158.015381944446</v>
      </c>
      <c r="AP892" s="79" t="str">
        <f>HYPERLINK("https://pbs.twimg.com/profile_banners/3234421064/1595027764")</f>
        <v>https://pbs.twimg.com/profile_banners/3234421064/1595027764</v>
      </c>
      <c r="AQ892" t="b">
        <v>0</v>
      </c>
      <c r="AR892" t="b">
        <v>0</v>
      </c>
      <c r="AS892" t="b">
        <v>0</v>
      </c>
      <c r="AU892">
        <v>1</v>
      </c>
      <c r="AV892" s="79" t="str">
        <f>HYPERLINK("https://abs.twimg.com/images/themes/theme1/bg.png")</f>
        <v>https://abs.twimg.com/images/themes/theme1/bg.png</v>
      </c>
      <c r="AW892" t="b">
        <v>0</v>
      </c>
      <c r="AX892" t="s">
        <v>9303</v>
      </c>
      <c r="AY892" s="79" t="str">
        <f>HYPERLINK("https://twitter.com/savion2k")</f>
        <v>https://twitter.com/savion2k</v>
      </c>
      <c r="AZ892" t="s">
        <v>66</v>
      </c>
      <c r="BA892" s="2"/>
    </row>
    <row r="893" spans="1:53" x14ac:dyDescent="0.45">
      <c r="A893" s="62" t="s">
        <v>1096</v>
      </c>
      <c r="B893" s="63"/>
      <c r="C893" s="63"/>
      <c r="D893" s="64"/>
      <c r="E893" s="66"/>
      <c r="F893" s="98" t="str">
        <f>HYPERLINK("https://pbs.twimg.com/profile_images/1614728831411142657/oc612_cO_normal.jpg")</f>
        <v>https://pbs.twimg.com/profile_images/1614728831411142657/oc612_cO_normal.jpg</v>
      </c>
      <c r="G893" s="63"/>
      <c r="H893" s="67"/>
      <c r="I893" s="68"/>
      <c r="J893" s="68"/>
      <c r="K893" s="67" t="s">
        <v>10643</v>
      </c>
      <c r="L893" s="71"/>
      <c r="M893" s="72"/>
      <c r="N893" s="72"/>
      <c r="O893" s="73"/>
      <c r="P893" s="74"/>
      <c r="Q893" s="74"/>
      <c r="R893" s="81"/>
      <c r="S893" s="81"/>
      <c r="T893" s="81"/>
      <c r="U893" s="81"/>
      <c r="V893" s="48"/>
      <c r="W893" s="48"/>
      <c r="X893" s="48"/>
      <c r="Y893" s="48"/>
      <c r="Z893" s="47"/>
      <c r="AA893" s="69"/>
      <c r="AB893" s="69"/>
      <c r="AC893" s="70"/>
      <c r="AD893" t="s">
        <v>6318</v>
      </c>
      <c r="AE893" s="78" t="s">
        <v>7480</v>
      </c>
      <c r="AF893">
        <v>648</v>
      </c>
      <c r="AG893">
        <v>341</v>
      </c>
      <c r="AH893">
        <v>2537</v>
      </c>
      <c r="AI893">
        <v>33251</v>
      </c>
      <c r="AK893" t="s">
        <v>8663</v>
      </c>
      <c r="AL893" t="s">
        <v>9297</v>
      </c>
      <c r="AM893" s="79" t="str">
        <f>HYPERLINK("https://t.co/ASjm9SvklI")</f>
        <v>https://t.co/ASjm9SvklI</v>
      </c>
      <c r="AO893" s="76">
        <v>41204.371215277781</v>
      </c>
      <c r="AP893" s="79" t="str">
        <f>HYPERLINK("https://pbs.twimg.com/profile_banners/897089196/1675309720")</f>
        <v>https://pbs.twimg.com/profile_banners/897089196/1675309720</v>
      </c>
      <c r="AQ893" t="b">
        <v>1</v>
      </c>
      <c r="AR893" t="b">
        <v>0</v>
      </c>
      <c r="AS893" t="b">
        <v>1</v>
      </c>
      <c r="AU893">
        <v>0</v>
      </c>
      <c r="AV893" s="79" t="str">
        <f>HYPERLINK("https://abs.twimg.com/images/themes/theme1/bg.png")</f>
        <v>https://abs.twimg.com/images/themes/theme1/bg.png</v>
      </c>
      <c r="AW893" t="b">
        <v>0</v>
      </c>
      <c r="AX893" t="s">
        <v>9303</v>
      </c>
      <c r="AY893" s="79" t="str">
        <f>HYPERLINK("https://twitter.com/shreyashgupta55")</f>
        <v>https://twitter.com/shreyashgupta55</v>
      </c>
      <c r="AZ893" t="s">
        <v>66</v>
      </c>
      <c r="BA893" s="2"/>
    </row>
    <row r="894" spans="1:53" x14ac:dyDescent="0.45">
      <c r="A894" s="62" t="s">
        <v>748</v>
      </c>
      <c r="B894" s="63"/>
      <c r="C894" s="63"/>
      <c r="D894" s="64"/>
      <c r="E894" s="66"/>
      <c r="F894" s="98" t="str">
        <f>HYPERLINK("https://pbs.twimg.com/profile_images/1549835152234319873/mnJF10Wx_normal.jpg")</f>
        <v>https://pbs.twimg.com/profile_images/1549835152234319873/mnJF10Wx_normal.jpg</v>
      </c>
      <c r="G894" s="63"/>
      <c r="H894" s="67"/>
      <c r="I894" s="68"/>
      <c r="J894" s="68"/>
      <c r="K894" s="67" t="s">
        <v>10099</v>
      </c>
      <c r="L894" s="71"/>
      <c r="M894" s="72"/>
      <c r="N894" s="72"/>
      <c r="O894" s="73"/>
      <c r="P894" s="74"/>
      <c r="Q894" s="74"/>
      <c r="R894" s="81"/>
      <c r="S894" s="81"/>
      <c r="T894" s="81"/>
      <c r="U894" s="81"/>
      <c r="V894" s="48"/>
      <c r="W894" s="48"/>
      <c r="X894" s="48"/>
      <c r="Y894" s="48"/>
      <c r="Z894" s="47"/>
      <c r="AA894" s="69"/>
      <c r="AB894" s="69"/>
      <c r="AC894" s="70"/>
      <c r="AD894" t="s">
        <v>5787</v>
      </c>
      <c r="AE894" s="78" t="s">
        <v>7019</v>
      </c>
      <c r="AF894">
        <v>430</v>
      </c>
      <c r="AG894">
        <v>339</v>
      </c>
      <c r="AH894">
        <v>1975</v>
      </c>
      <c r="AI894">
        <v>2683</v>
      </c>
      <c r="AK894" t="s">
        <v>8182</v>
      </c>
      <c r="AL894" t="s">
        <v>8736</v>
      </c>
      <c r="AM894" s="79" t="str">
        <f>HYPERLINK("https://t.co/GzDdlHdHlG")</f>
        <v>https://t.co/GzDdlHdHlG</v>
      </c>
      <c r="AO894" s="76">
        <v>43238.608391203707</v>
      </c>
      <c r="AP894" s="79" t="str">
        <f>HYPERLINK("https://pbs.twimg.com/profile_banners/997485984420958208/1659624016")</f>
        <v>https://pbs.twimg.com/profile_banners/997485984420958208/1659624016</v>
      </c>
      <c r="AQ894" t="b">
        <v>1</v>
      </c>
      <c r="AR894" t="b">
        <v>0</v>
      </c>
      <c r="AS894" t="b">
        <v>1</v>
      </c>
      <c r="AU894">
        <v>0</v>
      </c>
      <c r="AW894" t="b">
        <v>0</v>
      </c>
      <c r="AX894" t="s">
        <v>9303</v>
      </c>
      <c r="AY894" s="79" t="str">
        <f>HYPERLINK("https://twitter.com/misshydecosplay")</f>
        <v>https://twitter.com/misshydecosplay</v>
      </c>
      <c r="AZ894" t="s">
        <v>66</v>
      </c>
      <c r="BA894" s="2"/>
    </row>
    <row r="895" spans="1:53" x14ac:dyDescent="0.45">
      <c r="A895" s="62" t="s">
        <v>1184</v>
      </c>
      <c r="B895" s="63"/>
      <c r="C895" s="63"/>
      <c r="D895" s="64"/>
      <c r="E895" s="66"/>
      <c r="F895" s="98" t="str">
        <f>HYPERLINK("https://pbs.twimg.com/profile_images/989583964305264640/Wu6b6OI1_normal.jpg")</f>
        <v>https://pbs.twimg.com/profile_images/989583964305264640/Wu6b6OI1_normal.jpg</v>
      </c>
      <c r="G895" s="63"/>
      <c r="H895" s="67"/>
      <c r="I895" s="68"/>
      <c r="J895" s="68"/>
      <c r="K895" s="67" t="s">
        <v>9470</v>
      </c>
      <c r="L895" s="71"/>
      <c r="M895" s="72"/>
      <c r="N895" s="72"/>
      <c r="O895" s="73"/>
      <c r="P895" s="74"/>
      <c r="Q895" s="74"/>
      <c r="R895" s="81"/>
      <c r="S895" s="81"/>
      <c r="T895" s="81"/>
      <c r="U895" s="81"/>
      <c r="V895" s="48"/>
      <c r="W895" s="48"/>
      <c r="X895" s="48"/>
      <c r="Y895" s="48"/>
      <c r="Z895" s="47"/>
      <c r="AA895" s="69"/>
      <c r="AB895" s="69"/>
      <c r="AC895" s="70"/>
      <c r="AD895" t="s">
        <v>5164</v>
      </c>
      <c r="AE895" s="78" t="s">
        <v>4667</v>
      </c>
      <c r="AF895">
        <v>117</v>
      </c>
      <c r="AG895">
        <v>338</v>
      </c>
      <c r="AH895">
        <v>229</v>
      </c>
      <c r="AI895">
        <v>143</v>
      </c>
      <c r="AK895" t="s">
        <v>7635</v>
      </c>
      <c r="AL895" t="s">
        <v>8769</v>
      </c>
      <c r="AM895" s="79" t="str">
        <f>HYPERLINK("https://t.co/2HHvQukxjv")</f>
        <v>https://t.co/2HHvQukxjv</v>
      </c>
      <c r="AO895" s="76">
        <v>43216.58792824074</v>
      </c>
      <c r="AP895" s="79" t="str">
        <f>HYPERLINK("https://pbs.twimg.com/profile_banners/989506035781177344/1524751983")</f>
        <v>https://pbs.twimg.com/profile_banners/989506035781177344/1524751983</v>
      </c>
      <c r="AQ895" t="b">
        <v>0</v>
      </c>
      <c r="AR895" t="b">
        <v>0</v>
      </c>
      <c r="AS895" t="b">
        <v>1</v>
      </c>
      <c r="AU895">
        <v>7</v>
      </c>
      <c r="AV895" s="79" t="str">
        <f>HYPERLINK("https://abs.twimg.com/images/themes/theme1/bg.png")</f>
        <v>https://abs.twimg.com/images/themes/theme1/bg.png</v>
      </c>
      <c r="AW895" t="b">
        <v>0</v>
      </c>
      <c r="AX895" t="s">
        <v>9303</v>
      </c>
      <c r="AY895" s="79" t="str">
        <f>HYPERLINK("https://twitter.com/kroger_tech")</f>
        <v>https://twitter.com/kroger_tech</v>
      </c>
      <c r="AZ895" t="s">
        <v>65</v>
      </c>
      <c r="BA895" s="2"/>
    </row>
    <row r="896" spans="1:53" x14ac:dyDescent="0.45">
      <c r="A896" s="62" t="s">
        <v>927</v>
      </c>
      <c r="B896" s="63"/>
      <c r="C896" s="63"/>
      <c r="D896" s="64"/>
      <c r="E896" s="66"/>
      <c r="F896" s="98" t="str">
        <f>HYPERLINK("https://pbs.twimg.com/profile_images/1569555195482484737/LfbUjM6Z_normal.jpg")</f>
        <v>https://pbs.twimg.com/profile_images/1569555195482484737/LfbUjM6Z_normal.jpg</v>
      </c>
      <c r="G896" s="63"/>
      <c r="H896" s="67"/>
      <c r="I896" s="68"/>
      <c r="J896" s="68"/>
      <c r="K896" s="67" t="s">
        <v>10360</v>
      </c>
      <c r="L896" s="71"/>
      <c r="M896" s="72"/>
      <c r="N896" s="72"/>
      <c r="O896" s="73"/>
      <c r="P896" s="74"/>
      <c r="Q896" s="74"/>
      <c r="R896" s="81"/>
      <c r="S896" s="81"/>
      <c r="T896" s="81"/>
      <c r="U896" s="81"/>
      <c r="V896" s="48"/>
      <c r="W896" s="48"/>
      <c r="X896" s="48"/>
      <c r="Y896" s="48"/>
      <c r="Z896" s="47"/>
      <c r="AA896" s="69"/>
      <c r="AB896" s="69"/>
      <c r="AC896" s="70"/>
      <c r="AD896" t="s">
        <v>6043</v>
      </c>
      <c r="AE896" s="78" t="s">
        <v>7248</v>
      </c>
      <c r="AF896">
        <v>232</v>
      </c>
      <c r="AG896">
        <v>338</v>
      </c>
      <c r="AH896">
        <v>7969</v>
      </c>
      <c r="AI896">
        <v>2928</v>
      </c>
      <c r="AK896" t="s">
        <v>8410</v>
      </c>
      <c r="AO896" s="76">
        <v>40171.252500000002</v>
      </c>
      <c r="AP896" s="79" t="str">
        <f>HYPERLINK("https://pbs.twimg.com/profile_banners/99042536/1643835562")</f>
        <v>https://pbs.twimg.com/profile_banners/99042536/1643835562</v>
      </c>
      <c r="AQ896" t="b">
        <v>0</v>
      </c>
      <c r="AR896" t="b">
        <v>0</v>
      </c>
      <c r="AS896" t="b">
        <v>1</v>
      </c>
      <c r="AU896">
        <v>1</v>
      </c>
      <c r="AV896" s="79" t="str">
        <f>HYPERLINK("https://abs.twimg.com/images/themes/theme14/bg.gif")</f>
        <v>https://abs.twimg.com/images/themes/theme14/bg.gif</v>
      </c>
      <c r="AW896" t="b">
        <v>0</v>
      </c>
      <c r="AX896" t="s">
        <v>9303</v>
      </c>
      <c r="AY896" s="79" t="str">
        <f>HYPERLINK("https://twitter.com/chaco661")</f>
        <v>https://twitter.com/chaco661</v>
      </c>
      <c r="AZ896" t="s">
        <v>66</v>
      </c>
      <c r="BA896" s="2"/>
    </row>
    <row r="897" spans="1:53" x14ac:dyDescent="0.45">
      <c r="A897" s="62" t="s">
        <v>993</v>
      </c>
      <c r="B897" s="63"/>
      <c r="C897" s="63"/>
      <c r="D897" s="64"/>
      <c r="E897" s="66"/>
      <c r="F897" s="98" t="str">
        <f>HYPERLINK("https://pbs.twimg.com/profile_images/1577167696009261057/pIn19Fx9_normal.jpg")</f>
        <v>https://pbs.twimg.com/profile_images/1577167696009261057/pIn19Fx9_normal.jpg</v>
      </c>
      <c r="G897" s="63"/>
      <c r="H897" s="67"/>
      <c r="I897" s="68"/>
      <c r="J897" s="68"/>
      <c r="K897" s="67" t="s">
        <v>10457</v>
      </c>
      <c r="L897" s="71"/>
      <c r="M897" s="72"/>
      <c r="N897" s="72"/>
      <c r="O897" s="73"/>
      <c r="P897" s="74"/>
      <c r="Q897" s="74"/>
      <c r="R897" s="81"/>
      <c r="S897" s="81"/>
      <c r="T897" s="81"/>
      <c r="U897" s="81"/>
      <c r="V897" s="48"/>
      <c r="W897" s="48"/>
      <c r="X897" s="48"/>
      <c r="Y897" s="48"/>
      <c r="Z897" s="47"/>
      <c r="AA897" s="69"/>
      <c r="AB897" s="69"/>
      <c r="AC897" s="70"/>
      <c r="AD897" t="s">
        <v>6138</v>
      </c>
      <c r="AE897" s="78" t="s">
        <v>7327</v>
      </c>
      <c r="AF897">
        <v>510</v>
      </c>
      <c r="AG897">
        <v>338</v>
      </c>
      <c r="AH897">
        <v>3901</v>
      </c>
      <c r="AI897">
        <v>1605</v>
      </c>
      <c r="AK897" t="s">
        <v>8496</v>
      </c>
      <c r="AO897" s="76">
        <v>40400.819386574076</v>
      </c>
      <c r="AP897" s="79" t="str">
        <f>HYPERLINK("https://pbs.twimg.com/profile_banners/176914401/1664861088")</f>
        <v>https://pbs.twimg.com/profile_banners/176914401/1664861088</v>
      </c>
      <c r="AQ897" t="b">
        <v>0</v>
      </c>
      <c r="AR897" t="b">
        <v>0</v>
      </c>
      <c r="AS897" t="b">
        <v>0</v>
      </c>
      <c r="AU897">
        <v>0</v>
      </c>
      <c r="AV897" s="79" t="str">
        <f>HYPERLINK("https://abs.twimg.com/images/themes/theme2/bg.gif")</f>
        <v>https://abs.twimg.com/images/themes/theme2/bg.gif</v>
      </c>
      <c r="AW897" t="b">
        <v>0</v>
      </c>
      <c r="AX897" t="s">
        <v>9303</v>
      </c>
      <c r="AY897" s="79" t="str">
        <f>HYPERLINK("https://twitter.com/michael_napkins")</f>
        <v>https://twitter.com/michael_napkins</v>
      </c>
      <c r="AZ897" t="s">
        <v>66</v>
      </c>
      <c r="BA897" s="2"/>
    </row>
    <row r="898" spans="1:53" x14ac:dyDescent="0.45">
      <c r="A898" s="62" t="s">
        <v>530</v>
      </c>
      <c r="B898" s="63"/>
      <c r="C898" s="63"/>
      <c r="D898" s="64"/>
      <c r="E898" s="66"/>
      <c r="F898" s="98" t="str">
        <f>HYPERLINK("https://pbs.twimg.com/profile_images/1476827179661283329/-3rztaFE_normal.jpg")</f>
        <v>https://pbs.twimg.com/profile_images/1476827179661283329/-3rztaFE_normal.jpg</v>
      </c>
      <c r="G898" s="63"/>
      <c r="H898" s="67"/>
      <c r="I898" s="68"/>
      <c r="J898" s="68"/>
      <c r="K898" s="67" t="s">
        <v>9823</v>
      </c>
      <c r="L898" s="71"/>
      <c r="M898" s="72"/>
      <c r="N898" s="72"/>
      <c r="O898" s="73"/>
      <c r="P898" s="74"/>
      <c r="Q898" s="74"/>
      <c r="R898" s="81"/>
      <c r="S898" s="81"/>
      <c r="T898" s="81"/>
      <c r="U898" s="81"/>
      <c r="V898" s="48"/>
      <c r="W898" s="48"/>
      <c r="X898" s="48"/>
      <c r="Y898" s="48"/>
      <c r="Z898" s="47"/>
      <c r="AA898" s="69"/>
      <c r="AB898" s="69"/>
      <c r="AC898" s="70"/>
      <c r="AD898" t="s">
        <v>5514</v>
      </c>
      <c r="AE898" s="78" t="s">
        <v>6765</v>
      </c>
      <c r="AF898">
        <v>552</v>
      </c>
      <c r="AG898">
        <v>335</v>
      </c>
      <c r="AH898">
        <v>4655</v>
      </c>
      <c r="AI898">
        <v>9467</v>
      </c>
      <c r="AO898" s="76">
        <v>43736.887280092589</v>
      </c>
      <c r="AQ898" t="b">
        <v>1</v>
      </c>
      <c r="AR898" t="b">
        <v>0</v>
      </c>
      <c r="AS898" t="b">
        <v>0</v>
      </c>
      <c r="AU898">
        <v>0</v>
      </c>
      <c r="AW898" t="b">
        <v>0</v>
      </c>
      <c r="AX898" t="s">
        <v>9303</v>
      </c>
      <c r="AY898" s="79" t="str">
        <f>HYPERLINK("https://twitter.com/kitkato8")</f>
        <v>https://twitter.com/kitkato8</v>
      </c>
      <c r="AZ898" t="s">
        <v>66</v>
      </c>
      <c r="BA898" s="2"/>
    </row>
    <row r="899" spans="1:53" x14ac:dyDescent="0.45">
      <c r="A899" s="62" t="s">
        <v>665</v>
      </c>
      <c r="B899" s="63"/>
      <c r="C899" s="63"/>
      <c r="D899" s="64"/>
      <c r="E899" s="66"/>
      <c r="F899" s="98" t="str">
        <f>HYPERLINK("https://pbs.twimg.com/profile_images/1227715681707229184/nLkKVlaC_normal.jpg")</f>
        <v>https://pbs.twimg.com/profile_images/1227715681707229184/nLkKVlaC_normal.jpg</v>
      </c>
      <c r="G899" s="63"/>
      <c r="H899" s="67"/>
      <c r="I899" s="68"/>
      <c r="J899" s="68"/>
      <c r="K899" s="67" t="s">
        <v>9985</v>
      </c>
      <c r="L899" s="71"/>
      <c r="M899" s="72"/>
      <c r="N899" s="72"/>
      <c r="O899" s="73"/>
      <c r="P899" s="74"/>
      <c r="Q899" s="74"/>
      <c r="R899" s="81"/>
      <c r="S899" s="81"/>
      <c r="T899" s="81"/>
      <c r="U899" s="81"/>
      <c r="V899" s="48"/>
      <c r="W899" s="48"/>
      <c r="X899" s="48"/>
      <c r="Y899" s="48"/>
      <c r="Z899" s="47"/>
      <c r="AA899" s="69"/>
      <c r="AB899" s="69"/>
      <c r="AC899" s="70"/>
      <c r="AD899" t="s">
        <v>5675</v>
      </c>
      <c r="AE899" s="78" t="s">
        <v>6918</v>
      </c>
      <c r="AF899">
        <v>2263</v>
      </c>
      <c r="AG899">
        <v>335</v>
      </c>
      <c r="AH899">
        <v>7940</v>
      </c>
      <c r="AI899">
        <v>32079</v>
      </c>
      <c r="AK899" t="s">
        <v>8084</v>
      </c>
      <c r="AL899" t="s">
        <v>9027</v>
      </c>
      <c r="AO899" s="76">
        <v>42628.952465277776</v>
      </c>
      <c r="AP899" s="79" t="str">
        <f>HYPERLINK("https://pbs.twimg.com/profile_banners/776554075013931008/1581545537")</f>
        <v>https://pbs.twimg.com/profile_banners/776554075013931008/1581545537</v>
      </c>
      <c r="AQ899" t="b">
        <v>0</v>
      </c>
      <c r="AR899" t="b">
        <v>0</v>
      </c>
      <c r="AS899" t="b">
        <v>0</v>
      </c>
      <c r="AU899">
        <v>0</v>
      </c>
      <c r="AV899" s="79" t="str">
        <f>HYPERLINK("https://abs.twimg.com/images/themes/theme1/bg.png")</f>
        <v>https://abs.twimg.com/images/themes/theme1/bg.png</v>
      </c>
      <c r="AW899" t="b">
        <v>0</v>
      </c>
      <c r="AX899" t="s">
        <v>9303</v>
      </c>
      <c r="AY899" s="79" t="str">
        <f>HYPERLINK("https://twitter.com/humbleatomicboh")</f>
        <v>https://twitter.com/humbleatomicboh</v>
      </c>
      <c r="AZ899" t="s">
        <v>66</v>
      </c>
      <c r="BA899" s="2"/>
    </row>
    <row r="900" spans="1:53" x14ac:dyDescent="0.45">
      <c r="A900" s="62" t="s">
        <v>433</v>
      </c>
      <c r="B900" s="63"/>
      <c r="C900" s="63"/>
      <c r="D900" s="64"/>
      <c r="E900" s="66"/>
      <c r="F900" s="98" t="str">
        <f>HYPERLINK("https://pbs.twimg.com/profile_images/1012827196023422976/mGQWWCPi_normal.jpg")</f>
        <v>https://pbs.twimg.com/profile_images/1012827196023422976/mGQWWCPi_normal.jpg</v>
      </c>
      <c r="G900" s="63"/>
      <c r="H900" s="67"/>
      <c r="I900" s="68"/>
      <c r="J900" s="68"/>
      <c r="K900" s="67" t="s">
        <v>9685</v>
      </c>
      <c r="L900" s="71"/>
      <c r="M900" s="72"/>
      <c r="N900" s="72"/>
      <c r="O900" s="73"/>
      <c r="P900" s="74"/>
      <c r="Q900" s="74"/>
      <c r="R900" s="81"/>
      <c r="S900" s="81"/>
      <c r="T900" s="81"/>
      <c r="U900" s="81"/>
      <c r="V900" s="48"/>
      <c r="W900" s="48"/>
      <c r="X900" s="48"/>
      <c r="Y900" s="48"/>
      <c r="Z900" s="47"/>
      <c r="AA900" s="69"/>
      <c r="AB900" s="69"/>
      <c r="AC900" s="70"/>
      <c r="AD900" t="s">
        <v>5378</v>
      </c>
      <c r="AE900" s="78" t="s">
        <v>6651</v>
      </c>
      <c r="AF900">
        <v>535</v>
      </c>
      <c r="AG900">
        <v>334</v>
      </c>
      <c r="AH900">
        <v>27498</v>
      </c>
      <c r="AI900">
        <v>48348</v>
      </c>
      <c r="AK900" t="s">
        <v>7825</v>
      </c>
      <c r="AL900" t="s">
        <v>8870</v>
      </c>
      <c r="AO900" s="76">
        <v>42640.761805555558</v>
      </c>
      <c r="AP900" s="79" t="str">
        <f>HYPERLINK("https://pbs.twimg.com/profile_banners/780833634194366464/1536274287")</f>
        <v>https://pbs.twimg.com/profile_banners/780833634194366464/1536274287</v>
      </c>
      <c r="AQ900" t="b">
        <v>1</v>
      </c>
      <c r="AR900" t="b">
        <v>0</v>
      </c>
      <c r="AS900" t="b">
        <v>0</v>
      </c>
      <c r="AU900">
        <v>6</v>
      </c>
      <c r="AW900" t="b">
        <v>0</v>
      </c>
      <c r="AX900" t="s">
        <v>9303</v>
      </c>
      <c r="AY900" s="79" t="str">
        <f>HYPERLINK("https://twitter.com/ichiquisrivera1")</f>
        <v>https://twitter.com/ichiquisrivera1</v>
      </c>
      <c r="AZ900" t="s">
        <v>66</v>
      </c>
      <c r="BA900" s="2"/>
    </row>
    <row r="901" spans="1:53" x14ac:dyDescent="0.45">
      <c r="A901" s="62" t="s">
        <v>1013</v>
      </c>
      <c r="B901" s="63"/>
      <c r="C901" s="63"/>
      <c r="D901" s="64"/>
      <c r="E901" s="66"/>
      <c r="F901" s="98" t="str">
        <f>HYPERLINK("https://pbs.twimg.com/profile_images/1568801200270897155/Jjmkh1Cl_normal.jpg")</f>
        <v>https://pbs.twimg.com/profile_images/1568801200270897155/Jjmkh1Cl_normal.jpg</v>
      </c>
      <c r="G901" s="63"/>
      <c r="H901" s="67"/>
      <c r="I901" s="68"/>
      <c r="J901" s="68"/>
      <c r="K901" s="67" t="s">
        <v>10493</v>
      </c>
      <c r="L901" s="71"/>
      <c r="M901" s="72"/>
      <c r="N901" s="72"/>
      <c r="O901" s="73"/>
      <c r="P901" s="74"/>
      <c r="Q901" s="74"/>
      <c r="R901" s="81"/>
      <c r="S901" s="81"/>
      <c r="T901" s="81"/>
      <c r="U901" s="81"/>
      <c r="V901" s="48"/>
      <c r="W901" s="48"/>
      <c r="X901" s="48"/>
      <c r="Y901" s="48"/>
      <c r="Z901" s="47"/>
      <c r="AA901" s="69"/>
      <c r="AB901" s="69"/>
      <c r="AC901" s="70"/>
      <c r="AD901" t="s">
        <v>6171</v>
      </c>
      <c r="AE901" s="78" t="s">
        <v>7357</v>
      </c>
      <c r="AF901">
        <v>709</v>
      </c>
      <c r="AG901">
        <v>334</v>
      </c>
      <c r="AH901">
        <v>19466</v>
      </c>
      <c r="AI901">
        <v>62797</v>
      </c>
      <c r="AK901" t="s">
        <v>8529</v>
      </c>
      <c r="AL901" t="s">
        <v>9238</v>
      </c>
      <c r="AM901" s="79" t="str">
        <f>HYPERLINK("https://t.co/T7WjkuiHzk")</f>
        <v>https://t.co/T7WjkuiHzk</v>
      </c>
      <c r="AO901" s="76">
        <v>42077.601388888892</v>
      </c>
      <c r="AP901" s="79" t="str">
        <f>HYPERLINK("https://pbs.twimg.com/profile_banners/3081119030/1664073906")</f>
        <v>https://pbs.twimg.com/profile_banners/3081119030/1664073906</v>
      </c>
      <c r="AQ901" t="b">
        <v>0</v>
      </c>
      <c r="AR901" t="b">
        <v>0</v>
      </c>
      <c r="AS901" t="b">
        <v>1</v>
      </c>
      <c r="AU901">
        <v>6</v>
      </c>
      <c r="AV901" s="79" t="str">
        <f>HYPERLINK("https://abs.twimg.com/images/themes/theme1/bg.png")</f>
        <v>https://abs.twimg.com/images/themes/theme1/bg.png</v>
      </c>
      <c r="AW901" t="b">
        <v>0</v>
      </c>
      <c r="AX901" t="s">
        <v>9303</v>
      </c>
      <c r="AY901" s="79" t="str">
        <f>HYPERLINK("https://twitter.com/guycaveofficial")</f>
        <v>https://twitter.com/guycaveofficial</v>
      </c>
      <c r="AZ901" t="s">
        <v>66</v>
      </c>
      <c r="BA901" s="2"/>
    </row>
    <row r="902" spans="1:53" x14ac:dyDescent="0.45">
      <c r="A902" s="62" t="s">
        <v>234</v>
      </c>
      <c r="B902" s="63"/>
      <c r="C902" s="63"/>
      <c r="D902" s="64"/>
      <c r="E902" s="66"/>
      <c r="F902" s="98" t="str">
        <f>HYPERLINK("https://pbs.twimg.com/profile_images/1583353137007566849/I0Z7Q_en_normal.png")</f>
        <v>https://pbs.twimg.com/profile_images/1583353137007566849/I0Z7Q_en_normal.png</v>
      </c>
      <c r="G902" s="63"/>
      <c r="H902" s="67"/>
      <c r="I902" s="68"/>
      <c r="J902" s="68"/>
      <c r="K902" s="67" t="s">
        <v>9355</v>
      </c>
      <c r="L902" s="71"/>
      <c r="M902" s="72"/>
      <c r="N902" s="72"/>
      <c r="O902" s="73"/>
      <c r="P902" s="74"/>
      <c r="Q902" s="74"/>
      <c r="R902" s="81"/>
      <c r="S902" s="81"/>
      <c r="T902" s="81"/>
      <c r="U902" s="81"/>
      <c r="V902" s="48"/>
      <c r="W902" s="48"/>
      <c r="X902" s="48"/>
      <c r="Y902" s="48"/>
      <c r="Z902" s="47"/>
      <c r="AA902" s="69"/>
      <c r="AB902" s="69"/>
      <c r="AC902" s="70"/>
      <c r="AD902" t="s">
        <v>5051</v>
      </c>
      <c r="AE902" s="78" t="s">
        <v>4650</v>
      </c>
      <c r="AF902">
        <v>632</v>
      </c>
      <c r="AG902">
        <v>333</v>
      </c>
      <c r="AH902">
        <v>746</v>
      </c>
      <c r="AI902">
        <v>2763</v>
      </c>
      <c r="AK902" t="s">
        <v>7537</v>
      </c>
      <c r="AO902" s="76">
        <v>44476.607314814813</v>
      </c>
      <c r="AP902" s="79" t="str">
        <f>HYPERLINK("https://pbs.twimg.com/profile_banners/1446121727784742923/1639016220")</f>
        <v>https://pbs.twimg.com/profile_banners/1446121727784742923/1639016220</v>
      </c>
      <c r="AQ902" t="b">
        <v>1</v>
      </c>
      <c r="AR902" t="b">
        <v>0</v>
      </c>
      <c r="AS902" t="b">
        <v>1</v>
      </c>
      <c r="AU902">
        <v>4</v>
      </c>
      <c r="AW902" t="b">
        <v>0</v>
      </c>
      <c r="AX902" t="s">
        <v>9303</v>
      </c>
      <c r="AY902" s="79" t="str">
        <f>HYPERLINK("https://twitter.com/degen_jordan")</f>
        <v>https://twitter.com/degen_jordan</v>
      </c>
      <c r="AZ902" t="s">
        <v>66</v>
      </c>
      <c r="BA902" s="2"/>
    </row>
    <row r="903" spans="1:53" x14ac:dyDescent="0.45">
      <c r="A903" s="62" t="s">
        <v>403</v>
      </c>
      <c r="B903" s="63"/>
      <c r="C903" s="63"/>
      <c r="D903" s="64"/>
      <c r="E903" s="66"/>
      <c r="F903" s="98" t="str">
        <f>HYPERLINK("https://abs.twimg.com/sticky/default_profile_images/default_profile_normal.png")</f>
        <v>https://abs.twimg.com/sticky/default_profile_images/default_profile_normal.png</v>
      </c>
      <c r="G903" s="63"/>
      <c r="H903" s="67"/>
      <c r="I903" s="68"/>
      <c r="J903" s="68"/>
      <c r="K903" s="67" t="s">
        <v>9653</v>
      </c>
      <c r="L903" s="71"/>
      <c r="M903" s="72"/>
      <c r="N903" s="72"/>
      <c r="O903" s="73"/>
      <c r="P903" s="74"/>
      <c r="Q903" s="74"/>
      <c r="R903" s="81"/>
      <c r="S903" s="81"/>
      <c r="T903" s="81"/>
      <c r="U903" s="81"/>
      <c r="V903" s="48"/>
      <c r="W903" s="48"/>
      <c r="X903" s="48"/>
      <c r="Y903" s="48"/>
      <c r="Z903" s="47"/>
      <c r="AA903" s="69"/>
      <c r="AB903" s="69"/>
      <c r="AC903" s="70"/>
      <c r="AD903" t="s">
        <v>5346</v>
      </c>
      <c r="AE903" s="78" t="s">
        <v>6621</v>
      </c>
      <c r="AF903">
        <v>885</v>
      </c>
      <c r="AG903">
        <v>333</v>
      </c>
      <c r="AH903">
        <v>7348</v>
      </c>
      <c r="AI903">
        <v>151474</v>
      </c>
      <c r="AK903" t="s">
        <v>7797</v>
      </c>
      <c r="AL903" t="s">
        <v>8858</v>
      </c>
      <c r="AO903" s="76">
        <v>42384.150763888887</v>
      </c>
      <c r="AQ903" t="b">
        <v>1</v>
      </c>
      <c r="AR903" t="b">
        <v>1</v>
      </c>
      <c r="AS903" t="b">
        <v>0</v>
      </c>
      <c r="AU903">
        <v>1</v>
      </c>
      <c r="AW903" t="b">
        <v>0</v>
      </c>
      <c r="AX903" t="s">
        <v>9303</v>
      </c>
      <c r="AY903" s="79" t="str">
        <f>HYPERLINK("https://twitter.com/crowntowncol1")</f>
        <v>https://twitter.com/crowntowncol1</v>
      </c>
      <c r="AZ903" t="s">
        <v>66</v>
      </c>
      <c r="BA903" s="2"/>
    </row>
    <row r="904" spans="1:53" x14ac:dyDescent="0.45">
      <c r="A904" s="62" t="s">
        <v>432</v>
      </c>
      <c r="B904" s="63"/>
      <c r="C904" s="63"/>
      <c r="D904" s="64"/>
      <c r="E904" s="66"/>
      <c r="F904" s="98" t="str">
        <f>HYPERLINK("https://pbs.twimg.com/profile_images/1613607050180689945/PhNGm-V1_normal.jpg")</f>
        <v>https://pbs.twimg.com/profile_images/1613607050180689945/PhNGm-V1_normal.jpg</v>
      </c>
      <c r="G904" s="63"/>
      <c r="H904" s="67"/>
      <c r="I904" s="68"/>
      <c r="J904" s="68"/>
      <c r="K904" s="67" t="s">
        <v>9684</v>
      </c>
      <c r="L904" s="71"/>
      <c r="M904" s="72"/>
      <c r="N904" s="72"/>
      <c r="O904" s="73"/>
      <c r="P904" s="74"/>
      <c r="Q904" s="74"/>
      <c r="R904" s="81"/>
      <c r="S904" s="81"/>
      <c r="T904" s="81"/>
      <c r="U904" s="81"/>
      <c r="V904" s="48"/>
      <c r="W904" s="48"/>
      <c r="X904" s="48"/>
      <c r="Y904" s="48"/>
      <c r="Z904" s="47"/>
      <c r="AA904" s="69"/>
      <c r="AB904" s="69"/>
      <c r="AC904" s="70"/>
      <c r="AD904" t="s">
        <v>5377</v>
      </c>
      <c r="AE904" s="78" t="s">
        <v>6650</v>
      </c>
      <c r="AF904">
        <v>865</v>
      </c>
      <c r="AG904">
        <v>332</v>
      </c>
      <c r="AH904">
        <v>18923</v>
      </c>
      <c r="AI904">
        <v>22342</v>
      </c>
      <c r="AK904" t="s">
        <v>7824</v>
      </c>
      <c r="AL904" t="s">
        <v>8722</v>
      </c>
      <c r="AM904" s="79" t="str">
        <f>HYPERLINK("https://t.co/fBJulnV76W")</f>
        <v>https://t.co/fBJulnV76W</v>
      </c>
      <c r="AO904" s="76">
        <v>42072.210381944446</v>
      </c>
      <c r="AP904" s="79" t="str">
        <f>HYPERLINK("https://pbs.twimg.com/profile_banners/3081049186/1673024157")</f>
        <v>https://pbs.twimg.com/profile_banners/3081049186/1673024157</v>
      </c>
      <c r="AQ904" t="b">
        <v>0</v>
      </c>
      <c r="AR904" t="b">
        <v>0</v>
      </c>
      <c r="AS904" t="b">
        <v>1</v>
      </c>
      <c r="AU904">
        <v>2</v>
      </c>
      <c r="AV904" s="79" t="str">
        <f>HYPERLINK("https://abs.twimg.com/images/themes/theme3/bg.gif")</f>
        <v>https://abs.twimg.com/images/themes/theme3/bg.gif</v>
      </c>
      <c r="AW904" t="b">
        <v>0</v>
      </c>
      <c r="AX904" t="s">
        <v>9303</v>
      </c>
      <c r="AY904" s="79" t="str">
        <f>HYPERLINK("https://twitter.com/mileyworldca")</f>
        <v>https://twitter.com/mileyworldca</v>
      </c>
      <c r="AZ904" t="s">
        <v>66</v>
      </c>
      <c r="BA904" s="2"/>
    </row>
    <row r="905" spans="1:53" x14ac:dyDescent="0.45">
      <c r="A905" s="62" t="s">
        <v>395</v>
      </c>
      <c r="B905" s="63"/>
      <c r="C905" s="63"/>
      <c r="D905" s="64"/>
      <c r="E905" s="66"/>
      <c r="F905" s="98" t="str">
        <f>HYPERLINK("https://pbs.twimg.com/profile_images/1594436849908518912/j_xDcCN-_normal.jpg")</f>
        <v>https://pbs.twimg.com/profile_images/1594436849908518912/j_xDcCN-_normal.jpg</v>
      </c>
      <c r="G905" s="63"/>
      <c r="H905" s="67"/>
      <c r="I905" s="68"/>
      <c r="J905" s="68"/>
      <c r="K905" s="67" t="s">
        <v>9645</v>
      </c>
      <c r="L905" s="71"/>
      <c r="M905" s="72"/>
      <c r="N905" s="72"/>
      <c r="O905" s="73"/>
      <c r="P905" s="74"/>
      <c r="Q905" s="74"/>
      <c r="R905" s="81"/>
      <c r="S905" s="81"/>
      <c r="T905" s="81"/>
      <c r="U905" s="81"/>
      <c r="V905" s="48"/>
      <c r="W905" s="48"/>
      <c r="X905" s="48"/>
      <c r="Y905" s="48"/>
      <c r="Z905" s="47"/>
      <c r="AA905" s="69"/>
      <c r="AB905" s="69"/>
      <c r="AC905" s="70"/>
      <c r="AD905" t="s">
        <v>5338</v>
      </c>
      <c r="AE905" s="78" t="s">
        <v>6613</v>
      </c>
      <c r="AF905">
        <v>173</v>
      </c>
      <c r="AG905">
        <v>331</v>
      </c>
      <c r="AH905">
        <v>17564</v>
      </c>
      <c r="AI905">
        <v>64600</v>
      </c>
      <c r="AK905" t="s">
        <v>7790</v>
      </c>
      <c r="AO905" s="76">
        <v>44157.207233796296</v>
      </c>
      <c r="AP905" s="79" t="str">
        <f>HYPERLINK("https://pbs.twimg.com/profile_banners/1330375023429906432/1631479682")</f>
        <v>https://pbs.twimg.com/profile_banners/1330375023429906432/1631479682</v>
      </c>
      <c r="AQ905" t="b">
        <v>1</v>
      </c>
      <c r="AR905" t="b">
        <v>0</v>
      </c>
      <c r="AS905" t="b">
        <v>0</v>
      </c>
      <c r="AU905">
        <v>0</v>
      </c>
      <c r="AW905" t="b">
        <v>0</v>
      </c>
      <c r="AX905" t="s">
        <v>9303</v>
      </c>
      <c r="AY905" s="79" t="str">
        <f>HYPERLINK("https://twitter.com/kevinnraee")</f>
        <v>https://twitter.com/kevinnraee</v>
      </c>
      <c r="AZ905" t="s">
        <v>66</v>
      </c>
      <c r="BA905" s="2"/>
    </row>
    <row r="906" spans="1:53" x14ac:dyDescent="0.45">
      <c r="A906" s="62" t="s">
        <v>442</v>
      </c>
      <c r="B906" s="63"/>
      <c r="C906" s="63"/>
      <c r="D906" s="64"/>
      <c r="E906" s="66"/>
      <c r="F906" s="98" t="str">
        <f>HYPERLINK("https://pbs.twimg.com/profile_images/1529617918484414464/on7n_kHi_normal.jpg")</f>
        <v>https://pbs.twimg.com/profile_images/1529617918484414464/on7n_kHi_normal.jpg</v>
      </c>
      <c r="G906" s="63"/>
      <c r="H906" s="67"/>
      <c r="I906" s="68"/>
      <c r="J906" s="68"/>
      <c r="K906" s="67" t="s">
        <v>9701</v>
      </c>
      <c r="L906" s="71"/>
      <c r="M906" s="72"/>
      <c r="N906" s="72"/>
      <c r="O906" s="73"/>
      <c r="P906" s="74"/>
      <c r="Q906" s="74"/>
      <c r="R906" s="81"/>
      <c r="S906" s="81"/>
      <c r="T906" s="81"/>
      <c r="U906" s="81"/>
      <c r="V906" s="48"/>
      <c r="W906" s="48"/>
      <c r="X906" s="48"/>
      <c r="Y906" s="48"/>
      <c r="Z906" s="47"/>
      <c r="AA906" s="69"/>
      <c r="AB906" s="69"/>
      <c r="AC906" s="70"/>
      <c r="AD906" t="s">
        <v>5393</v>
      </c>
      <c r="AE906" s="78" t="s">
        <v>6666</v>
      </c>
      <c r="AF906">
        <v>277</v>
      </c>
      <c r="AG906">
        <v>330</v>
      </c>
      <c r="AH906">
        <v>22172</v>
      </c>
      <c r="AI906">
        <v>34693</v>
      </c>
      <c r="AK906" t="s">
        <v>7837</v>
      </c>
      <c r="AO906" s="76">
        <v>41526.94462962963</v>
      </c>
      <c r="AP906" s="79" t="str">
        <f>HYPERLINK("https://pbs.twimg.com/profile_banners/1849665883/1653524370")</f>
        <v>https://pbs.twimg.com/profile_banners/1849665883/1653524370</v>
      </c>
      <c r="AQ906" t="b">
        <v>1</v>
      </c>
      <c r="AR906" t="b">
        <v>0</v>
      </c>
      <c r="AS906" t="b">
        <v>0</v>
      </c>
      <c r="AU906">
        <v>3</v>
      </c>
      <c r="AV906" s="79" t="str">
        <f>HYPERLINK("https://abs.twimg.com/images/themes/theme1/bg.png")</f>
        <v>https://abs.twimg.com/images/themes/theme1/bg.png</v>
      </c>
      <c r="AW906" t="b">
        <v>0</v>
      </c>
      <c r="AX906" t="s">
        <v>9303</v>
      </c>
      <c r="AY906" s="79" t="str">
        <f>HYPERLINK("https://twitter.com/mileyfromws")</f>
        <v>https://twitter.com/mileyfromws</v>
      </c>
      <c r="AZ906" t="s">
        <v>66</v>
      </c>
      <c r="BA906" s="2"/>
    </row>
    <row r="907" spans="1:53" x14ac:dyDescent="0.45">
      <c r="A907" s="62" t="s">
        <v>951</v>
      </c>
      <c r="B907" s="63"/>
      <c r="C907" s="63"/>
      <c r="D907" s="64"/>
      <c r="E907" s="66"/>
      <c r="F907" s="98" t="str">
        <f>HYPERLINK("https://pbs.twimg.com/profile_images/1272249028898705410/6OCxBLCs_normal.png")</f>
        <v>https://pbs.twimg.com/profile_images/1272249028898705410/6OCxBLCs_normal.png</v>
      </c>
      <c r="G907" s="63"/>
      <c r="H907" s="67"/>
      <c r="I907" s="68"/>
      <c r="J907" s="68"/>
      <c r="K907" s="67" t="s">
        <v>10397</v>
      </c>
      <c r="L907" s="71"/>
      <c r="M907" s="72"/>
      <c r="N907" s="72"/>
      <c r="O907" s="73"/>
      <c r="P907" s="74"/>
      <c r="Q907" s="74"/>
      <c r="R907" s="81"/>
      <c r="S907" s="81"/>
      <c r="T907" s="81"/>
      <c r="U907" s="81"/>
      <c r="V907" s="48"/>
      <c r="W907" s="48"/>
      <c r="X907" s="48"/>
      <c r="Y907" s="48"/>
      <c r="Z907" s="47"/>
      <c r="AA907" s="69"/>
      <c r="AB907" s="69"/>
      <c r="AC907" s="70"/>
      <c r="AD907" t="s">
        <v>6079</v>
      </c>
      <c r="AE907" s="78" t="s">
        <v>7280</v>
      </c>
      <c r="AF907">
        <v>135</v>
      </c>
      <c r="AG907">
        <v>327</v>
      </c>
      <c r="AH907">
        <v>756</v>
      </c>
      <c r="AI907">
        <v>158</v>
      </c>
      <c r="AK907" t="s">
        <v>8441</v>
      </c>
      <c r="AL907" t="s">
        <v>8772</v>
      </c>
      <c r="AM907" s="79" t="str">
        <f>HYPERLINK("https://t.co/m4NhVjpodP")</f>
        <v>https://t.co/m4NhVjpodP</v>
      </c>
      <c r="AO907" s="76">
        <v>41211.590266203704</v>
      </c>
      <c r="AP907" s="79" t="str">
        <f>HYPERLINK("https://pbs.twimg.com/profile_banners/912512352/1490924336")</f>
        <v>https://pbs.twimg.com/profile_banners/912512352/1490924336</v>
      </c>
      <c r="AQ907" t="b">
        <v>1</v>
      </c>
      <c r="AR907" t="b">
        <v>0</v>
      </c>
      <c r="AS907" t="b">
        <v>0</v>
      </c>
      <c r="AU907">
        <v>13</v>
      </c>
      <c r="AV907" s="79" t="str">
        <f>HYPERLINK("https://abs.twimg.com/images/themes/theme1/bg.png")</f>
        <v>https://abs.twimg.com/images/themes/theme1/bg.png</v>
      </c>
      <c r="AW907" t="b">
        <v>0</v>
      </c>
      <c r="AX907" t="s">
        <v>9303</v>
      </c>
      <c r="AY907" s="79" t="str">
        <f>HYPERLINK("https://twitter.com/ctrapawomen")</f>
        <v>https://twitter.com/ctrapawomen</v>
      </c>
      <c r="AZ907" t="s">
        <v>66</v>
      </c>
      <c r="BA907" s="2"/>
    </row>
    <row r="908" spans="1:53" x14ac:dyDescent="0.45">
      <c r="A908" s="62" t="s">
        <v>1243</v>
      </c>
      <c r="B908" s="63"/>
      <c r="C908" s="63"/>
      <c r="D908" s="64"/>
      <c r="E908" s="66"/>
      <c r="F908" s="98" t="str">
        <f>HYPERLINK("https://pbs.twimg.com/profile_images/1506412146334130178/znwB4S62_normal.jpg")</f>
        <v>https://pbs.twimg.com/profile_images/1506412146334130178/znwB4S62_normal.jpg</v>
      </c>
      <c r="G908" s="63"/>
      <c r="H908" s="67"/>
      <c r="I908" s="68"/>
      <c r="J908" s="68"/>
      <c r="K908" s="67" t="s">
        <v>9596</v>
      </c>
      <c r="L908" s="71"/>
      <c r="M908" s="72"/>
      <c r="N908" s="72"/>
      <c r="O908" s="73"/>
      <c r="P908" s="74"/>
      <c r="Q908" s="74"/>
      <c r="R908" s="81"/>
      <c r="S908" s="81"/>
      <c r="T908" s="81"/>
      <c r="U908" s="81"/>
      <c r="V908" s="48"/>
      <c r="W908" s="48"/>
      <c r="X908" s="48"/>
      <c r="Y908" s="48"/>
      <c r="Z908" s="47"/>
      <c r="AA908" s="69"/>
      <c r="AB908" s="69"/>
      <c r="AC908" s="70"/>
      <c r="AD908" t="s">
        <v>5289</v>
      </c>
      <c r="AE908" s="78" t="s">
        <v>6567</v>
      </c>
      <c r="AF908">
        <v>72</v>
      </c>
      <c r="AG908">
        <v>326</v>
      </c>
      <c r="AH908">
        <v>131</v>
      </c>
      <c r="AI908">
        <v>205</v>
      </c>
      <c r="AK908" t="s">
        <v>7747</v>
      </c>
      <c r="AL908" t="s">
        <v>8830</v>
      </c>
      <c r="AM908" s="79" t="str">
        <f>HYPERLINK("https://t.co/WiPZk7YKSi")</f>
        <v>https://t.co/WiPZk7YKSi</v>
      </c>
      <c r="AO908" s="76">
        <v>43559.908009259256</v>
      </c>
      <c r="AP908" s="79" t="str">
        <f>HYPERLINK("https://pbs.twimg.com/profile_banners/1113921063849607168/1647991619")</f>
        <v>https://pbs.twimg.com/profile_banners/1113921063849607168/1647991619</v>
      </c>
      <c r="AQ908" t="b">
        <v>1</v>
      </c>
      <c r="AR908" t="b">
        <v>0</v>
      </c>
      <c r="AS908" t="b">
        <v>0</v>
      </c>
      <c r="AU908">
        <v>18</v>
      </c>
      <c r="AW908" t="b">
        <v>0</v>
      </c>
      <c r="AX908" t="s">
        <v>9303</v>
      </c>
      <c r="AY908" s="79" t="str">
        <f>HYPERLINK("https://twitter.com/aifiinc")</f>
        <v>https://twitter.com/aifiinc</v>
      </c>
      <c r="AZ908" t="s">
        <v>65</v>
      </c>
      <c r="BA908" s="2"/>
    </row>
    <row r="909" spans="1:53" x14ac:dyDescent="0.45">
      <c r="A909" s="62" t="s">
        <v>1253</v>
      </c>
      <c r="B909" s="63"/>
      <c r="C909" s="63"/>
      <c r="D909" s="64"/>
      <c r="E909" s="66"/>
      <c r="F909" s="98" t="str">
        <f>HYPERLINK("https://pbs.twimg.com/profile_images/192025692/abqnewsbureau_normal.png")</f>
        <v>https://pbs.twimg.com/profile_images/192025692/abqnewsbureau_normal.png</v>
      </c>
      <c r="G909" s="63"/>
      <c r="H909" s="67"/>
      <c r="I909" s="68"/>
      <c r="J909" s="68"/>
      <c r="K909" s="67" t="s">
        <v>9621</v>
      </c>
      <c r="L909" s="71"/>
      <c r="M909" s="72"/>
      <c r="N909" s="72"/>
      <c r="O909" s="73"/>
      <c r="P909" s="74"/>
      <c r="Q909" s="74"/>
      <c r="R909" s="81"/>
      <c r="S909" s="81"/>
      <c r="T909" s="81"/>
      <c r="U909" s="81"/>
      <c r="V909" s="48"/>
      <c r="W909" s="48"/>
      <c r="X909" s="48"/>
      <c r="Y909" s="48"/>
      <c r="Z909" s="47"/>
      <c r="AA909" s="69"/>
      <c r="AB909" s="69"/>
      <c r="AC909" s="70"/>
      <c r="AD909" t="s">
        <v>5314</v>
      </c>
      <c r="AE909" s="78" t="s">
        <v>6591</v>
      </c>
      <c r="AF909">
        <v>110</v>
      </c>
      <c r="AG909">
        <v>326</v>
      </c>
      <c r="AH909">
        <v>59</v>
      </c>
      <c r="AI909">
        <v>5</v>
      </c>
      <c r="AK909" t="s">
        <v>7768</v>
      </c>
      <c r="AL909" t="s">
        <v>8841</v>
      </c>
      <c r="AM909" s="79" t="str">
        <f>HYPERLINK("http://t.co/7GQ7RJGBmr")</f>
        <v>http://t.co/7GQ7RJGBmr</v>
      </c>
      <c r="AO909" s="76">
        <v>39934.142743055556</v>
      </c>
      <c r="AP909" s="79" t="str">
        <f>HYPERLINK("https://pbs.twimg.com/profile_banners/36870005/1529622722")</f>
        <v>https://pbs.twimg.com/profile_banners/36870005/1529622722</v>
      </c>
      <c r="AQ909" t="b">
        <v>1</v>
      </c>
      <c r="AR909" t="b">
        <v>0</v>
      </c>
      <c r="AS909" t="b">
        <v>0</v>
      </c>
      <c r="AU909">
        <v>16</v>
      </c>
      <c r="AV909" s="79" t="str">
        <f>HYPERLINK("https://abs.twimg.com/images/themes/theme1/bg.png")</f>
        <v>https://abs.twimg.com/images/themes/theme1/bg.png</v>
      </c>
      <c r="AW909" t="b">
        <v>0</v>
      </c>
      <c r="AX909" t="s">
        <v>9303</v>
      </c>
      <c r="AY909" s="79" t="str">
        <f>HYPERLINK("https://twitter.com/abqnews")</f>
        <v>https://twitter.com/abqnews</v>
      </c>
      <c r="AZ909" t="s">
        <v>65</v>
      </c>
      <c r="BA909" s="2"/>
    </row>
    <row r="910" spans="1:53" x14ac:dyDescent="0.45">
      <c r="A910" s="62" t="s">
        <v>1019</v>
      </c>
      <c r="B910" s="63"/>
      <c r="C910" s="63"/>
      <c r="D910" s="64"/>
      <c r="E910" s="66"/>
      <c r="F910" s="98" t="str">
        <f>HYPERLINK("https://pbs.twimg.com/profile_images/1452970504910901249/Wsl1hn_3_normal.jpg")</f>
        <v>https://pbs.twimg.com/profile_images/1452970504910901249/Wsl1hn_3_normal.jpg</v>
      </c>
      <c r="G910" s="63"/>
      <c r="H910" s="67"/>
      <c r="I910" s="68"/>
      <c r="J910" s="68"/>
      <c r="K910" s="67" t="s">
        <v>10500</v>
      </c>
      <c r="L910" s="71"/>
      <c r="M910" s="72"/>
      <c r="N910" s="72"/>
      <c r="O910" s="73"/>
      <c r="P910" s="74"/>
      <c r="Q910" s="74"/>
      <c r="R910" s="81"/>
      <c r="S910" s="81"/>
      <c r="T910" s="81"/>
      <c r="U910" s="81"/>
      <c r="V910" s="48"/>
      <c r="W910" s="48"/>
      <c r="X910" s="48"/>
      <c r="Y910" s="48"/>
      <c r="Z910" s="47"/>
      <c r="AA910" s="69"/>
      <c r="AB910" s="69"/>
      <c r="AC910" s="70"/>
      <c r="AD910" t="s">
        <v>6178</v>
      </c>
      <c r="AE910" s="78" t="s">
        <v>7363</v>
      </c>
      <c r="AF910">
        <v>881</v>
      </c>
      <c r="AG910">
        <v>325</v>
      </c>
      <c r="AH910">
        <v>5718</v>
      </c>
      <c r="AI910">
        <v>4666</v>
      </c>
      <c r="AK910" t="s">
        <v>8534</v>
      </c>
      <c r="AL910" t="s">
        <v>4924</v>
      </c>
      <c r="AM910" s="79" t="str">
        <f>HYPERLINK("https://t.co/Cb05qAwJsn")</f>
        <v>https://t.co/Cb05qAwJsn</v>
      </c>
      <c r="AO910" s="76">
        <v>42509.931967592594</v>
      </c>
      <c r="AP910" s="79" t="str">
        <f>HYPERLINK("https://pbs.twimg.com/profile_banners/733422487862579200/1596496460")</f>
        <v>https://pbs.twimg.com/profile_banners/733422487862579200/1596496460</v>
      </c>
      <c r="AQ910" t="b">
        <v>0</v>
      </c>
      <c r="AR910" t="b">
        <v>0</v>
      </c>
      <c r="AS910" t="b">
        <v>0</v>
      </c>
      <c r="AU910">
        <v>40</v>
      </c>
      <c r="AV910" s="79" t="str">
        <f>HYPERLINK("https://abs.twimg.com/images/themes/theme1/bg.png")</f>
        <v>https://abs.twimg.com/images/themes/theme1/bg.png</v>
      </c>
      <c r="AW910" t="b">
        <v>0</v>
      </c>
      <c r="AX910" t="s">
        <v>9303</v>
      </c>
      <c r="AY910" s="79" t="str">
        <f>HYPERLINK("https://twitter.com/veniceawong")</f>
        <v>https://twitter.com/veniceawong</v>
      </c>
      <c r="AZ910" t="s">
        <v>66</v>
      </c>
      <c r="BA910" s="2"/>
    </row>
    <row r="911" spans="1:53" x14ac:dyDescent="0.45">
      <c r="A911" s="62" t="s">
        <v>1234</v>
      </c>
      <c r="B911" s="63"/>
      <c r="C911" s="63"/>
      <c r="D911" s="64"/>
      <c r="E911" s="66"/>
      <c r="F911" s="98" t="str">
        <f>HYPERLINK("https://pbs.twimg.com/profile_images/1593149061011767296/lsBZ2NuG_normal.jpg")</f>
        <v>https://pbs.twimg.com/profile_images/1593149061011767296/lsBZ2NuG_normal.jpg</v>
      </c>
      <c r="G911" s="63"/>
      <c r="H911" s="67"/>
      <c r="I911" s="68"/>
      <c r="J911" s="68"/>
      <c r="K911" s="67" t="s">
        <v>9585</v>
      </c>
      <c r="L911" s="71"/>
      <c r="M911" s="72"/>
      <c r="N911" s="72"/>
      <c r="O911" s="73"/>
      <c r="P911" s="74"/>
      <c r="Q911" s="74"/>
      <c r="R911" s="81"/>
      <c r="S911" s="81"/>
      <c r="T911" s="81"/>
      <c r="U911" s="81"/>
      <c r="V911" s="48"/>
      <c r="W911" s="48"/>
      <c r="X911" s="48"/>
      <c r="Y911" s="48"/>
      <c r="Z911" s="47"/>
      <c r="AA911" s="69"/>
      <c r="AB911" s="69"/>
      <c r="AC911" s="70"/>
      <c r="AD911" t="s">
        <v>5278</v>
      </c>
      <c r="AE911" s="78" t="s">
        <v>6556</v>
      </c>
      <c r="AF911">
        <v>64</v>
      </c>
      <c r="AG911">
        <v>323</v>
      </c>
      <c r="AH911">
        <v>454</v>
      </c>
      <c r="AI911">
        <v>365</v>
      </c>
      <c r="AK911" t="s">
        <v>7737</v>
      </c>
      <c r="AL911" t="s">
        <v>8692</v>
      </c>
      <c r="AM911" s="79" t="str">
        <f>HYPERLINK("https://t.co/rivdcFRCuF")</f>
        <v>https://t.co/rivdcFRCuF</v>
      </c>
      <c r="AO911" s="76">
        <v>42787.230706018519</v>
      </c>
      <c r="AP911" s="79" t="str">
        <f>HYPERLINK("https://pbs.twimg.com/profile_banners/833912184807817216/1661423210")</f>
        <v>https://pbs.twimg.com/profile_banners/833912184807817216/1661423210</v>
      </c>
      <c r="AQ911" t="b">
        <v>0</v>
      </c>
      <c r="AR911" t="b">
        <v>0</v>
      </c>
      <c r="AS911" t="b">
        <v>1</v>
      </c>
      <c r="AU911">
        <v>5</v>
      </c>
      <c r="AV911" s="79" t="str">
        <f>HYPERLINK("https://abs.twimg.com/images/themes/theme1/bg.png")</f>
        <v>https://abs.twimg.com/images/themes/theme1/bg.png</v>
      </c>
      <c r="AW911" t="b">
        <v>0</v>
      </c>
      <c r="AX911" t="s">
        <v>9303</v>
      </c>
      <c r="AY911" s="79" t="str">
        <f>HYPERLINK("https://twitter.com/ottonomy_io")</f>
        <v>https://twitter.com/ottonomy_io</v>
      </c>
      <c r="AZ911" t="s">
        <v>65</v>
      </c>
      <c r="BA911" s="2"/>
    </row>
    <row r="912" spans="1:53" x14ac:dyDescent="0.45">
      <c r="A912" s="62" t="s">
        <v>402</v>
      </c>
      <c r="B912" s="63"/>
      <c r="C912" s="63"/>
      <c r="D912" s="64"/>
      <c r="E912" s="66"/>
      <c r="F912" s="98" t="str">
        <f>HYPERLINK("https://pbs.twimg.com/profile_images/1561784864394944514/cU7IhWh6_normal.jpg")</f>
        <v>https://pbs.twimg.com/profile_images/1561784864394944514/cU7IhWh6_normal.jpg</v>
      </c>
      <c r="G912" s="63"/>
      <c r="H912" s="67"/>
      <c r="I912" s="68"/>
      <c r="J912" s="68"/>
      <c r="K912" s="67" t="s">
        <v>9652</v>
      </c>
      <c r="L912" s="71"/>
      <c r="M912" s="72"/>
      <c r="N912" s="72"/>
      <c r="O912" s="73"/>
      <c r="P912" s="74"/>
      <c r="Q912" s="74"/>
      <c r="R912" s="81"/>
      <c r="S912" s="81"/>
      <c r="T912" s="81"/>
      <c r="U912" s="81"/>
      <c r="V912" s="48"/>
      <c r="W912" s="48"/>
      <c r="X912" s="48"/>
      <c r="Y912" s="48"/>
      <c r="Z912" s="47"/>
      <c r="AA912" s="69"/>
      <c r="AB912" s="69"/>
      <c r="AC912" s="70"/>
      <c r="AD912" t="s">
        <v>5345</v>
      </c>
      <c r="AE912" s="78" t="s">
        <v>6620</v>
      </c>
      <c r="AF912">
        <v>299</v>
      </c>
      <c r="AG912">
        <v>319</v>
      </c>
      <c r="AH912">
        <v>3319</v>
      </c>
      <c r="AI912">
        <v>21982</v>
      </c>
      <c r="AK912" t="s">
        <v>7796</v>
      </c>
      <c r="AL912" t="s">
        <v>8857</v>
      </c>
      <c r="AM912" s="79" t="str">
        <f>HYPERLINK("https://t.co/rpceKNUU7I")</f>
        <v>https://t.co/rpceKNUU7I</v>
      </c>
      <c r="AO912" s="76">
        <v>42245.768831018519</v>
      </c>
      <c r="AP912" s="79" t="str">
        <f>HYPERLINK("https://pbs.twimg.com/profile_banners/3384311899/1653353580")</f>
        <v>https://pbs.twimg.com/profile_banners/3384311899/1653353580</v>
      </c>
      <c r="AQ912" t="b">
        <v>1</v>
      </c>
      <c r="AR912" t="b">
        <v>0</v>
      </c>
      <c r="AS912" t="b">
        <v>0</v>
      </c>
      <c r="AU912">
        <v>1</v>
      </c>
      <c r="AV912" s="79" t="str">
        <f>HYPERLINK("https://abs.twimg.com/images/themes/theme1/bg.png")</f>
        <v>https://abs.twimg.com/images/themes/theme1/bg.png</v>
      </c>
      <c r="AW912" t="b">
        <v>0</v>
      </c>
      <c r="AX912" t="s">
        <v>9303</v>
      </c>
      <c r="AY912" s="79" t="str">
        <f>HYPERLINK("https://twitter.com/onemodrankk")</f>
        <v>https://twitter.com/onemodrankk</v>
      </c>
      <c r="AZ912" t="s">
        <v>66</v>
      </c>
      <c r="BA912" s="2"/>
    </row>
    <row r="913" spans="1:53" x14ac:dyDescent="0.45">
      <c r="A913" s="62" t="s">
        <v>1416</v>
      </c>
      <c r="B913" s="63"/>
      <c r="C913" s="63"/>
      <c r="D913" s="64"/>
      <c r="E913" s="66"/>
      <c r="F913" s="98" t="str">
        <f>HYPERLINK("https://pbs.twimg.com/profile_images/1614874186123452416/fmi0JxXn_normal.jpg")</f>
        <v>https://pbs.twimg.com/profile_images/1614874186123452416/fmi0JxXn_normal.jpg</v>
      </c>
      <c r="G913" s="63"/>
      <c r="H913" s="67"/>
      <c r="I913" s="68"/>
      <c r="J913" s="68"/>
      <c r="K913" s="67" t="s">
        <v>10293</v>
      </c>
      <c r="L913" s="71"/>
      <c r="M913" s="72"/>
      <c r="N913" s="72"/>
      <c r="O913" s="73"/>
      <c r="P913" s="74"/>
      <c r="Q913" s="74"/>
      <c r="R913" s="81"/>
      <c r="S913" s="81"/>
      <c r="T913" s="81"/>
      <c r="U913" s="81"/>
      <c r="V913" s="48"/>
      <c r="W913" s="48"/>
      <c r="X913" s="48"/>
      <c r="Y913" s="48"/>
      <c r="Z913" s="47"/>
      <c r="AA913" s="69"/>
      <c r="AB913" s="69"/>
      <c r="AC913" s="70"/>
      <c r="AD913" t="s">
        <v>5976</v>
      </c>
      <c r="AE913" s="78" t="s">
        <v>7188</v>
      </c>
      <c r="AF913">
        <v>508</v>
      </c>
      <c r="AG913">
        <v>315</v>
      </c>
      <c r="AH913">
        <v>6971</v>
      </c>
      <c r="AI913">
        <v>5886</v>
      </c>
      <c r="AK913" t="s">
        <v>8353</v>
      </c>
      <c r="AL913" t="s">
        <v>9157</v>
      </c>
      <c r="AO913" s="76">
        <v>39982.676041666666</v>
      </c>
      <c r="AP913" s="79" t="str">
        <f>HYPERLINK("https://pbs.twimg.com/profile_banners/48397862/1403877017")</f>
        <v>https://pbs.twimg.com/profile_banners/48397862/1403877017</v>
      </c>
      <c r="AQ913" t="b">
        <v>0</v>
      </c>
      <c r="AR913" t="b">
        <v>0</v>
      </c>
      <c r="AS913" t="b">
        <v>1</v>
      </c>
      <c r="AU913">
        <v>3</v>
      </c>
      <c r="AV913" s="79" t="str">
        <f>HYPERLINK("https://abs.twimg.com/images/themes/theme1/bg.png")</f>
        <v>https://abs.twimg.com/images/themes/theme1/bg.png</v>
      </c>
      <c r="AW913" t="b">
        <v>0</v>
      </c>
      <c r="AX913" t="s">
        <v>9303</v>
      </c>
      <c r="AY913" s="79" t="str">
        <f>HYPERLINK("https://twitter.com/mrclucien")</f>
        <v>https://twitter.com/mrclucien</v>
      </c>
      <c r="AZ913" t="s">
        <v>65</v>
      </c>
      <c r="BA913" s="2"/>
    </row>
    <row r="914" spans="1:53" x14ac:dyDescent="0.45">
      <c r="A914" s="62" t="s">
        <v>266</v>
      </c>
      <c r="B914" s="63"/>
      <c r="C914" s="63"/>
      <c r="D914" s="64"/>
      <c r="E914" s="66"/>
      <c r="F914" s="98" t="str">
        <f>HYPERLINK("https://pbs.twimg.com/profile_images/1521420381675999232/vnFQEqAj_normal.jpg")</f>
        <v>https://pbs.twimg.com/profile_images/1521420381675999232/vnFQEqAj_normal.jpg</v>
      </c>
      <c r="G914" s="63"/>
      <c r="H914" s="67"/>
      <c r="I914" s="68"/>
      <c r="J914" s="68"/>
      <c r="K914" s="67" t="s">
        <v>9411</v>
      </c>
      <c r="L914" s="71"/>
      <c r="M914" s="72"/>
      <c r="N914" s="72"/>
      <c r="O914" s="73"/>
      <c r="P914" s="74"/>
      <c r="Q914" s="74"/>
      <c r="R914" s="81"/>
      <c r="S914" s="81"/>
      <c r="T914" s="81"/>
      <c r="U914" s="81"/>
      <c r="V914" s="48"/>
      <c r="W914" s="48"/>
      <c r="X914" s="48"/>
      <c r="Y914" s="48"/>
      <c r="Z914" s="47"/>
      <c r="AA914" s="69"/>
      <c r="AB914" s="69"/>
      <c r="AC914" s="70"/>
      <c r="AD914" t="s">
        <v>5106</v>
      </c>
      <c r="AE914" s="78" t="s">
        <v>6414</v>
      </c>
      <c r="AF914">
        <v>459</v>
      </c>
      <c r="AG914">
        <v>313</v>
      </c>
      <c r="AH914">
        <v>18929</v>
      </c>
      <c r="AI914">
        <v>2540</v>
      </c>
      <c r="AL914" t="s">
        <v>8739</v>
      </c>
      <c r="AO914" s="76">
        <v>40607.943437499998</v>
      </c>
      <c r="AP914" s="79" t="str">
        <f>HYPERLINK("https://pbs.twimg.com/profile_banners/261416995/1675122251")</f>
        <v>https://pbs.twimg.com/profile_banners/261416995/1675122251</v>
      </c>
      <c r="AQ914" t="b">
        <v>0</v>
      </c>
      <c r="AR914" t="b">
        <v>0</v>
      </c>
      <c r="AS914" t="b">
        <v>1</v>
      </c>
      <c r="AU914">
        <v>3</v>
      </c>
      <c r="AV914" s="79" t="str">
        <f>HYPERLINK("https://abs.twimg.com/images/themes/theme18/bg.gif")</f>
        <v>https://abs.twimg.com/images/themes/theme18/bg.gif</v>
      </c>
      <c r="AW914" t="b">
        <v>0</v>
      </c>
      <c r="AX914" t="s">
        <v>9303</v>
      </c>
      <c r="AY914" s="79" t="str">
        <f>HYPERLINK("https://twitter.com/njknight1436")</f>
        <v>https://twitter.com/njknight1436</v>
      </c>
      <c r="AZ914" t="s">
        <v>66</v>
      </c>
      <c r="BA914" s="2"/>
    </row>
    <row r="915" spans="1:53" x14ac:dyDescent="0.45">
      <c r="A915" s="62" t="s">
        <v>1372</v>
      </c>
      <c r="B915" s="63"/>
      <c r="C915" s="63"/>
      <c r="D915" s="64"/>
      <c r="E915" s="66"/>
      <c r="F915" s="98" t="str">
        <f>HYPERLINK("https://pbs.twimg.com/profile_images/895457714092081152/7A_e9bxC_normal.jpg")</f>
        <v>https://pbs.twimg.com/profile_images/895457714092081152/7A_e9bxC_normal.jpg</v>
      </c>
      <c r="G915" s="63"/>
      <c r="H915" s="67"/>
      <c r="I915" s="68"/>
      <c r="J915" s="68"/>
      <c r="K915" s="67" t="s">
        <v>10155</v>
      </c>
      <c r="L915" s="71"/>
      <c r="M915" s="72"/>
      <c r="N915" s="72"/>
      <c r="O915" s="73"/>
      <c r="P915" s="74"/>
      <c r="Q915" s="74"/>
      <c r="R915" s="81"/>
      <c r="S915" s="81"/>
      <c r="T915" s="81"/>
      <c r="U915" s="81"/>
      <c r="V915" s="48"/>
      <c r="W915" s="48"/>
      <c r="X915" s="48"/>
      <c r="Y915" s="48"/>
      <c r="Z915" s="47"/>
      <c r="AA915" s="69"/>
      <c r="AB915" s="69"/>
      <c r="AC915" s="70"/>
      <c r="AD915" t="s">
        <v>5841</v>
      </c>
      <c r="AE915" s="78" t="s">
        <v>7067</v>
      </c>
      <c r="AF915">
        <v>249</v>
      </c>
      <c r="AG915">
        <v>310</v>
      </c>
      <c r="AH915">
        <v>759</v>
      </c>
      <c r="AI915">
        <v>728</v>
      </c>
      <c r="AK915" t="s">
        <v>8231</v>
      </c>
      <c r="AL915" t="s">
        <v>9102</v>
      </c>
      <c r="AO915" s="76">
        <v>42955.586111111108</v>
      </c>
      <c r="AQ915" t="b">
        <v>1</v>
      </c>
      <c r="AR915" t="b">
        <v>0</v>
      </c>
      <c r="AS915" t="b">
        <v>0</v>
      </c>
      <c r="AU915">
        <v>3</v>
      </c>
      <c r="AW915" t="b">
        <v>0</v>
      </c>
      <c r="AX915" t="s">
        <v>9303</v>
      </c>
      <c r="AY915" s="79" t="str">
        <f>HYPERLINK("https://twitter.com/gabrielle_clint")</f>
        <v>https://twitter.com/gabrielle_clint</v>
      </c>
      <c r="AZ915" t="s">
        <v>65</v>
      </c>
      <c r="BA915" s="2"/>
    </row>
    <row r="916" spans="1:53" x14ac:dyDescent="0.45">
      <c r="A916" s="62" t="s">
        <v>724</v>
      </c>
      <c r="B916" s="63"/>
      <c r="C916" s="63"/>
      <c r="D916" s="64"/>
      <c r="E916" s="66"/>
      <c r="F916" s="98" t="str">
        <f>HYPERLINK("https://pbs.twimg.com/profile_images/1606094431618101248/wQAlnNO-_normal.jpg")</f>
        <v>https://pbs.twimg.com/profile_images/1606094431618101248/wQAlnNO-_normal.jpg</v>
      </c>
      <c r="G916" s="63"/>
      <c r="H916" s="67"/>
      <c r="I916" s="68"/>
      <c r="J916" s="68"/>
      <c r="K916" s="67" t="s">
        <v>10070</v>
      </c>
      <c r="L916" s="71"/>
      <c r="M916" s="72"/>
      <c r="N916" s="72"/>
      <c r="O916" s="73"/>
      <c r="P916" s="74"/>
      <c r="Q916" s="74"/>
      <c r="R916" s="81"/>
      <c r="S916" s="81"/>
      <c r="T916" s="81"/>
      <c r="U916" s="81"/>
      <c r="V916" s="48"/>
      <c r="W916" s="48"/>
      <c r="X916" s="48"/>
      <c r="Y916" s="48"/>
      <c r="Z916" s="47"/>
      <c r="AA916" s="69"/>
      <c r="AB916" s="69"/>
      <c r="AC916" s="70"/>
      <c r="AD916" t="s">
        <v>5759</v>
      </c>
      <c r="AE916" s="78" t="s">
        <v>6994</v>
      </c>
      <c r="AF916">
        <v>1946</v>
      </c>
      <c r="AG916">
        <v>310</v>
      </c>
      <c r="AH916">
        <v>2702</v>
      </c>
      <c r="AI916">
        <v>43971</v>
      </c>
      <c r="AK916" t="s">
        <v>8156</v>
      </c>
      <c r="AL916" t="s">
        <v>4899</v>
      </c>
      <c r="AM916" s="79" t="str">
        <f>HYPERLINK("https://t.co/nalC8LF0Fp")</f>
        <v>https://t.co/nalC8LF0Fp</v>
      </c>
      <c r="AO916" s="76">
        <v>41951.983113425929</v>
      </c>
      <c r="AP916" s="79" t="str">
        <f>HYPERLINK("https://pbs.twimg.com/profile_banners/2894219155/1653163587")</f>
        <v>https://pbs.twimg.com/profile_banners/2894219155/1653163587</v>
      </c>
      <c r="AQ916" t="b">
        <v>1</v>
      </c>
      <c r="AR916" t="b">
        <v>0</v>
      </c>
      <c r="AS916" t="b">
        <v>1</v>
      </c>
      <c r="AU916">
        <v>2</v>
      </c>
      <c r="AV916" s="79" t="str">
        <f>HYPERLINK("https://abs.twimg.com/images/themes/theme1/bg.png")</f>
        <v>https://abs.twimg.com/images/themes/theme1/bg.png</v>
      </c>
      <c r="AW916" t="b">
        <v>0</v>
      </c>
      <c r="AX916" t="s">
        <v>9303</v>
      </c>
      <c r="AY916" s="79" t="str">
        <f>HYPERLINK("https://twitter.com/airborne8890")</f>
        <v>https://twitter.com/airborne8890</v>
      </c>
      <c r="AZ916" t="s">
        <v>66</v>
      </c>
      <c r="BA916" s="2"/>
    </row>
    <row r="917" spans="1:53" x14ac:dyDescent="0.45">
      <c r="A917" s="62" t="s">
        <v>425</v>
      </c>
      <c r="B917" s="63"/>
      <c r="C917" s="63"/>
      <c r="D917" s="64"/>
      <c r="E917" s="66"/>
      <c r="F917" s="98" t="str">
        <f>HYPERLINK("https://pbs.twimg.com/profile_images/1500953414821457929/KUDEBr--_normal.jpg")</f>
        <v>https://pbs.twimg.com/profile_images/1500953414821457929/KUDEBr--_normal.jpg</v>
      </c>
      <c r="G917" s="63"/>
      <c r="H917" s="67"/>
      <c r="I917" s="68"/>
      <c r="J917" s="68"/>
      <c r="K917" s="67" t="s">
        <v>9677</v>
      </c>
      <c r="L917" s="71"/>
      <c r="M917" s="72"/>
      <c r="N917" s="72"/>
      <c r="O917" s="73"/>
      <c r="P917" s="74"/>
      <c r="Q917" s="74"/>
      <c r="R917" s="81"/>
      <c r="S917" s="81"/>
      <c r="T917" s="81"/>
      <c r="U917" s="81"/>
      <c r="V917" s="48"/>
      <c r="W917" s="48"/>
      <c r="X917" s="48"/>
      <c r="Y917" s="48"/>
      <c r="Z917" s="47"/>
      <c r="AA917" s="69"/>
      <c r="AB917" s="69"/>
      <c r="AC917" s="70"/>
      <c r="AD917" t="s">
        <v>5370</v>
      </c>
      <c r="AE917" s="78" t="s">
        <v>6643</v>
      </c>
      <c r="AF917">
        <v>322</v>
      </c>
      <c r="AG917">
        <v>307</v>
      </c>
      <c r="AH917">
        <v>9357</v>
      </c>
      <c r="AI917">
        <v>9275</v>
      </c>
      <c r="AK917" t="s">
        <v>7818</v>
      </c>
      <c r="AO917" s="76">
        <v>44405.962916666664</v>
      </c>
      <c r="AP917" s="79" t="str">
        <f>HYPERLINK("https://pbs.twimg.com/profile_banners/1420521049091891202/1647829050")</f>
        <v>https://pbs.twimg.com/profile_banners/1420521049091891202/1647829050</v>
      </c>
      <c r="AQ917" t="b">
        <v>1</v>
      </c>
      <c r="AR917" t="b">
        <v>0</v>
      </c>
      <c r="AS917" t="b">
        <v>0</v>
      </c>
      <c r="AU917">
        <v>1</v>
      </c>
      <c r="AW917" t="b">
        <v>0</v>
      </c>
      <c r="AX917" t="s">
        <v>9303</v>
      </c>
      <c r="AY917" s="79" t="str">
        <f>HYPERLINK("https://twitter.com/acopensxl")</f>
        <v>https://twitter.com/acopensxl</v>
      </c>
      <c r="AZ917" t="s">
        <v>66</v>
      </c>
      <c r="BA917" s="2"/>
    </row>
    <row r="918" spans="1:53" x14ac:dyDescent="0.45">
      <c r="A918" s="62" t="s">
        <v>512</v>
      </c>
      <c r="B918" s="63"/>
      <c r="C918" s="63"/>
      <c r="D918" s="64"/>
      <c r="E918" s="66"/>
      <c r="F918" s="98" t="str">
        <f>HYPERLINK("https://pbs.twimg.com/profile_images/1576370656341630977/ESWeHNtQ_normal.jpg")</f>
        <v>https://pbs.twimg.com/profile_images/1576370656341630977/ESWeHNtQ_normal.jpg</v>
      </c>
      <c r="G918" s="63"/>
      <c r="H918" s="67"/>
      <c r="I918" s="68"/>
      <c r="J918" s="68"/>
      <c r="K918" s="67" t="s">
        <v>9795</v>
      </c>
      <c r="L918" s="71"/>
      <c r="M918" s="72"/>
      <c r="N918" s="72"/>
      <c r="O918" s="73"/>
      <c r="P918" s="74"/>
      <c r="Q918" s="74"/>
      <c r="R918" s="81"/>
      <c r="S918" s="81"/>
      <c r="T918" s="81"/>
      <c r="U918" s="81"/>
      <c r="V918" s="48"/>
      <c r="W918" s="48"/>
      <c r="X918" s="48"/>
      <c r="Y918" s="48"/>
      <c r="Z918" s="47"/>
      <c r="AA918" s="69"/>
      <c r="AB918" s="69"/>
      <c r="AC918" s="70"/>
      <c r="AD918" t="s">
        <v>5487</v>
      </c>
      <c r="AE918" s="78" t="s">
        <v>6744</v>
      </c>
      <c r="AF918">
        <v>466</v>
      </c>
      <c r="AG918">
        <v>307</v>
      </c>
      <c r="AH918">
        <v>16133</v>
      </c>
      <c r="AI918">
        <v>21203</v>
      </c>
      <c r="AK918" t="s">
        <v>7916</v>
      </c>
      <c r="AO918" s="76">
        <v>44392.709537037037</v>
      </c>
      <c r="AP918" s="79" t="str">
        <f>HYPERLINK("https://pbs.twimg.com/profile_banners/1415717837637787650/1664671219")</f>
        <v>https://pbs.twimg.com/profile_banners/1415717837637787650/1664671219</v>
      </c>
      <c r="AQ918" t="b">
        <v>1</v>
      </c>
      <c r="AR918" t="b">
        <v>0</v>
      </c>
      <c r="AS918" t="b">
        <v>0</v>
      </c>
      <c r="AU918">
        <v>1</v>
      </c>
      <c r="AW918" t="b">
        <v>0</v>
      </c>
      <c r="AX918" t="s">
        <v>9303</v>
      </c>
      <c r="AY918" s="79" t="str">
        <f>HYPERLINK("https://twitter.com/stosspott")</f>
        <v>https://twitter.com/stosspott</v>
      </c>
      <c r="AZ918" t="s">
        <v>66</v>
      </c>
      <c r="BA918" s="2"/>
    </row>
    <row r="919" spans="1:53" x14ac:dyDescent="0.45">
      <c r="A919" s="62" t="s">
        <v>603</v>
      </c>
      <c r="B919" s="63"/>
      <c r="C919" s="63"/>
      <c r="D919" s="64"/>
      <c r="E919" s="66"/>
      <c r="F919" s="98" t="str">
        <f>HYPERLINK("https://pbs.twimg.com/profile_images/1571736228466429954/8AXnYSvS_normal.jpg")</f>
        <v>https://pbs.twimg.com/profile_images/1571736228466429954/8AXnYSvS_normal.jpg</v>
      </c>
      <c r="G919" s="63"/>
      <c r="H919" s="67"/>
      <c r="I919" s="68"/>
      <c r="J919" s="68"/>
      <c r="K919" s="67" t="s">
        <v>9901</v>
      </c>
      <c r="L919" s="71"/>
      <c r="M919" s="72"/>
      <c r="N919" s="72"/>
      <c r="O919" s="73"/>
      <c r="P919" s="74"/>
      <c r="Q919" s="74"/>
      <c r="R919" s="81"/>
      <c r="S919" s="81"/>
      <c r="T919" s="81"/>
      <c r="U919" s="81"/>
      <c r="V919" s="48"/>
      <c r="W919" s="48"/>
      <c r="X919" s="48"/>
      <c r="Y919" s="48"/>
      <c r="Z919" s="47"/>
      <c r="AA919" s="69"/>
      <c r="AB919" s="69"/>
      <c r="AC919" s="70"/>
      <c r="AD919" t="s">
        <v>5592</v>
      </c>
      <c r="AE919" s="78" t="s">
        <v>4718</v>
      </c>
      <c r="AF919">
        <v>89</v>
      </c>
      <c r="AG919">
        <v>305</v>
      </c>
      <c r="AH919">
        <v>17280</v>
      </c>
      <c r="AI919">
        <v>19613</v>
      </c>
      <c r="AK919" t="s">
        <v>8015</v>
      </c>
      <c r="AL919" t="s">
        <v>8984</v>
      </c>
      <c r="AO919" s="76">
        <v>42342.682812500003</v>
      </c>
      <c r="AP919" s="79" t="str">
        <f>HYPERLINK("https://pbs.twimg.com/profile_banners/4454691313/1646771751")</f>
        <v>https://pbs.twimg.com/profile_banners/4454691313/1646771751</v>
      </c>
      <c r="AQ919" t="b">
        <v>0</v>
      </c>
      <c r="AR919" t="b">
        <v>0</v>
      </c>
      <c r="AS919" t="b">
        <v>0</v>
      </c>
      <c r="AU919">
        <v>5</v>
      </c>
      <c r="AV919" s="79" t="str">
        <f>HYPERLINK("https://abs.twimg.com/images/themes/theme1/bg.png")</f>
        <v>https://abs.twimg.com/images/themes/theme1/bg.png</v>
      </c>
      <c r="AW919" t="b">
        <v>0</v>
      </c>
      <c r="AX919" t="s">
        <v>9303</v>
      </c>
      <c r="AY919" s="79" t="str">
        <f>HYPERLINK("https://twitter.com/delphicdeb")</f>
        <v>https://twitter.com/delphicdeb</v>
      </c>
      <c r="AZ919" t="s">
        <v>66</v>
      </c>
      <c r="BA919" s="2"/>
    </row>
    <row r="920" spans="1:53" x14ac:dyDescent="0.45">
      <c r="A920" s="62" t="s">
        <v>654</v>
      </c>
      <c r="B920" s="63"/>
      <c r="C920" s="63"/>
      <c r="D920" s="64"/>
      <c r="E920" s="66"/>
      <c r="F920" s="98" t="str">
        <f>HYPERLINK("https://pbs.twimg.com/profile_images/1612475862233894913/cDFr5gQi_normal.jpg")</f>
        <v>https://pbs.twimg.com/profile_images/1612475862233894913/cDFr5gQi_normal.jpg</v>
      </c>
      <c r="G920" s="63"/>
      <c r="H920" s="67"/>
      <c r="I920" s="68"/>
      <c r="J920" s="68"/>
      <c r="K920" s="67" t="s">
        <v>9965</v>
      </c>
      <c r="L920" s="71"/>
      <c r="M920" s="72"/>
      <c r="N920" s="72"/>
      <c r="O920" s="73"/>
      <c r="P920" s="74"/>
      <c r="Q920" s="74"/>
      <c r="R920" s="81"/>
      <c r="S920" s="81"/>
      <c r="T920" s="81"/>
      <c r="U920" s="81"/>
      <c r="V920" s="48"/>
      <c r="W920" s="48"/>
      <c r="X920" s="48"/>
      <c r="Y920" s="48"/>
      <c r="Z920" s="47"/>
      <c r="AA920" s="69"/>
      <c r="AB920" s="69"/>
      <c r="AC920" s="70"/>
      <c r="AD920" t="s">
        <v>5656</v>
      </c>
      <c r="AE920" s="78" t="s">
        <v>6898</v>
      </c>
      <c r="AF920">
        <v>908</v>
      </c>
      <c r="AG920">
        <v>304</v>
      </c>
      <c r="AH920">
        <v>26271</v>
      </c>
      <c r="AI920">
        <v>57269</v>
      </c>
      <c r="AK920" t="s">
        <v>8065</v>
      </c>
      <c r="AO920" s="76">
        <v>41942.801238425927</v>
      </c>
      <c r="AP920" s="79" t="str">
        <f>HYPERLINK("https://pbs.twimg.com/profile_banners/2851914713/1650294432")</f>
        <v>https://pbs.twimg.com/profile_banners/2851914713/1650294432</v>
      </c>
      <c r="AQ920" t="b">
        <v>1</v>
      </c>
      <c r="AR920" t="b">
        <v>0</v>
      </c>
      <c r="AS920" t="b">
        <v>1</v>
      </c>
      <c r="AU920">
        <v>3</v>
      </c>
      <c r="AV920" s="79" t="str">
        <f>HYPERLINK("https://abs.twimg.com/images/themes/theme1/bg.png")</f>
        <v>https://abs.twimg.com/images/themes/theme1/bg.png</v>
      </c>
      <c r="AW920" t="b">
        <v>0</v>
      </c>
      <c r="AX920" t="s">
        <v>9303</v>
      </c>
      <c r="AY920" s="79" t="str">
        <f>HYPERLINK("https://twitter.com/fruityrolce")</f>
        <v>https://twitter.com/fruityrolce</v>
      </c>
      <c r="AZ920" t="s">
        <v>66</v>
      </c>
      <c r="BA920" s="2"/>
    </row>
    <row r="921" spans="1:53" x14ac:dyDescent="0.45">
      <c r="A921" s="62" t="s">
        <v>994</v>
      </c>
      <c r="B921" s="63"/>
      <c r="C921" s="63"/>
      <c r="D921" s="64"/>
      <c r="E921" s="66"/>
      <c r="F921" s="98" t="str">
        <f>HYPERLINK("https://pbs.twimg.com/profile_images/1234625178753212416/Y-Ql4QtN_normal.jpg")</f>
        <v>https://pbs.twimg.com/profile_images/1234625178753212416/Y-Ql4QtN_normal.jpg</v>
      </c>
      <c r="G921" s="63"/>
      <c r="H921" s="67"/>
      <c r="I921" s="68"/>
      <c r="J921" s="68"/>
      <c r="K921" s="67" t="s">
        <v>10458</v>
      </c>
      <c r="L921" s="71"/>
      <c r="M921" s="72"/>
      <c r="N921" s="72"/>
      <c r="O921" s="73"/>
      <c r="P921" s="74"/>
      <c r="Q921" s="74"/>
      <c r="R921" s="81"/>
      <c r="S921" s="81"/>
      <c r="T921" s="81"/>
      <c r="U921" s="81"/>
      <c r="V921" s="48"/>
      <c r="W921" s="48"/>
      <c r="X921" s="48"/>
      <c r="Y921" s="48"/>
      <c r="Z921" s="47"/>
      <c r="AA921" s="69"/>
      <c r="AB921" s="69"/>
      <c r="AC921" s="70"/>
      <c r="AD921" t="s">
        <v>6139</v>
      </c>
      <c r="AE921" s="78" t="s">
        <v>7328</v>
      </c>
      <c r="AF921">
        <v>246</v>
      </c>
      <c r="AG921">
        <v>303</v>
      </c>
      <c r="AH921">
        <v>864</v>
      </c>
      <c r="AI921">
        <v>696</v>
      </c>
      <c r="AK921" t="s">
        <v>8497</v>
      </c>
      <c r="AL921" t="s">
        <v>9223</v>
      </c>
      <c r="AM921" s="79" t="str">
        <f>HYPERLINK("https://t.co/vFxpmNaaue")</f>
        <v>https://t.co/vFxpmNaaue</v>
      </c>
      <c r="AO921" s="76">
        <v>40612.563796296294</v>
      </c>
      <c r="AP921" s="79" t="str">
        <f>HYPERLINK("https://pbs.twimg.com/profile_banners/263653420/1531434540")</f>
        <v>https://pbs.twimg.com/profile_banners/263653420/1531434540</v>
      </c>
      <c r="AQ921" t="b">
        <v>0</v>
      </c>
      <c r="AR921" t="b">
        <v>0</v>
      </c>
      <c r="AS921" t="b">
        <v>1</v>
      </c>
      <c r="AU921">
        <v>8</v>
      </c>
      <c r="AV921" s="79" t="str">
        <f>HYPERLINK("https://abs.twimg.com/images/themes/theme14/bg.gif")</f>
        <v>https://abs.twimg.com/images/themes/theme14/bg.gif</v>
      </c>
      <c r="AW921" t="b">
        <v>0</v>
      </c>
      <c r="AX921" t="s">
        <v>9303</v>
      </c>
      <c r="AY921" s="79" t="str">
        <f>HYPERLINK("https://twitter.com/fothunniebee")</f>
        <v>https://twitter.com/fothunniebee</v>
      </c>
      <c r="AZ921" t="s">
        <v>66</v>
      </c>
      <c r="BA921" s="2"/>
    </row>
    <row r="922" spans="1:53" x14ac:dyDescent="0.45">
      <c r="A922" s="62" t="s">
        <v>465</v>
      </c>
      <c r="B922" s="63"/>
      <c r="C922" s="63"/>
      <c r="D922" s="64"/>
      <c r="E922" s="66"/>
      <c r="F922" s="98" t="str">
        <f>HYPERLINK("https://pbs.twimg.com/profile_images/1620996539245297665/RuBt8tS4_normal.jpg")</f>
        <v>https://pbs.twimg.com/profile_images/1620996539245297665/RuBt8tS4_normal.jpg</v>
      </c>
      <c r="G922" s="63"/>
      <c r="H922" s="67"/>
      <c r="I922" s="68"/>
      <c r="J922" s="68"/>
      <c r="K922" s="67" t="s">
        <v>9732</v>
      </c>
      <c r="L922" s="71"/>
      <c r="M922" s="72"/>
      <c r="N922" s="72"/>
      <c r="O922" s="73"/>
      <c r="P922" s="74"/>
      <c r="Q922" s="74"/>
      <c r="R922" s="81"/>
      <c r="S922" s="81"/>
      <c r="T922" s="81"/>
      <c r="U922" s="81"/>
      <c r="V922" s="48"/>
      <c r="W922" s="48"/>
      <c r="X922" s="48"/>
      <c r="Y922" s="48"/>
      <c r="Z922" s="47"/>
      <c r="AA922" s="69"/>
      <c r="AB922" s="69"/>
      <c r="AC922" s="70"/>
      <c r="AD922" t="s">
        <v>5424</v>
      </c>
      <c r="AE922" s="78" t="s">
        <v>6695</v>
      </c>
      <c r="AF922">
        <v>197</v>
      </c>
      <c r="AG922">
        <v>303</v>
      </c>
      <c r="AH922">
        <v>34631</v>
      </c>
      <c r="AI922">
        <v>34601</v>
      </c>
      <c r="AM922" s="79" t="str">
        <f>HYPERLINK("https://t.co/eLcQEOqOlc")</f>
        <v>https://t.co/eLcQEOqOlc</v>
      </c>
      <c r="AO922" s="76">
        <v>43090.277824074074</v>
      </c>
      <c r="AP922" s="79" t="str">
        <f>HYPERLINK("https://pbs.twimg.com/profile_banners/943732784475992064/1674675924")</f>
        <v>https://pbs.twimg.com/profile_banners/943732784475992064/1674675924</v>
      </c>
      <c r="AQ922" t="b">
        <v>0</v>
      </c>
      <c r="AR922" t="b">
        <v>0</v>
      </c>
      <c r="AS922" t="b">
        <v>1</v>
      </c>
      <c r="AU922">
        <v>1</v>
      </c>
      <c r="AV922" s="79" t="str">
        <f>HYPERLINK("https://abs.twimg.com/images/themes/theme1/bg.png")</f>
        <v>https://abs.twimg.com/images/themes/theme1/bg.png</v>
      </c>
      <c r="AW922" t="b">
        <v>0</v>
      </c>
      <c r="AX922" t="s">
        <v>9303</v>
      </c>
      <c r="AY922" s="79" t="str">
        <f>HYPERLINK("https://twitter.com/pauuufvr")</f>
        <v>https://twitter.com/pauuufvr</v>
      </c>
      <c r="AZ922" t="s">
        <v>66</v>
      </c>
      <c r="BA922" s="2"/>
    </row>
    <row r="923" spans="1:53" x14ac:dyDescent="0.45">
      <c r="A923" s="62" t="s">
        <v>932</v>
      </c>
      <c r="B923" s="63"/>
      <c r="C923" s="63"/>
      <c r="D923" s="64"/>
      <c r="E923" s="66"/>
      <c r="F923" s="98" t="str">
        <f>HYPERLINK("https://pbs.twimg.com/profile_images/1502244913701801991/l_pJm4Di_normal.jpg")</f>
        <v>https://pbs.twimg.com/profile_images/1502244913701801991/l_pJm4Di_normal.jpg</v>
      </c>
      <c r="G923" s="63"/>
      <c r="H923" s="67"/>
      <c r="I923" s="68"/>
      <c r="J923" s="68"/>
      <c r="K923" s="67" t="s">
        <v>10366</v>
      </c>
      <c r="L923" s="71"/>
      <c r="M923" s="72"/>
      <c r="N923" s="72"/>
      <c r="O923" s="73"/>
      <c r="P923" s="74"/>
      <c r="Q923" s="74"/>
      <c r="R923" s="81"/>
      <c r="S923" s="81"/>
      <c r="T923" s="81"/>
      <c r="U923" s="81"/>
      <c r="V923" s="48"/>
      <c r="W923" s="48"/>
      <c r="X923" s="48"/>
      <c r="Y923" s="48"/>
      <c r="Z923" s="47"/>
      <c r="AA923" s="69"/>
      <c r="AB923" s="69"/>
      <c r="AC923" s="70"/>
      <c r="AD923" t="s">
        <v>6049</v>
      </c>
      <c r="AE923" s="78" t="s">
        <v>7254</v>
      </c>
      <c r="AF923">
        <v>98</v>
      </c>
      <c r="AG923">
        <v>301</v>
      </c>
      <c r="AH923">
        <v>14991</v>
      </c>
      <c r="AI923">
        <v>7377</v>
      </c>
      <c r="AK923" t="s">
        <v>8415</v>
      </c>
      <c r="AL923" t="s">
        <v>9190</v>
      </c>
      <c r="AM923" s="79" t="str">
        <f>HYPERLINK("https://t.co/RdPf0PkB5y")</f>
        <v>https://t.co/RdPf0PkB5y</v>
      </c>
      <c r="AO923" s="76">
        <v>39942.295439814814</v>
      </c>
      <c r="AP923" s="79" t="str">
        <f>HYPERLINK("https://pbs.twimg.com/profile_banners/38815335/1494661681")</f>
        <v>https://pbs.twimg.com/profile_banners/38815335/1494661681</v>
      </c>
      <c r="AQ923" t="b">
        <v>0</v>
      </c>
      <c r="AR923" t="b">
        <v>0</v>
      </c>
      <c r="AS923" t="b">
        <v>1</v>
      </c>
      <c r="AU923">
        <v>1</v>
      </c>
      <c r="AV923" s="79" t="str">
        <f>HYPERLINK("https://abs.twimg.com/images/themes/theme18/bg.gif")</f>
        <v>https://abs.twimg.com/images/themes/theme18/bg.gif</v>
      </c>
      <c r="AW923" t="b">
        <v>0</v>
      </c>
      <c r="AX923" t="s">
        <v>9303</v>
      </c>
      <c r="AY923" s="79" t="str">
        <f>HYPERLINK("https://twitter.com/jewelnadua")</f>
        <v>https://twitter.com/jewelnadua</v>
      </c>
      <c r="AZ923" t="s">
        <v>66</v>
      </c>
      <c r="BA923" s="2"/>
    </row>
    <row r="924" spans="1:53" x14ac:dyDescent="0.45">
      <c r="A924" s="62" t="s">
        <v>876</v>
      </c>
      <c r="B924" s="63"/>
      <c r="C924" s="63"/>
      <c r="D924" s="64"/>
      <c r="E924" s="66"/>
      <c r="F924" s="98" t="str">
        <f>HYPERLINK("https://pbs.twimg.com/profile_images/821466370034507777/CFfmyzSl_normal.jpg")</f>
        <v>https://pbs.twimg.com/profile_images/821466370034507777/CFfmyzSl_normal.jpg</v>
      </c>
      <c r="G924" s="63"/>
      <c r="H924" s="67"/>
      <c r="I924" s="68"/>
      <c r="J924" s="68"/>
      <c r="K924" s="67" t="s">
        <v>10279</v>
      </c>
      <c r="L924" s="71"/>
      <c r="M924" s="72"/>
      <c r="N924" s="72"/>
      <c r="O924" s="73"/>
      <c r="P924" s="74"/>
      <c r="Q924" s="74"/>
      <c r="R924" s="81"/>
      <c r="S924" s="81"/>
      <c r="T924" s="81"/>
      <c r="U924" s="81"/>
      <c r="V924" s="48"/>
      <c r="W924" s="48"/>
      <c r="X924" s="48"/>
      <c r="Y924" s="48"/>
      <c r="Z924" s="47"/>
      <c r="AA924" s="69"/>
      <c r="AB924" s="69"/>
      <c r="AC924" s="70"/>
      <c r="AD924" t="s">
        <v>5962</v>
      </c>
      <c r="AE924" s="78" t="s">
        <v>7174</v>
      </c>
      <c r="AF924">
        <v>222</v>
      </c>
      <c r="AG924">
        <v>297</v>
      </c>
      <c r="AH924">
        <v>43353</v>
      </c>
      <c r="AI924">
        <v>21203</v>
      </c>
      <c r="AK924" t="s">
        <v>8339</v>
      </c>
      <c r="AO924" s="76">
        <v>40997.984976851854</v>
      </c>
      <c r="AP924" s="79" t="str">
        <f>HYPERLINK("https://pbs.twimg.com/profile_banners/540364148/1448388237")</f>
        <v>https://pbs.twimg.com/profile_banners/540364148/1448388237</v>
      </c>
      <c r="AQ924" t="b">
        <v>0</v>
      </c>
      <c r="AR924" t="b">
        <v>0</v>
      </c>
      <c r="AS924" t="b">
        <v>1</v>
      </c>
      <c r="AU924">
        <v>0</v>
      </c>
      <c r="AV924" s="79" t="str">
        <f>HYPERLINK("https://abs.twimg.com/images/themes/theme1/bg.png")</f>
        <v>https://abs.twimg.com/images/themes/theme1/bg.png</v>
      </c>
      <c r="AW924" t="b">
        <v>0</v>
      </c>
      <c r="AX924" t="s">
        <v>9303</v>
      </c>
      <c r="AY924" s="79" t="str">
        <f>HYPERLINK("https://twitter.com/trill_looch")</f>
        <v>https://twitter.com/trill_looch</v>
      </c>
      <c r="AZ924" t="s">
        <v>66</v>
      </c>
      <c r="BA924" s="2"/>
    </row>
    <row r="925" spans="1:53" x14ac:dyDescent="0.45">
      <c r="A925" s="62" t="s">
        <v>1055</v>
      </c>
      <c r="B925" s="63"/>
      <c r="C925" s="63"/>
      <c r="D925" s="64"/>
      <c r="E925" s="66"/>
      <c r="F925" s="98" t="str">
        <f>HYPERLINK("https://pbs.twimg.com/profile_images/654466913104437248/QFXnmCck_normal.jpg")</f>
        <v>https://pbs.twimg.com/profile_images/654466913104437248/QFXnmCck_normal.jpg</v>
      </c>
      <c r="G925" s="63"/>
      <c r="H925" s="67"/>
      <c r="I925" s="68"/>
      <c r="J925" s="68"/>
      <c r="K925" s="67" t="s">
        <v>10571</v>
      </c>
      <c r="L925" s="71"/>
      <c r="M925" s="72"/>
      <c r="N925" s="72"/>
      <c r="O925" s="73"/>
      <c r="P925" s="74"/>
      <c r="Q925" s="74"/>
      <c r="R925" s="81"/>
      <c r="S925" s="81"/>
      <c r="T925" s="81"/>
      <c r="U925" s="81"/>
      <c r="V925" s="48"/>
      <c r="W925" s="48"/>
      <c r="X925" s="48"/>
      <c r="Y925" s="48"/>
      <c r="Z925" s="47"/>
      <c r="AA925" s="69"/>
      <c r="AB925" s="69"/>
      <c r="AC925" s="70"/>
      <c r="AD925" t="s">
        <v>6249</v>
      </c>
      <c r="AE925" s="78" t="s">
        <v>7422</v>
      </c>
      <c r="AF925">
        <v>682</v>
      </c>
      <c r="AG925">
        <v>294</v>
      </c>
      <c r="AH925">
        <v>41022</v>
      </c>
      <c r="AI925">
        <v>14007</v>
      </c>
      <c r="AK925" t="s">
        <v>8596</v>
      </c>
      <c r="AL925" t="s">
        <v>9266</v>
      </c>
      <c r="AO925" s="76">
        <v>40352.659490740742</v>
      </c>
      <c r="AP925" s="79" t="str">
        <f>HYPERLINK("https://pbs.twimg.com/profile_banners/158772288/1458677468")</f>
        <v>https://pbs.twimg.com/profile_banners/158772288/1458677468</v>
      </c>
      <c r="AQ925" t="b">
        <v>0</v>
      </c>
      <c r="AR925" t="b">
        <v>0</v>
      </c>
      <c r="AS925" t="b">
        <v>0</v>
      </c>
      <c r="AU925">
        <v>4</v>
      </c>
      <c r="AV925" s="79" t="str">
        <f>HYPERLINK("https://abs.twimg.com/images/themes/theme1/bg.png")</f>
        <v>https://abs.twimg.com/images/themes/theme1/bg.png</v>
      </c>
      <c r="AW925" t="b">
        <v>0</v>
      </c>
      <c r="AX925" t="s">
        <v>9303</v>
      </c>
      <c r="AY925" s="79" t="str">
        <f>HYPERLINK("https://twitter.com/derekkage")</f>
        <v>https://twitter.com/derekkage</v>
      </c>
      <c r="AZ925" t="s">
        <v>66</v>
      </c>
      <c r="BA925" s="2"/>
    </row>
    <row r="926" spans="1:53" x14ac:dyDescent="0.45">
      <c r="A926" s="62" t="s">
        <v>733</v>
      </c>
      <c r="B926" s="63"/>
      <c r="C926" s="63"/>
      <c r="D926" s="64"/>
      <c r="E926" s="66"/>
      <c r="F926" s="98" t="str">
        <f>HYPERLINK("https://pbs.twimg.com/profile_images/1577491575789305856/-jIH2Qsc_normal.jpg")</f>
        <v>https://pbs.twimg.com/profile_images/1577491575789305856/-jIH2Qsc_normal.jpg</v>
      </c>
      <c r="G926" s="63"/>
      <c r="H926" s="67"/>
      <c r="I926" s="68"/>
      <c r="J926" s="68"/>
      <c r="K926" s="67" t="s">
        <v>10080</v>
      </c>
      <c r="L926" s="71"/>
      <c r="M926" s="72"/>
      <c r="N926" s="72"/>
      <c r="O926" s="73"/>
      <c r="P926" s="74"/>
      <c r="Q926" s="74"/>
      <c r="R926" s="81"/>
      <c r="S926" s="81"/>
      <c r="T926" s="81"/>
      <c r="U926" s="81"/>
      <c r="V926" s="48"/>
      <c r="W926" s="48"/>
      <c r="X926" s="48"/>
      <c r="Y926" s="48"/>
      <c r="Z926" s="47"/>
      <c r="AA926" s="69"/>
      <c r="AB926" s="69"/>
      <c r="AC926" s="70"/>
      <c r="AD926" t="s">
        <v>5769</v>
      </c>
      <c r="AE926" s="78" t="s">
        <v>7002</v>
      </c>
      <c r="AF926">
        <v>247</v>
      </c>
      <c r="AG926">
        <v>293</v>
      </c>
      <c r="AH926">
        <v>2792</v>
      </c>
      <c r="AI926">
        <v>14952</v>
      </c>
      <c r="AK926" t="s">
        <v>8163</v>
      </c>
      <c r="AL926" t="s">
        <v>9069</v>
      </c>
      <c r="AM926" s="79" t="str">
        <f>HYPERLINK("https://t.co/idiUqy0nZk")</f>
        <v>https://t.co/idiUqy0nZk</v>
      </c>
      <c r="AO926" s="76">
        <v>40308.859432870369</v>
      </c>
      <c r="AQ926" t="b">
        <v>1</v>
      </c>
      <c r="AR926" t="b">
        <v>0</v>
      </c>
      <c r="AS926" t="b">
        <v>1</v>
      </c>
      <c r="AU926">
        <v>7</v>
      </c>
      <c r="AV926" s="79" t="str">
        <f>HYPERLINK("https://abs.twimg.com/images/themes/theme1/bg.png")</f>
        <v>https://abs.twimg.com/images/themes/theme1/bg.png</v>
      </c>
      <c r="AW926" t="b">
        <v>0</v>
      </c>
      <c r="AX926" t="s">
        <v>9303</v>
      </c>
      <c r="AY926" s="79" t="str">
        <f>HYPERLINK("https://twitter.com/tallrobbrowne")</f>
        <v>https://twitter.com/tallrobbrowne</v>
      </c>
      <c r="AZ926" t="s">
        <v>66</v>
      </c>
      <c r="BA926" s="2"/>
    </row>
    <row r="927" spans="1:53" x14ac:dyDescent="0.45">
      <c r="A927" s="62" t="s">
        <v>1555</v>
      </c>
      <c r="B927" s="63"/>
      <c r="C927" s="63"/>
      <c r="D927" s="64"/>
      <c r="E927" s="66"/>
      <c r="F927" s="98" t="str">
        <f>HYPERLINK("https://pbs.twimg.com/profile_images/429922243/frontdoor_normal.gif")</f>
        <v>https://pbs.twimg.com/profile_images/429922243/frontdoor_normal.gif</v>
      </c>
      <c r="G927" s="63"/>
      <c r="H927" s="67"/>
      <c r="I927" s="68"/>
      <c r="J927" s="68"/>
      <c r="K927" s="67" t="s">
        <v>10620</v>
      </c>
      <c r="L927" s="71"/>
      <c r="M927" s="72"/>
      <c r="N927" s="72"/>
      <c r="O927" s="73"/>
      <c r="P927" s="74"/>
      <c r="Q927" s="74"/>
      <c r="R927" s="81"/>
      <c r="S927" s="81"/>
      <c r="T927" s="81"/>
      <c r="U927" s="81"/>
      <c r="V927" s="48"/>
      <c r="W927" s="48"/>
      <c r="X927" s="48"/>
      <c r="Y927" s="48"/>
      <c r="Z927" s="47"/>
      <c r="AA927" s="69"/>
      <c r="AB927" s="69"/>
      <c r="AC927" s="70"/>
      <c r="AD927" t="s">
        <v>6296</v>
      </c>
      <c r="AE927" s="78" t="s">
        <v>7461</v>
      </c>
      <c r="AF927">
        <v>78</v>
      </c>
      <c r="AG927">
        <v>292</v>
      </c>
      <c r="AH927">
        <v>482</v>
      </c>
      <c r="AI927">
        <v>14</v>
      </c>
      <c r="AL927" t="s">
        <v>9292</v>
      </c>
      <c r="AM927" s="79" t="str">
        <f>HYPERLINK("https://t.co/dcxF1Q1gpr")</f>
        <v>https://t.co/dcxF1Q1gpr</v>
      </c>
      <c r="AO927" s="76">
        <v>40078.724062499998</v>
      </c>
      <c r="AQ927" t="b">
        <v>0</v>
      </c>
      <c r="AR927" t="b">
        <v>0</v>
      </c>
      <c r="AS927" t="b">
        <v>0</v>
      </c>
      <c r="AU927">
        <v>2</v>
      </c>
      <c r="AV927" s="79" t="str">
        <f>HYPERLINK("https://abs.twimg.com/images/themes/theme1/bg.png")</f>
        <v>https://abs.twimg.com/images/themes/theme1/bg.png</v>
      </c>
      <c r="AW927" t="b">
        <v>0</v>
      </c>
      <c r="AX927" t="s">
        <v>9303</v>
      </c>
      <c r="AY927" s="79" t="str">
        <f>HYPERLINK("https://twitter.com/richlandcinemas")</f>
        <v>https://twitter.com/richlandcinemas</v>
      </c>
      <c r="AZ927" t="s">
        <v>65</v>
      </c>
      <c r="BA927" s="2"/>
    </row>
    <row r="928" spans="1:53" x14ac:dyDescent="0.45">
      <c r="A928" s="62" t="s">
        <v>827</v>
      </c>
      <c r="B928" s="63"/>
      <c r="C928" s="63"/>
      <c r="D928" s="64"/>
      <c r="E928" s="66"/>
      <c r="F928" s="98" t="str">
        <f>HYPERLINK("https://pbs.twimg.com/profile_images/1096448132408373250/JcnynC5D_normal.jpg")</f>
        <v>https://pbs.twimg.com/profile_images/1096448132408373250/JcnynC5D_normal.jpg</v>
      </c>
      <c r="G928" s="63"/>
      <c r="H928" s="67"/>
      <c r="I928" s="68"/>
      <c r="J928" s="68"/>
      <c r="K928" s="67" t="s">
        <v>10214</v>
      </c>
      <c r="L928" s="71"/>
      <c r="M928" s="72"/>
      <c r="N928" s="72"/>
      <c r="O928" s="73"/>
      <c r="P928" s="74"/>
      <c r="Q928" s="74"/>
      <c r="R928" s="81"/>
      <c r="S928" s="81"/>
      <c r="T928" s="81"/>
      <c r="U928" s="81"/>
      <c r="V928" s="48"/>
      <c r="W928" s="48"/>
      <c r="X928" s="48"/>
      <c r="Y928" s="48"/>
      <c r="Z928" s="47"/>
      <c r="AA928" s="69"/>
      <c r="AB928" s="69"/>
      <c r="AC928" s="70"/>
      <c r="AD928" t="s">
        <v>5898</v>
      </c>
      <c r="AE928" s="78" t="s">
        <v>7117</v>
      </c>
      <c r="AF928">
        <v>400</v>
      </c>
      <c r="AG928">
        <v>291</v>
      </c>
      <c r="AH928">
        <v>15367</v>
      </c>
      <c r="AI928">
        <v>2676</v>
      </c>
      <c r="AK928" t="s">
        <v>8282</v>
      </c>
      <c r="AL928" t="s">
        <v>9126</v>
      </c>
      <c r="AO928" s="76">
        <v>40500.415775462963</v>
      </c>
      <c r="AP928" s="79" t="str">
        <f>HYPERLINK("https://pbs.twimg.com/profile_banners/217008738/1519851644")</f>
        <v>https://pbs.twimg.com/profile_banners/217008738/1519851644</v>
      </c>
      <c r="AQ928" t="b">
        <v>0</v>
      </c>
      <c r="AR928" t="b">
        <v>0</v>
      </c>
      <c r="AS928" t="b">
        <v>1</v>
      </c>
      <c r="AU928">
        <v>15</v>
      </c>
      <c r="AV928" s="79" t="str">
        <f>HYPERLINK("https://abs.twimg.com/images/themes/theme14/bg.gif")</f>
        <v>https://abs.twimg.com/images/themes/theme14/bg.gif</v>
      </c>
      <c r="AW928" t="b">
        <v>0</v>
      </c>
      <c r="AX928" t="s">
        <v>9303</v>
      </c>
      <c r="AY928" s="79" t="str">
        <f>HYPERLINK("https://twitter.com/tedbowe")</f>
        <v>https://twitter.com/tedbowe</v>
      </c>
      <c r="AZ928" t="s">
        <v>66</v>
      </c>
      <c r="BA928" s="2"/>
    </row>
    <row r="929" spans="1:53" x14ac:dyDescent="0.45">
      <c r="A929" s="62" t="s">
        <v>1228</v>
      </c>
      <c r="B929" s="63"/>
      <c r="C929" s="63"/>
      <c r="D929" s="64"/>
      <c r="E929" s="66"/>
      <c r="F929" s="98" t="str">
        <f>HYPERLINK("https://pbs.twimg.com/profile_images/1612279073878822913/sm6BKH3p_normal.jpg")</f>
        <v>https://pbs.twimg.com/profile_images/1612279073878822913/sm6BKH3p_normal.jpg</v>
      </c>
      <c r="G929" s="63"/>
      <c r="H929" s="67"/>
      <c r="I929" s="68"/>
      <c r="J929" s="68"/>
      <c r="K929" s="67" t="s">
        <v>9561</v>
      </c>
      <c r="L929" s="71"/>
      <c r="M929" s="72"/>
      <c r="N929" s="72"/>
      <c r="O929" s="73"/>
      <c r="P929" s="74"/>
      <c r="Q929" s="74"/>
      <c r="R929" s="81"/>
      <c r="S929" s="81"/>
      <c r="T929" s="81"/>
      <c r="U929" s="81"/>
      <c r="V929" s="48"/>
      <c r="W929" s="48"/>
      <c r="X929" s="48"/>
      <c r="Y929" s="48"/>
      <c r="Z929" s="47"/>
      <c r="AA929" s="69"/>
      <c r="AB929" s="69"/>
      <c r="AC929" s="70"/>
      <c r="AD929" t="s">
        <v>5254</v>
      </c>
      <c r="AE929" s="78" t="s">
        <v>6535</v>
      </c>
      <c r="AF929">
        <v>1340</v>
      </c>
      <c r="AG929">
        <v>288</v>
      </c>
      <c r="AH929">
        <v>26935</v>
      </c>
      <c r="AI929">
        <v>25564</v>
      </c>
      <c r="AK929" t="s">
        <v>7718</v>
      </c>
      <c r="AL929" t="s">
        <v>8814</v>
      </c>
      <c r="AM929" s="79" t="str">
        <f>HYPERLINK("https://t.co/KZFChHMk8j")</f>
        <v>https://t.co/KZFChHMk8j</v>
      </c>
      <c r="AO929" s="76">
        <v>42542.927534722221</v>
      </c>
      <c r="AP929" s="79" t="str">
        <f>HYPERLINK("https://pbs.twimg.com/profile_banners/745379682762129409/1652674888")</f>
        <v>https://pbs.twimg.com/profile_banners/745379682762129409/1652674888</v>
      </c>
      <c r="AQ929" t="b">
        <v>0</v>
      </c>
      <c r="AR929" t="b">
        <v>0</v>
      </c>
      <c r="AS929" t="b">
        <v>1</v>
      </c>
      <c r="AU929">
        <v>3</v>
      </c>
      <c r="AV929" s="79" t="str">
        <f>HYPERLINK("https://abs.twimg.com/images/themes/theme1/bg.png")</f>
        <v>https://abs.twimg.com/images/themes/theme1/bg.png</v>
      </c>
      <c r="AW929" t="b">
        <v>0</v>
      </c>
      <c r="AX929" t="s">
        <v>9303</v>
      </c>
      <c r="AY929" s="79" t="str">
        <f>HYPERLINK("https://twitter.com/jv5_guy")</f>
        <v>https://twitter.com/jv5_guy</v>
      </c>
      <c r="AZ929" t="s">
        <v>65</v>
      </c>
      <c r="BA929" s="2"/>
    </row>
    <row r="930" spans="1:53" x14ac:dyDescent="0.45">
      <c r="A930" s="62" t="s">
        <v>1315</v>
      </c>
      <c r="B930" s="63"/>
      <c r="C930" s="63"/>
      <c r="D930" s="64"/>
      <c r="E930" s="66"/>
      <c r="F930" s="98" t="str">
        <f>HYPERLINK("https://pbs.twimg.com/profile_images/1613090258542891009/X0ruWIGi_normal.jpg")</f>
        <v>https://pbs.twimg.com/profile_images/1613090258542891009/X0ruWIGi_normal.jpg</v>
      </c>
      <c r="G930" s="63"/>
      <c r="H930" s="67"/>
      <c r="I930" s="68"/>
      <c r="J930" s="68"/>
      <c r="K930" s="67" t="s">
        <v>9948</v>
      </c>
      <c r="L930" s="71"/>
      <c r="M930" s="72"/>
      <c r="N930" s="72"/>
      <c r="O930" s="73"/>
      <c r="P930" s="74"/>
      <c r="Q930" s="74"/>
      <c r="R930" s="81"/>
      <c r="S930" s="81"/>
      <c r="T930" s="81"/>
      <c r="U930" s="81"/>
      <c r="V930" s="48"/>
      <c r="W930" s="48"/>
      <c r="X930" s="48"/>
      <c r="Y930" s="48"/>
      <c r="Z930" s="47"/>
      <c r="AA930" s="69"/>
      <c r="AB930" s="69"/>
      <c r="AC930" s="70"/>
      <c r="AD930" t="s">
        <v>5639</v>
      </c>
      <c r="AE930" s="78" t="s">
        <v>4724</v>
      </c>
      <c r="AF930">
        <v>175</v>
      </c>
      <c r="AG930">
        <v>287</v>
      </c>
      <c r="AH930">
        <v>6729</v>
      </c>
      <c r="AI930">
        <v>10157</v>
      </c>
      <c r="AK930" t="s">
        <v>8053</v>
      </c>
      <c r="AL930" t="s">
        <v>9011</v>
      </c>
      <c r="AM930" s="79" t="str">
        <f>HYPERLINK("https://t.co/4HykysVIHk")</f>
        <v>https://t.co/4HykysVIHk</v>
      </c>
      <c r="AO930" s="76">
        <v>43881.032858796294</v>
      </c>
      <c r="AP930" s="79" t="str">
        <f>HYPERLINK("https://pbs.twimg.com/profile_banners/1230292790539624448/1673586684")</f>
        <v>https://pbs.twimg.com/profile_banners/1230292790539624448/1673586684</v>
      </c>
      <c r="AQ930" t="b">
        <v>1</v>
      </c>
      <c r="AR930" t="b">
        <v>0</v>
      </c>
      <c r="AS930" t="b">
        <v>1</v>
      </c>
      <c r="AU930">
        <v>0</v>
      </c>
      <c r="AW930" t="b">
        <v>0</v>
      </c>
      <c r="AX930" t="s">
        <v>9303</v>
      </c>
      <c r="AY930" s="79" t="str">
        <f>HYPERLINK("https://twitter.com/veilowo")</f>
        <v>https://twitter.com/veilowo</v>
      </c>
      <c r="AZ930" t="s">
        <v>65</v>
      </c>
      <c r="BA930" s="2"/>
    </row>
    <row r="931" spans="1:53" x14ac:dyDescent="0.45">
      <c r="A931" s="62" t="s">
        <v>928</v>
      </c>
      <c r="B931" s="63"/>
      <c r="C931" s="63"/>
      <c r="D931" s="64"/>
      <c r="E931" s="66"/>
      <c r="F931" s="98" t="str">
        <f>HYPERLINK("https://pbs.twimg.com/profile_images/1495596307934851074/lMpwqXD2_normal.jpg")</f>
        <v>https://pbs.twimg.com/profile_images/1495596307934851074/lMpwqXD2_normal.jpg</v>
      </c>
      <c r="G931" s="63"/>
      <c r="H931" s="67"/>
      <c r="I931" s="68"/>
      <c r="J931" s="68"/>
      <c r="K931" s="67" t="s">
        <v>10361</v>
      </c>
      <c r="L931" s="71"/>
      <c r="M931" s="72"/>
      <c r="N931" s="72"/>
      <c r="O931" s="73"/>
      <c r="P931" s="74"/>
      <c r="Q931" s="74"/>
      <c r="R931" s="81"/>
      <c r="S931" s="81"/>
      <c r="T931" s="81"/>
      <c r="U931" s="81"/>
      <c r="V931" s="48"/>
      <c r="W931" s="48"/>
      <c r="X931" s="48"/>
      <c r="Y931" s="48"/>
      <c r="Z931" s="47"/>
      <c r="AA931" s="69"/>
      <c r="AB931" s="69"/>
      <c r="AC931" s="70"/>
      <c r="AD931" t="s">
        <v>6044</v>
      </c>
      <c r="AE931" s="78" t="s">
        <v>7249</v>
      </c>
      <c r="AF931">
        <v>725</v>
      </c>
      <c r="AG931">
        <v>286</v>
      </c>
      <c r="AH931">
        <v>26271</v>
      </c>
      <c r="AI931">
        <v>9483</v>
      </c>
      <c r="AK931" t="s">
        <v>8411</v>
      </c>
      <c r="AL931" t="s">
        <v>9008</v>
      </c>
      <c r="AO931" s="76">
        <v>40125.837326388886</v>
      </c>
      <c r="AP931" s="79" t="str">
        <f>HYPERLINK("https://pbs.twimg.com/profile_banners/88496976/1586918327")</f>
        <v>https://pbs.twimg.com/profile_banners/88496976/1586918327</v>
      </c>
      <c r="AQ931" t="b">
        <v>0</v>
      </c>
      <c r="AR931" t="b">
        <v>0</v>
      </c>
      <c r="AS931" t="b">
        <v>0</v>
      </c>
      <c r="AU931">
        <v>3</v>
      </c>
      <c r="AV931" s="79" t="str">
        <f>HYPERLINK("https://abs.twimg.com/images/themes/theme5/bg.gif")</f>
        <v>https://abs.twimg.com/images/themes/theme5/bg.gif</v>
      </c>
      <c r="AW931" t="b">
        <v>0</v>
      </c>
      <c r="AX931" t="s">
        <v>9303</v>
      </c>
      <c r="AY931" s="79" t="str">
        <f>HYPERLINK("https://twitter.com/_sara_noh")</f>
        <v>https://twitter.com/_sara_noh</v>
      </c>
      <c r="AZ931" t="s">
        <v>66</v>
      </c>
      <c r="BA931" s="2"/>
    </row>
    <row r="932" spans="1:53" x14ac:dyDescent="0.45">
      <c r="A932" s="62" t="s">
        <v>280</v>
      </c>
      <c r="B932" s="63"/>
      <c r="C932" s="63"/>
      <c r="D932" s="64"/>
      <c r="E932" s="66"/>
      <c r="F932" s="98" t="str">
        <f>HYPERLINK("https://pbs.twimg.com/profile_images/1615802987732996101/4iR35O1z_normal.jpg")</f>
        <v>https://pbs.twimg.com/profile_images/1615802987732996101/4iR35O1z_normal.jpg</v>
      </c>
      <c r="G932" s="63"/>
      <c r="H932" s="67"/>
      <c r="I932" s="68"/>
      <c r="J932" s="68"/>
      <c r="K932" s="67" t="s">
        <v>9434</v>
      </c>
      <c r="L932" s="71"/>
      <c r="M932" s="72"/>
      <c r="N932" s="72"/>
      <c r="O932" s="73"/>
      <c r="P932" s="74"/>
      <c r="Q932" s="74"/>
      <c r="R932" s="81"/>
      <c r="S932" s="81"/>
      <c r="T932" s="81"/>
      <c r="U932" s="81"/>
      <c r="V932" s="48"/>
      <c r="W932" s="48"/>
      <c r="X932" s="48"/>
      <c r="Y932" s="48"/>
      <c r="Z932" s="47"/>
      <c r="AA932" s="69"/>
      <c r="AB932" s="69"/>
      <c r="AC932" s="70"/>
      <c r="AD932" t="s">
        <v>5128</v>
      </c>
      <c r="AE932" s="78" t="s">
        <v>6434</v>
      </c>
      <c r="AF932">
        <v>1016</v>
      </c>
      <c r="AG932">
        <v>283</v>
      </c>
      <c r="AH932">
        <v>13520</v>
      </c>
      <c r="AI932">
        <v>8211</v>
      </c>
      <c r="AK932" t="s">
        <v>7605</v>
      </c>
      <c r="AL932" t="s">
        <v>8751</v>
      </c>
      <c r="AO932" s="76">
        <v>44944.837905092594</v>
      </c>
      <c r="AP932" s="79" t="str">
        <f>HYPERLINK("https://pbs.twimg.com/profile_banners/1615802764189114368/1674621859")</f>
        <v>https://pbs.twimg.com/profile_banners/1615802764189114368/1674621859</v>
      </c>
      <c r="AQ932" t="b">
        <v>1</v>
      </c>
      <c r="AR932" t="b">
        <v>0</v>
      </c>
      <c r="AS932" t="b">
        <v>1</v>
      </c>
      <c r="AU932">
        <v>1</v>
      </c>
      <c r="AW932" t="b">
        <v>0</v>
      </c>
      <c r="AX932" t="s">
        <v>9303</v>
      </c>
      <c r="AY932" s="79" t="str">
        <f>HYPERLINK("https://twitter.com/d34nlolol")</f>
        <v>https://twitter.com/d34nlolol</v>
      </c>
      <c r="AZ932" t="s">
        <v>66</v>
      </c>
      <c r="BA932" s="2"/>
    </row>
    <row r="933" spans="1:53" x14ac:dyDescent="0.45">
      <c r="A933" s="62" t="s">
        <v>1313</v>
      </c>
      <c r="B933" s="63"/>
      <c r="C933" s="63"/>
      <c r="D933" s="64"/>
      <c r="E933" s="66"/>
      <c r="F933" s="98" t="str">
        <f>HYPERLINK("https://pbs.twimg.com/profile_images/1401325994280210433/ZaUMZ9PP_normal.jpg")</f>
        <v>https://pbs.twimg.com/profile_images/1401325994280210433/ZaUMZ9PP_normal.jpg</v>
      </c>
      <c r="G933" s="63"/>
      <c r="H933" s="67"/>
      <c r="I933" s="68"/>
      <c r="J933" s="68"/>
      <c r="K933" s="67" t="s">
        <v>9937</v>
      </c>
      <c r="L933" s="71"/>
      <c r="M933" s="72"/>
      <c r="N933" s="72"/>
      <c r="O933" s="73"/>
      <c r="P933" s="74"/>
      <c r="Q933" s="74"/>
      <c r="R933" s="81"/>
      <c r="S933" s="81"/>
      <c r="T933" s="81"/>
      <c r="U933" s="81"/>
      <c r="V933" s="48"/>
      <c r="W933" s="48"/>
      <c r="X933" s="48"/>
      <c r="Y933" s="48"/>
      <c r="Z933" s="47"/>
      <c r="AA933" s="69"/>
      <c r="AB933" s="69"/>
      <c r="AC933" s="70"/>
      <c r="AD933" t="s">
        <v>5628</v>
      </c>
      <c r="AE933" s="78" t="s">
        <v>6871</v>
      </c>
      <c r="AF933">
        <v>77</v>
      </c>
      <c r="AG933">
        <v>282</v>
      </c>
      <c r="AH933">
        <v>684</v>
      </c>
      <c r="AI933">
        <v>204</v>
      </c>
      <c r="AK933" t="s">
        <v>8044</v>
      </c>
      <c r="AL933" t="s">
        <v>9005</v>
      </c>
      <c r="AM933" s="79" t="str">
        <f>HYPERLINK("https://t.co/60SAgIzaS2")</f>
        <v>https://t.co/60SAgIzaS2</v>
      </c>
      <c r="AO933" s="76">
        <v>42948.328263888892</v>
      </c>
      <c r="AP933" s="79" t="str">
        <f>HYPERLINK("https://pbs.twimg.com/profile_banners/892291986186752000/1672553405")</f>
        <v>https://pbs.twimg.com/profile_banners/892291986186752000/1672553405</v>
      </c>
      <c r="AQ933" t="b">
        <v>0</v>
      </c>
      <c r="AR933" t="b">
        <v>0</v>
      </c>
      <c r="AS933" t="b">
        <v>0</v>
      </c>
      <c r="AU933">
        <v>1</v>
      </c>
      <c r="AV933" s="79" t="str">
        <f>HYPERLINK("https://abs.twimg.com/images/themes/theme1/bg.png")</f>
        <v>https://abs.twimg.com/images/themes/theme1/bg.png</v>
      </c>
      <c r="AW933" t="b">
        <v>0</v>
      </c>
      <c r="AX933" t="s">
        <v>9303</v>
      </c>
      <c r="AY933" s="79" t="str">
        <f>HYPERLINK("https://twitter.com/doncosmetics")</f>
        <v>https://twitter.com/doncosmetics</v>
      </c>
      <c r="AZ933" t="s">
        <v>65</v>
      </c>
      <c r="BA933" s="2"/>
    </row>
    <row r="934" spans="1:53" x14ac:dyDescent="0.45">
      <c r="A934" s="62" t="s">
        <v>945</v>
      </c>
      <c r="B934" s="63"/>
      <c r="C934" s="63"/>
      <c r="D934" s="64"/>
      <c r="E934" s="66"/>
      <c r="F934" s="98" t="str">
        <f>HYPERLINK("https://pbs.twimg.com/profile_images/1605724859904188416/byj_w9Sz_normal.jpg")</f>
        <v>https://pbs.twimg.com/profile_images/1605724859904188416/byj_w9Sz_normal.jpg</v>
      </c>
      <c r="G934" s="63"/>
      <c r="H934" s="67"/>
      <c r="I934" s="68"/>
      <c r="J934" s="68"/>
      <c r="K934" s="67" t="s">
        <v>10385</v>
      </c>
      <c r="L934" s="71"/>
      <c r="M934" s="72"/>
      <c r="N934" s="72"/>
      <c r="O934" s="73"/>
      <c r="P934" s="74"/>
      <c r="Q934" s="74"/>
      <c r="R934" s="81"/>
      <c r="S934" s="81"/>
      <c r="T934" s="81"/>
      <c r="U934" s="81"/>
      <c r="V934" s="48"/>
      <c r="W934" s="48"/>
      <c r="X934" s="48"/>
      <c r="Y934" s="48"/>
      <c r="Z934" s="47"/>
      <c r="AA934" s="69"/>
      <c r="AB934" s="69"/>
      <c r="AC934" s="70"/>
      <c r="AD934" t="s">
        <v>6067</v>
      </c>
      <c r="AE934" s="78" t="s">
        <v>7269</v>
      </c>
      <c r="AF934">
        <v>454</v>
      </c>
      <c r="AG934">
        <v>282</v>
      </c>
      <c r="AH934">
        <v>12586</v>
      </c>
      <c r="AI934">
        <v>37104</v>
      </c>
      <c r="AO934" s="76">
        <v>44595.99082175926</v>
      </c>
      <c r="AQ934" t="b">
        <v>1</v>
      </c>
      <c r="AR934" t="b">
        <v>0</v>
      </c>
      <c r="AS934" t="b">
        <v>0</v>
      </c>
      <c r="AU934">
        <v>0</v>
      </c>
      <c r="AW934" t="b">
        <v>0</v>
      </c>
      <c r="AX934" t="s">
        <v>9303</v>
      </c>
      <c r="AY934" s="79" t="str">
        <f>HYPERLINK("https://twitter.com/ohdangitsnate")</f>
        <v>https://twitter.com/ohdangitsnate</v>
      </c>
      <c r="AZ934" t="s">
        <v>66</v>
      </c>
      <c r="BA934" s="2"/>
    </row>
    <row r="935" spans="1:53" x14ac:dyDescent="0.45">
      <c r="A935" s="62" t="s">
        <v>1062</v>
      </c>
      <c r="B935" s="63"/>
      <c r="C935" s="63"/>
      <c r="D935" s="64"/>
      <c r="E935" s="66"/>
      <c r="F935" s="98" t="str">
        <f>HYPERLINK("https://pbs.twimg.com/profile_images/1610611653682274305/pbXDdl0X_normal.jpg")</f>
        <v>https://pbs.twimg.com/profile_images/1610611653682274305/pbXDdl0X_normal.jpg</v>
      </c>
      <c r="G935" s="63"/>
      <c r="H935" s="67"/>
      <c r="I935" s="68"/>
      <c r="J935" s="68"/>
      <c r="K935" s="67" t="s">
        <v>10584</v>
      </c>
      <c r="L935" s="71"/>
      <c r="M935" s="72"/>
      <c r="N935" s="72"/>
      <c r="O935" s="73"/>
      <c r="P935" s="74"/>
      <c r="Q935" s="74"/>
      <c r="R935" s="81"/>
      <c r="S935" s="81"/>
      <c r="T935" s="81"/>
      <c r="U935" s="81"/>
      <c r="V935" s="48"/>
      <c r="W935" s="48"/>
      <c r="X935" s="48"/>
      <c r="Y935" s="48"/>
      <c r="Z935" s="47"/>
      <c r="AA935" s="69"/>
      <c r="AB935" s="69"/>
      <c r="AC935" s="70"/>
      <c r="AD935" t="s">
        <v>6262</v>
      </c>
      <c r="AE935" s="78" t="s">
        <v>7433</v>
      </c>
      <c r="AF935">
        <v>666</v>
      </c>
      <c r="AG935">
        <v>281</v>
      </c>
      <c r="AH935">
        <v>24154</v>
      </c>
      <c r="AI935">
        <v>36788</v>
      </c>
      <c r="AK935" t="s">
        <v>8608</v>
      </c>
      <c r="AL935" t="s">
        <v>9272</v>
      </c>
      <c r="AO935" s="76">
        <v>43075.79583333333</v>
      </c>
      <c r="AP935" s="79" t="str">
        <f>HYPERLINK("https://pbs.twimg.com/profile_banners/938484688997433344/1650582015")</f>
        <v>https://pbs.twimg.com/profile_banners/938484688997433344/1650582015</v>
      </c>
      <c r="AQ935" t="b">
        <v>0</v>
      </c>
      <c r="AR935" t="b">
        <v>0</v>
      </c>
      <c r="AS935" t="b">
        <v>0</v>
      </c>
      <c r="AU935">
        <v>11</v>
      </c>
      <c r="AV935" s="79" t="str">
        <f>HYPERLINK("https://abs.twimg.com/images/themes/theme1/bg.png")</f>
        <v>https://abs.twimg.com/images/themes/theme1/bg.png</v>
      </c>
      <c r="AW935" t="b">
        <v>0</v>
      </c>
      <c r="AX935" t="s">
        <v>9303</v>
      </c>
      <c r="AY935" s="79" t="str">
        <f>HYPERLINK("https://twitter.com/rekuuwu")</f>
        <v>https://twitter.com/rekuuwu</v>
      </c>
      <c r="AZ935" t="s">
        <v>66</v>
      </c>
      <c r="BA935" s="2"/>
    </row>
    <row r="936" spans="1:53" x14ac:dyDescent="0.45">
      <c r="A936" s="62" t="s">
        <v>468</v>
      </c>
      <c r="B936" s="63"/>
      <c r="C936" s="63"/>
      <c r="D936" s="64"/>
      <c r="E936" s="66"/>
      <c r="F936" s="98" t="str">
        <f>HYPERLINK("https://pbs.twimg.com/profile_images/710290146529153024/2P7ZuiaI_normal.jpg")</f>
        <v>https://pbs.twimg.com/profile_images/710290146529153024/2P7ZuiaI_normal.jpg</v>
      </c>
      <c r="G936" s="63"/>
      <c r="H936" s="67"/>
      <c r="I936" s="68"/>
      <c r="J936" s="68"/>
      <c r="K936" s="67" t="s">
        <v>9739</v>
      </c>
      <c r="L936" s="71"/>
      <c r="M936" s="72"/>
      <c r="N936" s="72"/>
      <c r="O936" s="73"/>
      <c r="P936" s="74"/>
      <c r="Q936" s="74"/>
      <c r="R936" s="81"/>
      <c r="S936" s="81"/>
      <c r="T936" s="81"/>
      <c r="U936" s="81"/>
      <c r="V936" s="48"/>
      <c r="W936" s="48"/>
      <c r="X936" s="48"/>
      <c r="Y936" s="48"/>
      <c r="Z936" s="47"/>
      <c r="AA936" s="69"/>
      <c r="AB936" s="69"/>
      <c r="AC936" s="70"/>
      <c r="AD936" t="s">
        <v>5431</v>
      </c>
      <c r="AE936" s="78" t="s">
        <v>6700</v>
      </c>
      <c r="AF936">
        <v>1011</v>
      </c>
      <c r="AG936">
        <v>280</v>
      </c>
      <c r="AH936">
        <v>1046</v>
      </c>
      <c r="AI936">
        <v>67187</v>
      </c>
      <c r="AK936" t="s">
        <v>7869</v>
      </c>
      <c r="AL936" t="s">
        <v>8736</v>
      </c>
      <c r="AO936" s="76">
        <v>40493.809583333335</v>
      </c>
      <c r="AQ936" t="b">
        <v>1</v>
      </c>
      <c r="AR936" t="b">
        <v>0</v>
      </c>
      <c r="AS936" t="b">
        <v>0</v>
      </c>
      <c r="AU936">
        <v>6</v>
      </c>
      <c r="AV936" s="79" t="str">
        <f>HYPERLINK("https://abs.twimg.com/images/themes/theme1/bg.png")</f>
        <v>https://abs.twimg.com/images/themes/theme1/bg.png</v>
      </c>
      <c r="AW936" t="b">
        <v>0</v>
      </c>
      <c r="AX936" t="s">
        <v>9303</v>
      </c>
      <c r="AY936" s="79" t="str">
        <f>HYPERLINK("https://twitter.com/msjennyburns")</f>
        <v>https://twitter.com/msjennyburns</v>
      </c>
      <c r="AZ936" t="s">
        <v>66</v>
      </c>
      <c r="BA936" s="2"/>
    </row>
    <row r="937" spans="1:53" x14ac:dyDescent="0.45">
      <c r="A937" s="62" t="s">
        <v>278</v>
      </c>
      <c r="B937" s="63"/>
      <c r="C937" s="63"/>
      <c r="D937" s="64"/>
      <c r="E937" s="66"/>
      <c r="F937" s="98" t="str">
        <f>HYPERLINK("https://pbs.twimg.com/profile_images/1547429038968524800/LZ3JK0d6_normal.jpg")</f>
        <v>https://pbs.twimg.com/profile_images/1547429038968524800/LZ3JK0d6_normal.jpg</v>
      </c>
      <c r="G937" s="63"/>
      <c r="H937" s="67"/>
      <c r="I937" s="68"/>
      <c r="J937" s="68"/>
      <c r="K937" s="67" t="s">
        <v>9430</v>
      </c>
      <c r="L937" s="71"/>
      <c r="M937" s="72"/>
      <c r="N937" s="72"/>
      <c r="O937" s="73"/>
      <c r="P937" s="74"/>
      <c r="Q937" s="74"/>
      <c r="R937" s="81"/>
      <c r="S937" s="81"/>
      <c r="T937" s="81"/>
      <c r="U937" s="81"/>
      <c r="V937" s="48"/>
      <c r="W937" s="48"/>
      <c r="X937" s="48"/>
      <c r="Y937" s="48"/>
      <c r="Z937" s="47"/>
      <c r="AA937" s="69"/>
      <c r="AB937" s="69"/>
      <c r="AC937" s="70"/>
      <c r="AD937" t="s">
        <v>5124</v>
      </c>
      <c r="AE937" s="78" t="s">
        <v>6431</v>
      </c>
      <c r="AF937">
        <v>188</v>
      </c>
      <c r="AG937">
        <v>277</v>
      </c>
      <c r="AH937">
        <v>18455</v>
      </c>
      <c r="AI937">
        <v>3396</v>
      </c>
      <c r="AL937" t="s">
        <v>8747</v>
      </c>
      <c r="AO937" s="76">
        <v>39905.074282407404</v>
      </c>
      <c r="AP937" s="79" t="str">
        <f>HYPERLINK("https://pbs.twimg.com/profile_banners/28252556/1657770818")</f>
        <v>https://pbs.twimg.com/profile_banners/28252556/1657770818</v>
      </c>
      <c r="AQ937" t="b">
        <v>0</v>
      </c>
      <c r="AR937" t="b">
        <v>0</v>
      </c>
      <c r="AS937" t="b">
        <v>1</v>
      </c>
      <c r="AU937">
        <v>6</v>
      </c>
      <c r="AV937" s="79" t="str">
        <f>HYPERLINK("https://abs.twimg.com/images/themes/theme1/bg.png")</f>
        <v>https://abs.twimg.com/images/themes/theme1/bg.png</v>
      </c>
      <c r="AW937" t="b">
        <v>0</v>
      </c>
      <c r="AX937" t="s">
        <v>9303</v>
      </c>
      <c r="AY937" s="79" t="str">
        <f>HYPERLINK("https://twitter.com/snowboard_p")</f>
        <v>https://twitter.com/snowboard_p</v>
      </c>
      <c r="AZ937" t="s">
        <v>66</v>
      </c>
      <c r="BA937" s="2"/>
    </row>
    <row r="938" spans="1:53" x14ac:dyDescent="0.45">
      <c r="A938" s="62" t="s">
        <v>943</v>
      </c>
      <c r="B938" s="63"/>
      <c r="C938" s="63"/>
      <c r="D938" s="64"/>
      <c r="E938" s="66"/>
      <c r="F938" s="98" t="str">
        <f>HYPERLINK("https://pbs.twimg.com/profile_images/1259473923835658243/NFLmdOs8_normal.jpg")</f>
        <v>https://pbs.twimg.com/profile_images/1259473923835658243/NFLmdOs8_normal.jpg</v>
      </c>
      <c r="G938" s="63"/>
      <c r="H938" s="67"/>
      <c r="I938" s="68"/>
      <c r="J938" s="68"/>
      <c r="K938" s="67" t="s">
        <v>10383</v>
      </c>
      <c r="L938" s="71"/>
      <c r="M938" s="72"/>
      <c r="N938" s="72"/>
      <c r="O938" s="73"/>
      <c r="P938" s="74"/>
      <c r="Q938" s="74"/>
      <c r="R938" s="81"/>
      <c r="S938" s="81"/>
      <c r="T938" s="81"/>
      <c r="U938" s="81"/>
      <c r="V938" s="48"/>
      <c r="W938" s="48"/>
      <c r="X938" s="48"/>
      <c r="Y938" s="48"/>
      <c r="Z938" s="47"/>
      <c r="AA938" s="69"/>
      <c r="AB938" s="69"/>
      <c r="AC938" s="70"/>
      <c r="AD938" t="s">
        <v>6065</v>
      </c>
      <c r="AE938" s="78" t="s">
        <v>7267</v>
      </c>
      <c r="AF938">
        <v>158</v>
      </c>
      <c r="AG938">
        <v>276</v>
      </c>
      <c r="AH938">
        <v>19751</v>
      </c>
      <c r="AI938">
        <v>19524</v>
      </c>
      <c r="AK938" t="s">
        <v>8431</v>
      </c>
      <c r="AL938" t="s">
        <v>9197</v>
      </c>
      <c r="AO938" s="76">
        <v>43809.060127314813</v>
      </c>
      <c r="AP938" s="79" t="str">
        <f>HYPERLINK("https://pbs.twimg.com/profile_banners/1204210688333434882/1589117054")</f>
        <v>https://pbs.twimg.com/profile_banners/1204210688333434882/1589117054</v>
      </c>
      <c r="AQ938" t="b">
        <v>1</v>
      </c>
      <c r="AR938" t="b">
        <v>0</v>
      </c>
      <c r="AS938" t="b">
        <v>0</v>
      </c>
      <c r="AU938">
        <v>37</v>
      </c>
      <c r="AW938" t="b">
        <v>0</v>
      </c>
      <c r="AX938" t="s">
        <v>9303</v>
      </c>
      <c r="AY938" s="79" t="str">
        <f>HYPERLINK("https://twitter.com/brenman8scott")</f>
        <v>https://twitter.com/brenman8scott</v>
      </c>
      <c r="AZ938" t="s">
        <v>66</v>
      </c>
      <c r="BA938" s="2"/>
    </row>
    <row r="939" spans="1:53" x14ac:dyDescent="0.45">
      <c r="A939" s="62" t="s">
        <v>417</v>
      </c>
      <c r="B939" s="63"/>
      <c r="C939" s="63"/>
      <c r="D939" s="64"/>
      <c r="E939" s="66"/>
      <c r="F939" s="98" t="str">
        <f>HYPERLINK("https://pbs.twimg.com/profile_images/1603814261595291667/3OKcr0iM_normal.jpg")</f>
        <v>https://pbs.twimg.com/profile_images/1603814261595291667/3OKcr0iM_normal.jpg</v>
      </c>
      <c r="G939" s="63"/>
      <c r="H939" s="67"/>
      <c r="I939" s="68"/>
      <c r="J939" s="68"/>
      <c r="K939" s="67" t="s">
        <v>9668</v>
      </c>
      <c r="L939" s="71"/>
      <c r="M939" s="72"/>
      <c r="N939" s="72"/>
      <c r="O939" s="73"/>
      <c r="P939" s="74"/>
      <c r="Q939" s="74"/>
      <c r="R939" s="81"/>
      <c r="S939" s="81"/>
      <c r="T939" s="81"/>
      <c r="U939" s="81"/>
      <c r="V939" s="48"/>
      <c r="W939" s="48"/>
      <c r="X939" s="48"/>
      <c r="Y939" s="48"/>
      <c r="Z939" s="47"/>
      <c r="AA939" s="69"/>
      <c r="AB939" s="69"/>
      <c r="AC939" s="70"/>
      <c r="AD939" t="s">
        <v>5361</v>
      </c>
      <c r="AE939" s="78" t="s">
        <v>6635</v>
      </c>
      <c r="AF939">
        <v>245</v>
      </c>
      <c r="AG939">
        <v>276</v>
      </c>
      <c r="AH939">
        <v>2637</v>
      </c>
      <c r="AI939">
        <v>11407</v>
      </c>
      <c r="AK939" t="s">
        <v>7811</v>
      </c>
      <c r="AO939" s="76">
        <v>44172.983900462961</v>
      </c>
      <c r="AP939" s="79" t="str">
        <f>HYPERLINK("https://pbs.twimg.com/profile_banners/1336092289362513920/1671214040")</f>
        <v>https://pbs.twimg.com/profile_banners/1336092289362513920/1671214040</v>
      </c>
      <c r="AQ939" t="b">
        <v>1</v>
      </c>
      <c r="AR939" t="b">
        <v>0</v>
      </c>
      <c r="AS939" t="b">
        <v>0</v>
      </c>
      <c r="AU939">
        <v>1</v>
      </c>
      <c r="AW939" t="b">
        <v>0</v>
      </c>
      <c r="AX939" t="s">
        <v>9303</v>
      </c>
      <c r="AY939" s="79" t="str">
        <f>HYPERLINK("https://twitter.com/livielovelaugh")</f>
        <v>https://twitter.com/livielovelaugh</v>
      </c>
      <c r="AZ939" t="s">
        <v>66</v>
      </c>
      <c r="BA939" s="2"/>
    </row>
    <row r="940" spans="1:53" x14ac:dyDescent="0.45">
      <c r="A940" s="62" t="s">
        <v>487</v>
      </c>
      <c r="B940" s="63"/>
      <c r="C940" s="63"/>
      <c r="D940" s="64"/>
      <c r="E940" s="66"/>
      <c r="F940" s="98" t="str">
        <f>HYPERLINK("https://pbs.twimg.com/profile_images/1467891904935247873/uwE5adF9_normal.jpg")</f>
        <v>https://pbs.twimg.com/profile_images/1467891904935247873/uwE5adF9_normal.jpg</v>
      </c>
      <c r="G940" s="63"/>
      <c r="H940" s="67"/>
      <c r="I940" s="68"/>
      <c r="J940" s="68"/>
      <c r="K940" s="67" t="s">
        <v>9760</v>
      </c>
      <c r="L940" s="71"/>
      <c r="M940" s="72"/>
      <c r="N940" s="72"/>
      <c r="O940" s="73"/>
      <c r="P940" s="74"/>
      <c r="Q940" s="74"/>
      <c r="R940" s="81"/>
      <c r="S940" s="81"/>
      <c r="T940" s="81"/>
      <c r="U940" s="81"/>
      <c r="V940" s="48"/>
      <c r="W940" s="48"/>
      <c r="X940" s="48"/>
      <c r="Y940" s="48"/>
      <c r="Z940" s="47"/>
      <c r="AA940" s="69"/>
      <c r="AB940" s="69"/>
      <c r="AC940" s="70"/>
      <c r="AD940" t="s">
        <v>5452</v>
      </c>
      <c r="AE940" s="78" t="s">
        <v>6716</v>
      </c>
      <c r="AF940">
        <v>350</v>
      </c>
      <c r="AG940">
        <v>269</v>
      </c>
      <c r="AH940">
        <v>5971</v>
      </c>
      <c r="AI940">
        <v>19205</v>
      </c>
      <c r="AK940" t="s">
        <v>7886</v>
      </c>
      <c r="AO940" s="76">
        <v>44536.672407407408</v>
      </c>
      <c r="AP940" s="79" t="str">
        <f>HYPERLINK("https://pbs.twimg.com/profile_banners/1467888586754301957/1673547744")</f>
        <v>https://pbs.twimg.com/profile_banners/1467888586754301957/1673547744</v>
      </c>
      <c r="AQ940" t="b">
        <v>1</v>
      </c>
      <c r="AR940" t="b">
        <v>0</v>
      </c>
      <c r="AS940" t="b">
        <v>0</v>
      </c>
      <c r="AU940">
        <v>0</v>
      </c>
      <c r="AW940" t="b">
        <v>0</v>
      </c>
      <c r="AX940" t="s">
        <v>9303</v>
      </c>
      <c r="AY940" s="79" t="str">
        <f>HYPERLINK("https://twitter.com/mileystewwartt")</f>
        <v>https://twitter.com/mileystewwartt</v>
      </c>
      <c r="AZ940" t="s">
        <v>66</v>
      </c>
      <c r="BA940" s="2"/>
    </row>
    <row r="941" spans="1:53" x14ac:dyDescent="0.45">
      <c r="A941" s="62" t="s">
        <v>1408</v>
      </c>
      <c r="B941" s="63"/>
      <c r="C941" s="63"/>
      <c r="D941" s="64"/>
      <c r="E941" s="66"/>
      <c r="F941" s="98" t="str">
        <f>HYPERLINK("https://pbs.twimg.com/profile_images/1359166422845435915/KFzD_Zz5_normal.jpg")</f>
        <v>https://pbs.twimg.com/profile_images/1359166422845435915/KFzD_Zz5_normal.jpg</v>
      </c>
      <c r="G941" s="63"/>
      <c r="H941" s="67"/>
      <c r="I941" s="68"/>
      <c r="J941" s="68"/>
      <c r="K941" s="67" t="s">
        <v>10270</v>
      </c>
      <c r="L941" s="71"/>
      <c r="M941" s="72"/>
      <c r="N941" s="72"/>
      <c r="O941" s="73"/>
      <c r="P941" s="74"/>
      <c r="Q941" s="74"/>
      <c r="R941" s="81"/>
      <c r="S941" s="81"/>
      <c r="T941" s="81"/>
      <c r="U941" s="81"/>
      <c r="V941" s="48"/>
      <c r="W941" s="48"/>
      <c r="X941" s="48"/>
      <c r="Y941" s="48"/>
      <c r="Z941" s="47"/>
      <c r="AA941" s="69"/>
      <c r="AB941" s="69"/>
      <c r="AC941" s="70"/>
      <c r="AD941" t="s">
        <v>5953</v>
      </c>
      <c r="AE941" s="78" t="s">
        <v>7165</v>
      </c>
      <c r="AF941">
        <v>650</v>
      </c>
      <c r="AG941">
        <v>268</v>
      </c>
      <c r="AH941">
        <v>1740</v>
      </c>
      <c r="AI941">
        <v>9</v>
      </c>
      <c r="AK941" t="s">
        <v>8331</v>
      </c>
      <c r="AL941" t="s">
        <v>9147</v>
      </c>
      <c r="AM941" s="79" t="str">
        <f>HYPERLINK("https://t.co/EtnELeSmvV")</f>
        <v>https://t.co/EtnELeSmvV</v>
      </c>
      <c r="AO941" s="76">
        <v>40578.063946759263</v>
      </c>
      <c r="AP941" s="79" t="str">
        <f>HYPERLINK("https://pbs.twimg.com/profile_banners/247075714/1550675394")</f>
        <v>https://pbs.twimg.com/profile_banners/247075714/1550675394</v>
      </c>
      <c r="AQ941" t="b">
        <v>0</v>
      </c>
      <c r="AR941" t="b">
        <v>0</v>
      </c>
      <c r="AS941" t="b">
        <v>1</v>
      </c>
      <c r="AU941">
        <v>21</v>
      </c>
      <c r="AV941" s="79" t="str">
        <f>HYPERLINK("https://abs.twimg.com/images/themes/theme17/bg.gif")</f>
        <v>https://abs.twimg.com/images/themes/theme17/bg.gif</v>
      </c>
      <c r="AW941" t="b">
        <v>0</v>
      </c>
      <c r="AX941" t="s">
        <v>9303</v>
      </c>
      <c r="AY941" s="79" t="str">
        <f>HYPERLINK("https://twitter.com/meganmreaves")</f>
        <v>https://twitter.com/meganmreaves</v>
      </c>
      <c r="AZ941" t="s">
        <v>65</v>
      </c>
      <c r="BA941" s="2"/>
    </row>
    <row r="942" spans="1:53" x14ac:dyDescent="0.45">
      <c r="A942" s="62" t="s">
        <v>1079</v>
      </c>
      <c r="B942" s="63"/>
      <c r="C942" s="63"/>
      <c r="D942" s="64"/>
      <c r="E942" s="66"/>
      <c r="F942" s="98" t="str">
        <f>HYPERLINK("https://pbs.twimg.com/profile_images/1613551565129875458/gRvjBK2y_normal.jpg")</f>
        <v>https://pbs.twimg.com/profile_images/1613551565129875458/gRvjBK2y_normal.jpg</v>
      </c>
      <c r="G942" s="63"/>
      <c r="H942" s="67"/>
      <c r="I942" s="68"/>
      <c r="J942" s="68"/>
      <c r="K942" s="67" t="s">
        <v>10616</v>
      </c>
      <c r="L942" s="71"/>
      <c r="M942" s="72"/>
      <c r="N942" s="72"/>
      <c r="O942" s="73"/>
      <c r="P942" s="74"/>
      <c r="Q942" s="74"/>
      <c r="R942" s="81"/>
      <c r="S942" s="81"/>
      <c r="T942" s="81"/>
      <c r="U942" s="81"/>
      <c r="V942" s="48"/>
      <c r="W942" s="48"/>
      <c r="X942" s="48"/>
      <c r="Y942" s="48"/>
      <c r="Z942" s="47"/>
      <c r="AA942" s="69"/>
      <c r="AB942" s="69"/>
      <c r="AC942" s="70"/>
      <c r="AD942" t="s">
        <v>6292</v>
      </c>
      <c r="AE942" s="78" t="s">
        <v>7457</v>
      </c>
      <c r="AF942">
        <v>765</v>
      </c>
      <c r="AG942">
        <v>268</v>
      </c>
      <c r="AH942">
        <v>4488</v>
      </c>
      <c r="AI942">
        <v>13636</v>
      </c>
      <c r="AK942" t="s">
        <v>8638</v>
      </c>
      <c r="AL942" t="s">
        <v>4926</v>
      </c>
      <c r="AO942" s="76">
        <v>44217.908912037034</v>
      </c>
      <c r="AP942" s="79" t="str">
        <f>HYPERLINK("https://pbs.twimg.com/profile_banners/1352372561443758082/1674823325")</f>
        <v>https://pbs.twimg.com/profile_banners/1352372561443758082/1674823325</v>
      </c>
      <c r="AQ942" t="b">
        <v>1</v>
      </c>
      <c r="AR942" t="b">
        <v>0</v>
      </c>
      <c r="AS942" t="b">
        <v>1</v>
      </c>
      <c r="AU942">
        <v>0</v>
      </c>
      <c r="AW942" t="b">
        <v>0</v>
      </c>
      <c r="AX942" t="s">
        <v>9303</v>
      </c>
      <c r="AY942" s="79" t="str">
        <f>HYPERLINK("https://twitter.com/jenneccentric")</f>
        <v>https://twitter.com/jenneccentric</v>
      </c>
      <c r="AZ942" t="s">
        <v>66</v>
      </c>
      <c r="BA942" s="2"/>
    </row>
    <row r="943" spans="1:53" x14ac:dyDescent="0.45">
      <c r="A943" s="62" t="s">
        <v>853</v>
      </c>
      <c r="B943" s="63"/>
      <c r="C943" s="63"/>
      <c r="D943" s="64"/>
      <c r="E943" s="66"/>
      <c r="F943" s="98" t="str">
        <f>HYPERLINK("https://pbs.twimg.com/profile_images/1395119809306759174/j1eNSTi9_normal.jpg")</f>
        <v>https://pbs.twimg.com/profile_images/1395119809306759174/j1eNSTi9_normal.jpg</v>
      </c>
      <c r="G943" s="63"/>
      <c r="H943" s="67"/>
      <c r="I943" s="68"/>
      <c r="J943" s="68"/>
      <c r="K943" s="67" t="s">
        <v>10251</v>
      </c>
      <c r="L943" s="71"/>
      <c r="M943" s="72"/>
      <c r="N943" s="72"/>
      <c r="O943" s="73"/>
      <c r="P943" s="74"/>
      <c r="Q943" s="74"/>
      <c r="R943" s="81"/>
      <c r="S943" s="81"/>
      <c r="T943" s="81"/>
      <c r="U943" s="81"/>
      <c r="V943" s="48"/>
      <c r="W943" s="48"/>
      <c r="X943" s="48"/>
      <c r="Y943" s="48"/>
      <c r="Z943" s="47"/>
      <c r="AA943" s="69"/>
      <c r="AB943" s="69"/>
      <c r="AC943" s="70"/>
      <c r="AD943" t="s">
        <v>5934</v>
      </c>
      <c r="AE943" s="78" t="s">
        <v>7149</v>
      </c>
      <c r="AF943">
        <v>748</v>
      </c>
      <c r="AG943">
        <v>267</v>
      </c>
      <c r="AH943">
        <v>4443</v>
      </c>
      <c r="AI943">
        <v>3451</v>
      </c>
      <c r="AK943" t="s">
        <v>8313</v>
      </c>
      <c r="AL943" t="s">
        <v>8740</v>
      </c>
      <c r="AM943" s="79" t="str">
        <f>HYPERLINK("https://t.co/bYGJN75RAA")</f>
        <v>https://t.co/bYGJN75RAA</v>
      </c>
      <c r="AO943" s="76">
        <v>39999.107789351852</v>
      </c>
      <c r="AP943" s="79" t="str">
        <f>HYPERLINK("https://pbs.twimg.com/profile_banners/53818486/1603393832")</f>
        <v>https://pbs.twimg.com/profile_banners/53818486/1603393832</v>
      </c>
      <c r="AQ943" t="b">
        <v>0</v>
      </c>
      <c r="AR943" t="b">
        <v>0</v>
      </c>
      <c r="AS943" t="b">
        <v>0</v>
      </c>
      <c r="AU943">
        <v>2</v>
      </c>
      <c r="AV943" s="79" t="str">
        <f>HYPERLINK("https://abs.twimg.com/images/themes/theme9/bg.gif")</f>
        <v>https://abs.twimg.com/images/themes/theme9/bg.gif</v>
      </c>
      <c r="AW943" t="b">
        <v>0</v>
      </c>
      <c r="AX943" t="s">
        <v>9303</v>
      </c>
      <c r="AY943" s="79" t="str">
        <f>HYPERLINK("https://twitter.com/adamcorbinmusic")</f>
        <v>https://twitter.com/adamcorbinmusic</v>
      </c>
      <c r="AZ943" t="s">
        <v>66</v>
      </c>
      <c r="BA943" s="2"/>
    </row>
    <row r="944" spans="1:53" x14ac:dyDescent="0.45">
      <c r="A944" s="62" t="s">
        <v>519</v>
      </c>
      <c r="B944" s="63"/>
      <c r="C944" s="63"/>
      <c r="D944" s="64"/>
      <c r="E944" s="66"/>
      <c r="F944" s="98" t="str">
        <f>HYPERLINK("https://pbs.twimg.com/profile_images/1361110512394731520/2uWR9JLX_normal.jpg")</f>
        <v>https://pbs.twimg.com/profile_images/1361110512394731520/2uWR9JLX_normal.jpg</v>
      </c>
      <c r="G944" s="63"/>
      <c r="H944" s="67"/>
      <c r="I944" s="68"/>
      <c r="J944" s="68"/>
      <c r="K944" s="67" t="s">
        <v>9809</v>
      </c>
      <c r="L944" s="71"/>
      <c r="M944" s="72"/>
      <c r="N944" s="72"/>
      <c r="O944" s="73"/>
      <c r="P944" s="74"/>
      <c r="Q944" s="74"/>
      <c r="R944" s="81"/>
      <c r="S944" s="81"/>
      <c r="T944" s="81"/>
      <c r="U944" s="81"/>
      <c r="V944" s="48"/>
      <c r="W944" s="48"/>
      <c r="X944" s="48"/>
      <c r="Y944" s="48"/>
      <c r="Z944" s="47"/>
      <c r="AA944" s="69"/>
      <c r="AB944" s="69"/>
      <c r="AC944" s="70"/>
      <c r="AD944" t="s">
        <v>5500</v>
      </c>
      <c r="AE944" s="78" t="s">
        <v>6755</v>
      </c>
      <c r="AF944">
        <v>742</v>
      </c>
      <c r="AG944">
        <v>264</v>
      </c>
      <c r="AH944">
        <v>7313</v>
      </c>
      <c r="AI944">
        <v>8573</v>
      </c>
      <c r="AK944" t="s">
        <v>7928</v>
      </c>
      <c r="AO944" s="76">
        <v>44240.908587962964</v>
      </c>
      <c r="AP944" s="79" t="str">
        <f>HYPERLINK("https://pbs.twimg.com/profile_banners/1360707304077852672/1638970239")</f>
        <v>https://pbs.twimg.com/profile_banners/1360707304077852672/1638970239</v>
      </c>
      <c r="AQ944" t="b">
        <v>1</v>
      </c>
      <c r="AR944" t="b">
        <v>0</v>
      </c>
      <c r="AS944" t="b">
        <v>0</v>
      </c>
      <c r="AU944">
        <v>2</v>
      </c>
      <c r="AW944" t="b">
        <v>0</v>
      </c>
      <c r="AX944" t="s">
        <v>9303</v>
      </c>
      <c r="AY944" s="79" t="str">
        <f>HYPERLINK("https://twitter.com/callnit365")</f>
        <v>https://twitter.com/callnit365</v>
      </c>
      <c r="AZ944" t="s">
        <v>66</v>
      </c>
      <c r="BA944" s="2"/>
    </row>
    <row r="945" spans="1:53" x14ac:dyDescent="0.45">
      <c r="A945" s="62" t="s">
        <v>729</v>
      </c>
      <c r="B945" s="63"/>
      <c r="C945" s="63"/>
      <c r="D945" s="64"/>
      <c r="E945" s="66"/>
      <c r="F945" s="98" t="str">
        <f>HYPERLINK("https://pbs.twimg.com/profile_images/933716338110996481/c9JeZRLZ_normal.jpg")</f>
        <v>https://pbs.twimg.com/profile_images/933716338110996481/c9JeZRLZ_normal.jpg</v>
      </c>
      <c r="G945" s="63"/>
      <c r="H945" s="67"/>
      <c r="I945" s="68"/>
      <c r="J945" s="68"/>
      <c r="K945" s="67" t="s">
        <v>10075</v>
      </c>
      <c r="L945" s="71"/>
      <c r="M945" s="72"/>
      <c r="N945" s="72"/>
      <c r="O945" s="73"/>
      <c r="P945" s="74"/>
      <c r="Q945" s="74"/>
      <c r="R945" s="81"/>
      <c r="S945" s="81"/>
      <c r="T945" s="81"/>
      <c r="U945" s="81"/>
      <c r="V945" s="48"/>
      <c r="W945" s="48"/>
      <c r="X945" s="48"/>
      <c r="Y945" s="48"/>
      <c r="Z945" s="47"/>
      <c r="AA945" s="69"/>
      <c r="AB945" s="69"/>
      <c r="AC945" s="70"/>
      <c r="AD945" t="s">
        <v>5764</v>
      </c>
      <c r="AE945" s="78" t="s">
        <v>6998</v>
      </c>
      <c r="AF945">
        <v>769</v>
      </c>
      <c r="AG945">
        <v>261</v>
      </c>
      <c r="AH945">
        <v>4879</v>
      </c>
      <c r="AI945">
        <v>13662</v>
      </c>
      <c r="AL945" t="s">
        <v>9066</v>
      </c>
      <c r="AO945" s="76">
        <v>40740.005347222221</v>
      </c>
      <c r="AP945" s="79" t="str">
        <f>HYPERLINK("https://pbs.twimg.com/profile_banners/336247731/1452386705")</f>
        <v>https://pbs.twimg.com/profile_banners/336247731/1452386705</v>
      </c>
      <c r="AQ945" t="b">
        <v>0</v>
      </c>
      <c r="AR945" t="b">
        <v>0</v>
      </c>
      <c r="AS945" t="b">
        <v>1</v>
      </c>
      <c r="AU945">
        <v>9</v>
      </c>
      <c r="AV945" s="79" t="str">
        <f>HYPERLINK("https://abs.twimg.com/images/themes/theme1/bg.png")</f>
        <v>https://abs.twimg.com/images/themes/theme1/bg.png</v>
      </c>
      <c r="AW945" t="b">
        <v>0</v>
      </c>
      <c r="AX945" t="s">
        <v>9303</v>
      </c>
      <c r="AY945" s="79" t="str">
        <f>HYPERLINK("https://twitter.com/jill_lammey")</f>
        <v>https://twitter.com/jill_lammey</v>
      </c>
      <c r="AZ945" t="s">
        <v>66</v>
      </c>
      <c r="BA945" s="2"/>
    </row>
    <row r="946" spans="1:53" x14ac:dyDescent="0.45">
      <c r="A946" s="62" t="s">
        <v>1224</v>
      </c>
      <c r="B946" s="63"/>
      <c r="C946" s="63"/>
      <c r="D946" s="64"/>
      <c r="E946" s="66"/>
      <c r="F946" s="98" t="str">
        <f>HYPERLINK("https://pbs.twimg.com/profile_images/486045947936665601/MsVxmK-N_normal.jpeg")</f>
        <v>https://pbs.twimg.com/profile_images/486045947936665601/MsVxmK-N_normal.jpeg</v>
      </c>
      <c r="G946" s="63"/>
      <c r="H946" s="67"/>
      <c r="I946" s="68"/>
      <c r="J946" s="68"/>
      <c r="K946" s="67" t="s">
        <v>9549</v>
      </c>
      <c r="L946" s="71"/>
      <c r="M946" s="72"/>
      <c r="N946" s="72"/>
      <c r="O946" s="73"/>
      <c r="P946" s="74"/>
      <c r="Q946" s="74"/>
      <c r="R946" s="81"/>
      <c r="S946" s="81"/>
      <c r="T946" s="81"/>
      <c r="U946" s="81"/>
      <c r="V946" s="48"/>
      <c r="W946" s="48"/>
      <c r="X946" s="48"/>
      <c r="Y946" s="48"/>
      <c r="Z946" s="47"/>
      <c r="AA946" s="69"/>
      <c r="AB946" s="69"/>
      <c r="AC946" s="70"/>
      <c r="AD946" t="s">
        <v>5242</v>
      </c>
      <c r="AE946" s="78" t="s">
        <v>6525</v>
      </c>
      <c r="AF946">
        <v>48</v>
      </c>
      <c r="AG946">
        <v>261</v>
      </c>
      <c r="AH946">
        <v>2</v>
      </c>
      <c r="AI946">
        <v>0</v>
      </c>
      <c r="AO946" s="76">
        <v>41827.27847222222</v>
      </c>
      <c r="AP946" s="79" t="str">
        <f>HYPERLINK("https://pbs.twimg.com/profile_banners/2682381190/1404717354")</f>
        <v>https://pbs.twimg.com/profile_banners/2682381190/1404717354</v>
      </c>
      <c r="AQ946" t="b">
        <v>1</v>
      </c>
      <c r="AR946" t="b">
        <v>0</v>
      </c>
      <c r="AS946" t="b">
        <v>0</v>
      </c>
      <c r="AU946">
        <v>1</v>
      </c>
      <c r="AV946" s="79" t="str">
        <f>HYPERLINK("https://abs.twimg.com/images/themes/theme1/bg.png")</f>
        <v>https://abs.twimg.com/images/themes/theme1/bg.png</v>
      </c>
      <c r="AW946" t="b">
        <v>0</v>
      </c>
      <c r="AX946" t="s">
        <v>9303</v>
      </c>
      <c r="AY946" s="79" t="str">
        <f>HYPERLINK("https://twitter.com/volkwagenkenya")</f>
        <v>https://twitter.com/volkwagenkenya</v>
      </c>
      <c r="AZ946" t="s">
        <v>65</v>
      </c>
      <c r="BA946" s="2"/>
    </row>
    <row r="947" spans="1:53" x14ac:dyDescent="0.45">
      <c r="A947" s="62" t="s">
        <v>520</v>
      </c>
      <c r="B947" s="63"/>
      <c r="C947" s="63"/>
      <c r="D947" s="64"/>
      <c r="E947" s="66"/>
      <c r="F947" s="98" t="str">
        <f>HYPERLINK("https://pbs.twimg.com/profile_images/1325165872818782211/GTlTd24K_normal.jpg")</f>
        <v>https://pbs.twimg.com/profile_images/1325165872818782211/GTlTd24K_normal.jpg</v>
      </c>
      <c r="G947" s="63"/>
      <c r="H947" s="67"/>
      <c r="I947" s="68"/>
      <c r="J947" s="68"/>
      <c r="K947" s="67" t="s">
        <v>9810</v>
      </c>
      <c r="L947" s="71"/>
      <c r="M947" s="72"/>
      <c r="N947" s="72"/>
      <c r="O947" s="73"/>
      <c r="P947" s="74"/>
      <c r="Q947" s="74"/>
      <c r="R947" s="81"/>
      <c r="S947" s="81"/>
      <c r="T947" s="81"/>
      <c r="U947" s="81"/>
      <c r="V947" s="48"/>
      <c r="W947" s="48"/>
      <c r="X947" s="48"/>
      <c r="Y947" s="48"/>
      <c r="Z947" s="47"/>
      <c r="AA947" s="69"/>
      <c r="AB947" s="69"/>
      <c r="AC947" s="70"/>
      <c r="AD947" t="s">
        <v>5501</v>
      </c>
      <c r="AE947" s="78" t="s">
        <v>6756</v>
      </c>
      <c r="AF947">
        <v>1456</v>
      </c>
      <c r="AG947">
        <v>258</v>
      </c>
      <c r="AH947">
        <v>13219</v>
      </c>
      <c r="AI947">
        <v>15934</v>
      </c>
      <c r="AK947" t="s">
        <v>7929</v>
      </c>
      <c r="AL947" t="s">
        <v>8928</v>
      </c>
      <c r="AO947" s="76">
        <v>41455.833368055559</v>
      </c>
      <c r="AP947" s="79" t="str">
        <f>HYPERLINK("https://pbs.twimg.com/profile_banners/1558820450/1486583439")</f>
        <v>https://pbs.twimg.com/profile_banners/1558820450/1486583439</v>
      </c>
      <c r="AQ947" t="b">
        <v>0</v>
      </c>
      <c r="AR947" t="b">
        <v>0</v>
      </c>
      <c r="AS947" t="b">
        <v>1</v>
      </c>
      <c r="AU947">
        <v>5</v>
      </c>
      <c r="AV947" s="79" t="str">
        <f>HYPERLINK("https://abs.twimg.com/images/themes/theme1/bg.png")</f>
        <v>https://abs.twimg.com/images/themes/theme1/bg.png</v>
      </c>
      <c r="AW947" t="b">
        <v>0</v>
      </c>
      <c r="AX947" t="s">
        <v>9303</v>
      </c>
      <c r="AY947" s="79" t="str">
        <f>HYPERLINK("https://twitter.com/artistaesoto")</f>
        <v>https://twitter.com/artistaesoto</v>
      </c>
      <c r="AZ947" t="s">
        <v>66</v>
      </c>
      <c r="BA947" s="2"/>
    </row>
    <row r="948" spans="1:53" x14ac:dyDescent="0.45">
      <c r="A948" s="62" t="s">
        <v>1411</v>
      </c>
      <c r="B948" s="63"/>
      <c r="C948" s="63"/>
      <c r="D948" s="64"/>
      <c r="E948" s="66"/>
      <c r="F948" s="98" t="str">
        <f>HYPERLINK("https://pbs.twimg.com/profile_images/539818403251240960/rWcs9WPS_normal.png")</f>
        <v>https://pbs.twimg.com/profile_images/539818403251240960/rWcs9WPS_normal.png</v>
      </c>
      <c r="G948" s="63"/>
      <c r="H948" s="67"/>
      <c r="I948" s="68"/>
      <c r="J948" s="68"/>
      <c r="K948" s="67" t="s">
        <v>10288</v>
      </c>
      <c r="L948" s="71"/>
      <c r="M948" s="72"/>
      <c r="N948" s="72"/>
      <c r="O948" s="73"/>
      <c r="P948" s="74"/>
      <c r="Q948" s="74"/>
      <c r="R948" s="81"/>
      <c r="S948" s="81"/>
      <c r="T948" s="81"/>
      <c r="U948" s="81"/>
      <c r="V948" s="48"/>
      <c r="W948" s="48"/>
      <c r="X948" s="48"/>
      <c r="Y948" s="48"/>
      <c r="Z948" s="47"/>
      <c r="AA948" s="69"/>
      <c r="AB948" s="69"/>
      <c r="AC948" s="70"/>
      <c r="AD948" t="s">
        <v>5971</v>
      </c>
      <c r="AE948" s="78" t="s">
        <v>7183</v>
      </c>
      <c r="AF948">
        <v>0</v>
      </c>
      <c r="AG948">
        <v>257</v>
      </c>
      <c r="AH948">
        <v>1</v>
      </c>
      <c r="AI948">
        <v>0</v>
      </c>
      <c r="AK948" t="s">
        <v>8348</v>
      </c>
      <c r="AL948" t="s">
        <v>9154</v>
      </c>
      <c r="AO948" s="76">
        <v>41975.685439814813</v>
      </c>
      <c r="AQ948" t="b">
        <v>1</v>
      </c>
      <c r="AR948" t="b">
        <v>0</v>
      </c>
      <c r="AS948" t="b">
        <v>0</v>
      </c>
      <c r="AU948">
        <v>2</v>
      </c>
      <c r="AV948" s="79" t="str">
        <f>HYPERLINK("https://abs.twimg.com/images/themes/theme1/bg.png")</f>
        <v>https://abs.twimg.com/images/themes/theme1/bg.png</v>
      </c>
      <c r="AW948" t="b">
        <v>0</v>
      </c>
      <c r="AX948" t="s">
        <v>9303</v>
      </c>
      <c r="AY948" s="79" t="str">
        <f>HYPERLINK("https://twitter.com/restorationhard")</f>
        <v>https://twitter.com/restorationhard</v>
      </c>
      <c r="AZ948" t="s">
        <v>65</v>
      </c>
      <c r="BA948" s="2"/>
    </row>
    <row r="949" spans="1:53" x14ac:dyDescent="0.45">
      <c r="A949" s="62" t="s">
        <v>1101</v>
      </c>
      <c r="B949" s="63"/>
      <c r="C949" s="63"/>
      <c r="D949" s="64"/>
      <c r="E949" s="66"/>
      <c r="F949" s="98" t="str">
        <f>HYPERLINK("https://pbs.twimg.com/profile_images/1611023218722095104/KG5-iX2H_normal.jpg")</f>
        <v>https://pbs.twimg.com/profile_images/1611023218722095104/KG5-iX2H_normal.jpg</v>
      </c>
      <c r="G949" s="63"/>
      <c r="H949" s="67"/>
      <c r="I949" s="68"/>
      <c r="J949" s="68"/>
      <c r="K949" s="67" t="s">
        <v>10649</v>
      </c>
      <c r="L949" s="71"/>
      <c r="M949" s="72"/>
      <c r="N949" s="72"/>
      <c r="O949" s="73"/>
      <c r="P949" s="74"/>
      <c r="Q949" s="74"/>
      <c r="R949" s="81"/>
      <c r="S949" s="81"/>
      <c r="T949" s="81"/>
      <c r="U949" s="81"/>
      <c r="V949" s="48"/>
      <c r="W949" s="48"/>
      <c r="X949" s="48"/>
      <c r="Y949" s="48"/>
      <c r="Z949" s="47"/>
      <c r="AA949" s="69"/>
      <c r="AB949" s="69"/>
      <c r="AC949" s="70"/>
      <c r="AD949" t="s">
        <v>6324</v>
      </c>
      <c r="AE949" s="78" t="s">
        <v>7486</v>
      </c>
      <c r="AF949">
        <v>163</v>
      </c>
      <c r="AG949">
        <v>251</v>
      </c>
      <c r="AH949">
        <v>2249</v>
      </c>
      <c r="AI949">
        <v>5536</v>
      </c>
      <c r="AK949" t="s">
        <v>8669</v>
      </c>
      <c r="AL949" t="s">
        <v>9300</v>
      </c>
      <c r="AO949" s="76">
        <v>42199.129062499997</v>
      </c>
      <c r="AP949" s="79" t="str">
        <f>HYPERLINK("https://pbs.twimg.com/profile_banners/3279075378/1669538362")</f>
        <v>https://pbs.twimg.com/profile_banners/3279075378/1669538362</v>
      </c>
      <c r="AQ949" t="b">
        <v>0</v>
      </c>
      <c r="AR949" t="b">
        <v>0</v>
      </c>
      <c r="AS949" t="b">
        <v>0</v>
      </c>
      <c r="AU949">
        <v>0</v>
      </c>
      <c r="AV949" s="79" t="str">
        <f>HYPERLINK("https://abs.twimg.com/images/themes/theme1/bg.png")</f>
        <v>https://abs.twimg.com/images/themes/theme1/bg.png</v>
      </c>
      <c r="AW949" t="b">
        <v>0</v>
      </c>
      <c r="AX949" t="s">
        <v>9303</v>
      </c>
      <c r="AY949" s="79" t="str">
        <f>HYPERLINK("https://twitter.com/yahairardz_")</f>
        <v>https://twitter.com/yahairardz_</v>
      </c>
      <c r="AZ949" t="s">
        <v>66</v>
      </c>
      <c r="BA949" s="2"/>
    </row>
    <row r="950" spans="1:53" x14ac:dyDescent="0.45">
      <c r="A950" s="62" t="s">
        <v>1150</v>
      </c>
      <c r="B950" s="63"/>
      <c r="C950" s="63"/>
      <c r="D950" s="64"/>
      <c r="E950" s="66"/>
      <c r="F950" s="98" t="str">
        <f>HYPERLINK("https://pbs.twimg.com/profile_images/1277527426894106626/3o4AGiE9_normal.jpg")</f>
        <v>https://pbs.twimg.com/profile_images/1277527426894106626/3o4AGiE9_normal.jpg</v>
      </c>
      <c r="G950" s="63"/>
      <c r="H950" s="67"/>
      <c r="I950" s="68"/>
      <c r="J950" s="68"/>
      <c r="K950" s="67" t="s">
        <v>9382</v>
      </c>
      <c r="L950" s="71"/>
      <c r="M950" s="72"/>
      <c r="N950" s="72"/>
      <c r="O950" s="73"/>
      <c r="P950" s="74"/>
      <c r="Q950" s="74"/>
      <c r="R950" s="81"/>
      <c r="S950" s="81"/>
      <c r="T950" s="81"/>
      <c r="U950" s="81"/>
      <c r="V950" s="48"/>
      <c r="W950" s="48"/>
      <c r="X950" s="48"/>
      <c r="Y950" s="48"/>
      <c r="Z950" s="47"/>
      <c r="AA950" s="69"/>
      <c r="AB950" s="69"/>
      <c r="AC950" s="70"/>
      <c r="AD950" t="s">
        <v>5078</v>
      </c>
      <c r="AE950" s="78" t="s">
        <v>4654</v>
      </c>
      <c r="AF950">
        <v>216</v>
      </c>
      <c r="AG950">
        <v>250</v>
      </c>
      <c r="AH950">
        <v>6655</v>
      </c>
      <c r="AI950">
        <v>9812</v>
      </c>
      <c r="AK950" t="s">
        <v>7563</v>
      </c>
      <c r="AL950" t="s">
        <v>8726</v>
      </c>
      <c r="AM950" s="79" t="str">
        <f>HYPERLINK("https://t.co/THIzOZurEB")</f>
        <v>https://t.co/THIzOZurEB</v>
      </c>
      <c r="AO950" s="76">
        <v>42962.037523148145</v>
      </c>
      <c r="AP950" s="79" t="str">
        <f>HYPERLINK("https://pbs.twimg.com/profile_banners/897260058068762624/1588648438")</f>
        <v>https://pbs.twimg.com/profile_banners/897260058068762624/1588648438</v>
      </c>
      <c r="AQ950" t="b">
        <v>1</v>
      </c>
      <c r="AR950" t="b">
        <v>0</v>
      </c>
      <c r="AS950" t="b">
        <v>1</v>
      </c>
      <c r="AU950">
        <v>3</v>
      </c>
      <c r="AW950" t="b">
        <v>0</v>
      </c>
      <c r="AX950" t="s">
        <v>9303</v>
      </c>
      <c r="AY950" s="79" t="str">
        <f>HYPERLINK("https://twitter.com/mannyg93yt")</f>
        <v>https://twitter.com/mannyg93yt</v>
      </c>
      <c r="AZ950" t="s">
        <v>65</v>
      </c>
      <c r="BA950" s="2"/>
    </row>
    <row r="951" spans="1:53" x14ac:dyDescent="0.45">
      <c r="A951" s="62" t="s">
        <v>1539</v>
      </c>
      <c r="B951" s="63"/>
      <c r="C951" s="63"/>
      <c r="D951" s="64"/>
      <c r="E951" s="66"/>
      <c r="F951" s="98" t="str">
        <f>HYPERLINK("https://pbs.twimg.com/profile_images/1621120350611283968/bYgn20qh_normal.jpg")</f>
        <v>https://pbs.twimg.com/profile_images/1621120350611283968/bYgn20qh_normal.jpg</v>
      </c>
      <c r="G951" s="63"/>
      <c r="H951" s="67"/>
      <c r="I951" s="68"/>
      <c r="J951" s="68"/>
      <c r="K951" s="67" t="s">
        <v>10586</v>
      </c>
      <c r="L951" s="71"/>
      <c r="M951" s="72"/>
      <c r="N951" s="72"/>
      <c r="O951" s="73"/>
      <c r="P951" s="74"/>
      <c r="Q951" s="74"/>
      <c r="R951" s="81"/>
      <c r="S951" s="81"/>
      <c r="T951" s="81"/>
      <c r="U951" s="81"/>
      <c r="V951" s="48"/>
      <c r="W951" s="48"/>
      <c r="X951" s="48"/>
      <c r="Y951" s="48"/>
      <c r="Z951" s="47"/>
      <c r="AA951" s="69"/>
      <c r="AB951" s="69"/>
      <c r="AC951" s="70"/>
      <c r="AD951" t="s">
        <v>6264</v>
      </c>
      <c r="AE951" s="78" t="s">
        <v>4814</v>
      </c>
      <c r="AF951">
        <v>415</v>
      </c>
      <c r="AG951">
        <v>249</v>
      </c>
      <c r="AH951">
        <v>45623</v>
      </c>
      <c r="AI951">
        <v>38437</v>
      </c>
      <c r="AK951" t="s">
        <v>8610</v>
      </c>
      <c r="AL951" t="s">
        <v>9274</v>
      </c>
      <c r="AM951" s="79" t="str">
        <f>HYPERLINK("https://t.co/u7BhQ5RF4m")</f>
        <v>https://t.co/u7BhQ5RF4m</v>
      </c>
      <c r="AO951" s="76">
        <v>43932.363946759258</v>
      </c>
      <c r="AP951" s="79" t="str">
        <f>HYPERLINK("https://pbs.twimg.com/profile_banners/1248894528884477952/1673115374")</f>
        <v>https://pbs.twimg.com/profile_banners/1248894528884477952/1673115374</v>
      </c>
      <c r="AQ951" t="b">
        <v>1</v>
      </c>
      <c r="AR951" t="b">
        <v>0</v>
      </c>
      <c r="AS951" t="b">
        <v>0</v>
      </c>
      <c r="AU951">
        <v>8</v>
      </c>
      <c r="AW951" t="b">
        <v>0</v>
      </c>
      <c r="AX951" t="s">
        <v>9303</v>
      </c>
      <c r="AY951" s="79" t="str">
        <f>HYPERLINK("https://twitter.com/volzuloof_")</f>
        <v>https://twitter.com/volzuloof_</v>
      </c>
      <c r="AZ951" t="s">
        <v>65</v>
      </c>
      <c r="BA951" s="2"/>
    </row>
    <row r="952" spans="1:53" x14ac:dyDescent="0.45">
      <c r="A952" s="62" t="s">
        <v>1543</v>
      </c>
      <c r="B952" s="63"/>
      <c r="C952" s="63"/>
      <c r="D952" s="64"/>
      <c r="E952" s="66"/>
      <c r="F952" s="98" t="str">
        <f>HYPERLINK("https://pbs.twimg.com/profile_images/1363909088996917249/6xzYEe6e_normal.jpg")</f>
        <v>https://pbs.twimg.com/profile_images/1363909088996917249/6xzYEe6e_normal.jpg</v>
      </c>
      <c r="G952" s="63"/>
      <c r="H952" s="67"/>
      <c r="I952" s="68"/>
      <c r="J952" s="68"/>
      <c r="K952" s="67" t="s">
        <v>10593</v>
      </c>
      <c r="L952" s="71"/>
      <c r="M952" s="72"/>
      <c r="N952" s="72"/>
      <c r="O952" s="73"/>
      <c r="P952" s="74"/>
      <c r="Q952" s="74"/>
      <c r="R952" s="81"/>
      <c r="S952" s="81"/>
      <c r="T952" s="81"/>
      <c r="U952" s="81"/>
      <c r="V952" s="48"/>
      <c r="W952" s="48"/>
      <c r="X952" s="48"/>
      <c r="Y952" s="48"/>
      <c r="Z952" s="47"/>
      <c r="AA952" s="69"/>
      <c r="AB952" s="69"/>
      <c r="AC952" s="70"/>
      <c r="AD952" t="s">
        <v>6271</v>
      </c>
      <c r="AE952" s="78" t="s">
        <v>4815</v>
      </c>
      <c r="AF952">
        <v>497</v>
      </c>
      <c r="AG952">
        <v>248</v>
      </c>
      <c r="AH952">
        <v>960</v>
      </c>
      <c r="AI952">
        <v>639</v>
      </c>
      <c r="AK952" t="s">
        <v>8617</v>
      </c>
      <c r="AL952" t="s">
        <v>9279</v>
      </c>
      <c r="AM952" s="79" t="str">
        <f>HYPERLINK("https://t.co/mwpf1CZNu0")</f>
        <v>https://t.co/mwpf1CZNu0</v>
      </c>
      <c r="AO952" s="76">
        <v>44249.743333333332</v>
      </c>
      <c r="AP952" s="79" t="str">
        <f>HYPERLINK("https://pbs.twimg.com/profile_banners/1363908775032348683/1659037251")</f>
        <v>https://pbs.twimg.com/profile_banners/1363908775032348683/1659037251</v>
      </c>
      <c r="AQ952" t="b">
        <v>1</v>
      </c>
      <c r="AR952" t="b">
        <v>0</v>
      </c>
      <c r="AS952" t="b">
        <v>0</v>
      </c>
      <c r="AU952">
        <v>6</v>
      </c>
      <c r="AW952" t="b">
        <v>0</v>
      </c>
      <c r="AX952" t="s">
        <v>9303</v>
      </c>
      <c r="AY952" s="79" t="str">
        <f>HYPERLINK("https://twitter.com/shopifreaks")</f>
        <v>https://twitter.com/shopifreaks</v>
      </c>
      <c r="AZ952" t="s">
        <v>65</v>
      </c>
      <c r="BA952" s="2"/>
    </row>
    <row r="953" spans="1:53" x14ac:dyDescent="0.45">
      <c r="A953" s="62" t="s">
        <v>631</v>
      </c>
      <c r="B953" s="63"/>
      <c r="C953" s="63"/>
      <c r="D953" s="64"/>
      <c r="E953" s="66"/>
      <c r="F953" s="98" t="str">
        <f>HYPERLINK("https://pbs.twimg.com/profile_images/882346015264620544/qUMeMMxp_normal.jpg")</f>
        <v>https://pbs.twimg.com/profile_images/882346015264620544/qUMeMMxp_normal.jpg</v>
      </c>
      <c r="G953" s="63"/>
      <c r="H953" s="67"/>
      <c r="I953" s="68"/>
      <c r="J953" s="68"/>
      <c r="K953" s="67" t="s">
        <v>9940</v>
      </c>
      <c r="L953" s="71"/>
      <c r="M953" s="72"/>
      <c r="N953" s="72"/>
      <c r="O953" s="73"/>
      <c r="P953" s="74"/>
      <c r="Q953" s="74"/>
      <c r="R953" s="81"/>
      <c r="S953" s="81"/>
      <c r="T953" s="81"/>
      <c r="U953" s="81"/>
      <c r="V953" s="48"/>
      <c r="W953" s="48"/>
      <c r="X953" s="48"/>
      <c r="Y953" s="48"/>
      <c r="Z953" s="47"/>
      <c r="AA953" s="69"/>
      <c r="AB953" s="69"/>
      <c r="AC953" s="70"/>
      <c r="AD953" t="s">
        <v>5631</v>
      </c>
      <c r="AE953" s="78" t="s">
        <v>6874</v>
      </c>
      <c r="AF953">
        <v>1205</v>
      </c>
      <c r="AG953">
        <v>247</v>
      </c>
      <c r="AH953">
        <v>14671</v>
      </c>
      <c r="AI953">
        <v>29832</v>
      </c>
      <c r="AK953" t="s">
        <v>8047</v>
      </c>
      <c r="AL953" t="s">
        <v>9007</v>
      </c>
      <c r="AM953" s="79" t="str">
        <f>HYPERLINK("https://t.co/oDxqYs7eiN")</f>
        <v>https://t.co/oDxqYs7eiN</v>
      </c>
      <c r="AO953" s="76">
        <v>40520.921481481484</v>
      </c>
      <c r="AQ953" t="b">
        <v>1</v>
      </c>
      <c r="AR953" t="b">
        <v>0</v>
      </c>
      <c r="AS953" t="b">
        <v>0</v>
      </c>
      <c r="AU953">
        <v>7</v>
      </c>
      <c r="AV953" s="79" t="str">
        <f>HYPERLINK("https://abs.twimg.com/images/themes/theme1/bg.png")</f>
        <v>https://abs.twimg.com/images/themes/theme1/bg.png</v>
      </c>
      <c r="AW953" t="b">
        <v>0</v>
      </c>
      <c r="AX953" t="s">
        <v>9303</v>
      </c>
      <c r="AY953" s="79" t="str">
        <f>HYPERLINK("https://twitter.com/romyyourock")</f>
        <v>https://twitter.com/romyyourock</v>
      </c>
      <c r="AZ953" t="s">
        <v>66</v>
      </c>
      <c r="BA953" s="2"/>
    </row>
    <row r="954" spans="1:53" x14ac:dyDescent="0.45">
      <c r="A954" s="62" t="s">
        <v>606</v>
      </c>
      <c r="B954" s="63"/>
      <c r="C954" s="63"/>
      <c r="D954" s="64"/>
      <c r="E954" s="66"/>
      <c r="F954" s="98" t="str">
        <f>HYPERLINK("https://pbs.twimg.com/profile_images/1579963660729974789/9HuqDqbd_normal.jpg")</f>
        <v>https://pbs.twimg.com/profile_images/1579963660729974789/9HuqDqbd_normal.jpg</v>
      </c>
      <c r="G954" s="63"/>
      <c r="H954" s="67"/>
      <c r="I954" s="68"/>
      <c r="J954" s="68"/>
      <c r="K954" s="67" t="s">
        <v>9904</v>
      </c>
      <c r="L954" s="71"/>
      <c r="M954" s="72"/>
      <c r="N954" s="72"/>
      <c r="O954" s="73"/>
      <c r="P954" s="74"/>
      <c r="Q954" s="74"/>
      <c r="R954" s="81"/>
      <c r="S954" s="81"/>
      <c r="T954" s="81"/>
      <c r="U954" s="81"/>
      <c r="V954" s="48"/>
      <c r="W954" s="48"/>
      <c r="X954" s="48"/>
      <c r="Y954" s="48"/>
      <c r="Z954" s="47"/>
      <c r="AA954" s="69"/>
      <c r="AB954" s="69"/>
      <c r="AC954" s="70"/>
      <c r="AD954" t="s">
        <v>5595</v>
      </c>
      <c r="AE954" s="78" t="s">
        <v>6840</v>
      </c>
      <c r="AF954">
        <v>217</v>
      </c>
      <c r="AG954">
        <v>247</v>
      </c>
      <c r="AH954">
        <v>8566</v>
      </c>
      <c r="AI954">
        <v>28373</v>
      </c>
      <c r="AK954" t="s">
        <v>8018</v>
      </c>
      <c r="AL954" t="s">
        <v>8987</v>
      </c>
      <c r="AO954" s="76">
        <v>39931.663576388892</v>
      </c>
      <c r="AP954" s="79" t="str">
        <f>HYPERLINK("https://pbs.twimg.com/profile_banners/36100798/1665527676")</f>
        <v>https://pbs.twimg.com/profile_banners/36100798/1665527676</v>
      </c>
      <c r="AQ954" t="b">
        <v>0</v>
      </c>
      <c r="AR954" t="b">
        <v>0</v>
      </c>
      <c r="AS954" t="b">
        <v>0</v>
      </c>
      <c r="AU954">
        <v>2</v>
      </c>
      <c r="AV954" s="79" t="str">
        <f>HYPERLINK("https://abs.twimg.com/images/themes/theme1/bg.png")</f>
        <v>https://abs.twimg.com/images/themes/theme1/bg.png</v>
      </c>
      <c r="AW954" t="b">
        <v>0</v>
      </c>
      <c r="AX954" t="s">
        <v>9303</v>
      </c>
      <c r="AY954" s="79" t="str">
        <f>HYPERLINK("https://twitter.com/bjorn501")</f>
        <v>https://twitter.com/bjorn501</v>
      </c>
      <c r="AZ954" t="s">
        <v>66</v>
      </c>
      <c r="BA954" s="2"/>
    </row>
    <row r="955" spans="1:53" x14ac:dyDescent="0.45">
      <c r="A955" s="62" t="s">
        <v>957</v>
      </c>
      <c r="B955" s="63"/>
      <c r="C955" s="63"/>
      <c r="D955" s="64"/>
      <c r="E955" s="66"/>
      <c r="F955" s="98" t="str">
        <f>HYPERLINK("https://pbs.twimg.com/profile_images/684041596921331712/JG0HS6k4_normal.jpg")</f>
        <v>https://pbs.twimg.com/profile_images/684041596921331712/JG0HS6k4_normal.jpg</v>
      </c>
      <c r="G955" s="63"/>
      <c r="H955" s="67"/>
      <c r="I955" s="68"/>
      <c r="J955" s="68"/>
      <c r="K955" s="67" t="s">
        <v>9350</v>
      </c>
      <c r="L955" s="71"/>
      <c r="M955" s="72"/>
      <c r="N955" s="72"/>
      <c r="O955" s="73"/>
      <c r="P955" s="74"/>
      <c r="Q955" s="74"/>
      <c r="R955" s="81"/>
      <c r="S955" s="81"/>
      <c r="T955" s="81"/>
      <c r="U955" s="81"/>
      <c r="V955" s="48"/>
      <c r="W955" s="48"/>
      <c r="X955" s="48"/>
      <c r="Y955" s="48"/>
      <c r="Z955" s="47"/>
      <c r="AA955" s="69"/>
      <c r="AB955" s="69"/>
      <c r="AC955" s="70"/>
      <c r="AD955" t="s">
        <v>5046</v>
      </c>
      <c r="AE955" s="78" t="s">
        <v>6364</v>
      </c>
      <c r="AF955">
        <v>146</v>
      </c>
      <c r="AG955">
        <v>244</v>
      </c>
      <c r="AH955">
        <v>476</v>
      </c>
      <c r="AI955">
        <v>251</v>
      </c>
      <c r="AK955" t="s">
        <v>7534</v>
      </c>
      <c r="AM955" s="79" t="str">
        <f>HYPERLINK("https://t.co/BSUgK1QqUx")</f>
        <v>https://t.co/BSUgK1QqUx</v>
      </c>
      <c r="AO955" s="76">
        <v>42373.665023148147</v>
      </c>
      <c r="AQ955" t="b">
        <v>1</v>
      </c>
      <c r="AR955" t="b">
        <v>0</v>
      </c>
      <c r="AS955" t="b">
        <v>0</v>
      </c>
      <c r="AU955">
        <v>3</v>
      </c>
      <c r="AW955" t="b">
        <v>0</v>
      </c>
      <c r="AX955" t="s">
        <v>9303</v>
      </c>
      <c r="AY955" s="79" t="str">
        <f>HYPERLINK("https://twitter.com/noahbarsky")</f>
        <v>https://twitter.com/noahbarsky</v>
      </c>
      <c r="AZ955" t="s">
        <v>66</v>
      </c>
      <c r="BA955" s="2"/>
    </row>
    <row r="956" spans="1:53" x14ac:dyDescent="0.45">
      <c r="A956" s="62" t="s">
        <v>1229</v>
      </c>
      <c r="B956" s="63"/>
      <c r="C956" s="63"/>
      <c r="D956" s="64"/>
      <c r="E956" s="66"/>
      <c r="F956" s="98" t="str">
        <f>HYPERLINK("https://pbs.twimg.com/profile_images/1272711397718163456/9dNJjq2v_normal.jpg")</f>
        <v>https://pbs.twimg.com/profile_images/1272711397718163456/9dNJjq2v_normal.jpg</v>
      </c>
      <c r="G956" s="63"/>
      <c r="H956" s="67"/>
      <c r="I956" s="68"/>
      <c r="J956" s="68"/>
      <c r="K956" s="67" t="s">
        <v>9562</v>
      </c>
      <c r="L956" s="71"/>
      <c r="M956" s="72"/>
      <c r="N956" s="72"/>
      <c r="O956" s="73"/>
      <c r="P956" s="74"/>
      <c r="Q956" s="74"/>
      <c r="R956" s="81"/>
      <c r="S956" s="81"/>
      <c r="T956" s="81"/>
      <c r="U956" s="81"/>
      <c r="V956" s="48"/>
      <c r="W956" s="48"/>
      <c r="X956" s="48"/>
      <c r="Y956" s="48"/>
      <c r="Z956" s="47"/>
      <c r="AA956" s="69"/>
      <c r="AB956" s="69"/>
      <c r="AC956" s="70"/>
      <c r="AD956" t="s">
        <v>5255</v>
      </c>
      <c r="AE956" s="78" t="s">
        <v>4683</v>
      </c>
      <c r="AF956">
        <v>597</v>
      </c>
      <c r="AG956">
        <v>243</v>
      </c>
      <c r="AH956">
        <v>48310</v>
      </c>
      <c r="AI956">
        <v>25506</v>
      </c>
      <c r="AK956" t="s">
        <v>7719</v>
      </c>
      <c r="AL956" t="s">
        <v>8815</v>
      </c>
      <c r="AM956" s="79" t="str">
        <f>HYPERLINK("https://t.co/2DYZOaiNht")</f>
        <v>https://t.co/2DYZOaiNht</v>
      </c>
      <c r="AO956" s="76">
        <v>41021.815162037034</v>
      </c>
      <c r="AP956" s="79" t="str">
        <f>HYPERLINK("https://pbs.twimg.com/profile_banners/560542237/1592272982")</f>
        <v>https://pbs.twimg.com/profile_banners/560542237/1592272982</v>
      </c>
      <c r="AQ956" t="b">
        <v>0</v>
      </c>
      <c r="AR956" t="b">
        <v>0</v>
      </c>
      <c r="AS956" t="b">
        <v>1</v>
      </c>
      <c r="AU956">
        <v>13</v>
      </c>
      <c r="AV956" s="79" t="str">
        <f>HYPERLINK("https://abs.twimg.com/images/themes/theme1/bg.png")</f>
        <v>https://abs.twimg.com/images/themes/theme1/bg.png</v>
      </c>
      <c r="AW956" t="b">
        <v>0</v>
      </c>
      <c r="AX956" t="s">
        <v>9303</v>
      </c>
      <c r="AY956" s="79" t="str">
        <f>HYPERLINK("https://twitter.com/thenamespsi")</f>
        <v>https://twitter.com/thenamespsi</v>
      </c>
      <c r="AZ956" t="s">
        <v>65</v>
      </c>
      <c r="BA956" s="2"/>
    </row>
    <row r="957" spans="1:53" x14ac:dyDescent="0.45">
      <c r="A957" s="62" t="s">
        <v>710</v>
      </c>
      <c r="B957" s="63"/>
      <c r="C957" s="63"/>
      <c r="D957" s="64"/>
      <c r="E957" s="66"/>
      <c r="F957" s="98" t="str">
        <f>HYPERLINK("https://pbs.twimg.com/profile_images/1562807520711802880/-RRqQIUQ_normal.jpg")</f>
        <v>https://pbs.twimg.com/profile_images/1562807520711802880/-RRqQIUQ_normal.jpg</v>
      </c>
      <c r="G957" s="63"/>
      <c r="H957" s="67"/>
      <c r="I957" s="68"/>
      <c r="J957" s="68"/>
      <c r="K957" s="67" t="s">
        <v>10047</v>
      </c>
      <c r="L957" s="71"/>
      <c r="M957" s="72"/>
      <c r="N957" s="72"/>
      <c r="O957" s="73"/>
      <c r="P957" s="74"/>
      <c r="Q957" s="74"/>
      <c r="R957" s="81"/>
      <c r="S957" s="81"/>
      <c r="T957" s="81"/>
      <c r="U957" s="81"/>
      <c r="V957" s="48"/>
      <c r="W957" s="48"/>
      <c r="X957" s="48"/>
      <c r="Y957" s="48"/>
      <c r="Z957" s="47"/>
      <c r="AA957" s="69"/>
      <c r="AB957" s="69"/>
      <c r="AC957" s="70"/>
      <c r="AD957" t="s">
        <v>5736</v>
      </c>
      <c r="AE957" s="78" t="s">
        <v>6973</v>
      </c>
      <c r="AF957">
        <v>509</v>
      </c>
      <c r="AG957">
        <v>243</v>
      </c>
      <c r="AH957">
        <v>2430</v>
      </c>
      <c r="AI957">
        <v>9722</v>
      </c>
      <c r="AK957" t="s">
        <v>8134</v>
      </c>
      <c r="AL957" t="s">
        <v>8784</v>
      </c>
      <c r="AO957" s="76">
        <v>41258.023356481484</v>
      </c>
      <c r="AP957" s="79" t="str">
        <f>HYPERLINK("https://pbs.twimg.com/profile_banners/1012261507/1442706858")</f>
        <v>https://pbs.twimg.com/profile_banners/1012261507/1442706858</v>
      </c>
      <c r="AQ957" t="b">
        <v>1</v>
      </c>
      <c r="AR957" t="b">
        <v>0</v>
      </c>
      <c r="AS957" t="b">
        <v>1</v>
      </c>
      <c r="AU957">
        <v>2</v>
      </c>
      <c r="AV957" s="79" t="str">
        <f>HYPERLINK("https://abs.twimg.com/images/themes/theme1/bg.png")</f>
        <v>https://abs.twimg.com/images/themes/theme1/bg.png</v>
      </c>
      <c r="AW957" t="b">
        <v>0</v>
      </c>
      <c r="AX957" t="s">
        <v>9303</v>
      </c>
      <c r="AY957" s="79" t="str">
        <f>HYPERLINK("https://twitter.com/elisehansen53")</f>
        <v>https://twitter.com/elisehansen53</v>
      </c>
      <c r="AZ957" t="s">
        <v>66</v>
      </c>
      <c r="BA957" s="2"/>
    </row>
    <row r="958" spans="1:53" x14ac:dyDescent="0.45">
      <c r="A958" s="62" t="s">
        <v>447</v>
      </c>
      <c r="B958" s="63"/>
      <c r="C958" s="63"/>
      <c r="D958" s="64"/>
      <c r="E958" s="66"/>
      <c r="F958" s="98" t="str">
        <f>HYPERLINK("https://pbs.twimg.com/profile_images/1605063568147288065/FnP2UFyq_normal.jpg")</f>
        <v>https://pbs.twimg.com/profile_images/1605063568147288065/FnP2UFyq_normal.jpg</v>
      </c>
      <c r="G958" s="63"/>
      <c r="H958" s="67"/>
      <c r="I958" s="68"/>
      <c r="J958" s="68"/>
      <c r="K958" s="67" t="s">
        <v>9706</v>
      </c>
      <c r="L958" s="71"/>
      <c r="M958" s="72"/>
      <c r="N958" s="72"/>
      <c r="O958" s="73"/>
      <c r="P958" s="74"/>
      <c r="Q958" s="74"/>
      <c r="R958" s="81"/>
      <c r="S958" s="81"/>
      <c r="T958" s="81"/>
      <c r="U958" s="81"/>
      <c r="V958" s="48"/>
      <c r="W958" s="48"/>
      <c r="X958" s="48"/>
      <c r="Y958" s="48"/>
      <c r="Z958" s="47"/>
      <c r="AA958" s="69"/>
      <c r="AB958" s="69"/>
      <c r="AC958" s="70"/>
      <c r="AD958" t="s">
        <v>5398</v>
      </c>
      <c r="AE958" s="78" t="s">
        <v>6671</v>
      </c>
      <c r="AF958">
        <v>441</v>
      </c>
      <c r="AG958">
        <v>241</v>
      </c>
      <c r="AH958">
        <v>7531</v>
      </c>
      <c r="AI958">
        <v>1364</v>
      </c>
      <c r="AK958" t="s">
        <v>7840</v>
      </c>
      <c r="AL958" t="s">
        <v>8879</v>
      </c>
      <c r="AM958" s="79" t="str">
        <f>HYPERLINK("https://t.co/Kz0Bn16BWK")</f>
        <v>https://t.co/Kz0Bn16BWK</v>
      </c>
      <c r="AO958" s="76">
        <v>40791.913321759261</v>
      </c>
      <c r="AP958" s="79" t="str">
        <f>HYPERLINK("https://pbs.twimg.com/profile_banners/368586735/1572959297")</f>
        <v>https://pbs.twimg.com/profile_banners/368586735/1572959297</v>
      </c>
      <c r="AQ958" t="b">
        <v>0</v>
      </c>
      <c r="AR958" t="b">
        <v>0</v>
      </c>
      <c r="AS958" t="b">
        <v>1</v>
      </c>
      <c r="AU958">
        <v>7</v>
      </c>
      <c r="AV958" s="79" t="str">
        <f>HYPERLINK("https://abs.twimg.com/images/themes/theme1/bg.png")</f>
        <v>https://abs.twimg.com/images/themes/theme1/bg.png</v>
      </c>
      <c r="AW958" t="b">
        <v>0</v>
      </c>
      <c r="AX958" t="s">
        <v>9303</v>
      </c>
      <c r="AY958" s="79" t="str">
        <f>HYPERLINK("https://twitter.com/themattsedlak")</f>
        <v>https://twitter.com/themattsedlak</v>
      </c>
      <c r="AZ958" t="s">
        <v>66</v>
      </c>
      <c r="BA958" s="2"/>
    </row>
    <row r="959" spans="1:53" x14ac:dyDescent="0.45">
      <c r="A959" s="62" t="s">
        <v>340</v>
      </c>
      <c r="B959" s="63"/>
      <c r="C959" s="63"/>
      <c r="D959" s="64"/>
      <c r="E959" s="66"/>
      <c r="F959" s="98" t="str">
        <f>HYPERLINK("https://pbs.twimg.com/profile_images/1611886206458929153/IzYCmpyc_normal.jpg")</f>
        <v>https://pbs.twimg.com/profile_images/1611886206458929153/IzYCmpyc_normal.jpg</v>
      </c>
      <c r="G959" s="63"/>
      <c r="H959" s="67"/>
      <c r="I959" s="68"/>
      <c r="J959" s="68"/>
      <c r="K959" s="67" t="s">
        <v>9560</v>
      </c>
      <c r="L959" s="71"/>
      <c r="M959" s="72"/>
      <c r="N959" s="72"/>
      <c r="O959" s="73"/>
      <c r="P959" s="74"/>
      <c r="Q959" s="74"/>
      <c r="R959" s="81"/>
      <c r="S959" s="81"/>
      <c r="T959" s="81"/>
      <c r="U959" s="81"/>
      <c r="V959" s="48"/>
      <c r="W959" s="48"/>
      <c r="X959" s="48"/>
      <c r="Y959" s="48"/>
      <c r="Z959" s="47"/>
      <c r="AA959" s="69"/>
      <c r="AB959" s="69"/>
      <c r="AC959" s="70"/>
      <c r="AD959" t="s">
        <v>5253</v>
      </c>
      <c r="AE959" s="78" t="s">
        <v>6534</v>
      </c>
      <c r="AF959">
        <v>1786</v>
      </c>
      <c r="AG959">
        <v>241</v>
      </c>
      <c r="AH959">
        <v>2573</v>
      </c>
      <c r="AI959">
        <v>8708</v>
      </c>
      <c r="AK959" t="s">
        <v>7717</v>
      </c>
      <c r="AL959" t="s">
        <v>8813</v>
      </c>
      <c r="AM959" s="79" t="str">
        <f>HYPERLINK("https://t.co/h2SmZOpN2l")</f>
        <v>https://t.co/h2SmZOpN2l</v>
      </c>
      <c r="AO959" s="76">
        <v>41783.589479166665</v>
      </c>
      <c r="AP959" s="79" t="str">
        <f>HYPERLINK("https://pbs.twimg.com/profile_banners/2520558428/1617652096")</f>
        <v>https://pbs.twimg.com/profile_banners/2520558428/1617652096</v>
      </c>
      <c r="AQ959" t="b">
        <v>1</v>
      </c>
      <c r="AR959" t="b">
        <v>0</v>
      </c>
      <c r="AS959" t="b">
        <v>1</v>
      </c>
      <c r="AU959">
        <v>2</v>
      </c>
      <c r="AV959" s="79" t="str">
        <f>HYPERLINK("https://abs.twimg.com/images/themes/theme1/bg.png")</f>
        <v>https://abs.twimg.com/images/themes/theme1/bg.png</v>
      </c>
      <c r="AW959" t="b">
        <v>0</v>
      </c>
      <c r="AX959" t="s">
        <v>9303</v>
      </c>
      <c r="AY959" s="79" t="str">
        <f>HYPERLINK("https://twitter.com/jayhors")</f>
        <v>https://twitter.com/jayhors</v>
      </c>
      <c r="AZ959" t="s">
        <v>66</v>
      </c>
      <c r="BA959" s="2"/>
    </row>
    <row r="960" spans="1:53" x14ac:dyDescent="0.45">
      <c r="A960" s="62" t="s">
        <v>273</v>
      </c>
      <c r="B960" s="63"/>
      <c r="C960" s="63"/>
      <c r="D960" s="64"/>
      <c r="E960" s="66"/>
      <c r="F960" s="98" t="str">
        <f>HYPERLINK("https://pbs.twimg.com/profile_images/1313302083450236930/6pLqzl0R_normal.png")</f>
        <v>https://pbs.twimg.com/profile_images/1313302083450236930/6pLqzl0R_normal.png</v>
      </c>
      <c r="G960" s="63"/>
      <c r="H960" s="67"/>
      <c r="I960" s="68"/>
      <c r="J960" s="68"/>
      <c r="K960" s="67" t="s">
        <v>9422</v>
      </c>
      <c r="L960" s="71"/>
      <c r="M960" s="72"/>
      <c r="N960" s="72"/>
      <c r="O960" s="73"/>
      <c r="P960" s="74"/>
      <c r="Q960" s="74"/>
      <c r="R960" s="81"/>
      <c r="S960" s="81"/>
      <c r="T960" s="81"/>
      <c r="U960" s="81"/>
      <c r="V960" s="48"/>
      <c r="W960" s="48"/>
      <c r="X960" s="48"/>
      <c r="Y960" s="48"/>
      <c r="Z960" s="47"/>
      <c r="AA960" s="69"/>
      <c r="AB960" s="69"/>
      <c r="AC960" s="70"/>
      <c r="AD960" t="s">
        <v>5116</v>
      </c>
      <c r="AE960" s="78" t="s">
        <v>6424</v>
      </c>
      <c r="AF960">
        <v>4</v>
      </c>
      <c r="AG960">
        <v>241</v>
      </c>
      <c r="AH960">
        <v>191</v>
      </c>
      <c r="AI960">
        <v>142</v>
      </c>
      <c r="AK960" t="s">
        <v>7595</v>
      </c>
      <c r="AM960" s="79" t="str">
        <f>HYPERLINK("https://t.co/LnX4BV7tFm")</f>
        <v>https://t.co/LnX4BV7tFm</v>
      </c>
      <c r="AO960" s="76">
        <v>44103.097800925927</v>
      </c>
      <c r="AP960" s="79" t="str">
        <f>HYPERLINK("https://pbs.twimg.com/profile_banners/1310766030654824448/1601348109")</f>
        <v>https://pbs.twimg.com/profile_banners/1310766030654824448/1601348109</v>
      </c>
      <c r="AQ960" t="b">
        <v>1</v>
      </c>
      <c r="AR960" t="b">
        <v>0</v>
      </c>
      <c r="AS960" t="b">
        <v>1</v>
      </c>
      <c r="AU960">
        <v>1</v>
      </c>
      <c r="AW960" t="b">
        <v>0</v>
      </c>
      <c r="AX960" t="s">
        <v>9303</v>
      </c>
      <c r="AY960" s="79" t="str">
        <f>HYPERLINK("https://twitter.com/mujin_global")</f>
        <v>https://twitter.com/mujin_global</v>
      </c>
      <c r="AZ960" t="s">
        <v>66</v>
      </c>
      <c r="BA960" s="2"/>
    </row>
    <row r="961" spans="1:53" x14ac:dyDescent="0.45">
      <c r="A961" s="62" t="s">
        <v>1026</v>
      </c>
      <c r="B961" s="63"/>
      <c r="C961" s="63"/>
      <c r="D961" s="64"/>
      <c r="E961" s="66"/>
      <c r="F961" s="98" t="str">
        <f>HYPERLINK("https://pbs.twimg.com/profile_images/1621083604972408832/xGRwuI1l_normal.jpg")</f>
        <v>https://pbs.twimg.com/profile_images/1621083604972408832/xGRwuI1l_normal.jpg</v>
      </c>
      <c r="G961" s="63"/>
      <c r="H961" s="67"/>
      <c r="I961" s="68"/>
      <c r="J961" s="68"/>
      <c r="K961" s="67" t="s">
        <v>10512</v>
      </c>
      <c r="L961" s="71"/>
      <c r="M961" s="72"/>
      <c r="N961" s="72"/>
      <c r="O961" s="73"/>
      <c r="P961" s="74"/>
      <c r="Q961" s="74"/>
      <c r="R961" s="81"/>
      <c r="S961" s="81"/>
      <c r="T961" s="81"/>
      <c r="U961" s="81"/>
      <c r="V961" s="48"/>
      <c r="W961" s="48"/>
      <c r="X961" s="48"/>
      <c r="Y961" s="48"/>
      <c r="Z961" s="47"/>
      <c r="AA961" s="69"/>
      <c r="AB961" s="69"/>
      <c r="AC961" s="70"/>
      <c r="AD961" t="s">
        <v>6190</v>
      </c>
      <c r="AE961" s="78" t="s">
        <v>7373</v>
      </c>
      <c r="AF961">
        <v>547</v>
      </c>
      <c r="AG961">
        <v>240</v>
      </c>
      <c r="AH961">
        <v>10104</v>
      </c>
      <c r="AI961">
        <v>12470</v>
      </c>
      <c r="AL961" t="s">
        <v>4899</v>
      </c>
      <c r="AO961" s="76">
        <v>42016.564930555556</v>
      </c>
      <c r="AP961" s="79" t="str">
        <f>HYPERLINK("https://pbs.twimg.com/profile_banners/2976811224/1546511860")</f>
        <v>https://pbs.twimg.com/profile_banners/2976811224/1546511860</v>
      </c>
      <c r="AQ961" t="b">
        <v>1</v>
      </c>
      <c r="AR961" t="b">
        <v>0</v>
      </c>
      <c r="AS961" t="b">
        <v>1</v>
      </c>
      <c r="AU961">
        <v>6</v>
      </c>
      <c r="AV961" s="79" t="str">
        <f>HYPERLINK("https://abs.twimg.com/images/themes/theme1/bg.png")</f>
        <v>https://abs.twimg.com/images/themes/theme1/bg.png</v>
      </c>
      <c r="AW961" t="b">
        <v>0</v>
      </c>
      <c r="AX961" t="s">
        <v>9303</v>
      </c>
      <c r="AY961" s="79" t="str">
        <f>HYPERLINK("https://twitter.com/rdd91290")</f>
        <v>https://twitter.com/rdd91290</v>
      </c>
      <c r="AZ961" t="s">
        <v>66</v>
      </c>
      <c r="BA961" s="2"/>
    </row>
    <row r="962" spans="1:53" x14ac:dyDescent="0.45">
      <c r="A962" s="62" t="s">
        <v>261</v>
      </c>
      <c r="B962" s="63"/>
      <c r="C962" s="63"/>
      <c r="D962" s="64"/>
      <c r="E962" s="66"/>
      <c r="F962" s="98" t="str">
        <f>HYPERLINK("https://pbs.twimg.com/profile_images/1613302994811985922/VvQ4UWVJ_normal.jpg")</f>
        <v>https://pbs.twimg.com/profile_images/1613302994811985922/VvQ4UWVJ_normal.jpg</v>
      </c>
      <c r="G962" s="63"/>
      <c r="H962" s="67"/>
      <c r="I962" s="68"/>
      <c r="J962" s="68"/>
      <c r="K962" s="67" t="s">
        <v>9404</v>
      </c>
      <c r="L962" s="71"/>
      <c r="M962" s="72"/>
      <c r="N962" s="72"/>
      <c r="O962" s="73"/>
      <c r="P962" s="74"/>
      <c r="Q962" s="74"/>
      <c r="R962" s="81"/>
      <c r="S962" s="81"/>
      <c r="T962" s="81"/>
      <c r="U962" s="81"/>
      <c r="V962" s="48"/>
      <c r="W962" s="48"/>
      <c r="X962" s="48"/>
      <c r="Y962" s="48"/>
      <c r="Z962" s="47"/>
      <c r="AA962" s="69"/>
      <c r="AB962" s="69"/>
      <c r="AC962" s="70"/>
      <c r="AD962" t="s">
        <v>5099</v>
      </c>
      <c r="AE962" s="78" t="s">
        <v>6409</v>
      </c>
      <c r="AF962">
        <v>280</v>
      </c>
      <c r="AG962">
        <v>239</v>
      </c>
      <c r="AH962">
        <v>69</v>
      </c>
      <c r="AI962">
        <v>5299</v>
      </c>
      <c r="AK962" t="s">
        <v>7582</v>
      </c>
      <c r="AL962" t="s">
        <v>8735</v>
      </c>
      <c r="AM962" s="79" t="str">
        <f>HYPERLINK("https://t.co/zBcOOcGaha")</f>
        <v>https://t.co/zBcOOcGaha</v>
      </c>
      <c r="AO962" s="76">
        <v>44330.890798611108</v>
      </c>
      <c r="AP962" s="79" t="str">
        <f>HYPERLINK("https://pbs.twimg.com/profile_banners/1393315828838199297/1642185383")</f>
        <v>https://pbs.twimg.com/profile_banners/1393315828838199297/1642185383</v>
      </c>
      <c r="AQ962" t="b">
        <v>1</v>
      </c>
      <c r="AR962" t="b">
        <v>0</v>
      </c>
      <c r="AS962" t="b">
        <v>1</v>
      </c>
      <c r="AU962">
        <v>9</v>
      </c>
      <c r="AW962" t="b">
        <v>0</v>
      </c>
      <c r="AX962" t="s">
        <v>9303</v>
      </c>
      <c r="AY962" s="79" t="str">
        <f>HYPERLINK("https://twitter.com/justinzollars")</f>
        <v>https://twitter.com/justinzollars</v>
      </c>
      <c r="AZ962" t="s">
        <v>66</v>
      </c>
      <c r="BA962" s="2"/>
    </row>
    <row r="963" spans="1:53" x14ac:dyDescent="0.45">
      <c r="A963" s="62" t="s">
        <v>984</v>
      </c>
      <c r="B963" s="63"/>
      <c r="C963" s="63"/>
      <c r="D963" s="64"/>
      <c r="E963" s="66"/>
      <c r="F963" s="98" t="str">
        <f>HYPERLINK("https://pbs.twimg.com/profile_images/1617738487083716608/hLk4Pzlc_normal.jpg")</f>
        <v>https://pbs.twimg.com/profile_images/1617738487083716608/hLk4Pzlc_normal.jpg</v>
      </c>
      <c r="G963" s="63"/>
      <c r="H963" s="67"/>
      <c r="I963" s="68"/>
      <c r="J963" s="68"/>
      <c r="K963" s="67" t="s">
        <v>10449</v>
      </c>
      <c r="L963" s="71"/>
      <c r="M963" s="72"/>
      <c r="N963" s="72"/>
      <c r="O963" s="73"/>
      <c r="P963" s="74"/>
      <c r="Q963" s="74"/>
      <c r="R963" s="81"/>
      <c r="S963" s="81"/>
      <c r="T963" s="81"/>
      <c r="U963" s="81"/>
      <c r="V963" s="48"/>
      <c r="W963" s="48"/>
      <c r="X963" s="48"/>
      <c r="Y963" s="48"/>
      <c r="Z963" s="47"/>
      <c r="AA963" s="69"/>
      <c r="AB963" s="69"/>
      <c r="AC963" s="70"/>
      <c r="AD963" t="s">
        <v>6130</v>
      </c>
      <c r="AE963" s="78" t="s">
        <v>7322</v>
      </c>
      <c r="AF963">
        <v>46</v>
      </c>
      <c r="AG963">
        <v>238</v>
      </c>
      <c r="AH963">
        <v>417</v>
      </c>
      <c r="AI963">
        <v>32154</v>
      </c>
      <c r="AK963" t="s">
        <v>8489</v>
      </c>
      <c r="AL963" t="s">
        <v>8840</v>
      </c>
      <c r="AO963" s="76">
        <v>42686.217534722222</v>
      </c>
      <c r="AP963" s="79" t="str">
        <f>HYPERLINK("https://pbs.twimg.com/profile_banners/797306237943771136/1674533914")</f>
        <v>https://pbs.twimg.com/profile_banners/797306237943771136/1674533914</v>
      </c>
      <c r="AQ963" t="b">
        <v>0</v>
      </c>
      <c r="AR963" t="b">
        <v>0</v>
      </c>
      <c r="AS963" t="b">
        <v>1</v>
      </c>
      <c r="AU963">
        <v>1</v>
      </c>
      <c r="AV963" s="79" t="str">
        <f>HYPERLINK("https://abs.twimg.com/images/themes/theme1/bg.png")</f>
        <v>https://abs.twimg.com/images/themes/theme1/bg.png</v>
      </c>
      <c r="AW963" t="b">
        <v>0</v>
      </c>
      <c r="AX963" t="s">
        <v>9303</v>
      </c>
      <c r="AY963" s="79" t="str">
        <f>HYPERLINK("https://twitter.com/realshawncyrus")</f>
        <v>https://twitter.com/realshawncyrus</v>
      </c>
      <c r="AZ963" t="s">
        <v>66</v>
      </c>
      <c r="BA963" s="2"/>
    </row>
    <row r="964" spans="1:53" x14ac:dyDescent="0.45">
      <c r="A964" s="62" t="s">
        <v>337</v>
      </c>
      <c r="B964" s="63"/>
      <c r="C964" s="63"/>
      <c r="D964" s="64"/>
      <c r="E964" s="66"/>
      <c r="F964" s="98" t="str">
        <f>HYPERLINK("https://pbs.twimg.com/profile_images/969772618571239424/20miXk5m_normal.jpg")</f>
        <v>https://pbs.twimg.com/profile_images/969772618571239424/20miXk5m_normal.jpg</v>
      </c>
      <c r="G964" s="63"/>
      <c r="H964" s="67"/>
      <c r="I964" s="68"/>
      <c r="J964" s="68"/>
      <c r="K964" s="67" t="s">
        <v>9557</v>
      </c>
      <c r="L964" s="71"/>
      <c r="M964" s="72"/>
      <c r="N964" s="72"/>
      <c r="O964" s="73"/>
      <c r="P964" s="74"/>
      <c r="Q964" s="74"/>
      <c r="R964" s="81"/>
      <c r="S964" s="81"/>
      <c r="T964" s="81"/>
      <c r="U964" s="81"/>
      <c r="V964" s="48"/>
      <c r="W964" s="48"/>
      <c r="X964" s="48"/>
      <c r="Y964" s="48"/>
      <c r="Z964" s="47"/>
      <c r="AA964" s="69"/>
      <c r="AB964" s="69"/>
      <c r="AC964" s="70"/>
      <c r="AD964" t="s">
        <v>5250</v>
      </c>
      <c r="AE964" s="78" t="s">
        <v>6531</v>
      </c>
      <c r="AF964">
        <v>703</v>
      </c>
      <c r="AG964">
        <v>237</v>
      </c>
      <c r="AH964">
        <v>4842</v>
      </c>
      <c r="AI964">
        <v>99</v>
      </c>
      <c r="AL964" t="s">
        <v>8810</v>
      </c>
      <c r="AM964" s="79" t="str">
        <f>HYPERLINK("https://t.co/oSK25K04Ty")</f>
        <v>https://t.co/oSK25K04Ty</v>
      </c>
      <c r="AO964" s="76">
        <v>39700.753946759258</v>
      </c>
      <c r="AP964" s="79" t="str">
        <f>HYPERLINK("https://pbs.twimg.com/profile_banners/16206492/1354235677")</f>
        <v>https://pbs.twimg.com/profile_banners/16206492/1354235677</v>
      </c>
      <c r="AQ964" t="b">
        <v>0</v>
      </c>
      <c r="AR964" t="b">
        <v>0</v>
      </c>
      <c r="AS964" t="b">
        <v>0</v>
      </c>
      <c r="AU964">
        <v>7</v>
      </c>
      <c r="AV964" s="79" t="str">
        <f>HYPERLINK("https://abs.twimg.com/images/themes/theme14/bg.gif")</f>
        <v>https://abs.twimg.com/images/themes/theme14/bg.gif</v>
      </c>
      <c r="AW964" t="b">
        <v>0</v>
      </c>
      <c r="AX964" t="s">
        <v>9303</v>
      </c>
      <c r="AY964" s="79" t="str">
        <f>HYPERLINK("https://twitter.com/ladyrdph")</f>
        <v>https://twitter.com/ladyrdph</v>
      </c>
      <c r="AZ964" t="s">
        <v>66</v>
      </c>
      <c r="BA964" s="2"/>
    </row>
    <row r="965" spans="1:53" x14ac:dyDescent="0.45">
      <c r="A965" s="62" t="s">
        <v>857</v>
      </c>
      <c r="B965" s="63"/>
      <c r="C965" s="63"/>
      <c r="D965" s="64"/>
      <c r="E965" s="66"/>
      <c r="F965" s="98" t="str">
        <f>HYPERLINK("https://pbs.twimg.com/profile_images/1326039819038969857/_tyJUJTy_normal.jpg")</f>
        <v>https://pbs.twimg.com/profile_images/1326039819038969857/_tyJUJTy_normal.jpg</v>
      </c>
      <c r="G965" s="63"/>
      <c r="H965" s="67"/>
      <c r="I965" s="68"/>
      <c r="J965" s="68"/>
      <c r="K965" s="67" t="s">
        <v>10256</v>
      </c>
      <c r="L965" s="71"/>
      <c r="M965" s="72"/>
      <c r="N965" s="72"/>
      <c r="O965" s="73"/>
      <c r="P965" s="74"/>
      <c r="Q965" s="74"/>
      <c r="R965" s="81"/>
      <c r="S965" s="81"/>
      <c r="T965" s="81"/>
      <c r="U965" s="81"/>
      <c r="V965" s="48"/>
      <c r="W965" s="48"/>
      <c r="X965" s="48"/>
      <c r="Y965" s="48"/>
      <c r="Z965" s="47"/>
      <c r="AA965" s="69"/>
      <c r="AB965" s="69"/>
      <c r="AC965" s="70"/>
      <c r="AD965" t="s">
        <v>5939</v>
      </c>
      <c r="AE965" s="78" t="s">
        <v>7153</v>
      </c>
      <c r="AF965">
        <v>589</v>
      </c>
      <c r="AG965">
        <v>236</v>
      </c>
      <c r="AH965">
        <v>6022</v>
      </c>
      <c r="AI965">
        <v>10896</v>
      </c>
      <c r="AO965" s="76">
        <v>42226.883761574078</v>
      </c>
      <c r="AP965" s="79" t="str">
        <f>HYPERLINK("https://pbs.twimg.com/profile_banners/3311851651/1600218815")</f>
        <v>https://pbs.twimg.com/profile_banners/3311851651/1600218815</v>
      </c>
      <c r="AQ965" t="b">
        <v>1</v>
      </c>
      <c r="AR965" t="b">
        <v>0</v>
      </c>
      <c r="AS965" t="b">
        <v>0</v>
      </c>
      <c r="AU965">
        <v>2</v>
      </c>
      <c r="AV965" s="79" t="str">
        <f>HYPERLINK("https://abs.twimg.com/images/themes/theme1/bg.png")</f>
        <v>https://abs.twimg.com/images/themes/theme1/bg.png</v>
      </c>
      <c r="AW965" t="b">
        <v>0</v>
      </c>
      <c r="AX965" t="s">
        <v>9303</v>
      </c>
      <c r="AY965" s="79" t="str">
        <f>HYPERLINK("https://twitter.com/aceves_king")</f>
        <v>https://twitter.com/aceves_king</v>
      </c>
      <c r="AZ965" t="s">
        <v>66</v>
      </c>
      <c r="BA965" s="2"/>
    </row>
    <row r="966" spans="1:53" x14ac:dyDescent="0.45">
      <c r="A966" s="62" t="s">
        <v>1220</v>
      </c>
      <c r="B966" s="63"/>
      <c r="C966" s="63"/>
      <c r="D966" s="64"/>
      <c r="E966" s="66"/>
      <c r="F966" s="98" t="str">
        <f>HYPERLINK("https://pbs.twimg.com/profile_images/1620525029413847040/EfrJ21nk_normal.jpg")</f>
        <v>https://pbs.twimg.com/profile_images/1620525029413847040/EfrJ21nk_normal.jpg</v>
      </c>
      <c r="G966" s="63"/>
      <c r="H966" s="67"/>
      <c r="I966" s="68"/>
      <c r="J966" s="68"/>
      <c r="K966" s="67" t="s">
        <v>9542</v>
      </c>
      <c r="L966" s="71"/>
      <c r="M966" s="72"/>
      <c r="N966" s="72"/>
      <c r="O966" s="73"/>
      <c r="P966" s="74"/>
      <c r="Q966" s="74"/>
      <c r="R966" s="81"/>
      <c r="S966" s="81"/>
      <c r="T966" s="81"/>
      <c r="U966" s="81"/>
      <c r="V966" s="48"/>
      <c r="W966" s="48"/>
      <c r="X966" s="48"/>
      <c r="Y966" s="48"/>
      <c r="Z966" s="47"/>
      <c r="AA966" s="69"/>
      <c r="AB966" s="69"/>
      <c r="AC966" s="70"/>
      <c r="AD966" t="s">
        <v>5235</v>
      </c>
      <c r="AE966" s="78" t="s">
        <v>4679</v>
      </c>
      <c r="AF966">
        <v>222</v>
      </c>
      <c r="AG966">
        <v>236</v>
      </c>
      <c r="AH966">
        <v>3837</v>
      </c>
      <c r="AI966">
        <v>22824</v>
      </c>
      <c r="AK966" t="s">
        <v>7703</v>
      </c>
      <c r="AO966" s="76">
        <v>44134.331400462965</v>
      </c>
      <c r="AP966" s="79" t="str">
        <f>HYPERLINK("https://pbs.twimg.com/profile_banners/1322085063836794881/1666308530")</f>
        <v>https://pbs.twimg.com/profile_banners/1322085063836794881/1666308530</v>
      </c>
      <c r="AQ966" t="b">
        <v>1</v>
      </c>
      <c r="AR966" t="b">
        <v>0</v>
      </c>
      <c r="AS966" t="b">
        <v>0</v>
      </c>
      <c r="AU966">
        <v>0</v>
      </c>
      <c r="AW966" t="b">
        <v>0</v>
      </c>
      <c r="AX966" t="s">
        <v>9303</v>
      </c>
      <c r="AY966" s="79" t="str">
        <f>HYPERLINK("https://twitter.com/robbyrd604")</f>
        <v>https://twitter.com/robbyrd604</v>
      </c>
      <c r="AZ966" t="s">
        <v>65</v>
      </c>
      <c r="BA966" s="2"/>
    </row>
    <row r="967" spans="1:53" x14ac:dyDescent="0.45">
      <c r="A967" s="62" t="s">
        <v>1004</v>
      </c>
      <c r="B967" s="63"/>
      <c r="C967" s="63"/>
      <c r="D967" s="64"/>
      <c r="E967" s="66"/>
      <c r="F967" s="98" t="str">
        <f>HYPERLINK("https://pbs.twimg.com/profile_images/1352213644717785089/1YT8xN1__normal.jpg")</f>
        <v>https://pbs.twimg.com/profile_images/1352213644717785089/1YT8xN1__normal.jpg</v>
      </c>
      <c r="G967" s="63"/>
      <c r="H967" s="67"/>
      <c r="I967" s="68"/>
      <c r="J967" s="68"/>
      <c r="K967" s="67" t="s">
        <v>10479</v>
      </c>
      <c r="L967" s="71"/>
      <c r="M967" s="72"/>
      <c r="N967" s="72"/>
      <c r="O967" s="73"/>
      <c r="P967" s="74"/>
      <c r="Q967" s="74"/>
      <c r="R967" s="81"/>
      <c r="S967" s="81"/>
      <c r="T967" s="81"/>
      <c r="U967" s="81"/>
      <c r="V967" s="48"/>
      <c r="W967" s="48"/>
      <c r="X967" s="48"/>
      <c r="Y967" s="48"/>
      <c r="Z967" s="47"/>
      <c r="AA967" s="69"/>
      <c r="AB967" s="69"/>
      <c r="AC967" s="70"/>
      <c r="AD967" t="s">
        <v>1004</v>
      </c>
      <c r="AE967" s="78" t="s">
        <v>7345</v>
      </c>
      <c r="AF967">
        <v>423</v>
      </c>
      <c r="AG967">
        <v>233</v>
      </c>
      <c r="AH967">
        <v>4556</v>
      </c>
      <c r="AI967">
        <v>5411</v>
      </c>
      <c r="AK967" t="s">
        <v>8517</v>
      </c>
      <c r="AL967" t="s">
        <v>9233</v>
      </c>
      <c r="AO967" s="76">
        <v>39974.710127314815</v>
      </c>
      <c r="AP967" s="79" t="str">
        <f>HYPERLINK("https://pbs.twimg.com/profile_banners/46161683/1650005687")</f>
        <v>https://pbs.twimg.com/profile_banners/46161683/1650005687</v>
      </c>
      <c r="AQ967" t="b">
        <v>0</v>
      </c>
      <c r="AR967" t="b">
        <v>0</v>
      </c>
      <c r="AS967" t="b">
        <v>1</v>
      </c>
      <c r="AU967">
        <v>0</v>
      </c>
      <c r="AV967" s="79" t="str">
        <f>HYPERLINK("https://abs.twimg.com/images/themes/theme1/bg.png")</f>
        <v>https://abs.twimg.com/images/themes/theme1/bg.png</v>
      </c>
      <c r="AW967" t="b">
        <v>0</v>
      </c>
      <c r="AX967" t="s">
        <v>9303</v>
      </c>
      <c r="AY967" s="79" t="str">
        <f>HYPERLINK("https://twitter.com/nanceeewin")</f>
        <v>https://twitter.com/nanceeewin</v>
      </c>
      <c r="AZ967" t="s">
        <v>66</v>
      </c>
      <c r="BA967" s="2"/>
    </row>
    <row r="968" spans="1:53" x14ac:dyDescent="0.45">
      <c r="A968" s="62" t="s">
        <v>860</v>
      </c>
      <c r="B968" s="63"/>
      <c r="C968" s="63"/>
      <c r="D968" s="64"/>
      <c r="E968" s="66"/>
      <c r="F968" s="98" t="str">
        <f>HYPERLINK("https://pbs.twimg.com/profile_images/1600598134425587728/OpKQB9Fr_normal.jpg")</f>
        <v>https://pbs.twimg.com/profile_images/1600598134425587728/OpKQB9Fr_normal.jpg</v>
      </c>
      <c r="G968" s="63"/>
      <c r="H968" s="67"/>
      <c r="I968" s="68"/>
      <c r="J968" s="68"/>
      <c r="K968" s="67" t="s">
        <v>10259</v>
      </c>
      <c r="L968" s="71"/>
      <c r="M968" s="72"/>
      <c r="N968" s="72"/>
      <c r="O968" s="73"/>
      <c r="P968" s="74"/>
      <c r="Q968" s="74"/>
      <c r="R968" s="81"/>
      <c r="S968" s="81"/>
      <c r="T968" s="81"/>
      <c r="U968" s="81"/>
      <c r="V968" s="48"/>
      <c r="W968" s="48"/>
      <c r="X968" s="48"/>
      <c r="Y968" s="48"/>
      <c r="Z968" s="47"/>
      <c r="AA968" s="69"/>
      <c r="AB968" s="69"/>
      <c r="AC968" s="70"/>
      <c r="AD968" t="s">
        <v>5942</v>
      </c>
      <c r="AE968" s="78" t="s">
        <v>7156</v>
      </c>
      <c r="AF968">
        <v>279</v>
      </c>
      <c r="AG968">
        <v>232</v>
      </c>
      <c r="AH968">
        <v>3746</v>
      </c>
      <c r="AI968">
        <v>369</v>
      </c>
      <c r="AK968" t="s">
        <v>8320</v>
      </c>
      <c r="AL968" t="s">
        <v>4920</v>
      </c>
      <c r="AM968" s="79" t="str">
        <f>HYPERLINK("https://t.co/chxhfhtuXF")</f>
        <v>https://t.co/chxhfhtuXF</v>
      </c>
      <c r="AO968" s="76">
        <v>42954.080231481479</v>
      </c>
      <c r="AP968" s="79" t="str">
        <f>HYPERLINK("https://pbs.twimg.com/profile_banners/894376429152063488/1672960886")</f>
        <v>https://pbs.twimg.com/profile_banners/894376429152063488/1672960886</v>
      </c>
      <c r="AQ968" t="b">
        <v>1</v>
      </c>
      <c r="AR968" t="b">
        <v>0</v>
      </c>
      <c r="AS968" t="b">
        <v>1</v>
      </c>
      <c r="AU968">
        <v>0</v>
      </c>
      <c r="AW968" t="b">
        <v>0</v>
      </c>
      <c r="AX968" t="s">
        <v>9303</v>
      </c>
      <c r="AY968" s="79" t="str">
        <f>HYPERLINK("https://twitter.com/angedeusrex")</f>
        <v>https://twitter.com/angedeusrex</v>
      </c>
      <c r="AZ968" t="s">
        <v>66</v>
      </c>
      <c r="BA968" s="2"/>
    </row>
    <row r="969" spans="1:53" x14ac:dyDescent="0.45">
      <c r="A969" s="62" t="s">
        <v>734</v>
      </c>
      <c r="B969" s="63"/>
      <c r="C969" s="63"/>
      <c r="D969" s="64"/>
      <c r="E969" s="66"/>
      <c r="F969" s="98" t="str">
        <f>HYPERLINK("https://pbs.twimg.com/profile_images/1595804141074485248/LsObe54A_normal.jpg")</f>
        <v>https://pbs.twimg.com/profile_images/1595804141074485248/LsObe54A_normal.jpg</v>
      </c>
      <c r="G969" s="63"/>
      <c r="H969" s="67"/>
      <c r="I969" s="68"/>
      <c r="J969" s="68"/>
      <c r="K969" s="67" t="s">
        <v>10082</v>
      </c>
      <c r="L969" s="71"/>
      <c r="M969" s="72"/>
      <c r="N969" s="72"/>
      <c r="O969" s="73"/>
      <c r="P969" s="74"/>
      <c r="Q969" s="74"/>
      <c r="R969" s="81"/>
      <c r="S969" s="81"/>
      <c r="T969" s="81"/>
      <c r="U969" s="81"/>
      <c r="V969" s="48"/>
      <c r="W969" s="48"/>
      <c r="X969" s="48"/>
      <c r="Y969" s="48"/>
      <c r="Z969" s="47"/>
      <c r="AA969" s="69"/>
      <c r="AB969" s="69"/>
      <c r="AC969" s="70"/>
      <c r="AD969" t="s">
        <v>5771</v>
      </c>
      <c r="AE969" s="78" t="s">
        <v>7004</v>
      </c>
      <c r="AF969">
        <v>717</v>
      </c>
      <c r="AG969">
        <v>231</v>
      </c>
      <c r="AH969">
        <v>3098</v>
      </c>
      <c r="AI969">
        <v>10441</v>
      </c>
      <c r="AK969" t="s">
        <v>8165</v>
      </c>
      <c r="AL969" t="s">
        <v>9070</v>
      </c>
      <c r="AO969" s="76">
        <v>40911.79078703704</v>
      </c>
      <c r="AP969" s="79" t="str">
        <f>HYPERLINK("https://pbs.twimg.com/profile_banners/454209866/1406754674")</f>
        <v>https://pbs.twimg.com/profile_banners/454209866/1406754674</v>
      </c>
      <c r="AQ969" t="b">
        <v>1</v>
      </c>
      <c r="AR969" t="b">
        <v>0</v>
      </c>
      <c r="AS969" t="b">
        <v>1</v>
      </c>
      <c r="AU969">
        <v>0</v>
      </c>
      <c r="AV969" s="79" t="str">
        <f>HYPERLINK("https://abs.twimg.com/images/themes/theme1/bg.png")</f>
        <v>https://abs.twimg.com/images/themes/theme1/bg.png</v>
      </c>
      <c r="AW969" t="b">
        <v>0</v>
      </c>
      <c r="AX969" t="s">
        <v>9303</v>
      </c>
      <c r="AY969" s="79" t="str">
        <f>HYPERLINK("https://twitter.com/daniel_dennison")</f>
        <v>https://twitter.com/daniel_dennison</v>
      </c>
      <c r="AZ969" t="s">
        <v>66</v>
      </c>
      <c r="BA969" s="2"/>
    </row>
    <row r="970" spans="1:53" x14ac:dyDescent="0.45">
      <c r="A970" s="62" t="s">
        <v>845</v>
      </c>
      <c r="B970" s="63"/>
      <c r="C970" s="63"/>
      <c r="D970" s="64"/>
      <c r="E970" s="66"/>
      <c r="F970" s="98" t="str">
        <f>HYPERLINK("https://pbs.twimg.com/profile_images/593449248567492609/aTNrBqtB_normal.jpg")</f>
        <v>https://pbs.twimg.com/profile_images/593449248567492609/aTNrBqtB_normal.jpg</v>
      </c>
      <c r="G970" s="63"/>
      <c r="H970" s="67"/>
      <c r="I970" s="68"/>
      <c r="J970" s="68"/>
      <c r="K970" s="67" t="s">
        <v>10241</v>
      </c>
      <c r="L970" s="71"/>
      <c r="M970" s="72"/>
      <c r="N970" s="72"/>
      <c r="O970" s="73"/>
      <c r="P970" s="74"/>
      <c r="Q970" s="74"/>
      <c r="R970" s="81"/>
      <c r="S970" s="81"/>
      <c r="T970" s="81"/>
      <c r="U970" s="81"/>
      <c r="V970" s="48"/>
      <c r="W970" s="48"/>
      <c r="X970" s="48"/>
      <c r="Y970" s="48"/>
      <c r="Z970" s="47"/>
      <c r="AA970" s="69"/>
      <c r="AB970" s="69"/>
      <c r="AC970" s="70"/>
      <c r="AD970" t="s">
        <v>5925</v>
      </c>
      <c r="AE970" s="78" t="s">
        <v>7140</v>
      </c>
      <c r="AF970">
        <v>390</v>
      </c>
      <c r="AG970">
        <v>228</v>
      </c>
      <c r="AH970">
        <v>29985</v>
      </c>
      <c r="AI970">
        <v>8140</v>
      </c>
      <c r="AO970" s="76">
        <v>42123.668749999997</v>
      </c>
      <c r="AQ970" t="b">
        <v>1</v>
      </c>
      <c r="AR970" t="b">
        <v>0</v>
      </c>
      <c r="AS970" t="b">
        <v>0</v>
      </c>
      <c r="AU970">
        <v>6</v>
      </c>
      <c r="AV970" s="79" t="str">
        <f>HYPERLINK("https://abs.twimg.com/images/themes/theme1/bg.png")</f>
        <v>https://abs.twimg.com/images/themes/theme1/bg.png</v>
      </c>
      <c r="AW970" t="b">
        <v>0</v>
      </c>
      <c r="AX970" t="s">
        <v>9303</v>
      </c>
      <c r="AY970" s="79" t="str">
        <f>HYPERLINK("https://twitter.com/ibe_joh")</f>
        <v>https://twitter.com/ibe_joh</v>
      </c>
      <c r="AZ970" t="s">
        <v>66</v>
      </c>
      <c r="BA970" s="2"/>
    </row>
    <row r="971" spans="1:53" x14ac:dyDescent="0.45">
      <c r="A971" s="62" t="s">
        <v>386</v>
      </c>
      <c r="B971" s="63"/>
      <c r="C971" s="63"/>
      <c r="D971" s="64"/>
      <c r="E971" s="66"/>
      <c r="F971" s="98" t="str">
        <f>HYPERLINK("https://pbs.twimg.com/profile_images/1595190056381292545/u_XJWAvb_normal.jpg")</f>
        <v>https://pbs.twimg.com/profile_images/1595190056381292545/u_XJWAvb_normal.jpg</v>
      </c>
      <c r="G971" s="63"/>
      <c r="H971" s="67"/>
      <c r="I971" s="68"/>
      <c r="J971" s="68"/>
      <c r="K971" s="67" t="s">
        <v>9634</v>
      </c>
      <c r="L971" s="71"/>
      <c r="M971" s="72"/>
      <c r="N971" s="72"/>
      <c r="O971" s="73"/>
      <c r="P971" s="74"/>
      <c r="Q971" s="74"/>
      <c r="R971" s="81"/>
      <c r="S971" s="81"/>
      <c r="T971" s="81"/>
      <c r="U971" s="81"/>
      <c r="V971" s="48"/>
      <c r="W971" s="48"/>
      <c r="X971" s="48"/>
      <c r="Y971" s="48"/>
      <c r="Z971" s="47"/>
      <c r="AA971" s="69"/>
      <c r="AB971" s="69"/>
      <c r="AC971" s="70"/>
      <c r="AD971" t="s">
        <v>5327</v>
      </c>
      <c r="AE971" s="78" t="s">
        <v>6602</v>
      </c>
      <c r="AF971">
        <v>518</v>
      </c>
      <c r="AG971">
        <v>228</v>
      </c>
      <c r="AH971">
        <v>4110</v>
      </c>
      <c r="AI971">
        <v>682</v>
      </c>
      <c r="AK971" t="s">
        <v>7780</v>
      </c>
      <c r="AL971" t="s">
        <v>8849</v>
      </c>
      <c r="AO971" s="76">
        <v>40775.817129629628</v>
      </c>
      <c r="AP971" s="79" t="str">
        <f>HYPERLINK("https://pbs.twimg.com/profile_banners/358948476/1669157932")</f>
        <v>https://pbs.twimg.com/profile_banners/358948476/1669157932</v>
      </c>
      <c r="AQ971" t="b">
        <v>0</v>
      </c>
      <c r="AR971" t="b">
        <v>0</v>
      </c>
      <c r="AS971" t="b">
        <v>1</v>
      </c>
      <c r="AU971">
        <v>1</v>
      </c>
      <c r="AV971" s="79" t="str">
        <f>HYPERLINK("https://abs.twimg.com/images/themes/theme9/bg.gif")</f>
        <v>https://abs.twimg.com/images/themes/theme9/bg.gif</v>
      </c>
      <c r="AW971" t="b">
        <v>0</v>
      </c>
      <c r="AX971" t="s">
        <v>9303</v>
      </c>
      <c r="AY971" s="79" t="str">
        <f>HYPERLINK("https://twitter.com/forever_rez")</f>
        <v>https://twitter.com/forever_rez</v>
      </c>
      <c r="AZ971" t="s">
        <v>66</v>
      </c>
      <c r="BA971" s="2"/>
    </row>
    <row r="972" spans="1:53" x14ac:dyDescent="0.45">
      <c r="A972" s="62" t="s">
        <v>438</v>
      </c>
      <c r="B972" s="63"/>
      <c r="C972" s="63"/>
      <c r="D972" s="64"/>
      <c r="E972" s="66"/>
      <c r="F972" s="98" t="str">
        <f>HYPERLINK("https://pbs.twimg.com/profile_images/1555939086506000385/-pIAuQH3_normal.jpg")</f>
        <v>https://pbs.twimg.com/profile_images/1555939086506000385/-pIAuQH3_normal.jpg</v>
      </c>
      <c r="G972" s="63"/>
      <c r="H972" s="67"/>
      <c r="I972" s="68"/>
      <c r="J972" s="68"/>
      <c r="K972" s="67" t="s">
        <v>9693</v>
      </c>
      <c r="L972" s="71"/>
      <c r="M972" s="72"/>
      <c r="N972" s="72"/>
      <c r="O972" s="73"/>
      <c r="P972" s="74"/>
      <c r="Q972" s="74"/>
      <c r="R972" s="81"/>
      <c r="S972" s="81"/>
      <c r="T972" s="81"/>
      <c r="U972" s="81"/>
      <c r="V972" s="48"/>
      <c r="W972" s="48"/>
      <c r="X972" s="48"/>
      <c r="Y972" s="48"/>
      <c r="Z972" s="47"/>
      <c r="AA972" s="69"/>
      <c r="AB972" s="69"/>
      <c r="AC972" s="70"/>
      <c r="AD972" t="s">
        <v>5385</v>
      </c>
      <c r="AE972" s="78" t="s">
        <v>6659</v>
      </c>
      <c r="AF972">
        <v>431</v>
      </c>
      <c r="AG972">
        <v>227</v>
      </c>
      <c r="AH972">
        <v>65760</v>
      </c>
      <c r="AI972">
        <v>116574</v>
      </c>
      <c r="AK972" t="s">
        <v>7830</v>
      </c>
      <c r="AL972" t="s">
        <v>8874</v>
      </c>
      <c r="AM972" s="79" t="str">
        <f>HYPERLINK("https://t.co/5pR7pHYObB")</f>
        <v>https://t.co/5pR7pHYObB</v>
      </c>
      <c r="AO972" s="76">
        <v>43381.041875000003</v>
      </c>
      <c r="AP972" s="79" t="str">
        <f>HYPERLINK("https://pbs.twimg.com/profile_banners/1049102149840457728/1646720463")</f>
        <v>https://pbs.twimg.com/profile_banners/1049102149840457728/1646720463</v>
      </c>
      <c r="AQ972" t="b">
        <v>1</v>
      </c>
      <c r="AR972" t="b">
        <v>0</v>
      </c>
      <c r="AS972" t="b">
        <v>0</v>
      </c>
      <c r="AU972">
        <v>0</v>
      </c>
      <c r="AW972" t="b">
        <v>0</v>
      </c>
      <c r="AX972" t="s">
        <v>9303</v>
      </c>
      <c r="AY972" s="79" t="str">
        <f>HYPERLINK("https://twitter.com/micapereyra1813")</f>
        <v>https://twitter.com/micapereyra1813</v>
      </c>
      <c r="AZ972" t="s">
        <v>66</v>
      </c>
      <c r="BA972" s="2"/>
    </row>
    <row r="973" spans="1:53" x14ac:dyDescent="0.45">
      <c r="A973" s="62" t="s">
        <v>811</v>
      </c>
      <c r="B973" s="63"/>
      <c r="C973" s="63"/>
      <c r="D973" s="64"/>
      <c r="E973" s="66"/>
      <c r="F973" s="98" t="str">
        <f>HYPERLINK("https://pbs.twimg.com/profile_images/135811490/Donald_Rull_normal.jpg")</f>
        <v>https://pbs.twimg.com/profile_images/135811490/Donald_Rull_normal.jpg</v>
      </c>
      <c r="G973" s="63"/>
      <c r="H973" s="67"/>
      <c r="I973" s="68"/>
      <c r="J973" s="68"/>
      <c r="K973" s="67" t="s">
        <v>10194</v>
      </c>
      <c r="L973" s="71"/>
      <c r="M973" s="72"/>
      <c r="N973" s="72"/>
      <c r="O973" s="73"/>
      <c r="P973" s="74"/>
      <c r="Q973" s="74"/>
      <c r="R973" s="81"/>
      <c r="S973" s="81"/>
      <c r="T973" s="81"/>
      <c r="U973" s="81"/>
      <c r="V973" s="48"/>
      <c r="W973" s="48"/>
      <c r="X973" s="48"/>
      <c r="Y973" s="48"/>
      <c r="Z973" s="47"/>
      <c r="AA973" s="69"/>
      <c r="AB973" s="69"/>
      <c r="AC973" s="70"/>
      <c r="AD973" t="s">
        <v>5878</v>
      </c>
      <c r="AE973" s="78" t="s">
        <v>7099</v>
      </c>
      <c r="AF973">
        <v>394</v>
      </c>
      <c r="AG973">
        <v>226</v>
      </c>
      <c r="AH973">
        <v>4459</v>
      </c>
      <c r="AI973">
        <v>321</v>
      </c>
      <c r="AL973" t="s">
        <v>8960</v>
      </c>
      <c r="AO973" s="76">
        <v>39869.855254629627</v>
      </c>
      <c r="AP973" s="79" t="str">
        <f>HYPERLINK("https://pbs.twimg.com/profile_banners/21914360/1363915092")</f>
        <v>https://pbs.twimg.com/profile_banners/21914360/1363915092</v>
      </c>
      <c r="AQ973" t="b">
        <v>0</v>
      </c>
      <c r="AR973" t="b">
        <v>0</v>
      </c>
      <c r="AS973" t="b">
        <v>1</v>
      </c>
      <c r="AU973">
        <v>1</v>
      </c>
      <c r="AV973" s="79" t="str">
        <f>HYPERLINK("https://abs.twimg.com/images/themes/theme9/bg.gif")</f>
        <v>https://abs.twimg.com/images/themes/theme9/bg.gif</v>
      </c>
      <c r="AW973" t="b">
        <v>0</v>
      </c>
      <c r="AX973" t="s">
        <v>9303</v>
      </c>
      <c r="AY973" s="79" t="str">
        <f>HYPERLINK("https://twitter.com/donrull")</f>
        <v>https://twitter.com/donrull</v>
      </c>
      <c r="AZ973" t="s">
        <v>66</v>
      </c>
      <c r="BA973" s="2"/>
    </row>
    <row r="974" spans="1:53" x14ac:dyDescent="0.45">
      <c r="A974" s="62" t="s">
        <v>1487</v>
      </c>
      <c r="B974" s="63"/>
      <c r="C974" s="63"/>
      <c r="D974" s="64"/>
      <c r="E974" s="66"/>
      <c r="F974" s="98" t="str">
        <f>HYPERLINK("https://pbs.twimg.com/profile_images/990607754573172738/4911D7GJ_normal.jpg")</f>
        <v>https://pbs.twimg.com/profile_images/990607754573172738/4911D7GJ_normal.jpg</v>
      </c>
      <c r="G974" s="63"/>
      <c r="H974" s="67"/>
      <c r="I974" s="68"/>
      <c r="J974" s="68"/>
      <c r="K974" s="67" t="s">
        <v>10481</v>
      </c>
      <c r="L974" s="71"/>
      <c r="M974" s="72"/>
      <c r="N974" s="72"/>
      <c r="O974" s="73"/>
      <c r="P974" s="74"/>
      <c r="Q974" s="74"/>
      <c r="R974" s="81"/>
      <c r="S974" s="81"/>
      <c r="T974" s="81"/>
      <c r="U974" s="81"/>
      <c r="V974" s="48"/>
      <c r="W974" s="48"/>
      <c r="X974" s="48"/>
      <c r="Y974" s="48"/>
      <c r="Z974" s="47"/>
      <c r="AA974" s="69"/>
      <c r="AB974" s="69"/>
      <c r="AC974" s="70"/>
      <c r="AD974" t="s">
        <v>6160</v>
      </c>
      <c r="AE974" s="78" t="s">
        <v>7347</v>
      </c>
      <c r="AF974">
        <v>12</v>
      </c>
      <c r="AG974">
        <v>226</v>
      </c>
      <c r="AH974">
        <v>45</v>
      </c>
      <c r="AI974">
        <v>24</v>
      </c>
      <c r="AL974" t="s">
        <v>8783</v>
      </c>
      <c r="AO974" s="76">
        <v>41145.321122685185</v>
      </c>
      <c r="AQ974" t="b">
        <v>1</v>
      </c>
      <c r="AR974" t="b">
        <v>0</v>
      </c>
      <c r="AS974" t="b">
        <v>1</v>
      </c>
      <c r="AU974">
        <v>0</v>
      </c>
      <c r="AV974" s="79" t="str">
        <f>HYPERLINK("https://abs.twimg.com/images/themes/theme1/bg.png")</f>
        <v>https://abs.twimg.com/images/themes/theme1/bg.png</v>
      </c>
      <c r="AW974" t="b">
        <v>0</v>
      </c>
      <c r="AX974" t="s">
        <v>9303</v>
      </c>
      <c r="AY974" s="79" t="str">
        <f>HYPERLINK("https://twitter.com/samaggarwal_")</f>
        <v>https://twitter.com/samaggarwal_</v>
      </c>
      <c r="AZ974" t="s">
        <v>65</v>
      </c>
      <c r="BA974" s="2"/>
    </row>
    <row r="975" spans="1:53" x14ac:dyDescent="0.45">
      <c r="A975" s="62" t="s">
        <v>393</v>
      </c>
      <c r="B975" s="63"/>
      <c r="C975" s="63"/>
      <c r="D975" s="64"/>
      <c r="E975" s="66"/>
      <c r="F975" s="98" t="str">
        <f>HYPERLINK("https://pbs.twimg.com/profile_images/1609949465560973326/-VhYLlAy_normal.jpg")</f>
        <v>https://pbs.twimg.com/profile_images/1609949465560973326/-VhYLlAy_normal.jpg</v>
      </c>
      <c r="G975" s="63"/>
      <c r="H975" s="67"/>
      <c r="I975" s="68"/>
      <c r="J975" s="68"/>
      <c r="K975" s="67" t="s">
        <v>9641</v>
      </c>
      <c r="L975" s="71"/>
      <c r="M975" s="72"/>
      <c r="N975" s="72"/>
      <c r="O975" s="73"/>
      <c r="P975" s="74"/>
      <c r="Q975" s="74"/>
      <c r="R975" s="81"/>
      <c r="S975" s="81"/>
      <c r="T975" s="81"/>
      <c r="U975" s="81"/>
      <c r="V975" s="48"/>
      <c r="W975" s="48"/>
      <c r="X975" s="48"/>
      <c r="Y975" s="48"/>
      <c r="Z975" s="47"/>
      <c r="AA975" s="69"/>
      <c r="AB975" s="69"/>
      <c r="AC975" s="70"/>
      <c r="AD975" t="s">
        <v>5334</v>
      </c>
      <c r="AE975" s="78" t="s">
        <v>6609</v>
      </c>
      <c r="AF975">
        <v>403</v>
      </c>
      <c r="AG975">
        <v>218</v>
      </c>
      <c r="AH975">
        <v>8193</v>
      </c>
      <c r="AI975">
        <v>6180</v>
      </c>
      <c r="AK975" t="s">
        <v>7786</v>
      </c>
      <c r="AL975" t="s">
        <v>8852</v>
      </c>
      <c r="AM975" s="79" t="str">
        <f>HYPERLINK("https://t.co/sJ0ja07mxk")</f>
        <v>https://t.co/sJ0ja07mxk</v>
      </c>
      <c r="AO975" s="76">
        <v>41921.143969907411</v>
      </c>
      <c r="AP975" s="79" t="str">
        <f>HYPERLINK("https://pbs.twimg.com/profile_banners/2818264372/1673449514")</f>
        <v>https://pbs.twimg.com/profile_banners/2818264372/1673449514</v>
      </c>
      <c r="AQ975" t="b">
        <v>0</v>
      </c>
      <c r="AR975" t="b">
        <v>0</v>
      </c>
      <c r="AS975" t="b">
        <v>1</v>
      </c>
      <c r="AU975">
        <v>1</v>
      </c>
      <c r="AV975" s="79" t="str">
        <f>HYPERLINK("https://abs.twimg.com/images/themes/theme1/bg.png")</f>
        <v>https://abs.twimg.com/images/themes/theme1/bg.png</v>
      </c>
      <c r="AW975" t="b">
        <v>0</v>
      </c>
      <c r="AX975" t="s">
        <v>9303</v>
      </c>
      <c r="AY975" s="79" t="str">
        <f>HYPERLINK("https://twitter.com/adielrp23")</f>
        <v>https://twitter.com/adielrp23</v>
      </c>
      <c r="AZ975" t="s">
        <v>66</v>
      </c>
      <c r="BA975" s="2"/>
    </row>
    <row r="976" spans="1:53" x14ac:dyDescent="0.45">
      <c r="A976" s="62" t="s">
        <v>285</v>
      </c>
      <c r="B976" s="63"/>
      <c r="C976" s="63"/>
      <c r="D976" s="64"/>
      <c r="E976" s="66"/>
      <c r="F976" s="98" t="str">
        <f>HYPERLINK("https://pbs.twimg.com/profile_images/1436470044884602882/OMk11u2X_normal.jpg")</f>
        <v>https://pbs.twimg.com/profile_images/1436470044884602882/OMk11u2X_normal.jpg</v>
      </c>
      <c r="G976" s="63"/>
      <c r="H976" s="67"/>
      <c r="I976" s="68"/>
      <c r="J976" s="68"/>
      <c r="K976" s="67" t="s">
        <v>9440</v>
      </c>
      <c r="L976" s="71"/>
      <c r="M976" s="72"/>
      <c r="N976" s="72"/>
      <c r="O976" s="73"/>
      <c r="P976" s="74"/>
      <c r="Q976" s="74"/>
      <c r="R976" s="81"/>
      <c r="S976" s="81"/>
      <c r="T976" s="81"/>
      <c r="U976" s="81"/>
      <c r="V976" s="48"/>
      <c r="W976" s="48"/>
      <c r="X976" s="48"/>
      <c r="Y976" s="48"/>
      <c r="Z976" s="47"/>
      <c r="AA976" s="69"/>
      <c r="AB976" s="69"/>
      <c r="AC976" s="70"/>
      <c r="AD976" t="s">
        <v>5134</v>
      </c>
      <c r="AE976" s="78" t="s">
        <v>6439</v>
      </c>
      <c r="AF976">
        <v>149</v>
      </c>
      <c r="AG976">
        <v>215</v>
      </c>
      <c r="AH976">
        <v>2038</v>
      </c>
      <c r="AI976">
        <v>696</v>
      </c>
      <c r="AK976" t="s">
        <v>7609</v>
      </c>
      <c r="AL976" t="s">
        <v>8754</v>
      </c>
      <c r="AO976" s="76">
        <v>42248.716909722221</v>
      </c>
      <c r="AQ976" t="b">
        <v>1</v>
      </c>
      <c r="AR976" t="b">
        <v>0</v>
      </c>
      <c r="AS976" t="b">
        <v>0</v>
      </c>
      <c r="AU976">
        <v>5</v>
      </c>
      <c r="AV976" s="79" t="str">
        <f>HYPERLINK("https://abs.twimg.com/images/themes/theme1/bg.png")</f>
        <v>https://abs.twimg.com/images/themes/theme1/bg.png</v>
      </c>
      <c r="AW976" t="b">
        <v>0</v>
      </c>
      <c r="AX976" t="s">
        <v>9303</v>
      </c>
      <c r="AY976" s="79" t="str">
        <f>HYPERLINK("https://twitter.com/mrmrazek89")</f>
        <v>https://twitter.com/mrmrazek89</v>
      </c>
      <c r="AZ976" t="s">
        <v>66</v>
      </c>
      <c r="BA976" s="2"/>
    </row>
    <row r="977" spans="1:53" x14ac:dyDescent="0.45">
      <c r="A977" s="62" t="s">
        <v>637</v>
      </c>
      <c r="B977" s="63"/>
      <c r="C977" s="63"/>
      <c r="D977" s="64"/>
      <c r="E977" s="66"/>
      <c r="F977" s="98" t="str">
        <f>HYPERLINK("https://pbs.twimg.com/profile_images/1602705672717713409/6e8fA5rz_normal.jpg")</f>
        <v>https://pbs.twimg.com/profile_images/1602705672717713409/6e8fA5rz_normal.jpg</v>
      </c>
      <c r="G977" s="63"/>
      <c r="H977" s="67"/>
      <c r="I977" s="68"/>
      <c r="J977" s="68"/>
      <c r="K977" s="67" t="s">
        <v>9947</v>
      </c>
      <c r="L977" s="71"/>
      <c r="M977" s="72"/>
      <c r="N977" s="72"/>
      <c r="O977" s="73"/>
      <c r="P977" s="74"/>
      <c r="Q977" s="74"/>
      <c r="R977" s="81"/>
      <c r="S977" s="81"/>
      <c r="T977" s="81"/>
      <c r="U977" s="81"/>
      <c r="V977" s="48"/>
      <c r="W977" s="48"/>
      <c r="X977" s="48"/>
      <c r="Y977" s="48"/>
      <c r="Z977" s="47"/>
      <c r="AA977" s="69"/>
      <c r="AB977" s="69"/>
      <c r="AC977" s="70"/>
      <c r="AD977" t="s">
        <v>5638</v>
      </c>
      <c r="AE977" s="78" t="s">
        <v>6881</v>
      </c>
      <c r="AF977">
        <v>498</v>
      </c>
      <c r="AG977">
        <v>215</v>
      </c>
      <c r="AH977">
        <v>1463</v>
      </c>
      <c r="AI977">
        <v>10607</v>
      </c>
      <c r="AK977" t="s">
        <v>8052</v>
      </c>
      <c r="AL977" t="s">
        <v>9010</v>
      </c>
      <c r="AO977" s="76">
        <v>44388.257569444446</v>
      </c>
      <c r="AP977" s="79" t="str">
        <f>HYPERLINK("https://pbs.twimg.com/profile_banners/1414104457386905600/1663035825")</f>
        <v>https://pbs.twimg.com/profile_banners/1414104457386905600/1663035825</v>
      </c>
      <c r="AQ977" t="b">
        <v>1</v>
      </c>
      <c r="AR977" t="b">
        <v>0</v>
      </c>
      <c r="AS977" t="b">
        <v>0</v>
      </c>
      <c r="AU977">
        <v>0</v>
      </c>
      <c r="AW977" t="b">
        <v>0</v>
      </c>
      <c r="AX977" t="s">
        <v>9303</v>
      </c>
      <c r="AY977" s="79" t="str">
        <f>HYPERLINK("https://twitter.com/delroar")</f>
        <v>https://twitter.com/delroar</v>
      </c>
      <c r="AZ977" t="s">
        <v>66</v>
      </c>
      <c r="BA977" s="2"/>
    </row>
    <row r="978" spans="1:53" x14ac:dyDescent="0.45">
      <c r="A978" s="62" t="s">
        <v>1042</v>
      </c>
      <c r="B978" s="63"/>
      <c r="C978" s="63"/>
      <c r="D978" s="64"/>
      <c r="E978" s="66"/>
      <c r="F978" s="98" t="str">
        <f>HYPERLINK("https://pbs.twimg.com/profile_images/1228542161219727365/sKDILVnQ_normal.jpg")</f>
        <v>https://pbs.twimg.com/profile_images/1228542161219727365/sKDILVnQ_normal.jpg</v>
      </c>
      <c r="G978" s="63"/>
      <c r="H978" s="67"/>
      <c r="I978" s="68"/>
      <c r="J978" s="68"/>
      <c r="K978" s="67" t="s">
        <v>10547</v>
      </c>
      <c r="L978" s="71"/>
      <c r="M978" s="72"/>
      <c r="N978" s="72"/>
      <c r="O978" s="73"/>
      <c r="P978" s="74"/>
      <c r="Q978" s="74"/>
      <c r="R978" s="81"/>
      <c r="S978" s="81"/>
      <c r="T978" s="81"/>
      <c r="U978" s="81"/>
      <c r="V978" s="48"/>
      <c r="W978" s="48"/>
      <c r="X978" s="48"/>
      <c r="Y978" s="48"/>
      <c r="Z978" s="47"/>
      <c r="AA978" s="69"/>
      <c r="AB978" s="69"/>
      <c r="AC978" s="70"/>
      <c r="AD978" t="s">
        <v>6225</v>
      </c>
      <c r="AE978" s="78" t="s">
        <v>7401</v>
      </c>
      <c r="AF978">
        <v>885</v>
      </c>
      <c r="AG978">
        <v>211</v>
      </c>
      <c r="AH978">
        <v>17309</v>
      </c>
      <c r="AI978">
        <v>12453</v>
      </c>
      <c r="AK978" t="s">
        <v>8574</v>
      </c>
      <c r="AO978" s="76">
        <v>43876.199155092596</v>
      </c>
      <c r="AP978" s="79" t="str">
        <f>HYPERLINK("https://pbs.twimg.com/profile_banners/1228541000748015617/1608172051")</f>
        <v>https://pbs.twimg.com/profile_banners/1228541000748015617/1608172051</v>
      </c>
      <c r="AQ978" t="b">
        <v>1</v>
      </c>
      <c r="AR978" t="b">
        <v>0</v>
      </c>
      <c r="AS978" t="b">
        <v>0</v>
      </c>
      <c r="AU978">
        <v>1</v>
      </c>
      <c r="AW978" t="b">
        <v>0</v>
      </c>
      <c r="AX978" t="s">
        <v>9303</v>
      </c>
      <c r="AY978" s="79" t="str">
        <f>HYPERLINK("https://twitter.com/honestl21630063")</f>
        <v>https://twitter.com/honestl21630063</v>
      </c>
      <c r="AZ978" t="s">
        <v>66</v>
      </c>
      <c r="BA978" s="2"/>
    </row>
    <row r="979" spans="1:53" x14ac:dyDescent="0.45">
      <c r="A979" s="62" t="s">
        <v>1010</v>
      </c>
      <c r="B979" s="63"/>
      <c r="C979" s="63"/>
      <c r="D979" s="64"/>
      <c r="E979" s="66"/>
      <c r="F979" s="98" t="str">
        <f>HYPERLINK("https://pbs.twimg.com/profile_images/999933899261267968/guCaJ44v_normal.jpg")</f>
        <v>https://pbs.twimg.com/profile_images/999933899261267968/guCaJ44v_normal.jpg</v>
      </c>
      <c r="G979" s="63"/>
      <c r="H979" s="67"/>
      <c r="I979" s="68"/>
      <c r="J979" s="68"/>
      <c r="K979" s="67" t="s">
        <v>10485</v>
      </c>
      <c r="L979" s="71"/>
      <c r="M979" s="72"/>
      <c r="N979" s="72"/>
      <c r="O979" s="73"/>
      <c r="P979" s="74"/>
      <c r="Q979" s="74"/>
      <c r="R979" s="81"/>
      <c r="S979" s="81"/>
      <c r="T979" s="81"/>
      <c r="U979" s="81"/>
      <c r="V979" s="48"/>
      <c r="W979" s="48"/>
      <c r="X979" s="48"/>
      <c r="Y979" s="48"/>
      <c r="Z979" s="47"/>
      <c r="AA979" s="69"/>
      <c r="AB979" s="69"/>
      <c r="AC979" s="70"/>
      <c r="AD979" t="s">
        <v>6163</v>
      </c>
      <c r="AE979" s="78" t="s">
        <v>7351</v>
      </c>
      <c r="AF979">
        <v>1757</v>
      </c>
      <c r="AG979">
        <v>209</v>
      </c>
      <c r="AH979">
        <v>19815</v>
      </c>
      <c r="AI979">
        <v>25611</v>
      </c>
      <c r="AK979" t="s">
        <v>8521</v>
      </c>
      <c r="AL979" t="s">
        <v>9235</v>
      </c>
      <c r="AO979" s="76">
        <v>41674.772615740738</v>
      </c>
      <c r="AP979" s="79" t="str">
        <f>HYPERLINK("https://pbs.twimg.com/profile_banners/2324446151/1643570285")</f>
        <v>https://pbs.twimg.com/profile_banners/2324446151/1643570285</v>
      </c>
      <c r="AQ979" t="b">
        <v>1</v>
      </c>
      <c r="AR979" t="b">
        <v>0</v>
      </c>
      <c r="AS979" t="b">
        <v>0</v>
      </c>
      <c r="AU979">
        <v>13</v>
      </c>
      <c r="AV979" s="79" t="str">
        <f>HYPERLINK("https://abs.twimg.com/images/themes/theme1/bg.png")</f>
        <v>https://abs.twimg.com/images/themes/theme1/bg.png</v>
      </c>
      <c r="AW979" t="b">
        <v>0</v>
      </c>
      <c r="AX979" t="s">
        <v>9303</v>
      </c>
      <c r="AY979" s="79" t="str">
        <f>HYPERLINK("https://twitter.com/pazagnya")</f>
        <v>https://twitter.com/pazagnya</v>
      </c>
      <c r="AZ979" t="s">
        <v>66</v>
      </c>
      <c r="BA979" s="2"/>
    </row>
    <row r="980" spans="1:53" x14ac:dyDescent="0.45">
      <c r="A980" s="62" t="s">
        <v>1273</v>
      </c>
      <c r="B980" s="63"/>
      <c r="C980" s="63"/>
      <c r="D980" s="64"/>
      <c r="E980" s="66"/>
      <c r="F980" s="98" t="str">
        <f>HYPERLINK("https://pbs.twimg.com/profile_images/1373431551472599044/hn00wLCO_normal.jpg")</f>
        <v>https://pbs.twimg.com/profile_images/1373431551472599044/hn00wLCO_normal.jpg</v>
      </c>
      <c r="G980" s="63"/>
      <c r="H980" s="67"/>
      <c r="I980" s="68"/>
      <c r="J980" s="68"/>
      <c r="K980" s="67" t="s">
        <v>9736</v>
      </c>
      <c r="L980" s="71"/>
      <c r="M980" s="72"/>
      <c r="N980" s="72"/>
      <c r="O980" s="73"/>
      <c r="P980" s="74"/>
      <c r="Q980" s="74"/>
      <c r="R980" s="81"/>
      <c r="S980" s="81"/>
      <c r="T980" s="81"/>
      <c r="U980" s="81"/>
      <c r="V980" s="48"/>
      <c r="W980" s="48"/>
      <c r="X980" s="48"/>
      <c r="Y980" s="48"/>
      <c r="Z980" s="47"/>
      <c r="AA980" s="69"/>
      <c r="AB980" s="69"/>
      <c r="AC980" s="70"/>
      <c r="AD980" t="s">
        <v>5428</v>
      </c>
      <c r="AE980" s="78" t="s">
        <v>4695</v>
      </c>
      <c r="AF980">
        <v>831</v>
      </c>
      <c r="AG980">
        <v>209</v>
      </c>
      <c r="AH980">
        <v>7922</v>
      </c>
      <c r="AI980">
        <v>27341</v>
      </c>
      <c r="AK980" t="s">
        <v>7866</v>
      </c>
      <c r="AL980" t="s">
        <v>8892</v>
      </c>
      <c r="AO980" s="76">
        <v>41977.342986111114</v>
      </c>
      <c r="AP980" s="79" t="str">
        <f>HYPERLINK("https://pbs.twimg.com/profile_banners/2904789429/1656557578")</f>
        <v>https://pbs.twimg.com/profile_banners/2904789429/1656557578</v>
      </c>
      <c r="AQ980" t="b">
        <v>1</v>
      </c>
      <c r="AR980" t="b">
        <v>0</v>
      </c>
      <c r="AS980" t="b">
        <v>0</v>
      </c>
      <c r="AU980">
        <v>0</v>
      </c>
      <c r="AV980" s="79" t="str">
        <f>HYPERLINK("https://abs.twimg.com/images/themes/theme1/bg.png")</f>
        <v>https://abs.twimg.com/images/themes/theme1/bg.png</v>
      </c>
      <c r="AW980" t="b">
        <v>0</v>
      </c>
      <c r="AX980" t="s">
        <v>9303</v>
      </c>
      <c r="AY980" s="79" t="str">
        <f>HYPERLINK("https://twitter.com/_kmisha_")</f>
        <v>https://twitter.com/_kmisha_</v>
      </c>
      <c r="AZ980" t="s">
        <v>65</v>
      </c>
      <c r="BA980" s="2"/>
    </row>
    <row r="981" spans="1:53" x14ac:dyDescent="0.45">
      <c r="A981" s="62" t="s">
        <v>255</v>
      </c>
      <c r="B981" s="63"/>
      <c r="C981" s="63"/>
      <c r="D981" s="64"/>
      <c r="E981" s="66"/>
      <c r="F981" s="98" t="str">
        <f>HYPERLINK("https://pbs.twimg.com/profile_images/1383564558602620928/-0sa6KOS_normal.jpg")</f>
        <v>https://pbs.twimg.com/profile_images/1383564558602620928/-0sa6KOS_normal.jpg</v>
      </c>
      <c r="G981" s="63"/>
      <c r="H981" s="67"/>
      <c r="I981" s="68"/>
      <c r="J981" s="68"/>
      <c r="K981" s="67" t="s">
        <v>9396</v>
      </c>
      <c r="L981" s="71"/>
      <c r="M981" s="72"/>
      <c r="N981" s="72"/>
      <c r="O981" s="73"/>
      <c r="P981" s="74"/>
      <c r="Q981" s="74"/>
      <c r="R981" s="81"/>
      <c r="S981" s="81"/>
      <c r="T981" s="81"/>
      <c r="U981" s="81"/>
      <c r="V981" s="48"/>
      <c r="W981" s="48"/>
      <c r="X981" s="48"/>
      <c r="Y981" s="48"/>
      <c r="Z981" s="47"/>
      <c r="AA981" s="69"/>
      <c r="AB981" s="69"/>
      <c r="AC981" s="70"/>
      <c r="AD981" t="s">
        <v>5091</v>
      </c>
      <c r="AE981" s="78" t="s">
        <v>6401</v>
      </c>
      <c r="AF981">
        <v>438</v>
      </c>
      <c r="AG981">
        <v>207</v>
      </c>
      <c r="AH981">
        <v>19647</v>
      </c>
      <c r="AI981">
        <v>10979</v>
      </c>
      <c r="AK981" t="s">
        <v>7575</v>
      </c>
      <c r="AO981" s="76">
        <v>43778.928518518522</v>
      </c>
      <c r="AP981" s="79" t="str">
        <f>HYPERLINK("https://pbs.twimg.com/profile_banners/1193291393311137793/1618609119")</f>
        <v>https://pbs.twimg.com/profile_banners/1193291393311137793/1618609119</v>
      </c>
      <c r="AQ981" t="b">
        <v>1</v>
      </c>
      <c r="AR981" t="b">
        <v>0</v>
      </c>
      <c r="AS981" t="b">
        <v>0</v>
      </c>
      <c r="AU981">
        <v>0</v>
      </c>
      <c r="AW981" t="b">
        <v>0</v>
      </c>
      <c r="AX981" t="s">
        <v>9303</v>
      </c>
      <c r="AY981" s="79" t="str">
        <f>HYPERLINK("https://twitter.com/rufus_the_exile")</f>
        <v>https://twitter.com/rufus_the_exile</v>
      </c>
      <c r="AZ981" t="s">
        <v>66</v>
      </c>
      <c r="BA981" s="2"/>
    </row>
    <row r="982" spans="1:53" x14ac:dyDescent="0.45">
      <c r="A982" s="62" t="s">
        <v>1264</v>
      </c>
      <c r="B982" s="63"/>
      <c r="C982" s="63"/>
      <c r="D982" s="64"/>
      <c r="E982" s="66"/>
      <c r="F982" s="98" t="str">
        <f>HYPERLINK("https://pbs.twimg.com/profile_images/567501957435117570/z4pNyi9y_normal.jpeg")</f>
        <v>https://pbs.twimg.com/profile_images/567501957435117570/z4pNyi9y_normal.jpeg</v>
      </c>
      <c r="G982" s="63"/>
      <c r="H982" s="67"/>
      <c r="I982" s="68"/>
      <c r="J982" s="68"/>
      <c r="K982" s="67" t="s">
        <v>9708</v>
      </c>
      <c r="L982" s="71"/>
      <c r="M982" s="72"/>
      <c r="N982" s="72"/>
      <c r="O982" s="73"/>
      <c r="P982" s="74"/>
      <c r="Q982" s="74"/>
      <c r="R982" s="81"/>
      <c r="S982" s="81"/>
      <c r="T982" s="81"/>
      <c r="U982" s="81"/>
      <c r="V982" s="48"/>
      <c r="W982" s="48"/>
      <c r="X982" s="48"/>
      <c r="Y982" s="48"/>
      <c r="Z982" s="47"/>
      <c r="AA982" s="69"/>
      <c r="AB982" s="69"/>
      <c r="AC982" s="70"/>
      <c r="AD982" t="s">
        <v>5400</v>
      </c>
      <c r="AE982" s="78" t="s">
        <v>6673</v>
      </c>
      <c r="AF982">
        <v>45</v>
      </c>
      <c r="AG982">
        <v>201</v>
      </c>
      <c r="AH982">
        <v>13</v>
      </c>
      <c r="AI982">
        <v>7</v>
      </c>
      <c r="AO982" s="76">
        <v>42052.077696759261</v>
      </c>
      <c r="AQ982" t="b">
        <v>1</v>
      </c>
      <c r="AR982" t="b">
        <v>0</v>
      </c>
      <c r="AS982" t="b">
        <v>0</v>
      </c>
      <c r="AU982">
        <v>0</v>
      </c>
      <c r="AV982" s="79" t="str">
        <f>HYPERLINK("https://abs.twimg.com/images/themes/theme1/bg.png")</f>
        <v>https://abs.twimg.com/images/themes/theme1/bg.png</v>
      </c>
      <c r="AW982" t="b">
        <v>0</v>
      </c>
      <c r="AX982" t="s">
        <v>9303</v>
      </c>
      <c r="AY982" s="79" t="str">
        <f>HYPERLINK("https://twitter.com/funko")</f>
        <v>https://twitter.com/funko</v>
      </c>
      <c r="AZ982" t="s">
        <v>65</v>
      </c>
      <c r="BA982" s="2"/>
    </row>
    <row r="983" spans="1:53" x14ac:dyDescent="0.45">
      <c r="A983" s="62" t="s">
        <v>829</v>
      </c>
      <c r="B983" s="63"/>
      <c r="C983" s="63"/>
      <c r="D983" s="64"/>
      <c r="E983" s="66"/>
      <c r="F983" s="98" t="str">
        <f>HYPERLINK("https://pbs.twimg.com/profile_images/1612257155708604416/mOhB0G3I_normal.jpg")</f>
        <v>https://pbs.twimg.com/profile_images/1612257155708604416/mOhB0G3I_normal.jpg</v>
      </c>
      <c r="G983" s="63"/>
      <c r="H983" s="67"/>
      <c r="I983" s="68"/>
      <c r="J983" s="68"/>
      <c r="K983" s="67" t="s">
        <v>10223</v>
      </c>
      <c r="L983" s="71"/>
      <c r="M983" s="72"/>
      <c r="N983" s="72"/>
      <c r="O983" s="73"/>
      <c r="P983" s="74"/>
      <c r="Q983" s="74"/>
      <c r="R983" s="81"/>
      <c r="S983" s="81"/>
      <c r="T983" s="81"/>
      <c r="U983" s="81"/>
      <c r="V983" s="48"/>
      <c r="W983" s="48"/>
      <c r="X983" s="48"/>
      <c r="Y983" s="48"/>
      <c r="Z983" s="47"/>
      <c r="AA983" s="69"/>
      <c r="AB983" s="69"/>
      <c r="AC983" s="70"/>
      <c r="AD983" t="s">
        <v>5907</v>
      </c>
      <c r="AE983" s="78" t="s">
        <v>7124</v>
      </c>
      <c r="AF983">
        <v>583</v>
      </c>
      <c r="AG983">
        <v>200</v>
      </c>
      <c r="AH983">
        <v>32369</v>
      </c>
      <c r="AI983">
        <v>22473</v>
      </c>
      <c r="AK983" t="s">
        <v>8290</v>
      </c>
      <c r="AL983" t="s">
        <v>9129</v>
      </c>
      <c r="AO983" s="76">
        <v>44334.716111111113</v>
      </c>
      <c r="AP983" s="79" t="str">
        <f>HYPERLINK("https://pbs.twimg.com/profile_banners/1394701974281539589/1666404198")</f>
        <v>https://pbs.twimg.com/profile_banners/1394701974281539589/1666404198</v>
      </c>
      <c r="AQ983" t="b">
        <v>1</v>
      </c>
      <c r="AR983" t="b">
        <v>0</v>
      </c>
      <c r="AS983" t="b">
        <v>0</v>
      </c>
      <c r="AU983">
        <v>0</v>
      </c>
      <c r="AW983" t="b">
        <v>0</v>
      </c>
      <c r="AX983" t="s">
        <v>9303</v>
      </c>
      <c r="AY983" s="79" t="str">
        <f>HYPERLINK("https://twitter.com/thilleshiem__")</f>
        <v>https://twitter.com/thilleshiem__</v>
      </c>
      <c r="AZ983" t="s">
        <v>66</v>
      </c>
      <c r="BA983" s="2"/>
    </row>
    <row r="984" spans="1:53" x14ac:dyDescent="0.45">
      <c r="A984" s="62" t="s">
        <v>817</v>
      </c>
      <c r="B984" s="63"/>
      <c r="C984" s="63"/>
      <c r="D984" s="64"/>
      <c r="E984" s="66"/>
      <c r="F984" s="98" t="str">
        <f>HYPERLINK("https://pbs.twimg.com/profile_images/1556488580079312896/QjMaMzs2_normal.jpg")</f>
        <v>https://pbs.twimg.com/profile_images/1556488580079312896/QjMaMzs2_normal.jpg</v>
      </c>
      <c r="G984" s="63"/>
      <c r="H984" s="67"/>
      <c r="I984" s="68"/>
      <c r="J984" s="68"/>
      <c r="K984" s="67" t="s">
        <v>10202</v>
      </c>
      <c r="L984" s="71"/>
      <c r="M984" s="72"/>
      <c r="N984" s="72"/>
      <c r="O984" s="73"/>
      <c r="P984" s="74"/>
      <c r="Q984" s="74"/>
      <c r="R984" s="81"/>
      <c r="S984" s="81"/>
      <c r="T984" s="81"/>
      <c r="U984" s="81"/>
      <c r="V984" s="48"/>
      <c r="W984" s="48"/>
      <c r="X984" s="48"/>
      <c r="Y984" s="48"/>
      <c r="Z984" s="47"/>
      <c r="AA984" s="69"/>
      <c r="AB984" s="69"/>
      <c r="AC984" s="70"/>
      <c r="AD984" t="s">
        <v>5886</v>
      </c>
      <c r="AE984" s="78" t="s">
        <v>4755</v>
      </c>
      <c r="AF984">
        <v>621</v>
      </c>
      <c r="AG984">
        <v>197</v>
      </c>
      <c r="AH984">
        <v>21126</v>
      </c>
      <c r="AI984">
        <v>10826</v>
      </c>
      <c r="AK984" t="s">
        <v>8272</v>
      </c>
      <c r="AL984" t="s">
        <v>5845</v>
      </c>
      <c r="AM984" s="79" t="str">
        <f>HYPERLINK("https://t.co/L1B6mUMdT9")</f>
        <v>https://t.co/L1B6mUMdT9</v>
      </c>
      <c r="AO984" s="76">
        <v>40051.869398148148</v>
      </c>
      <c r="AP984" s="79" t="str">
        <f>HYPERLINK("https://pbs.twimg.com/profile_banners/69092032/1659930770")</f>
        <v>https://pbs.twimg.com/profile_banners/69092032/1659930770</v>
      </c>
      <c r="AQ984" t="b">
        <v>1</v>
      </c>
      <c r="AR984" t="b">
        <v>0</v>
      </c>
      <c r="AS984" t="b">
        <v>1</v>
      </c>
      <c r="AU984">
        <v>11</v>
      </c>
      <c r="AV984" s="79" t="str">
        <f>HYPERLINK("https://abs.twimg.com/images/themes/theme1/bg.png")</f>
        <v>https://abs.twimg.com/images/themes/theme1/bg.png</v>
      </c>
      <c r="AW984" t="b">
        <v>0</v>
      </c>
      <c r="AX984" t="s">
        <v>9303</v>
      </c>
      <c r="AY984" s="79" t="str">
        <f>HYPERLINK("https://twitter.com/tweakx")</f>
        <v>https://twitter.com/tweakx</v>
      </c>
      <c r="AZ984" t="s">
        <v>66</v>
      </c>
      <c r="BA984" s="2"/>
    </row>
    <row r="985" spans="1:53" x14ac:dyDescent="0.45">
      <c r="A985" s="62" t="s">
        <v>797</v>
      </c>
      <c r="B985" s="63"/>
      <c r="C985" s="63"/>
      <c r="D985" s="64"/>
      <c r="E985" s="66"/>
      <c r="F985" s="98" t="str">
        <f>HYPERLINK("https://pbs.twimg.com/profile_images/1385020278149828610/GhU8whC6_normal.jpg")</f>
        <v>https://pbs.twimg.com/profile_images/1385020278149828610/GhU8whC6_normal.jpg</v>
      </c>
      <c r="G985" s="63"/>
      <c r="H985" s="67"/>
      <c r="I985" s="68"/>
      <c r="J985" s="68"/>
      <c r="K985" s="67" t="s">
        <v>10168</v>
      </c>
      <c r="L985" s="71"/>
      <c r="M985" s="72"/>
      <c r="N985" s="72"/>
      <c r="O985" s="73"/>
      <c r="P985" s="74"/>
      <c r="Q985" s="74"/>
      <c r="R985" s="81"/>
      <c r="S985" s="81"/>
      <c r="T985" s="81"/>
      <c r="U985" s="81"/>
      <c r="V985" s="48"/>
      <c r="W985" s="48"/>
      <c r="X985" s="48"/>
      <c r="Y985" s="48"/>
      <c r="Z985" s="47"/>
      <c r="AA985" s="69"/>
      <c r="AB985" s="69"/>
      <c r="AC985" s="70"/>
      <c r="AD985" t="s">
        <v>5854</v>
      </c>
      <c r="AE985" s="78" t="s">
        <v>7078</v>
      </c>
      <c r="AF985">
        <v>961</v>
      </c>
      <c r="AG985">
        <v>197</v>
      </c>
      <c r="AH985">
        <v>35962</v>
      </c>
      <c r="AI985">
        <v>120654</v>
      </c>
      <c r="AO985" s="76">
        <v>40573.075891203705</v>
      </c>
      <c r="AQ985" t="b">
        <v>1</v>
      </c>
      <c r="AR985" t="b">
        <v>0</v>
      </c>
      <c r="AS985" t="b">
        <v>0</v>
      </c>
      <c r="AU985">
        <v>2</v>
      </c>
      <c r="AV985" s="79" t="str">
        <f>HYPERLINK("https://abs.twimg.com/images/themes/theme1/bg.png")</f>
        <v>https://abs.twimg.com/images/themes/theme1/bg.png</v>
      </c>
      <c r="AW985" t="b">
        <v>0</v>
      </c>
      <c r="AX985" t="s">
        <v>9303</v>
      </c>
      <c r="AY985" s="79" t="str">
        <f>HYPERLINK("https://twitter.com/chiefmucker")</f>
        <v>https://twitter.com/chiefmucker</v>
      </c>
      <c r="AZ985" t="s">
        <v>66</v>
      </c>
      <c r="BA985" s="2"/>
    </row>
    <row r="986" spans="1:53" x14ac:dyDescent="0.45">
      <c r="A986" s="62" t="s">
        <v>1014</v>
      </c>
      <c r="B986" s="63"/>
      <c r="C986" s="63"/>
      <c r="D986" s="64"/>
      <c r="E986" s="66"/>
      <c r="F986" s="98" t="str">
        <f>HYPERLINK("https://pbs.twimg.com/profile_images/124459682/lady_normal.jpg")</f>
        <v>https://pbs.twimg.com/profile_images/124459682/lady_normal.jpg</v>
      </c>
      <c r="G986" s="63"/>
      <c r="H986" s="67"/>
      <c r="I986" s="68"/>
      <c r="J986" s="68"/>
      <c r="K986" s="67" t="s">
        <v>10497</v>
      </c>
      <c r="L986" s="71"/>
      <c r="M986" s="72"/>
      <c r="N986" s="72"/>
      <c r="O986" s="73"/>
      <c r="P986" s="74"/>
      <c r="Q986" s="74"/>
      <c r="R986" s="81"/>
      <c r="S986" s="81"/>
      <c r="T986" s="81"/>
      <c r="U986" s="81"/>
      <c r="V986" s="48"/>
      <c r="W986" s="48"/>
      <c r="X986" s="48"/>
      <c r="Y986" s="48"/>
      <c r="Z986" s="47"/>
      <c r="AA986" s="69"/>
      <c r="AB986" s="69"/>
      <c r="AC986" s="70"/>
      <c r="AD986" t="s">
        <v>6175</v>
      </c>
      <c r="AE986" s="78" t="s">
        <v>7360</v>
      </c>
      <c r="AF986">
        <v>551</v>
      </c>
      <c r="AG986">
        <v>194</v>
      </c>
      <c r="AH986">
        <v>8514</v>
      </c>
      <c r="AI986">
        <v>29515</v>
      </c>
      <c r="AO986" s="76">
        <v>39907.005694444444</v>
      </c>
      <c r="AQ986" t="b">
        <v>0</v>
      </c>
      <c r="AR986" t="b">
        <v>0</v>
      </c>
      <c r="AS986" t="b">
        <v>0</v>
      </c>
      <c r="AU986">
        <v>14</v>
      </c>
      <c r="AV986" s="79" t="str">
        <f>HYPERLINK("https://abs.twimg.com/images/themes/theme5/bg.gif")</f>
        <v>https://abs.twimg.com/images/themes/theme5/bg.gif</v>
      </c>
      <c r="AW986" t="b">
        <v>0</v>
      </c>
      <c r="AX986" t="s">
        <v>9303</v>
      </c>
      <c r="AY986" s="79" t="str">
        <f>HYPERLINK("https://twitter.com/alicesmonkey")</f>
        <v>https://twitter.com/alicesmonkey</v>
      </c>
      <c r="AZ986" t="s">
        <v>66</v>
      </c>
      <c r="BA986" s="2"/>
    </row>
    <row r="987" spans="1:53" x14ac:dyDescent="0.45">
      <c r="A987" s="62" t="s">
        <v>532</v>
      </c>
      <c r="B987" s="63"/>
      <c r="C987" s="63"/>
      <c r="D987" s="64"/>
      <c r="E987" s="66"/>
      <c r="F987" s="98" t="str">
        <f>HYPERLINK("https://pbs.twimg.com/profile_images/723602846101475328/gxYclp8P_normal.jpg")</f>
        <v>https://pbs.twimg.com/profile_images/723602846101475328/gxYclp8P_normal.jpg</v>
      </c>
      <c r="G987" s="63"/>
      <c r="H987" s="67"/>
      <c r="I987" s="68"/>
      <c r="J987" s="68"/>
      <c r="K987" s="67" t="s">
        <v>9825</v>
      </c>
      <c r="L987" s="71"/>
      <c r="M987" s="72"/>
      <c r="N987" s="72"/>
      <c r="O987" s="73"/>
      <c r="P987" s="74"/>
      <c r="Q987" s="74"/>
      <c r="R987" s="81"/>
      <c r="S987" s="81"/>
      <c r="T987" s="81"/>
      <c r="U987" s="81"/>
      <c r="V987" s="48"/>
      <c r="W987" s="48"/>
      <c r="X987" s="48"/>
      <c r="Y987" s="48"/>
      <c r="Z987" s="47"/>
      <c r="AA987" s="69"/>
      <c r="AB987" s="69"/>
      <c r="AC987" s="70"/>
      <c r="AD987" t="s">
        <v>5516</v>
      </c>
      <c r="AE987" s="78" t="s">
        <v>6767</v>
      </c>
      <c r="AF987">
        <v>106</v>
      </c>
      <c r="AG987">
        <v>193</v>
      </c>
      <c r="AH987">
        <v>4384</v>
      </c>
      <c r="AI987">
        <v>77</v>
      </c>
      <c r="AK987" t="s">
        <v>7942</v>
      </c>
      <c r="AL987" t="s">
        <v>8933</v>
      </c>
      <c r="AO987" s="76">
        <v>41246.798657407409</v>
      </c>
      <c r="AP987" s="79" t="str">
        <f>HYPERLINK("https://pbs.twimg.com/profile_banners/987232368/1461355339")</f>
        <v>https://pbs.twimg.com/profile_banners/987232368/1461355339</v>
      </c>
      <c r="AQ987" t="b">
        <v>0</v>
      </c>
      <c r="AR987" t="b">
        <v>0</v>
      </c>
      <c r="AS987" t="b">
        <v>1</v>
      </c>
      <c r="AU987">
        <v>1</v>
      </c>
      <c r="AV987" s="79" t="str">
        <f>HYPERLINK("https://abs.twimg.com/images/themes/theme1/bg.png")</f>
        <v>https://abs.twimg.com/images/themes/theme1/bg.png</v>
      </c>
      <c r="AW987" t="b">
        <v>0</v>
      </c>
      <c r="AX987" t="s">
        <v>9303</v>
      </c>
      <c r="AY987" s="79" t="str">
        <f>HYPERLINK("https://twitter.com/pqgrigori")</f>
        <v>https://twitter.com/pqgrigori</v>
      </c>
      <c r="AZ987" t="s">
        <v>66</v>
      </c>
      <c r="BA987" s="2"/>
    </row>
    <row r="988" spans="1:53" x14ac:dyDescent="0.45">
      <c r="A988" s="62" t="s">
        <v>1051</v>
      </c>
      <c r="B988" s="63"/>
      <c r="C988" s="63"/>
      <c r="D988" s="64"/>
      <c r="E988" s="66"/>
      <c r="F988" s="98" t="str">
        <f>HYPERLINK("https://pbs.twimg.com/profile_images/1616547101671915520/w46rX05W_normal.jpg")</f>
        <v>https://pbs.twimg.com/profile_images/1616547101671915520/w46rX05W_normal.jpg</v>
      </c>
      <c r="G988" s="63"/>
      <c r="H988" s="67"/>
      <c r="I988" s="68"/>
      <c r="J988" s="68"/>
      <c r="K988" s="67" t="s">
        <v>10565</v>
      </c>
      <c r="L988" s="71"/>
      <c r="M988" s="72"/>
      <c r="N988" s="72"/>
      <c r="O988" s="73"/>
      <c r="P988" s="74"/>
      <c r="Q988" s="74"/>
      <c r="R988" s="81"/>
      <c r="S988" s="81"/>
      <c r="T988" s="81"/>
      <c r="U988" s="81"/>
      <c r="V988" s="48"/>
      <c r="W988" s="48"/>
      <c r="X988" s="48"/>
      <c r="Y988" s="48"/>
      <c r="Z988" s="47"/>
      <c r="AA988" s="69"/>
      <c r="AB988" s="69"/>
      <c r="AC988" s="70"/>
      <c r="AD988" t="s">
        <v>6243</v>
      </c>
      <c r="AE988" s="78" t="s">
        <v>7417</v>
      </c>
      <c r="AF988">
        <v>461</v>
      </c>
      <c r="AG988">
        <v>192</v>
      </c>
      <c r="AH988">
        <v>82902</v>
      </c>
      <c r="AI988">
        <v>40871</v>
      </c>
      <c r="AL988" t="s">
        <v>8824</v>
      </c>
      <c r="AM988" s="79" t="str">
        <f>HYPERLINK("https://t.co/6XFv05stV3")</f>
        <v>https://t.co/6XFv05stV3</v>
      </c>
      <c r="AO988" s="76">
        <v>43635.863657407404</v>
      </c>
      <c r="AP988" s="79" t="str">
        <f>HYPERLINK("https://pbs.twimg.com/profile_banners/1141446471792955392/1660741006")</f>
        <v>https://pbs.twimg.com/profile_banners/1141446471792955392/1660741006</v>
      </c>
      <c r="AQ988" t="b">
        <v>0</v>
      </c>
      <c r="AR988" t="b">
        <v>0</v>
      </c>
      <c r="AS988" t="b">
        <v>1</v>
      </c>
      <c r="AU988">
        <v>0</v>
      </c>
      <c r="AV988" s="79" t="str">
        <f>HYPERLINK("https://abs.twimg.com/images/themes/theme1/bg.png")</f>
        <v>https://abs.twimg.com/images/themes/theme1/bg.png</v>
      </c>
      <c r="AW988" t="b">
        <v>0</v>
      </c>
      <c r="AX988" t="s">
        <v>9303</v>
      </c>
      <c r="AY988" s="79" t="str">
        <f>HYPERLINK("https://twitter.com/thatgirlhaylz")</f>
        <v>https://twitter.com/thatgirlhaylz</v>
      </c>
      <c r="AZ988" t="s">
        <v>66</v>
      </c>
      <c r="BA988" s="2"/>
    </row>
    <row r="989" spans="1:53" x14ac:dyDescent="0.45">
      <c r="A989" s="62" t="s">
        <v>832</v>
      </c>
      <c r="B989" s="63"/>
      <c r="C989" s="63"/>
      <c r="D989" s="64"/>
      <c r="E989" s="66"/>
      <c r="F989" s="98" t="str">
        <f>HYPERLINK("https://pbs.twimg.com/profile_images/1613433284394102785/WYQjWauF_normal.jpg")</f>
        <v>https://pbs.twimg.com/profile_images/1613433284394102785/WYQjWauF_normal.jpg</v>
      </c>
      <c r="G989" s="63"/>
      <c r="H989" s="67"/>
      <c r="I989" s="68"/>
      <c r="J989" s="68"/>
      <c r="K989" s="67" t="s">
        <v>10225</v>
      </c>
      <c r="L989" s="71"/>
      <c r="M989" s="72"/>
      <c r="N989" s="72"/>
      <c r="O989" s="73"/>
      <c r="P989" s="74"/>
      <c r="Q989" s="74"/>
      <c r="R989" s="81"/>
      <c r="S989" s="81"/>
      <c r="T989" s="81"/>
      <c r="U989" s="81"/>
      <c r="V989" s="48"/>
      <c r="W989" s="48"/>
      <c r="X989" s="48"/>
      <c r="Y989" s="48"/>
      <c r="Z989" s="47"/>
      <c r="AA989" s="69"/>
      <c r="AB989" s="69"/>
      <c r="AC989" s="70"/>
      <c r="AD989" t="s">
        <v>5909</v>
      </c>
      <c r="AE989" s="78" t="s">
        <v>7126</v>
      </c>
      <c r="AF989">
        <v>1018</v>
      </c>
      <c r="AG989">
        <v>188</v>
      </c>
      <c r="AH989">
        <v>6908</v>
      </c>
      <c r="AI989">
        <v>43383</v>
      </c>
      <c r="AK989" t="s">
        <v>8292</v>
      </c>
      <c r="AO989" s="76">
        <v>43453.931469907409</v>
      </c>
      <c r="AP989" s="79" t="str">
        <f>HYPERLINK("https://pbs.twimg.com/profile_banners/1075516455289004033/1672502916")</f>
        <v>https://pbs.twimg.com/profile_banners/1075516455289004033/1672502916</v>
      </c>
      <c r="AQ989" t="b">
        <v>1</v>
      </c>
      <c r="AR989" t="b">
        <v>0</v>
      </c>
      <c r="AS989" t="b">
        <v>0</v>
      </c>
      <c r="AU989">
        <v>1</v>
      </c>
      <c r="AW989" t="b">
        <v>0</v>
      </c>
      <c r="AX989" t="s">
        <v>9303</v>
      </c>
      <c r="AY989" s="79" t="str">
        <f>HYPERLINK("https://twitter.com/vagablondviking")</f>
        <v>https://twitter.com/vagablondviking</v>
      </c>
      <c r="AZ989" t="s">
        <v>66</v>
      </c>
      <c r="BA989" s="2"/>
    </row>
    <row r="990" spans="1:53" x14ac:dyDescent="0.45">
      <c r="A990" s="62" t="s">
        <v>722</v>
      </c>
      <c r="B990" s="63"/>
      <c r="C990" s="63"/>
      <c r="D990" s="64"/>
      <c r="E990" s="66"/>
      <c r="F990" s="98" t="str">
        <f>HYPERLINK("https://pbs.twimg.com/profile_images/1620906446547296262/peFuTria_normal.jpg")</f>
        <v>https://pbs.twimg.com/profile_images/1620906446547296262/peFuTria_normal.jpg</v>
      </c>
      <c r="G990" s="63"/>
      <c r="H990" s="67"/>
      <c r="I990" s="68"/>
      <c r="J990" s="68"/>
      <c r="K990" s="67" t="s">
        <v>10067</v>
      </c>
      <c r="L990" s="71"/>
      <c r="M990" s="72"/>
      <c r="N990" s="72"/>
      <c r="O990" s="73"/>
      <c r="P990" s="74"/>
      <c r="Q990" s="74"/>
      <c r="R990" s="81"/>
      <c r="S990" s="81"/>
      <c r="T990" s="81"/>
      <c r="U990" s="81"/>
      <c r="V990" s="48"/>
      <c r="W990" s="48"/>
      <c r="X990" s="48"/>
      <c r="Y990" s="48"/>
      <c r="Z990" s="47"/>
      <c r="AA990" s="69"/>
      <c r="AB990" s="69"/>
      <c r="AC990" s="70"/>
      <c r="AD990" t="s">
        <v>5756</v>
      </c>
      <c r="AE990" s="78" t="s">
        <v>6991</v>
      </c>
      <c r="AF990">
        <v>306</v>
      </c>
      <c r="AG990">
        <v>187</v>
      </c>
      <c r="AH990">
        <v>117</v>
      </c>
      <c r="AI990">
        <v>212</v>
      </c>
      <c r="AK990" t="s">
        <v>8153</v>
      </c>
      <c r="AL990" t="s">
        <v>9062</v>
      </c>
      <c r="AM990" s="79" t="str">
        <f>HYPERLINK("https://t.co/r8gRbWbcel")</f>
        <v>https://t.co/r8gRbWbcel</v>
      </c>
      <c r="AO990" s="76">
        <v>44740.14912037037</v>
      </c>
      <c r="AP990" s="79" t="str">
        <f>HYPERLINK("https://pbs.twimg.com/profile_banners/1541626085829378048/1675055180")</f>
        <v>https://pbs.twimg.com/profile_banners/1541626085829378048/1675055180</v>
      </c>
      <c r="AQ990" t="b">
        <v>1</v>
      </c>
      <c r="AR990" t="b">
        <v>0</v>
      </c>
      <c r="AS990" t="b">
        <v>0</v>
      </c>
      <c r="AU990">
        <v>0</v>
      </c>
      <c r="AW990" t="b">
        <v>0</v>
      </c>
      <c r="AX990" t="s">
        <v>9303</v>
      </c>
      <c r="AY990" s="79" t="str">
        <f>HYPERLINK("https://twitter.com/priscillalpayne")</f>
        <v>https://twitter.com/priscillalpayne</v>
      </c>
      <c r="AZ990" t="s">
        <v>66</v>
      </c>
      <c r="BA990" s="2"/>
    </row>
    <row r="991" spans="1:53" x14ac:dyDescent="0.45">
      <c r="A991" s="62" t="s">
        <v>726</v>
      </c>
      <c r="B991" s="63"/>
      <c r="C991" s="63"/>
      <c r="D991" s="64"/>
      <c r="E991" s="66"/>
      <c r="F991" s="98" t="str">
        <f>HYPERLINK("https://pbs.twimg.com/profile_images/1609619065848614913/aztHGGLU_normal.jpg")</f>
        <v>https://pbs.twimg.com/profile_images/1609619065848614913/aztHGGLU_normal.jpg</v>
      </c>
      <c r="G991" s="63"/>
      <c r="H991" s="67"/>
      <c r="I991" s="68"/>
      <c r="J991" s="68"/>
      <c r="K991" s="67" t="s">
        <v>10072</v>
      </c>
      <c r="L991" s="71"/>
      <c r="M991" s="72"/>
      <c r="N991" s="72"/>
      <c r="O991" s="73"/>
      <c r="P991" s="74"/>
      <c r="Q991" s="74"/>
      <c r="R991" s="81"/>
      <c r="S991" s="81"/>
      <c r="T991" s="81"/>
      <c r="U991" s="81"/>
      <c r="V991" s="48"/>
      <c r="W991" s="48"/>
      <c r="X991" s="48"/>
      <c r="Y991" s="48"/>
      <c r="Z991" s="47"/>
      <c r="AA991" s="69"/>
      <c r="AB991" s="69"/>
      <c r="AC991" s="70"/>
      <c r="AD991" t="s">
        <v>5761</v>
      </c>
      <c r="AE991" s="78" t="s">
        <v>6995</v>
      </c>
      <c r="AF991">
        <v>20</v>
      </c>
      <c r="AG991">
        <v>186</v>
      </c>
      <c r="AH991">
        <v>32</v>
      </c>
      <c r="AI991">
        <v>1110</v>
      </c>
      <c r="AK991" t="s">
        <v>8158</v>
      </c>
      <c r="AL991" t="s">
        <v>9065</v>
      </c>
      <c r="AM991" s="79" t="str">
        <f>HYPERLINK("https://t.co/0CI6W6cnO4")</f>
        <v>https://t.co/0CI6W6cnO4</v>
      </c>
      <c r="AO991" s="76">
        <v>41222.064120370371</v>
      </c>
      <c r="AP991" s="79" t="str">
        <f>HYPERLINK("https://pbs.twimg.com/profile_banners/935854494/1675289363")</f>
        <v>https://pbs.twimg.com/profile_banners/935854494/1675289363</v>
      </c>
      <c r="AQ991" t="b">
        <v>0</v>
      </c>
      <c r="AR991" t="b">
        <v>0</v>
      </c>
      <c r="AS991" t="b">
        <v>0</v>
      </c>
      <c r="AU991">
        <v>7</v>
      </c>
      <c r="AV991" s="79" t="str">
        <f>HYPERLINK("https://abs.twimg.com/images/themes/theme1/bg.png")</f>
        <v>https://abs.twimg.com/images/themes/theme1/bg.png</v>
      </c>
      <c r="AW991" t="b">
        <v>0</v>
      </c>
      <c r="AX991" t="s">
        <v>9303</v>
      </c>
      <c r="AY991" s="79" t="str">
        <f>HYPERLINK("https://twitter.com/anjuli_mack")</f>
        <v>https://twitter.com/anjuli_mack</v>
      </c>
      <c r="AZ991" t="s">
        <v>66</v>
      </c>
      <c r="BA991" s="2"/>
    </row>
    <row r="992" spans="1:53" x14ac:dyDescent="0.45">
      <c r="A992" s="62" t="s">
        <v>745</v>
      </c>
      <c r="B992" s="63"/>
      <c r="C992" s="63"/>
      <c r="D992" s="64"/>
      <c r="E992" s="66"/>
      <c r="F992" s="98" t="str">
        <f>HYPERLINK("https://pbs.twimg.com/profile_images/1608255329405370368/xclDRdFf_normal.jpg")</f>
        <v>https://pbs.twimg.com/profile_images/1608255329405370368/xclDRdFf_normal.jpg</v>
      </c>
      <c r="G992" s="63"/>
      <c r="H992" s="67"/>
      <c r="I992" s="68"/>
      <c r="J992" s="68"/>
      <c r="K992" s="67" t="s">
        <v>10096</v>
      </c>
      <c r="L992" s="71"/>
      <c r="M992" s="72"/>
      <c r="N992" s="72"/>
      <c r="O992" s="73"/>
      <c r="P992" s="74"/>
      <c r="Q992" s="74"/>
      <c r="R992" s="81"/>
      <c r="S992" s="81"/>
      <c r="T992" s="81"/>
      <c r="U992" s="81"/>
      <c r="V992" s="48"/>
      <c r="W992" s="48"/>
      <c r="X992" s="48"/>
      <c r="Y992" s="48"/>
      <c r="Z992" s="47"/>
      <c r="AA992" s="69"/>
      <c r="AB992" s="69"/>
      <c r="AC992" s="70"/>
      <c r="AD992" t="s">
        <v>5784</v>
      </c>
      <c r="AE992" s="78" t="s">
        <v>7016</v>
      </c>
      <c r="AF992">
        <v>319</v>
      </c>
      <c r="AG992">
        <v>186</v>
      </c>
      <c r="AH992">
        <v>3467</v>
      </c>
      <c r="AI992">
        <v>5815</v>
      </c>
      <c r="AK992" t="s">
        <v>8179</v>
      </c>
      <c r="AL992" t="s">
        <v>9078</v>
      </c>
      <c r="AM992" s="79" t="str">
        <f>HYPERLINK("https://t.co/enbmE4uleD")</f>
        <v>https://t.co/enbmE4uleD</v>
      </c>
      <c r="AO992" s="76">
        <v>44118.132060185184</v>
      </c>
      <c r="AP992" s="79" t="str">
        <f>HYPERLINK("https://pbs.twimg.com/profile_banners/1316214623880835072/1603035520")</f>
        <v>https://pbs.twimg.com/profile_banners/1316214623880835072/1603035520</v>
      </c>
      <c r="AQ992" t="b">
        <v>1</v>
      </c>
      <c r="AR992" t="b">
        <v>0</v>
      </c>
      <c r="AS992" t="b">
        <v>0</v>
      </c>
      <c r="AU992">
        <v>1</v>
      </c>
      <c r="AW992" t="b">
        <v>0</v>
      </c>
      <c r="AX992" t="s">
        <v>9303</v>
      </c>
      <c r="AY992" s="79" t="str">
        <f>HYPERLINK("https://twitter.com/nickmanly2")</f>
        <v>https://twitter.com/nickmanly2</v>
      </c>
      <c r="AZ992" t="s">
        <v>66</v>
      </c>
      <c r="BA992" s="2"/>
    </row>
    <row r="993" spans="1:53" x14ac:dyDescent="0.45">
      <c r="A993" s="62" t="s">
        <v>1538</v>
      </c>
      <c r="B993" s="63"/>
      <c r="C993" s="63"/>
      <c r="D993" s="64"/>
      <c r="E993" s="66"/>
      <c r="F993" s="98" t="str">
        <f>HYPERLINK("https://pbs.twimg.com/profile_images/1609591252780990466/a_opHhLs_normal.jpg")</f>
        <v>https://pbs.twimg.com/profile_images/1609591252780990466/a_opHhLs_normal.jpg</v>
      </c>
      <c r="G993" s="63"/>
      <c r="H993" s="67"/>
      <c r="I993" s="68"/>
      <c r="J993" s="68"/>
      <c r="K993" s="67" t="s">
        <v>10585</v>
      </c>
      <c r="L993" s="71"/>
      <c r="M993" s="72"/>
      <c r="N993" s="72"/>
      <c r="O993" s="73"/>
      <c r="P993" s="74"/>
      <c r="Q993" s="74"/>
      <c r="R993" s="81"/>
      <c r="S993" s="81"/>
      <c r="T993" s="81"/>
      <c r="U993" s="81"/>
      <c r="V993" s="48"/>
      <c r="W993" s="48"/>
      <c r="X993" s="48"/>
      <c r="Y993" s="48"/>
      <c r="Z993" s="47"/>
      <c r="AA993" s="69"/>
      <c r="AB993" s="69"/>
      <c r="AC993" s="70"/>
      <c r="AD993" t="s">
        <v>6263</v>
      </c>
      <c r="AE993" s="78" t="s">
        <v>7434</v>
      </c>
      <c r="AF993">
        <v>371</v>
      </c>
      <c r="AG993">
        <v>185</v>
      </c>
      <c r="AH993">
        <v>9100</v>
      </c>
      <c r="AI993">
        <v>20032</v>
      </c>
      <c r="AK993" t="s">
        <v>8609</v>
      </c>
      <c r="AL993" t="s">
        <v>9273</v>
      </c>
      <c r="AO993" s="76">
        <v>43978.270208333335</v>
      </c>
      <c r="AP993" s="79" t="str">
        <f>HYPERLINK("https://pbs.twimg.com/profile_banners/1265530390472728576/1672591445")</f>
        <v>https://pbs.twimg.com/profile_banners/1265530390472728576/1672591445</v>
      </c>
      <c r="AQ993" t="b">
        <v>1</v>
      </c>
      <c r="AR993" t="b">
        <v>0</v>
      </c>
      <c r="AS993" t="b">
        <v>0</v>
      </c>
      <c r="AU993">
        <v>10</v>
      </c>
      <c r="AW993" t="b">
        <v>0</v>
      </c>
      <c r="AX993" t="s">
        <v>9303</v>
      </c>
      <c r="AY993" s="79" t="str">
        <f>HYPERLINK("https://twitter.com/awilddoggo_1")</f>
        <v>https://twitter.com/awilddoggo_1</v>
      </c>
      <c r="AZ993" t="s">
        <v>65</v>
      </c>
      <c r="BA993" s="2"/>
    </row>
    <row r="994" spans="1:53" x14ac:dyDescent="0.45">
      <c r="A994" s="62" t="s">
        <v>959</v>
      </c>
      <c r="B994" s="63"/>
      <c r="C994" s="63"/>
      <c r="D994" s="64"/>
      <c r="E994" s="66"/>
      <c r="F994" s="98" t="str">
        <f>HYPERLINK("https://pbs.twimg.com/profile_images/804807007387717633/tsNtdqtl_normal.jpg")</f>
        <v>https://pbs.twimg.com/profile_images/804807007387717633/tsNtdqtl_normal.jpg</v>
      </c>
      <c r="G994" s="63"/>
      <c r="H994" s="67"/>
      <c r="I994" s="68"/>
      <c r="J994" s="68"/>
      <c r="K994" s="67" t="s">
        <v>10416</v>
      </c>
      <c r="L994" s="71"/>
      <c r="M994" s="72"/>
      <c r="N994" s="72"/>
      <c r="O994" s="73"/>
      <c r="P994" s="74"/>
      <c r="Q994" s="74"/>
      <c r="R994" s="81"/>
      <c r="S994" s="81"/>
      <c r="T994" s="81"/>
      <c r="U994" s="81"/>
      <c r="V994" s="48"/>
      <c r="W994" s="48"/>
      <c r="X994" s="48"/>
      <c r="Y994" s="48"/>
      <c r="Z994" s="47"/>
      <c r="AA994" s="69"/>
      <c r="AB994" s="69"/>
      <c r="AC994" s="70"/>
      <c r="AD994" t="s">
        <v>6098</v>
      </c>
      <c r="AE994" s="78" t="s">
        <v>7296</v>
      </c>
      <c r="AF994">
        <v>603</v>
      </c>
      <c r="AG994">
        <v>184</v>
      </c>
      <c r="AH994">
        <v>6071</v>
      </c>
      <c r="AI994">
        <v>37049</v>
      </c>
      <c r="AK994" t="s">
        <v>8460</v>
      </c>
      <c r="AM994" s="79" t="str">
        <f>HYPERLINK("https://t.co/GGtLRhwakC")</f>
        <v>https://t.co/GGtLRhwakC</v>
      </c>
      <c r="AO994" s="76">
        <v>41067.722893518519</v>
      </c>
      <c r="AP994" s="79" t="str">
        <f>HYPERLINK("https://pbs.twimg.com/profile_banners/602047624/1458272724")</f>
        <v>https://pbs.twimg.com/profile_banners/602047624/1458272724</v>
      </c>
      <c r="AQ994" t="b">
        <v>0</v>
      </c>
      <c r="AR994" t="b">
        <v>0</v>
      </c>
      <c r="AS994" t="b">
        <v>1</v>
      </c>
      <c r="AU994">
        <v>2</v>
      </c>
      <c r="AV994" s="79" t="str">
        <f>HYPERLINK("https://abs.twimg.com/images/themes/theme1/bg.png")</f>
        <v>https://abs.twimg.com/images/themes/theme1/bg.png</v>
      </c>
      <c r="AW994" t="b">
        <v>0</v>
      </c>
      <c r="AX994" t="s">
        <v>9303</v>
      </c>
      <c r="AY994" s="79" t="str">
        <f>HYPERLINK("https://twitter.com/banker____")</f>
        <v>https://twitter.com/banker____</v>
      </c>
      <c r="AZ994" t="s">
        <v>66</v>
      </c>
      <c r="BA994" s="2"/>
    </row>
    <row r="995" spans="1:53" x14ac:dyDescent="0.45">
      <c r="A995" s="62" t="s">
        <v>996</v>
      </c>
      <c r="B995" s="63"/>
      <c r="C995" s="63"/>
      <c r="D995" s="64"/>
      <c r="E995" s="66"/>
      <c r="F995" s="98" t="str">
        <f>HYPERLINK("https://pbs.twimg.com/profile_images/1620158291618988032/i0-wkfif_normal.jpg")</f>
        <v>https://pbs.twimg.com/profile_images/1620158291618988032/i0-wkfif_normal.jpg</v>
      </c>
      <c r="G995" s="63"/>
      <c r="H995" s="67"/>
      <c r="I995" s="68"/>
      <c r="J995" s="68"/>
      <c r="K995" s="67" t="s">
        <v>10461</v>
      </c>
      <c r="L995" s="71"/>
      <c r="M995" s="72"/>
      <c r="N995" s="72"/>
      <c r="O995" s="73"/>
      <c r="P995" s="74"/>
      <c r="Q995" s="74"/>
      <c r="R995" s="81"/>
      <c r="S995" s="81"/>
      <c r="T995" s="81"/>
      <c r="U995" s="81"/>
      <c r="V995" s="48"/>
      <c r="W995" s="48"/>
      <c r="X995" s="48"/>
      <c r="Y995" s="48"/>
      <c r="Z995" s="47"/>
      <c r="AA995" s="69"/>
      <c r="AB995" s="69"/>
      <c r="AC995" s="70"/>
      <c r="AD995" t="s">
        <v>6142</v>
      </c>
      <c r="AE995" s="78" t="s">
        <v>4792</v>
      </c>
      <c r="AF995">
        <v>235</v>
      </c>
      <c r="AG995">
        <v>183</v>
      </c>
      <c r="AH995">
        <v>18452</v>
      </c>
      <c r="AI995">
        <v>34891</v>
      </c>
      <c r="AK995" t="s">
        <v>8500</v>
      </c>
      <c r="AL995" t="s">
        <v>8722</v>
      </c>
      <c r="AM995" s="79" t="str">
        <f>HYPERLINK("https://t.co/rBjuFHW4kR")</f>
        <v>https://t.co/rBjuFHW4kR</v>
      </c>
      <c r="AO995" s="76">
        <v>44142.911608796298</v>
      </c>
      <c r="AP995" s="79" t="str">
        <f>HYPERLINK("https://pbs.twimg.com/profile_banners/1325194428831551488/1644014384")</f>
        <v>https://pbs.twimg.com/profile_banners/1325194428831551488/1644014384</v>
      </c>
      <c r="AQ995" t="b">
        <v>1</v>
      </c>
      <c r="AR995" t="b">
        <v>0</v>
      </c>
      <c r="AS995" t="b">
        <v>0</v>
      </c>
      <c r="AU995">
        <v>10</v>
      </c>
      <c r="AW995" t="b">
        <v>0</v>
      </c>
      <c r="AX995" t="s">
        <v>9303</v>
      </c>
      <c r="AY995" s="79" t="str">
        <f>HYPERLINK("https://twitter.com/uninguest")</f>
        <v>https://twitter.com/uninguest</v>
      </c>
      <c r="AZ995" t="s">
        <v>66</v>
      </c>
      <c r="BA995" s="2"/>
    </row>
    <row r="996" spans="1:53" x14ac:dyDescent="0.45">
      <c r="A996" s="62" t="s">
        <v>806</v>
      </c>
      <c r="B996" s="63"/>
      <c r="C996" s="63"/>
      <c r="D996" s="64"/>
      <c r="E996" s="66"/>
      <c r="F996" s="98" t="str">
        <f>HYPERLINK("https://pbs.twimg.com/profile_images/1613538581095583744/UUGjHMf8_normal.jpg")</f>
        <v>https://pbs.twimg.com/profile_images/1613538581095583744/UUGjHMf8_normal.jpg</v>
      </c>
      <c r="G996" s="63"/>
      <c r="H996" s="67"/>
      <c r="I996" s="68"/>
      <c r="J996" s="68"/>
      <c r="K996" s="67" t="s">
        <v>10185</v>
      </c>
      <c r="L996" s="71"/>
      <c r="M996" s="72"/>
      <c r="N996" s="72"/>
      <c r="O996" s="73"/>
      <c r="P996" s="74"/>
      <c r="Q996" s="74"/>
      <c r="R996" s="81"/>
      <c r="S996" s="81"/>
      <c r="T996" s="81"/>
      <c r="U996" s="81"/>
      <c r="V996" s="48"/>
      <c r="W996" s="48"/>
      <c r="X996" s="48"/>
      <c r="Y996" s="48"/>
      <c r="Z996" s="47"/>
      <c r="AA996" s="69"/>
      <c r="AB996" s="69"/>
      <c r="AC996" s="70"/>
      <c r="AD996" t="s">
        <v>5869</v>
      </c>
      <c r="AE996" s="78" t="s">
        <v>7092</v>
      </c>
      <c r="AF996">
        <v>423</v>
      </c>
      <c r="AG996">
        <v>183</v>
      </c>
      <c r="AH996">
        <v>6100</v>
      </c>
      <c r="AI996">
        <v>41399</v>
      </c>
      <c r="AK996" t="s">
        <v>8258</v>
      </c>
      <c r="AL996" t="s">
        <v>9112</v>
      </c>
      <c r="AO996" s="76">
        <v>40781.925324074073</v>
      </c>
      <c r="AP996" s="79" t="str">
        <f>HYPERLINK("https://pbs.twimg.com/profile_banners/362734251/1673532550")</f>
        <v>https://pbs.twimg.com/profile_banners/362734251/1673532550</v>
      </c>
      <c r="AQ996" t="b">
        <v>1</v>
      </c>
      <c r="AR996" t="b">
        <v>0</v>
      </c>
      <c r="AS996" t="b">
        <v>0</v>
      </c>
      <c r="AU996">
        <v>1</v>
      </c>
      <c r="AV996" s="79" t="str">
        <f>HYPERLINK("https://abs.twimg.com/images/themes/theme1/bg.png")</f>
        <v>https://abs.twimg.com/images/themes/theme1/bg.png</v>
      </c>
      <c r="AW996" t="b">
        <v>0</v>
      </c>
      <c r="AX996" t="s">
        <v>9303</v>
      </c>
      <c r="AY996" s="79" t="str">
        <f>HYPERLINK("https://twitter.com/frye1965")</f>
        <v>https://twitter.com/frye1965</v>
      </c>
      <c r="AZ996" t="s">
        <v>66</v>
      </c>
      <c r="BA996" s="2"/>
    </row>
    <row r="997" spans="1:53" x14ac:dyDescent="0.45">
      <c r="A997" s="62" t="s">
        <v>1024</v>
      </c>
      <c r="B997" s="63"/>
      <c r="C997" s="63"/>
      <c r="D997" s="64"/>
      <c r="E997" s="66"/>
      <c r="F997" s="98" t="str">
        <f>HYPERLINK("https://pbs.twimg.com/profile_images/1621078358187548673/zmtosl1K_normal.jpg")</f>
        <v>https://pbs.twimg.com/profile_images/1621078358187548673/zmtosl1K_normal.jpg</v>
      </c>
      <c r="G997" s="63"/>
      <c r="H997" s="67"/>
      <c r="I997" s="68"/>
      <c r="J997" s="68"/>
      <c r="K997" s="67" t="s">
        <v>10510</v>
      </c>
      <c r="L997" s="71"/>
      <c r="M997" s="72"/>
      <c r="N997" s="72"/>
      <c r="O997" s="73"/>
      <c r="P997" s="74"/>
      <c r="Q997" s="74"/>
      <c r="R997" s="81"/>
      <c r="S997" s="81"/>
      <c r="T997" s="81"/>
      <c r="U997" s="81"/>
      <c r="V997" s="48"/>
      <c r="W997" s="48"/>
      <c r="X997" s="48"/>
      <c r="Y997" s="48"/>
      <c r="Z997" s="47"/>
      <c r="AA997" s="69"/>
      <c r="AB997" s="69"/>
      <c r="AC997" s="70"/>
      <c r="AD997" t="s">
        <v>6188</v>
      </c>
      <c r="AE997" s="78" t="s">
        <v>7371</v>
      </c>
      <c r="AF997">
        <v>1105</v>
      </c>
      <c r="AG997">
        <v>182</v>
      </c>
      <c r="AH997">
        <v>8284</v>
      </c>
      <c r="AI997">
        <v>23658</v>
      </c>
      <c r="AK997" t="s">
        <v>8543</v>
      </c>
      <c r="AL997" t="s">
        <v>9245</v>
      </c>
      <c r="AO997" s="76">
        <v>41139.820219907408</v>
      </c>
      <c r="AP997" s="79" t="str">
        <f>HYPERLINK("https://pbs.twimg.com/profile_banners/766269156/1642949067")</f>
        <v>https://pbs.twimg.com/profile_banners/766269156/1642949067</v>
      </c>
      <c r="AQ997" t="b">
        <v>0</v>
      </c>
      <c r="AR997" t="b">
        <v>0</v>
      </c>
      <c r="AS997" t="b">
        <v>1</v>
      </c>
      <c r="AU997">
        <v>4</v>
      </c>
      <c r="AV997" s="79" t="str">
        <f>HYPERLINK("https://abs.twimg.com/images/themes/theme1/bg.png")</f>
        <v>https://abs.twimg.com/images/themes/theme1/bg.png</v>
      </c>
      <c r="AW997" t="b">
        <v>0</v>
      </c>
      <c r="AX997" t="s">
        <v>9303</v>
      </c>
      <c r="AY997" s="79" t="str">
        <f>HYPERLINK("https://twitter.com/benbowers5")</f>
        <v>https://twitter.com/benbowers5</v>
      </c>
      <c r="AZ997" t="s">
        <v>66</v>
      </c>
      <c r="BA997" s="2"/>
    </row>
    <row r="998" spans="1:53" x14ac:dyDescent="0.45">
      <c r="A998" s="62" t="s">
        <v>1100</v>
      </c>
      <c r="B998" s="63"/>
      <c r="C998" s="63"/>
      <c r="D998" s="64"/>
      <c r="E998" s="66"/>
      <c r="F998" s="98" t="str">
        <f>HYPERLINK("https://pbs.twimg.com/profile_images/1539408413481902084/2yv2fv5Y_normal.jpg")</f>
        <v>https://pbs.twimg.com/profile_images/1539408413481902084/2yv2fv5Y_normal.jpg</v>
      </c>
      <c r="G998" s="63"/>
      <c r="H998" s="67"/>
      <c r="I998" s="68"/>
      <c r="J998" s="68"/>
      <c r="K998" s="67" t="s">
        <v>10647</v>
      </c>
      <c r="L998" s="71"/>
      <c r="M998" s="72"/>
      <c r="N998" s="72"/>
      <c r="O998" s="73"/>
      <c r="P998" s="74"/>
      <c r="Q998" s="74"/>
      <c r="R998" s="81"/>
      <c r="S998" s="81"/>
      <c r="T998" s="81"/>
      <c r="U998" s="81"/>
      <c r="V998" s="48"/>
      <c r="W998" s="48"/>
      <c r="X998" s="48"/>
      <c r="Y998" s="48"/>
      <c r="Z998" s="47"/>
      <c r="AA998" s="69"/>
      <c r="AB998" s="69"/>
      <c r="AC998" s="70"/>
      <c r="AD998" t="s">
        <v>6322</v>
      </c>
      <c r="AE998" s="78" t="s">
        <v>7484</v>
      </c>
      <c r="AF998">
        <v>731</v>
      </c>
      <c r="AG998">
        <v>180</v>
      </c>
      <c r="AH998">
        <v>11231</v>
      </c>
      <c r="AI998">
        <v>15735</v>
      </c>
      <c r="AK998" t="s">
        <v>8667</v>
      </c>
      <c r="AL998" t="s">
        <v>9170</v>
      </c>
      <c r="AO998" s="76">
        <v>39726.21292824074</v>
      </c>
      <c r="AP998" s="79" t="str">
        <f>HYPERLINK("https://pbs.twimg.com/profile_banners/16599074/1603245526")</f>
        <v>https://pbs.twimg.com/profile_banners/16599074/1603245526</v>
      </c>
      <c r="AQ998" t="b">
        <v>0</v>
      </c>
      <c r="AR998" t="b">
        <v>0</v>
      </c>
      <c r="AS998" t="b">
        <v>1</v>
      </c>
      <c r="AU998">
        <v>2</v>
      </c>
      <c r="AV998" s="79" t="str">
        <f>HYPERLINK("https://abs.twimg.com/images/themes/theme9/bg.gif")</f>
        <v>https://abs.twimg.com/images/themes/theme9/bg.gif</v>
      </c>
      <c r="AW998" t="b">
        <v>0</v>
      </c>
      <c r="AX998" t="s">
        <v>9303</v>
      </c>
      <c r="AY998" s="79" t="str">
        <f>HYPERLINK("https://twitter.com/juanteddoa")</f>
        <v>https://twitter.com/juanteddoa</v>
      </c>
      <c r="AZ998" t="s">
        <v>66</v>
      </c>
      <c r="BA998" s="2"/>
    </row>
    <row r="999" spans="1:53" x14ac:dyDescent="0.45">
      <c r="A999" s="62" t="s">
        <v>713</v>
      </c>
      <c r="B999" s="63"/>
      <c r="C999" s="63"/>
      <c r="D999" s="64"/>
      <c r="E999" s="66"/>
      <c r="F999" s="98" t="str">
        <f>HYPERLINK("https://pbs.twimg.com/profile_images/1681374444/liberty-bell-1_normal.jpg")</f>
        <v>https://pbs.twimg.com/profile_images/1681374444/liberty-bell-1_normal.jpg</v>
      </c>
      <c r="G999" s="63"/>
      <c r="H999" s="67"/>
      <c r="I999" s="68"/>
      <c r="J999" s="68"/>
      <c r="K999" s="67" t="s">
        <v>10050</v>
      </c>
      <c r="L999" s="71"/>
      <c r="M999" s="72"/>
      <c r="N999" s="72"/>
      <c r="O999" s="73"/>
      <c r="P999" s="74"/>
      <c r="Q999" s="74"/>
      <c r="R999" s="81"/>
      <c r="S999" s="81"/>
      <c r="T999" s="81"/>
      <c r="U999" s="81"/>
      <c r="V999" s="48"/>
      <c r="W999" s="48"/>
      <c r="X999" s="48"/>
      <c r="Y999" s="48"/>
      <c r="Z999" s="47"/>
      <c r="AA999" s="69"/>
      <c r="AB999" s="69"/>
      <c r="AC999" s="70"/>
      <c r="AD999" t="s">
        <v>5739</v>
      </c>
      <c r="AE999" s="78" t="s">
        <v>6976</v>
      </c>
      <c r="AF999">
        <v>157</v>
      </c>
      <c r="AG999">
        <v>180</v>
      </c>
      <c r="AH999">
        <v>1791</v>
      </c>
      <c r="AI999">
        <v>482</v>
      </c>
      <c r="AK999" t="s">
        <v>8137</v>
      </c>
      <c r="AL999">
        <v>85281</v>
      </c>
      <c r="AO999" s="76">
        <v>40827.242835648147</v>
      </c>
      <c r="AQ999" t="b">
        <v>1</v>
      </c>
      <c r="AR999" t="b">
        <v>0</v>
      </c>
      <c r="AS999" t="b">
        <v>1</v>
      </c>
      <c r="AU999">
        <v>0</v>
      </c>
      <c r="AV999" s="79" t="str">
        <f>HYPERLINK("https://abs.twimg.com/images/themes/theme1/bg.png")</f>
        <v>https://abs.twimg.com/images/themes/theme1/bg.png</v>
      </c>
      <c r="AW999" t="b">
        <v>0</v>
      </c>
      <c r="AX999" t="s">
        <v>9303</v>
      </c>
      <c r="AY999" s="79" t="str">
        <f>HYPERLINK("https://twitter.com/lastchance4l")</f>
        <v>https://twitter.com/lastchance4l</v>
      </c>
      <c r="AZ999" t="s">
        <v>66</v>
      </c>
      <c r="BA999" s="2"/>
    </row>
    <row r="1000" spans="1:53" x14ac:dyDescent="0.45">
      <c r="A1000" s="62" t="s">
        <v>1221</v>
      </c>
      <c r="B1000" s="63"/>
      <c r="C1000" s="63"/>
      <c r="D1000" s="64"/>
      <c r="E1000" s="66"/>
      <c r="F1000" s="98" t="str">
        <f>HYPERLINK("https://pbs.twimg.com/profile_images/1586081390554058752/_sLHXabm_normal.jpg")</f>
        <v>https://pbs.twimg.com/profile_images/1586081390554058752/_sLHXabm_normal.jpg</v>
      </c>
      <c r="G1000" s="63"/>
      <c r="H1000" s="67"/>
      <c r="I1000" s="68"/>
      <c r="J1000" s="68"/>
      <c r="K1000" s="67" t="s">
        <v>9545</v>
      </c>
      <c r="L1000" s="71"/>
      <c r="M1000" s="72"/>
      <c r="N1000" s="72"/>
      <c r="O1000" s="73"/>
      <c r="P1000" s="74"/>
      <c r="Q1000" s="74"/>
      <c r="R1000" s="81"/>
      <c r="S1000" s="81"/>
      <c r="T1000" s="81"/>
      <c r="U1000" s="81"/>
      <c r="V1000" s="48"/>
      <c r="W1000" s="48"/>
      <c r="X1000" s="48"/>
      <c r="Y1000" s="48"/>
      <c r="Z1000" s="47"/>
      <c r="AA1000" s="69"/>
      <c r="AB1000" s="69"/>
      <c r="AC1000" s="70"/>
      <c r="AD1000" t="s">
        <v>5238</v>
      </c>
      <c r="AE1000" s="78" t="s">
        <v>4680</v>
      </c>
      <c r="AF1000">
        <v>127</v>
      </c>
      <c r="AG1000">
        <v>179</v>
      </c>
      <c r="AH1000">
        <v>23851</v>
      </c>
      <c r="AI1000">
        <v>7978</v>
      </c>
      <c r="AK1000" t="s">
        <v>7706</v>
      </c>
      <c r="AL1000" t="s">
        <v>8807</v>
      </c>
      <c r="AO1000" s="76">
        <v>39925.054166666669</v>
      </c>
      <c r="AP1000" s="79" t="str">
        <f>HYPERLINK("https://pbs.twimg.com/profile_banners/34125103/1580185925")</f>
        <v>https://pbs.twimg.com/profile_banners/34125103/1580185925</v>
      </c>
      <c r="AQ1000" t="b">
        <v>0</v>
      </c>
      <c r="AR1000" t="b">
        <v>0</v>
      </c>
      <c r="AS1000" t="b">
        <v>1</v>
      </c>
      <c r="AU1000">
        <v>2</v>
      </c>
      <c r="AV1000" s="79" t="str">
        <f>HYPERLINK("https://abs.twimg.com/images/themes/theme1/bg.png")</f>
        <v>https://abs.twimg.com/images/themes/theme1/bg.png</v>
      </c>
      <c r="AW1000" t="b">
        <v>0</v>
      </c>
      <c r="AX1000" t="s">
        <v>9303</v>
      </c>
      <c r="AY1000" s="79" t="str">
        <f>HYPERLINK("https://twitter.com/silly_celi")</f>
        <v>https://twitter.com/silly_celi</v>
      </c>
      <c r="AZ1000" t="s">
        <v>65</v>
      </c>
      <c r="BA1000" s="2"/>
    </row>
    <row r="1001" spans="1:53" x14ac:dyDescent="0.45">
      <c r="A1001" s="62" t="s">
        <v>498</v>
      </c>
      <c r="B1001" s="63"/>
      <c r="C1001" s="63"/>
      <c r="D1001" s="64"/>
      <c r="E1001" s="66"/>
      <c r="F1001" s="98" t="str">
        <f>HYPERLINK("https://pbs.twimg.com/profile_images/1613674407876075520/e_zoGziI_normal.jpg")</f>
        <v>https://pbs.twimg.com/profile_images/1613674407876075520/e_zoGziI_normal.jpg</v>
      </c>
      <c r="G1001" s="63"/>
      <c r="H1001" s="67"/>
      <c r="I1001" s="68"/>
      <c r="J1001" s="68"/>
      <c r="K1001" s="67" t="s">
        <v>9774</v>
      </c>
      <c r="L1001" s="71"/>
      <c r="M1001" s="72"/>
      <c r="N1001" s="72"/>
      <c r="O1001" s="73"/>
      <c r="P1001" s="74"/>
      <c r="Q1001" s="74"/>
      <c r="R1001" s="81"/>
      <c r="S1001" s="81"/>
      <c r="T1001" s="81"/>
      <c r="U1001" s="81"/>
      <c r="V1001" s="48"/>
      <c r="W1001" s="48"/>
      <c r="X1001" s="48"/>
      <c r="Y1001" s="48"/>
      <c r="Z1001" s="47"/>
      <c r="AA1001" s="69"/>
      <c r="AB1001" s="69"/>
      <c r="AC1001" s="70"/>
      <c r="AD1001" t="s">
        <v>5466</v>
      </c>
      <c r="AE1001" s="78" t="s">
        <v>6725</v>
      </c>
      <c r="AF1001">
        <v>69</v>
      </c>
      <c r="AG1001">
        <v>179</v>
      </c>
      <c r="AH1001">
        <v>17951</v>
      </c>
      <c r="AI1001">
        <v>25415</v>
      </c>
      <c r="AK1001" t="s">
        <v>7898</v>
      </c>
      <c r="AM1001" s="79" t="str">
        <f>HYPERLINK("https://t.co/obAEvshLnQ")</f>
        <v>https://t.co/obAEvshLnQ</v>
      </c>
      <c r="AO1001" s="76">
        <v>44357.570868055554</v>
      </c>
      <c r="AP1001" s="79" t="str">
        <f>HYPERLINK("https://pbs.twimg.com/profile_banners/1402984334697455623/1672674710")</f>
        <v>https://pbs.twimg.com/profile_banners/1402984334697455623/1672674710</v>
      </c>
      <c r="AQ1001" t="b">
        <v>1</v>
      </c>
      <c r="AR1001" t="b">
        <v>0</v>
      </c>
      <c r="AS1001" t="b">
        <v>0</v>
      </c>
      <c r="AU1001">
        <v>1</v>
      </c>
      <c r="AW1001" t="b">
        <v>0</v>
      </c>
      <c r="AX1001" t="s">
        <v>9303</v>
      </c>
      <c r="AY1001" s="79" t="str">
        <f>HYPERLINK("https://twitter.com/plasticheartsok")</f>
        <v>https://twitter.com/plasticheartsok</v>
      </c>
      <c r="AZ1001" t="s">
        <v>66</v>
      </c>
      <c r="BA1001" s="2"/>
    </row>
    <row r="1002" spans="1:53" x14ac:dyDescent="0.45">
      <c r="A1002" s="62" t="s">
        <v>1370</v>
      </c>
      <c r="B1002" s="63"/>
      <c r="C1002" s="63"/>
      <c r="D1002" s="64"/>
      <c r="E1002" s="66"/>
      <c r="F1002" s="98" t="str">
        <f>HYPERLINK("https://pbs.twimg.com/profile_images/1550954709573320710/dCaZVx9V_normal.jpg")</f>
        <v>https://pbs.twimg.com/profile_images/1550954709573320710/dCaZVx9V_normal.jpg</v>
      </c>
      <c r="G1002" s="63"/>
      <c r="H1002" s="67"/>
      <c r="I1002" s="68"/>
      <c r="J1002" s="68"/>
      <c r="K1002" s="67" t="s">
        <v>10153</v>
      </c>
      <c r="L1002" s="71"/>
      <c r="M1002" s="72"/>
      <c r="N1002" s="72"/>
      <c r="O1002" s="73"/>
      <c r="P1002" s="74"/>
      <c r="Q1002" s="74"/>
      <c r="R1002" s="81"/>
      <c r="S1002" s="81"/>
      <c r="T1002" s="81"/>
      <c r="U1002" s="81"/>
      <c r="V1002" s="48"/>
      <c r="W1002" s="48"/>
      <c r="X1002" s="48"/>
      <c r="Y1002" s="48"/>
      <c r="Z1002" s="47"/>
      <c r="AA1002" s="69"/>
      <c r="AB1002" s="69"/>
      <c r="AC1002" s="70"/>
      <c r="AD1002" t="s">
        <v>5839</v>
      </c>
      <c r="AE1002" s="78" t="s">
        <v>7065</v>
      </c>
      <c r="AF1002">
        <v>217</v>
      </c>
      <c r="AG1002">
        <v>179</v>
      </c>
      <c r="AH1002">
        <v>464</v>
      </c>
      <c r="AI1002">
        <v>1067</v>
      </c>
      <c r="AK1002" t="s">
        <v>8230</v>
      </c>
      <c r="AO1002" s="76">
        <v>42085.185752314814</v>
      </c>
      <c r="AP1002" s="79" t="str">
        <f>HYPERLINK("https://pbs.twimg.com/profile_banners/3102507318/1666085627")</f>
        <v>https://pbs.twimg.com/profile_banners/3102507318/1666085627</v>
      </c>
      <c r="AQ1002" t="b">
        <v>1</v>
      </c>
      <c r="AR1002" t="b">
        <v>0</v>
      </c>
      <c r="AS1002" t="b">
        <v>1</v>
      </c>
      <c r="AU1002">
        <v>0</v>
      </c>
      <c r="AV1002" s="79" t="str">
        <f>HYPERLINK("https://abs.twimg.com/images/themes/theme1/bg.png")</f>
        <v>https://abs.twimg.com/images/themes/theme1/bg.png</v>
      </c>
      <c r="AW1002" t="b">
        <v>0</v>
      </c>
      <c r="AX1002" t="s">
        <v>9303</v>
      </c>
      <c r="AY1002" s="79" t="str">
        <f>HYPERLINK("https://twitter.com/mlerma78")</f>
        <v>https://twitter.com/mlerma78</v>
      </c>
      <c r="AZ1002" t="s">
        <v>65</v>
      </c>
      <c r="BA1002" s="2"/>
    </row>
    <row r="1003" spans="1:53" x14ac:dyDescent="0.45">
      <c r="A1003" s="62" t="s">
        <v>1374</v>
      </c>
      <c r="B1003" s="63"/>
      <c r="C1003" s="63"/>
      <c r="D1003" s="64"/>
      <c r="E1003" s="66"/>
      <c r="F1003" s="98" t="str">
        <f>HYPERLINK("https://pbs.twimg.com/profile_images/1542836782013857793/G_SOMwWb_normal.jpg")</f>
        <v>https://pbs.twimg.com/profile_images/1542836782013857793/G_SOMwWb_normal.jpg</v>
      </c>
      <c r="G1003" s="63"/>
      <c r="H1003" s="67"/>
      <c r="I1003" s="68"/>
      <c r="J1003" s="68"/>
      <c r="K1003" s="67" t="s">
        <v>10157</v>
      </c>
      <c r="L1003" s="71"/>
      <c r="M1003" s="72"/>
      <c r="N1003" s="72"/>
      <c r="O1003" s="73"/>
      <c r="P1003" s="74"/>
      <c r="Q1003" s="74"/>
      <c r="R1003" s="81"/>
      <c r="S1003" s="81"/>
      <c r="T1003" s="81"/>
      <c r="U1003" s="81"/>
      <c r="V1003" s="48"/>
      <c r="W1003" s="48"/>
      <c r="X1003" s="48"/>
      <c r="Y1003" s="48"/>
      <c r="Z1003" s="47"/>
      <c r="AA1003" s="69"/>
      <c r="AB1003" s="69"/>
      <c r="AC1003" s="70"/>
      <c r="AD1003" t="s">
        <v>5843</v>
      </c>
      <c r="AE1003" s="78" t="s">
        <v>4747</v>
      </c>
      <c r="AF1003">
        <v>179</v>
      </c>
      <c r="AG1003">
        <v>179</v>
      </c>
      <c r="AH1003">
        <v>208</v>
      </c>
      <c r="AI1003">
        <v>1711</v>
      </c>
      <c r="AK1003" t="s">
        <v>8233</v>
      </c>
      <c r="AO1003" s="76">
        <v>44067.632870370369</v>
      </c>
      <c r="AP1003" s="79" t="str">
        <f>HYPERLINK("https://pbs.twimg.com/profile_banners/1297914349487448064/1599844329")</f>
        <v>https://pbs.twimg.com/profile_banners/1297914349487448064/1599844329</v>
      </c>
      <c r="AQ1003" t="b">
        <v>1</v>
      </c>
      <c r="AR1003" t="b">
        <v>0</v>
      </c>
      <c r="AS1003" t="b">
        <v>1</v>
      </c>
      <c r="AU1003">
        <v>0</v>
      </c>
      <c r="AW1003" t="b">
        <v>0</v>
      </c>
      <c r="AX1003" t="s">
        <v>9303</v>
      </c>
      <c r="AY1003" s="79" t="str">
        <f>HYPERLINK("https://twitter.com/tristecoach")</f>
        <v>https://twitter.com/tristecoach</v>
      </c>
      <c r="AZ1003" t="s">
        <v>65</v>
      </c>
      <c r="BA1003" s="2"/>
    </row>
    <row r="1004" spans="1:53" x14ac:dyDescent="0.45">
      <c r="A1004" s="62" t="s">
        <v>818</v>
      </c>
      <c r="B1004" s="63"/>
      <c r="C1004" s="63"/>
      <c r="D1004" s="64"/>
      <c r="E1004" s="66"/>
      <c r="F1004" s="98" t="str">
        <f>HYPERLINK("https://pbs.twimg.com/profile_images/1511853384915058691/wnGOBV0P_normal.jpg")</f>
        <v>https://pbs.twimg.com/profile_images/1511853384915058691/wnGOBV0P_normal.jpg</v>
      </c>
      <c r="G1004" s="63"/>
      <c r="H1004" s="67"/>
      <c r="I1004" s="68"/>
      <c r="J1004" s="68"/>
      <c r="K1004" s="67" t="s">
        <v>10203</v>
      </c>
      <c r="L1004" s="71"/>
      <c r="M1004" s="72"/>
      <c r="N1004" s="72"/>
      <c r="O1004" s="73"/>
      <c r="P1004" s="74"/>
      <c r="Q1004" s="74"/>
      <c r="R1004" s="81"/>
      <c r="S1004" s="81"/>
      <c r="T1004" s="81"/>
      <c r="U1004" s="81"/>
      <c r="V1004" s="48"/>
      <c r="W1004" s="48"/>
      <c r="X1004" s="48"/>
      <c r="Y1004" s="48"/>
      <c r="Z1004" s="47"/>
      <c r="AA1004" s="69"/>
      <c r="AB1004" s="69"/>
      <c r="AC1004" s="70"/>
      <c r="AD1004" t="s">
        <v>5887</v>
      </c>
      <c r="AE1004" s="78" t="s">
        <v>4754</v>
      </c>
      <c r="AF1004">
        <v>425</v>
      </c>
      <c r="AG1004">
        <v>178</v>
      </c>
      <c r="AH1004">
        <v>7500</v>
      </c>
      <c r="AI1004">
        <v>2147</v>
      </c>
      <c r="AK1004" t="s">
        <v>8273</v>
      </c>
      <c r="AL1004" t="s">
        <v>9121</v>
      </c>
      <c r="AO1004" s="76">
        <v>39987.0780787037</v>
      </c>
      <c r="AP1004" s="79" t="str">
        <f>HYPERLINK("https://pbs.twimg.com/profile_banners/49846775/1594093742")</f>
        <v>https://pbs.twimg.com/profile_banners/49846775/1594093742</v>
      </c>
      <c r="AQ1004" t="b">
        <v>0</v>
      </c>
      <c r="AR1004" t="b">
        <v>0</v>
      </c>
      <c r="AS1004" t="b">
        <v>1</v>
      </c>
      <c r="AU1004">
        <v>3</v>
      </c>
      <c r="AV1004" s="79" t="str">
        <f>HYPERLINK("https://abs.twimg.com/images/themes/theme10/bg.gif")</f>
        <v>https://abs.twimg.com/images/themes/theme10/bg.gif</v>
      </c>
      <c r="AW1004" t="b">
        <v>0</v>
      </c>
      <c r="AX1004" t="s">
        <v>9303</v>
      </c>
      <c r="AY1004" s="79" t="str">
        <f>HYPERLINK("https://twitter.com/scrub__zero")</f>
        <v>https://twitter.com/scrub__zero</v>
      </c>
      <c r="AZ1004" t="s">
        <v>66</v>
      </c>
      <c r="BA1004" s="2"/>
    </row>
    <row r="1005" spans="1:53" x14ac:dyDescent="0.45">
      <c r="A1005" s="62" t="s">
        <v>999</v>
      </c>
      <c r="B1005" s="63"/>
      <c r="C1005" s="63"/>
      <c r="D1005" s="64"/>
      <c r="E1005" s="66"/>
      <c r="F1005" s="98" t="str">
        <f>HYPERLINK("https://pbs.twimg.com/profile_images/1383839176496353281/HZmrwUwP_normal.jpg")</f>
        <v>https://pbs.twimg.com/profile_images/1383839176496353281/HZmrwUwP_normal.jpg</v>
      </c>
      <c r="G1005" s="63"/>
      <c r="H1005" s="67"/>
      <c r="I1005" s="68"/>
      <c r="J1005" s="68"/>
      <c r="K1005" s="67" t="s">
        <v>10474</v>
      </c>
      <c r="L1005" s="71"/>
      <c r="M1005" s="72"/>
      <c r="N1005" s="72"/>
      <c r="O1005" s="73"/>
      <c r="P1005" s="74"/>
      <c r="Q1005" s="74"/>
      <c r="R1005" s="81"/>
      <c r="S1005" s="81"/>
      <c r="T1005" s="81"/>
      <c r="U1005" s="81"/>
      <c r="V1005" s="48"/>
      <c r="W1005" s="48"/>
      <c r="X1005" s="48"/>
      <c r="Y1005" s="48"/>
      <c r="Z1005" s="47"/>
      <c r="AA1005" s="69"/>
      <c r="AB1005" s="69"/>
      <c r="AC1005" s="70"/>
      <c r="AD1005" t="s">
        <v>6154</v>
      </c>
      <c r="AE1005" s="78" t="s">
        <v>7340</v>
      </c>
      <c r="AF1005">
        <v>457</v>
      </c>
      <c r="AG1005">
        <v>177</v>
      </c>
      <c r="AH1005">
        <v>49617</v>
      </c>
      <c r="AI1005">
        <v>7853</v>
      </c>
      <c r="AK1005" t="s">
        <v>8513</v>
      </c>
      <c r="AL1005" t="s">
        <v>9075</v>
      </c>
      <c r="AO1005" s="76">
        <v>41211.702569444446</v>
      </c>
      <c r="AP1005" s="79" t="str">
        <f>HYPERLINK("https://pbs.twimg.com/profile_banners/912814730/1601305913")</f>
        <v>https://pbs.twimg.com/profile_banners/912814730/1601305913</v>
      </c>
      <c r="AQ1005" t="b">
        <v>1</v>
      </c>
      <c r="AR1005" t="b">
        <v>0</v>
      </c>
      <c r="AS1005" t="b">
        <v>0</v>
      </c>
      <c r="AU1005">
        <v>0</v>
      </c>
      <c r="AV1005" s="79" t="str">
        <f>HYPERLINK("https://abs.twimg.com/images/themes/theme1/bg.png")</f>
        <v>https://abs.twimg.com/images/themes/theme1/bg.png</v>
      </c>
      <c r="AW1005" t="b">
        <v>0</v>
      </c>
      <c r="AX1005" t="s">
        <v>9303</v>
      </c>
      <c r="AY1005" s="79" t="str">
        <f>HYPERLINK("https://twitter.com/optix_c")</f>
        <v>https://twitter.com/optix_c</v>
      </c>
      <c r="AZ1005" t="s">
        <v>66</v>
      </c>
      <c r="BA1005" s="2"/>
    </row>
    <row r="1006" spans="1:53" x14ac:dyDescent="0.45">
      <c r="A1006" s="62" t="s">
        <v>543</v>
      </c>
      <c r="B1006" s="63"/>
      <c r="C1006" s="63"/>
      <c r="D1006" s="64"/>
      <c r="E1006" s="66"/>
      <c r="F1006" s="98" t="str">
        <f>HYPERLINK("https://pbs.twimg.com/profile_images/1609770828320706560/o6ipWgD-_normal.jpg")</f>
        <v>https://pbs.twimg.com/profile_images/1609770828320706560/o6ipWgD-_normal.jpg</v>
      </c>
      <c r="G1006" s="63"/>
      <c r="H1006" s="67"/>
      <c r="I1006" s="68"/>
      <c r="J1006" s="68"/>
      <c r="K1006" s="67" t="s">
        <v>9836</v>
      </c>
      <c r="L1006" s="71"/>
      <c r="M1006" s="72"/>
      <c r="N1006" s="72"/>
      <c r="O1006" s="73"/>
      <c r="P1006" s="74"/>
      <c r="Q1006" s="74"/>
      <c r="R1006" s="81"/>
      <c r="S1006" s="81"/>
      <c r="T1006" s="81"/>
      <c r="U1006" s="81"/>
      <c r="V1006" s="48"/>
      <c r="W1006" s="48"/>
      <c r="X1006" s="48"/>
      <c r="Y1006" s="48"/>
      <c r="Z1006" s="47"/>
      <c r="AA1006" s="69"/>
      <c r="AB1006" s="69"/>
      <c r="AC1006" s="70"/>
      <c r="AD1006" t="s">
        <v>5527</v>
      </c>
      <c r="AE1006" s="78" t="s">
        <v>6777</v>
      </c>
      <c r="AF1006">
        <v>282</v>
      </c>
      <c r="AG1006">
        <v>174</v>
      </c>
      <c r="AH1006">
        <v>106281</v>
      </c>
      <c r="AI1006">
        <v>6461</v>
      </c>
      <c r="AK1006" t="s">
        <v>7952</v>
      </c>
      <c r="AL1006" t="s">
        <v>8939</v>
      </c>
      <c r="AO1006" s="76">
        <v>40008.061516203707</v>
      </c>
      <c r="AP1006" s="79" t="str">
        <f>HYPERLINK("https://pbs.twimg.com/profile_banners/56562780/1672979949")</f>
        <v>https://pbs.twimg.com/profile_banners/56562780/1672979949</v>
      </c>
      <c r="AQ1006" t="b">
        <v>0</v>
      </c>
      <c r="AR1006" t="b">
        <v>0</v>
      </c>
      <c r="AS1006" t="b">
        <v>0</v>
      </c>
      <c r="AU1006">
        <v>5</v>
      </c>
      <c r="AV1006" s="79" t="str">
        <f>HYPERLINK("https://abs.twimg.com/images/themes/theme18/bg.gif")</f>
        <v>https://abs.twimg.com/images/themes/theme18/bg.gif</v>
      </c>
      <c r="AW1006" t="b">
        <v>0</v>
      </c>
      <c r="AX1006" t="s">
        <v>9303</v>
      </c>
      <c r="AY1006" s="79" t="str">
        <f>HYPERLINK("https://twitter.com/mcvertulli")</f>
        <v>https://twitter.com/mcvertulli</v>
      </c>
      <c r="AZ1006" t="s">
        <v>66</v>
      </c>
      <c r="BA1006" s="2"/>
    </row>
    <row r="1007" spans="1:53" x14ac:dyDescent="0.45">
      <c r="A1007" s="62" t="s">
        <v>1362</v>
      </c>
      <c r="B1007" s="63"/>
      <c r="C1007" s="63"/>
      <c r="D1007" s="64"/>
      <c r="E1007" s="66"/>
      <c r="F1007" s="98" t="str">
        <f>HYPERLINK("https://pbs.twimg.com/profile_images/881503963517943808/6Wt5vhTP_normal.jpg")</f>
        <v>https://pbs.twimg.com/profile_images/881503963517943808/6Wt5vhTP_normal.jpg</v>
      </c>
      <c r="G1007" s="63"/>
      <c r="H1007" s="67"/>
      <c r="I1007" s="68"/>
      <c r="J1007" s="68"/>
      <c r="K1007" s="67" t="s">
        <v>10120</v>
      </c>
      <c r="L1007" s="71"/>
      <c r="M1007" s="72"/>
      <c r="N1007" s="72"/>
      <c r="O1007" s="73"/>
      <c r="P1007" s="74"/>
      <c r="Q1007" s="74"/>
      <c r="R1007" s="81"/>
      <c r="S1007" s="81"/>
      <c r="T1007" s="81"/>
      <c r="U1007" s="81"/>
      <c r="V1007" s="48"/>
      <c r="W1007" s="48"/>
      <c r="X1007" s="48"/>
      <c r="Y1007" s="48"/>
      <c r="Z1007" s="47"/>
      <c r="AA1007" s="69"/>
      <c r="AB1007" s="69"/>
      <c r="AC1007" s="70"/>
      <c r="AD1007" t="s">
        <v>5808</v>
      </c>
      <c r="AE1007" s="78" t="s">
        <v>4740</v>
      </c>
      <c r="AF1007">
        <v>1808</v>
      </c>
      <c r="AG1007">
        <v>173</v>
      </c>
      <c r="AH1007">
        <v>5638</v>
      </c>
      <c r="AI1007">
        <v>353</v>
      </c>
      <c r="AK1007" t="s">
        <v>8203</v>
      </c>
      <c r="AL1007" t="s">
        <v>9090</v>
      </c>
      <c r="AO1007" s="76">
        <v>42735.831793981481</v>
      </c>
      <c r="AQ1007" t="b">
        <v>1</v>
      </c>
      <c r="AR1007" t="b">
        <v>0</v>
      </c>
      <c r="AS1007" t="b">
        <v>1</v>
      </c>
      <c r="AU1007">
        <v>1</v>
      </c>
      <c r="AW1007" t="b">
        <v>0</v>
      </c>
      <c r="AX1007" t="s">
        <v>9303</v>
      </c>
      <c r="AY1007" s="79" t="str">
        <f>HYPERLINK("https://twitter.com/paulous1975")</f>
        <v>https://twitter.com/paulous1975</v>
      </c>
      <c r="AZ1007" t="s">
        <v>65</v>
      </c>
      <c r="BA1007" s="2"/>
    </row>
    <row r="1008" spans="1:53" x14ac:dyDescent="0.45">
      <c r="A1008" s="62" t="s">
        <v>854</v>
      </c>
      <c r="B1008" s="63"/>
      <c r="C1008" s="63"/>
      <c r="D1008" s="64"/>
      <c r="E1008" s="66"/>
      <c r="F1008" s="98" t="str">
        <f>HYPERLINK("https://pbs.twimg.com/profile_images/1618425981416488960/s3PFXIAo_normal.jpg")</f>
        <v>https://pbs.twimg.com/profile_images/1618425981416488960/s3PFXIAo_normal.jpg</v>
      </c>
      <c r="G1008" s="63"/>
      <c r="H1008" s="67"/>
      <c r="I1008" s="68"/>
      <c r="J1008" s="68"/>
      <c r="K1008" s="67" t="s">
        <v>10252</v>
      </c>
      <c r="L1008" s="71"/>
      <c r="M1008" s="72"/>
      <c r="N1008" s="72"/>
      <c r="O1008" s="73"/>
      <c r="P1008" s="74"/>
      <c r="Q1008" s="74"/>
      <c r="R1008" s="81"/>
      <c r="S1008" s="81"/>
      <c r="T1008" s="81"/>
      <c r="U1008" s="81"/>
      <c r="V1008" s="48"/>
      <c r="W1008" s="48"/>
      <c r="X1008" s="48"/>
      <c r="Y1008" s="48"/>
      <c r="Z1008" s="47"/>
      <c r="AA1008" s="69"/>
      <c r="AB1008" s="69"/>
      <c r="AC1008" s="70"/>
      <c r="AD1008" t="s">
        <v>5935</v>
      </c>
      <c r="AE1008" s="78" t="s">
        <v>7150</v>
      </c>
      <c r="AF1008">
        <v>629</v>
      </c>
      <c r="AG1008">
        <v>172</v>
      </c>
      <c r="AH1008">
        <v>2084</v>
      </c>
      <c r="AI1008">
        <v>5586</v>
      </c>
      <c r="AK1008" t="s">
        <v>8314</v>
      </c>
      <c r="AL1008" t="s">
        <v>9141</v>
      </c>
      <c r="AM1008" s="79" t="str">
        <f>HYPERLINK("https://t.co/bEfuZI0IZi")</f>
        <v>https://t.co/bEfuZI0IZi</v>
      </c>
      <c r="AO1008" s="76">
        <v>44140.670486111114</v>
      </c>
      <c r="AP1008" s="79" t="str">
        <f>HYPERLINK("https://pbs.twimg.com/profile_banners/1324382285140025345/1670948989")</f>
        <v>https://pbs.twimg.com/profile_banners/1324382285140025345/1670948989</v>
      </c>
      <c r="AQ1008" t="b">
        <v>1</v>
      </c>
      <c r="AR1008" t="b">
        <v>0</v>
      </c>
      <c r="AS1008" t="b">
        <v>0</v>
      </c>
      <c r="AU1008">
        <v>0</v>
      </c>
      <c r="AW1008" t="b">
        <v>0</v>
      </c>
      <c r="AX1008" t="s">
        <v>9303</v>
      </c>
      <c r="AY1008" s="79" t="str">
        <f>HYPERLINK("https://twitter.com/lindamarcelino3")</f>
        <v>https://twitter.com/lindamarcelino3</v>
      </c>
      <c r="AZ1008" t="s">
        <v>66</v>
      </c>
      <c r="BA1008" s="2"/>
    </row>
    <row r="1009" spans="1:53" x14ac:dyDescent="0.45">
      <c r="A1009" s="62" t="s">
        <v>262</v>
      </c>
      <c r="B1009" s="63"/>
      <c r="C1009" s="63"/>
      <c r="D1009" s="64"/>
      <c r="E1009" s="66"/>
      <c r="F1009" s="98" t="str">
        <f>HYPERLINK("https://pbs.twimg.com/profile_images/820739293761208324/sg-15WZg_normal.jpg")</f>
        <v>https://pbs.twimg.com/profile_images/820739293761208324/sg-15WZg_normal.jpg</v>
      </c>
      <c r="G1009" s="63"/>
      <c r="H1009" s="67"/>
      <c r="I1009" s="68"/>
      <c r="J1009" s="68"/>
      <c r="K1009" s="67" t="s">
        <v>9405</v>
      </c>
      <c r="L1009" s="71"/>
      <c r="M1009" s="72"/>
      <c r="N1009" s="72"/>
      <c r="O1009" s="73"/>
      <c r="P1009" s="74"/>
      <c r="Q1009" s="74"/>
      <c r="R1009" s="81"/>
      <c r="S1009" s="81"/>
      <c r="T1009" s="81"/>
      <c r="U1009" s="81"/>
      <c r="V1009" s="48"/>
      <c r="W1009" s="48"/>
      <c r="X1009" s="48"/>
      <c r="Y1009" s="48"/>
      <c r="Z1009" s="47"/>
      <c r="AA1009" s="69"/>
      <c r="AB1009" s="69"/>
      <c r="AC1009" s="70"/>
      <c r="AD1009" t="s">
        <v>5100</v>
      </c>
      <c r="AE1009" s="78" t="s">
        <v>6410</v>
      </c>
      <c r="AF1009">
        <v>667</v>
      </c>
      <c r="AG1009">
        <v>171</v>
      </c>
      <c r="AH1009">
        <v>10586</v>
      </c>
      <c r="AI1009">
        <v>3373</v>
      </c>
      <c r="AK1009" t="s">
        <v>7583</v>
      </c>
      <c r="AL1009" t="s">
        <v>8736</v>
      </c>
      <c r="AO1009" s="76">
        <v>41214.083078703705</v>
      </c>
      <c r="AP1009" s="79" t="str">
        <f>HYPERLINK("https://pbs.twimg.com/profile_banners/918061603/1450131518")</f>
        <v>https://pbs.twimg.com/profile_banners/918061603/1450131518</v>
      </c>
      <c r="AQ1009" t="b">
        <v>1</v>
      </c>
      <c r="AR1009" t="b">
        <v>0</v>
      </c>
      <c r="AS1009" t="b">
        <v>0</v>
      </c>
      <c r="AU1009">
        <v>9</v>
      </c>
      <c r="AV1009" s="79" t="str">
        <f>HYPERLINK("https://abs.twimg.com/images/themes/theme1/bg.png")</f>
        <v>https://abs.twimg.com/images/themes/theme1/bg.png</v>
      </c>
      <c r="AW1009" t="b">
        <v>0</v>
      </c>
      <c r="AX1009" t="s">
        <v>9303</v>
      </c>
      <c r="AY1009" s="79" t="str">
        <f>HYPERLINK("https://twitter.com/garsea108")</f>
        <v>https://twitter.com/garsea108</v>
      </c>
      <c r="AZ1009" t="s">
        <v>66</v>
      </c>
      <c r="BA1009" s="2"/>
    </row>
    <row r="1010" spans="1:53" x14ac:dyDescent="0.45">
      <c r="A1010" s="62" t="s">
        <v>538</v>
      </c>
      <c r="B1010" s="63"/>
      <c r="C1010" s="63"/>
      <c r="D1010" s="64"/>
      <c r="E1010" s="66"/>
      <c r="F1010" s="98" t="str">
        <f>HYPERLINK("https://pbs.twimg.com/profile_images/1519996772113858563/hiUbBWpI_normal.jpg")</f>
        <v>https://pbs.twimg.com/profile_images/1519996772113858563/hiUbBWpI_normal.jpg</v>
      </c>
      <c r="G1010" s="63"/>
      <c r="H1010" s="67"/>
      <c r="I1010" s="68"/>
      <c r="J1010" s="68"/>
      <c r="K1010" s="67" t="s">
        <v>9830</v>
      </c>
      <c r="L1010" s="71"/>
      <c r="M1010" s="72"/>
      <c r="N1010" s="72"/>
      <c r="O1010" s="73"/>
      <c r="P1010" s="74"/>
      <c r="Q1010" s="74"/>
      <c r="R1010" s="81"/>
      <c r="S1010" s="81"/>
      <c r="T1010" s="81"/>
      <c r="U1010" s="81"/>
      <c r="V1010" s="48"/>
      <c r="W1010" s="48"/>
      <c r="X1010" s="48"/>
      <c r="Y1010" s="48"/>
      <c r="Z1010" s="47"/>
      <c r="AA1010" s="69"/>
      <c r="AB1010" s="69"/>
      <c r="AC1010" s="70"/>
      <c r="AD1010" t="s">
        <v>5521</v>
      </c>
      <c r="AE1010" s="78" t="s">
        <v>6772</v>
      </c>
      <c r="AF1010">
        <v>724</v>
      </c>
      <c r="AG1010">
        <v>171</v>
      </c>
      <c r="AH1010">
        <v>2161</v>
      </c>
      <c r="AI1010">
        <v>570</v>
      </c>
      <c r="AK1010" t="s">
        <v>7946</v>
      </c>
      <c r="AL1010" t="s">
        <v>4969</v>
      </c>
      <c r="AM1010" s="79" t="str">
        <f>HYPERLINK("https://t.co/chv8tKK5Fw")</f>
        <v>https://t.co/chv8tKK5Fw</v>
      </c>
      <c r="AO1010" s="76">
        <v>44680.462476851855</v>
      </c>
      <c r="AP1010" s="79" t="str">
        <f>HYPERLINK("https://pbs.twimg.com/profile_banners/1519996327765159937/1653488814")</f>
        <v>https://pbs.twimg.com/profile_banners/1519996327765159937/1653488814</v>
      </c>
      <c r="AQ1010" t="b">
        <v>1</v>
      </c>
      <c r="AR1010" t="b">
        <v>0</v>
      </c>
      <c r="AS1010" t="b">
        <v>1</v>
      </c>
      <c r="AU1010">
        <v>0</v>
      </c>
      <c r="AW1010" t="b">
        <v>0</v>
      </c>
      <c r="AX1010" t="s">
        <v>9303</v>
      </c>
      <c r="AY1010" s="79" t="str">
        <f>HYPERLINK("https://twitter.com/chicedr")</f>
        <v>https://twitter.com/chicedr</v>
      </c>
      <c r="AZ1010" t="s">
        <v>66</v>
      </c>
      <c r="BA1010" s="2"/>
    </row>
    <row r="1011" spans="1:53" x14ac:dyDescent="0.45">
      <c r="A1011" s="62" t="s">
        <v>746</v>
      </c>
      <c r="B1011" s="63"/>
      <c r="C1011" s="63"/>
      <c r="D1011" s="64"/>
      <c r="E1011" s="66"/>
      <c r="F1011" s="98" t="str">
        <f>HYPERLINK("https://pbs.twimg.com/profile_images/1619449072661716994/B2h5eipS_normal.jpg")</f>
        <v>https://pbs.twimg.com/profile_images/1619449072661716994/B2h5eipS_normal.jpg</v>
      </c>
      <c r="G1011" s="63"/>
      <c r="H1011" s="67"/>
      <c r="I1011" s="68"/>
      <c r="J1011" s="68"/>
      <c r="K1011" s="67" t="s">
        <v>10097</v>
      </c>
      <c r="L1011" s="71"/>
      <c r="M1011" s="72"/>
      <c r="N1011" s="72"/>
      <c r="O1011" s="73"/>
      <c r="P1011" s="74"/>
      <c r="Q1011" s="74"/>
      <c r="R1011" s="81"/>
      <c r="S1011" s="81"/>
      <c r="T1011" s="81"/>
      <c r="U1011" s="81"/>
      <c r="V1011" s="48"/>
      <c r="W1011" s="48"/>
      <c r="X1011" s="48"/>
      <c r="Y1011" s="48"/>
      <c r="Z1011" s="47"/>
      <c r="AA1011" s="69"/>
      <c r="AB1011" s="69"/>
      <c r="AC1011" s="70"/>
      <c r="AD1011" t="s">
        <v>5785</v>
      </c>
      <c r="AE1011" s="78" t="s">
        <v>7017</v>
      </c>
      <c r="AF1011">
        <v>272</v>
      </c>
      <c r="AG1011">
        <v>170</v>
      </c>
      <c r="AH1011">
        <v>560</v>
      </c>
      <c r="AI1011">
        <v>19604</v>
      </c>
      <c r="AK1011" t="s">
        <v>8180</v>
      </c>
      <c r="AL1011" t="s">
        <v>9079</v>
      </c>
      <c r="AO1011" s="76">
        <v>44128.820914351854</v>
      </c>
      <c r="AQ1011" t="b">
        <v>1</v>
      </c>
      <c r="AR1011" t="b">
        <v>0</v>
      </c>
      <c r="AS1011" t="b">
        <v>0</v>
      </c>
      <c r="AU1011">
        <v>2</v>
      </c>
      <c r="AW1011" t="b">
        <v>0</v>
      </c>
      <c r="AX1011" t="s">
        <v>9303</v>
      </c>
      <c r="AY1011" s="79" t="str">
        <f>HYPERLINK("https://twitter.com/drkateendocrine")</f>
        <v>https://twitter.com/drkateendocrine</v>
      </c>
      <c r="AZ1011" t="s">
        <v>66</v>
      </c>
      <c r="BA1011" s="2"/>
    </row>
    <row r="1012" spans="1:53" x14ac:dyDescent="0.45">
      <c r="A1012" s="62" t="s">
        <v>313</v>
      </c>
      <c r="B1012" s="63"/>
      <c r="C1012" s="63"/>
      <c r="D1012" s="64"/>
      <c r="E1012" s="66"/>
      <c r="F1012" s="98" t="str">
        <f>HYPERLINK("https://pbs.twimg.com/profile_images/1349506197829738497/OLew8UDG_normal.jpg")</f>
        <v>https://pbs.twimg.com/profile_images/1349506197829738497/OLew8UDG_normal.jpg</v>
      </c>
      <c r="G1012" s="63"/>
      <c r="H1012" s="67"/>
      <c r="I1012" s="68"/>
      <c r="J1012" s="68"/>
      <c r="K1012" s="67" t="s">
        <v>9509</v>
      </c>
      <c r="L1012" s="71"/>
      <c r="M1012" s="72"/>
      <c r="N1012" s="72"/>
      <c r="O1012" s="73"/>
      <c r="P1012" s="74"/>
      <c r="Q1012" s="74"/>
      <c r="R1012" s="81"/>
      <c r="S1012" s="81"/>
      <c r="T1012" s="81"/>
      <c r="U1012" s="81"/>
      <c r="V1012" s="48"/>
      <c r="W1012" s="48"/>
      <c r="X1012" s="48"/>
      <c r="Y1012" s="48"/>
      <c r="Z1012" s="47"/>
      <c r="AA1012" s="69"/>
      <c r="AB1012" s="69"/>
      <c r="AC1012" s="70"/>
      <c r="AD1012" t="s">
        <v>5203</v>
      </c>
      <c r="AE1012" s="78" t="s">
        <v>6494</v>
      </c>
      <c r="AF1012">
        <v>291</v>
      </c>
      <c r="AG1012">
        <v>169</v>
      </c>
      <c r="AH1012">
        <v>60482</v>
      </c>
      <c r="AI1012">
        <v>7095</v>
      </c>
      <c r="AK1012" t="s">
        <v>7673</v>
      </c>
      <c r="AL1012" t="s">
        <v>8788</v>
      </c>
      <c r="AO1012" s="76">
        <v>41116.349351851852</v>
      </c>
      <c r="AP1012" s="79" t="str">
        <f>HYPERLINK("https://pbs.twimg.com/profile_banners/717686078/1578296074")</f>
        <v>https://pbs.twimg.com/profile_banners/717686078/1578296074</v>
      </c>
      <c r="AQ1012" t="b">
        <v>0</v>
      </c>
      <c r="AR1012" t="b">
        <v>0</v>
      </c>
      <c r="AS1012" t="b">
        <v>0</v>
      </c>
      <c r="AU1012">
        <v>10</v>
      </c>
      <c r="AV1012" s="79" t="str">
        <f>HYPERLINK("https://abs.twimg.com/images/themes/theme1/bg.png")</f>
        <v>https://abs.twimg.com/images/themes/theme1/bg.png</v>
      </c>
      <c r="AW1012" t="b">
        <v>0</v>
      </c>
      <c r="AX1012" t="s">
        <v>9303</v>
      </c>
      <c r="AY1012" s="79" t="str">
        <f>HYPERLINK("https://twitter.com/damndawrlean")</f>
        <v>https://twitter.com/damndawrlean</v>
      </c>
      <c r="AZ1012" t="s">
        <v>66</v>
      </c>
      <c r="BA1012" s="2"/>
    </row>
    <row r="1013" spans="1:53" x14ac:dyDescent="0.45">
      <c r="A1013" s="62" t="s">
        <v>849</v>
      </c>
      <c r="B1013" s="63"/>
      <c r="C1013" s="63"/>
      <c r="D1013" s="64"/>
      <c r="E1013" s="66"/>
      <c r="F1013" s="98" t="str">
        <f>HYPERLINK("https://abs.twimg.com/sticky/default_profile_images/default_profile_normal.png")</f>
        <v>https://abs.twimg.com/sticky/default_profile_images/default_profile_normal.png</v>
      </c>
      <c r="G1013" s="63"/>
      <c r="H1013" s="67"/>
      <c r="I1013" s="68"/>
      <c r="J1013" s="68"/>
      <c r="K1013" s="67" t="s">
        <v>10245</v>
      </c>
      <c r="L1013" s="71"/>
      <c r="M1013" s="72"/>
      <c r="N1013" s="72"/>
      <c r="O1013" s="73"/>
      <c r="P1013" s="74"/>
      <c r="Q1013" s="74"/>
      <c r="R1013" s="81"/>
      <c r="S1013" s="81"/>
      <c r="T1013" s="81"/>
      <c r="U1013" s="81"/>
      <c r="V1013" s="48"/>
      <c r="W1013" s="48"/>
      <c r="X1013" s="48"/>
      <c r="Y1013" s="48"/>
      <c r="Z1013" s="47"/>
      <c r="AA1013" s="69"/>
      <c r="AB1013" s="69"/>
      <c r="AC1013" s="70"/>
      <c r="AD1013" t="s">
        <v>849</v>
      </c>
      <c r="AE1013" s="78" t="s">
        <v>7144</v>
      </c>
      <c r="AF1013">
        <v>1059</v>
      </c>
      <c r="AG1013">
        <v>169</v>
      </c>
      <c r="AH1013">
        <v>6040</v>
      </c>
      <c r="AI1013">
        <v>30979</v>
      </c>
      <c r="AL1013" t="s">
        <v>9137</v>
      </c>
      <c r="AO1013" s="76">
        <v>40394.670648148145</v>
      </c>
      <c r="AQ1013" t="b">
        <v>1</v>
      </c>
      <c r="AR1013" t="b">
        <v>1</v>
      </c>
      <c r="AS1013" t="b">
        <v>0</v>
      </c>
      <c r="AU1013">
        <v>1</v>
      </c>
      <c r="AV1013" s="79" t="str">
        <f>HYPERLINK("https://abs.twimg.com/images/themes/theme1/bg.png")</f>
        <v>https://abs.twimg.com/images/themes/theme1/bg.png</v>
      </c>
      <c r="AW1013" t="b">
        <v>0</v>
      </c>
      <c r="AX1013" t="s">
        <v>9303</v>
      </c>
      <c r="AY1013" s="79" t="str">
        <f>HYPERLINK("https://twitter.com/swprvic")</f>
        <v>https://twitter.com/swprvic</v>
      </c>
      <c r="AZ1013" t="s">
        <v>66</v>
      </c>
      <c r="BA1013" s="2"/>
    </row>
    <row r="1014" spans="1:53" x14ac:dyDescent="0.45">
      <c r="A1014" s="62" t="s">
        <v>839</v>
      </c>
      <c r="B1014" s="63"/>
      <c r="C1014" s="63"/>
      <c r="D1014" s="64"/>
      <c r="E1014" s="66"/>
      <c r="F1014" s="98" t="str">
        <f>HYPERLINK("https://pbs.twimg.com/profile_images/1620783702274883587/PGXUsOg2_normal.jpg")</f>
        <v>https://pbs.twimg.com/profile_images/1620783702274883587/PGXUsOg2_normal.jpg</v>
      </c>
      <c r="G1014" s="63"/>
      <c r="H1014" s="67"/>
      <c r="I1014" s="68"/>
      <c r="J1014" s="68"/>
      <c r="K1014" s="67" t="s">
        <v>10232</v>
      </c>
      <c r="L1014" s="71"/>
      <c r="M1014" s="72"/>
      <c r="N1014" s="72"/>
      <c r="O1014" s="73"/>
      <c r="P1014" s="74"/>
      <c r="Q1014" s="74"/>
      <c r="R1014" s="81"/>
      <c r="S1014" s="81"/>
      <c r="T1014" s="81"/>
      <c r="U1014" s="81"/>
      <c r="V1014" s="48"/>
      <c r="W1014" s="48"/>
      <c r="X1014" s="48"/>
      <c r="Y1014" s="48"/>
      <c r="Z1014" s="47"/>
      <c r="AA1014" s="69"/>
      <c r="AB1014" s="69"/>
      <c r="AC1014" s="70"/>
      <c r="AD1014" t="s">
        <v>5916</v>
      </c>
      <c r="AE1014" s="78" t="s">
        <v>7133</v>
      </c>
      <c r="AF1014">
        <v>163</v>
      </c>
      <c r="AG1014">
        <v>169</v>
      </c>
      <c r="AH1014">
        <v>2190</v>
      </c>
      <c r="AI1014">
        <v>7573</v>
      </c>
      <c r="AK1014" t="s">
        <v>8298</v>
      </c>
      <c r="AO1014" s="76">
        <v>44912.374722222223</v>
      </c>
      <c r="AP1014" s="79" t="str">
        <f>HYPERLINK("https://pbs.twimg.com/profile_banners/1604038495621767171/1674214192")</f>
        <v>https://pbs.twimg.com/profile_banners/1604038495621767171/1674214192</v>
      </c>
      <c r="AQ1014" t="b">
        <v>1</v>
      </c>
      <c r="AR1014" t="b">
        <v>0</v>
      </c>
      <c r="AS1014" t="b">
        <v>0</v>
      </c>
      <c r="AU1014">
        <v>0</v>
      </c>
      <c r="AW1014" t="b">
        <v>0</v>
      </c>
      <c r="AX1014" t="s">
        <v>9303</v>
      </c>
      <c r="AY1014" s="79" t="str">
        <f>HYPERLINK("https://twitter.com/ohspacefool")</f>
        <v>https://twitter.com/ohspacefool</v>
      </c>
      <c r="AZ1014" t="s">
        <v>66</v>
      </c>
      <c r="BA1014" s="2"/>
    </row>
    <row r="1015" spans="1:53" x14ac:dyDescent="0.45">
      <c r="A1015" s="62" t="s">
        <v>553</v>
      </c>
      <c r="B1015" s="63"/>
      <c r="C1015" s="63"/>
      <c r="D1015" s="64"/>
      <c r="E1015" s="66"/>
      <c r="F1015" s="98" t="str">
        <f>HYPERLINK("https://pbs.twimg.com/profile_images/2845140437/4a1fd18b3659aeb3e4430529fa2e2c51_normal.jpeg")</f>
        <v>https://pbs.twimg.com/profile_images/2845140437/4a1fd18b3659aeb3e4430529fa2e2c51_normal.jpeg</v>
      </c>
      <c r="G1015" s="63"/>
      <c r="H1015" s="67"/>
      <c r="I1015" s="68"/>
      <c r="J1015" s="68"/>
      <c r="K1015" s="67" t="s">
        <v>9850</v>
      </c>
      <c r="L1015" s="71"/>
      <c r="M1015" s="72"/>
      <c r="N1015" s="72"/>
      <c r="O1015" s="73"/>
      <c r="P1015" s="74"/>
      <c r="Q1015" s="74"/>
      <c r="R1015" s="81"/>
      <c r="S1015" s="81"/>
      <c r="T1015" s="81"/>
      <c r="U1015" s="81"/>
      <c r="V1015" s="48"/>
      <c r="W1015" s="48"/>
      <c r="X1015" s="48"/>
      <c r="Y1015" s="48"/>
      <c r="Z1015" s="47"/>
      <c r="AA1015" s="69"/>
      <c r="AB1015" s="69"/>
      <c r="AC1015" s="70"/>
      <c r="AD1015" t="s">
        <v>5541</v>
      </c>
      <c r="AE1015" s="78" t="s">
        <v>6790</v>
      </c>
      <c r="AF1015">
        <v>365</v>
      </c>
      <c r="AG1015">
        <v>167</v>
      </c>
      <c r="AH1015">
        <v>6334</v>
      </c>
      <c r="AI1015">
        <v>14</v>
      </c>
      <c r="AK1015" t="s">
        <v>7964</v>
      </c>
      <c r="AL1015" t="s">
        <v>4920</v>
      </c>
      <c r="AO1015" s="76">
        <v>41057.697928240741</v>
      </c>
      <c r="AP1015" s="79" t="str">
        <f>HYPERLINK("https://pbs.twimg.com/profile_banners/592878508/1490116324")</f>
        <v>https://pbs.twimg.com/profile_banners/592878508/1490116324</v>
      </c>
      <c r="AQ1015" t="b">
        <v>0</v>
      </c>
      <c r="AR1015" t="b">
        <v>0</v>
      </c>
      <c r="AS1015" t="b">
        <v>0</v>
      </c>
      <c r="AU1015">
        <v>1</v>
      </c>
      <c r="AV1015" s="79" t="str">
        <f>HYPERLINK("https://abs.twimg.com/images/themes/theme1/bg.png")</f>
        <v>https://abs.twimg.com/images/themes/theme1/bg.png</v>
      </c>
      <c r="AW1015" t="b">
        <v>0</v>
      </c>
      <c r="AX1015" t="s">
        <v>9303</v>
      </c>
      <c r="AY1015" s="79" t="str">
        <f>HYPERLINK("https://twitter.com/deliciouslyso")</f>
        <v>https://twitter.com/deliciouslyso</v>
      </c>
      <c r="AZ1015" t="s">
        <v>66</v>
      </c>
      <c r="BA1015" s="2"/>
    </row>
    <row r="1016" spans="1:53" x14ac:dyDescent="0.45">
      <c r="A1016" s="62" t="s">
        <v>541</v>
      </c>
      <c r="B1016" s="63"/>
      <c r="C1016" s="63"/>
      <c r="D1016" s="64"/>
      <c r="E1016" s="66"/>
      <c r="F1016" s="98" t="str">
        <f>HYPERLINK("https://pbs.twimg.com/profile_images/955529571713069056/5Vc-Hc5P_normal.jpg")</f>
        <v>https://pbs.twimg.com/profile_images/955529571713069056/5Vc-Hc5P_normal.jpg</v>
      </c>
      <c r="G1016" s="63"/>
      <c r="H1016" s="67"/>
      <c r="I1016" s="68"/>
      <c r="J1016" s="68"/>
      <c r="K1016" s="67" t="s">
        <v>9834</v>
      </c>
      <c r="L1016" s="71"/>
      <c r="M1016" s="72"/>
      <c r="N1016" s="72"/>
      <c r="O1016" s="73"/>
      <c r="P1016" s="74"/>
      <c r="Q1016" s="74"/>
      <c r="R1016" s="81"/>
      <c r="S1016" s="81"/>
      <c r="T1016" s="81"/>
      <c r="U1016" s="81"/>
      <c r="V1016" s="48"/>
      <c r="W1016" s="48"/>
      <c r="X1016" s="48"/>
      <c r="Y1016" s="48"/>
      <c r="Z1016" s="47"/>
      <c r="AA1016" s="69"/>
      <c r="AB1016" s="69"/>
      <c r="AC1016" s="70"/>
      <c r="AD1016" t="s">
        <v>5525</v>
      </c>
      <c r="AE1016" s="78" t="s">
        <v>6775</v>
      </c>
      <c r="AF1016">
        <v>322</v>
      </c>
      <c r="AG1016">
        <v>167</v>
      </c>
      <c r="AH1016">
        <v>621</v>
      </c>
      <c r="AI1016">
        <v>121</v>
      </c>
      <c r="AK1016" t="s">
        <v>7950</v>
      </c>
      <c r="AL1016" t="s">
        <v>8919</v>
      </c>
      <c r="AM1016" s="79" t="str">
        <f>HYPERLINK("https://t.co/QlctWz02SC")</f>
        <v>https://t.co/QlctWz02SC</v>
      </c>
      <c r="AO1016" s="76">
        <v>42713.731354166666</v>
      </c>
      <c r="AP1016" s="79" t="str">
        <f>HYPERLINK("https://pbs.twimg.com/profile_banners/807276911848226817/1591981531")</f>
        <v>https://pbs.twimg.com/profile_banners/807276911848226817/1591981531</v>
      </c>
      <c r="AQ1016" t="b">
        <v>0</v>
      </c>
      <c r="AR1016" t="b">
        <v>0</v>
      </c>
      <c r="AS1016" t="b">
        <v>0</v>
      </c>
      <c r="AU1016">
        <v>0</v>
      </c>
      <c r="AV1016" s="79" t="str">
        <f>HYPERLINK("https://abs.twimg.com/images/themes/theme1/bg.png")</f>
        <v>https://abs.twimg.com/images/themes/theme1/bg.png</v>
      </c>
      <c r="AW1016" t="b">
        <v>0</v>
      </c>
      <c r="AX1016" t="s">
        <v>9303</v>
      </c>
      <c r="AY1016" s="79" t="str">
        <f>HYPERLINK("https://twitter.com/functionalflu")</f>
        <v>https://twitter.com/functionalflu</v>
      </c>
      <c r="AZ1016" t="s">
        <v>66</v>
      </c>
      <c r="BA1016" s="2"/>
    </row>
    <row r="1017" spans="1:53" x14ac:dyDescent="0.45">
      <c r="A1017" s="62" t="s">
        <v>649</v>
      </c>
      <c r="B1017" s="63"/>
      <c r="C1017" s="63"/>
      <c r="D1017" s="64"/>
      <c r="E1017" s="66"/>
      <c r="F1017" s="98" t="str">
        <f>HYPERLINK("https://pbs.twimg.com/profile_images/1620637410496491522/A6pEaFi6_normal.jpg")</f>
        <v>https://pbs.twimg.com/profile_images/1620637410496491522/A6pEaFi6_normal.jpg</v>
      </c>
      <c r="G1017" s="63"/>
      <c r="H1017" s="67"/>
      <c r="I1017" s="68"/>
      <c r="J1017" s="68"/>
      <c r="K1017" s="67" t="s">
        <v>9960</v>
      </c>
      <c r="L1017" s="71"/>
      <c r="M1017" s="72"/>
      <c r="N1017" s="72"/>
      <c r="O1017" s="73"/>
      <c r="P1017" s="74"/>
      <c r="Q1017" s="74"/>
      <c r="R1017" s="81"/>
      <c r="S1017" s="81"/>
      <c r="T1017" s="81"/>
      <c r="U1017" s="81"/>
      <c r="V1017" s="48"/>
      <c r="W1017" s="48"/>
      <c r="X1017" s="48"/>
      <c r="Y1017" s="48"/>
      <c r="Z1017" s="47"/>
      <c r="AA1017" s="69"/>
      <c r="AB1017" s="69"/>
      <c r="AC1017" s="70"/>
      <c r="AD1017" t="s">
        <v>5651</v>
      </c>
      <c r="AE1017" s="78" t="s">
        <v>6893</v>
      </c>
      <c r="AF1017">
        <v>476</v>
      </c>
      <c r="AG1017">
        <v>167</v>
      </c>
      <c r="AH1017">
        <v>13914</v>
      </c>
      <c r="AI1017">
        <v>39335</v>
      </c>
      <c r="AK1017" t="s">
        <v>8062</v>
      </c>
      <c r="AO1017" s="76">
        <v>43240.094282407408</v>
      </c>
      <c r="AP1017" s="79" t="str">
        <f>HYPERLINK("https://pbs.twimg.com/profile_banners/998024450019766272/1674853898")</f>
        <v>https://pbs.twimg.com/profile_banners/998024450019766272/1674853898</v>
      </c>
      <c r="AQ1017" t="b">
        <v>1</v>
      </c>
      <c r="AR1017" t="b">
        <v>0</v>
      </c>
      <c r="AS1017" t="b">
        <v>1</v>
      </c>
      <c r="AU1017">
        <v>0</v>
      </c>
      <c r="AW1017" t="b">
        <v>0</v>
      </c>
      <c r="AX1017" t="s">
        <v>9303</v>
      </c>
      <c r="AY1017" s="79" t="str">
        <f>HYPERLINK("https://twitter.com/_xidzelxx")</f>
        <v>https://twitter.com/_xidzelxx</v>
      </c>
      <c r="AZ1017" t="s">
        <v>66</v>
      </c>
      <c r="BA1017" s="2"/>
    </row>
    <row r="1018" spans="1:53" x14ac:dyDescent="0.45">
      <c r="A1018" s="62" t="s">
        <v>1008</v>
      </c>
      <c r="B1018" s="63"/>
      <c r="C1018" s="63"/>
      <c r="D1018" s="64"/>
      <c r="E1018" s="66"/>
      <c r="F1018" s="98" t="str">
        <f>HYPERLINK("https://pbs.twimg.com/profile_images/1594554841761734656/DNui-z1a_normal.jpg")</f>
        <v>https://pbs.twimg.com/profile_images/1594554841761734656/DNui-z1a_normal.jpg</v>
      </c>
      <c r="G1018" s="63"/>
      <c r="H1018" s="67"/>
      <c r="I1018" s="68"/>
      <c r="J1018" s="68"/>
      <c r="K1018" s="67" t="s">
        <v>10483</v>
      </c>
      <c r="L1018" s="71"/>
      <c r="M1018" s="72"/>
      <c r="N1018" s="72"/>
      <c r="O1018" s="73"/>
      <c r="P1018" s="74"/>
      <c r="Q1018" s="74"/>
      <c r="R1018" s="81"/>
      <c r="S1018" s="81"/>
      <c r="T1018" s="81"/>
      <c r="U1018" s="81"/>
      <c r="V1018" s="48"/>
      <c r="W1018" s="48"/>
      <c r="X1018" s="48"/>
      <c r="Y1018" s="48"/>
      <c r="Z1018" s="47"/>
      <c r="AA1018" s="69"/>
      <c r="AB1018" s="69"/>
      <c r="AC1018" s="70"/>
      <c r="AD1018" t="s">
        <v>1008</v>
      </c>
      <c r="AE1018" s="78" t="s">
        <v>7349</v>
      </c>
      <c r="AF1018">
        <v>847</v>
      </c>
      <c r="AG1018">
        <v>167</v>
      </c>
      <c r="AH1018">
        <v>2052</v>
      </c>
      <c r="AI1018">
        <v>3821</v>
      </c>
      <c r="AK1018" t="s">
        <v>8519</v>
      </c>
      <c r="AO1018" s="76">
        <v>44864.860613425924</v>
      </c>
      <c r="AQ1018" t="b">
        <v>1</v>
      </c>
      <c r="AR1018" t="b">
        <v>0</v>
      </c>
      <c r="AS1018" t="b">
        <v>0</v>
      </c>
      <c r="AU1018">
        <v>0</v>
      </c>
      <c r="AW1018" t="b">
        <v>0</v>
      </c>
      <c r="AX1018" t="s">
        <v>9303</v>
      </c>
      <c r="AY1018" s="79" t="str">
        <f>HYPERLINK("https://twitter.com/jkmileycyruss")</f>
        <v>https://twitter.com/jkmileycyruss</v>
      </c>
      <c r="AZ1018" t="s">
        <v>66</v>
      </c>
      <c r="BA1018" s="2"/>
    </row>
    <row r="1019" spans="1:53" x14ac:dyDescent="0.45">
      <c r="A1019" s="62" t="s">
        <v>685</v>
      </c>
      <c r="B1019" s="63"/>
      <c r="C1019" s="63"/>
      <c r="D1019" s="64"/>
      <c r="E1019" s="66"/>
      <c r="F1019" s="98" t="str">
        <f>HYPERLINK("https://pbs.twimg.com/profile_images/1353522375074193408/TJXfddEf_normal.jpg")</f>
        <v>https://pbs.twimg.com/profile_images/1353522375074193408/TJXfddEf_normal.jpg</v>
      </c>
      <c r="G1019" s="63"/>
      <c r="H1019" s="67"/>
      <c r="I1019" s="68"/>
      <c r="J1019" s="68"/>
      <c r="K1019" s="67" t="s">
        <v>10008</v>
      </c>
      <c r="L1019" s="71"/>
      <c r="M1019" s="72"/>
      <c r="N1019" s="72"/>
      <c r="O1019" s="73"/>
      <c r="P1019" s="74"/>
      <c r="Q1019" s="74"/>
      <c r="R1019" s="81"/>
      <c r="S1019" s="81"/>
      <c r="T1019" s="81"/>
      <c r="U1019" s="81"/>
      <c r="V1019" s="48"/>
      <c r="W1019" s="48"/>
      <c r="X1019" s="48"/>
      <c r="Y1019" s="48"/>
      <c r="Z1019" s="47"/>
      <c r="AA1019" s="69"/>
      <c r="AB1019" s="69"/>
      <c r="AC1019" s="70"/>
      <c r="AD1019" t="s">
        <v>5698</v>
      </c>
      <c r="AE1019" s="78" t="s">
        <v>6939</v>
      </c>
      <c r="AF1019">
        <v>1190</v>
      </c>
      <c r="AG1019">
        <v>165</v>
      </c>
      <c r="AH1019">
        <v>8090</v>
      </c>
      <c r="AI1019">
        <v>4278</v>
      </c>
      <c r="AK1019" t="s">
        <v>8104</v>
      </c>
      <c r="AO1019" s="76">
        <v>42005.235497685186</v>
      </c>
      <c r="AP1019" s="79" t="str">
        <f>HYPERLINK("https://pbs.twimg.com/profile_banners/2954307905/1471834885")</f>
        <v>https://pbs.twimg.com/profile_banners/2954307905/1471834885</v>
      </c>
      <c r="AQ1019" t="b">
        <v>1</v>
      </c>
      <c r="AR1019" t="b">
        <v>0</v>
      </c>
      <c r="AS1019" t="b">
        <v>1</v>
      </c>
      <c r="AU1019">
        <v>4</v>
      </c>
      <c r="AV1019" s="79" t="str">
        <f>HYPERLINK("https://abs.twimg.com/images/themes/theme1/bg.png")</f>
        <v>https://abs.twimg.com/images/themes/theme1/bg.png</v>
      </c>
      <c r="AW1019" t="b">
        <v>0</v>
      </c>
      <c r="AX1019" t="s">
        <v>9303</v>
      </c>
      <c r="AY1019" s="79" t="str">
        <f>HYPERLINK("https://twitter.com/cartercheeks")</f>
        <v>https://twitter.com/cartercheeks</v>
      </c>
      <c r="AZ1019" t="s">
        <v>66</v>
      </c>
      <c r="BA1019" s="2"/>
    </row>
    <row r="1020" spans="1:53" x14ac:dyDescent="0.45">
      <c r="A1020" s="62" t="s">
        <v>544</v>
      </c>
      <c r="B1020" s="63"/>
      <c r="C1020" s="63"/>
      <c r="D1020" s="64"/>
      <c r="E1020" s="66"/>
      <c r="F1020" s="98" t="str">
        <f>HYPERLINK("https://pbs.twimg.com/profile_images/1604688826164805632/Ga2TC30P_normal.jpg")</f>
        <v>https://pbs.twimg.com/profile_images/1604688826164805632/Ga2TC30P_normal.jpg</v>
      </c>
      <c r="G1020" s="63"/>
      <c r="H1020" s="67"/>
      <c r="I1020" s="68"/>
      <c r="J1020" s="68"/>
      <c r="K1020" s="67" t="s">
        <v>9837</v>
      </c>
      <c r="L1020" s="71"/>
      <c r="M1020" s="72"/>
      <c r="N1020" s="72"/>
      <c r="O1020" s="73"/>
      <c r="P1020" s="74"/>
      <c r="Q1020" s="74"/>
      <c r="R1020" s="81"/>
      <c r="S1020" s="81"/>
      <c r="T1020" s="81"/>
      <c r="U1020" s="81"/>
      <c r="V1020" s="48"/>
      <c r="W1020" s="48"/>
      <c r="X1020" s="48"/>
      <c r="Y1020" s="48"/>
      <c r="Z1020" s="47"/>
      <c r="AA1020" s="69"/>
      <c r="AB1020" s="69"/>
      <c r="AC1020" s="70"/>
      <c r="AD1020" t="s">
        <v>5528</v>
      </c>
      <c r="AE1020" s="78" t="s">
        <v>6778</v>
      </c>
      <c r="AF1020">
        <v>275</v>
      </c>
      <c r="AG1020">
        <v>161</v>
      </c>
      <c r="AH1020">
        <v>852</v>
      </c>
      <c r="AI1020">
        <v>11399</v>
      </c>
      <c r="AO1020" s="76">
        <v>44330.565937500003</v>
      </c>
      <c r="AP1020" s="79" t="str">
        <f>HYPERLINK("https://pbs.twimg.com/profile_banners/1393198064064663554/1647668949")</f>
        <v>https://pbs.twimg.com/profile_banners/1393198064064663554/1647668949</v>
      </c>
      <c r="AQ1020" t="b">
        <v>1</v>
      </c>
      <c r="AR1020" t="b">
        <v>0</v>
      </c>
      <c r="AS1020" t="b">
        <v>0</v>
      </c>
      <c r="AU1020">
        <v>0</v>
      </c>
      <c r="AW1020" t="b">
        <v>0</v>
      </c>
      <c r="AX1020" t="s">
        <v>9303</v>
      </c>
      <c r="AY1020" s="79" t="str">
        <f>HYPERLINK("https://twitter.com/alexuhperez")</f>
        <v>https://twitter.com/alexuhperez</v>
      </c>
      <c r="AZ1020" t="s">
        <v>66</v>
      </c>
      <c r="BA1020" s="2"/>
    </row>
    <row r="1021" spans="1:53" x14ac:dyDescent="0.45">
      <c r="A1021" s="62" t="s">
        <v>643</v>
      </c>
      <c r="B1021" s="63"/>
      <c r="C1021" s="63"/>
      <c r="D1021" s="64"/>
      <c r="E1021" s="66"/>
      <c r="F1021" s="98" t="str">
        <f>HYPERLINK("https://pbs.twimg.com/profile_images/1573960563633188865/GxVtv_Lk_normal.jpg")</f>
        <v>https://pbs.twimg.com/profile_images/1573960563633188865/GxVtv_Lk_normal.jpg</v>
      </c>
      <c r="G1021" s="63"/>
      <c r="H1021" s="67"/>
      <c r="I1021" s="68"/>
      <c r="J1021" s="68"/>
      <c r="K1021" s="67" t="s">
        <v>9953</v>
      </c>
      <c r="L1021" s="71"/>
      <c r="M1021" s="72"/>
      <c r="N1021" s="72"/>
      <c r="O1021" s="73"/>
      <c r="P1021" s="74"/>
      <c r="Q1021" s="74"/>
      <c r="R1021" s="81"/>
      <c r="S1021" s="81"/>
      <c r="T1021" s="81"/>
      <c r="U1021" s="81"/>
      <c r="V1021" s="48"/>
      <c r="W1021" s="48"/>
      <c r="X1021" s="48"/>
      <c r="Y1021" s="48"/>
      <c r="Z1021" s="47"/>
      <c r="AA1021" s="69"/>
      <c r="AB1021" s="69"/>
      <c r="AC1021" s="70"/>
      <c r="AD1021" t="s">
        <v>5644</v>
      </c>
      <c r="AE1021" s="78" t="s">
        <v>6886</v>
      </c>
      <c r="AF1021">
        <v>144</v>
      </c>
      <c r="AG1021">
        <v>161</v>
      </c>
      <c r="AH1021">
        <v>7490</v>
      </c>
      <c r="AI1021">
        <v>5140</v>
      </c>
      <c r="AK1021" t="s">
        <v>8056</v>
      </c>
      <c r="AO1021" s="76">
        <v>44044.787060185183</v>
      </c>
      <c r="AP1021" s="79" t="str">
        <f>HYPERLINK("https://pbs.twimg.com/profile_banners/1289635181922414592/1662506055")</f>
        <v>https://pbs.twimg.com/profile_banners/1289635181922414592/1662506055</v>
      </c>
      <c r="AQ1021" t="b">
        <v>1</v>
      </c>
      <c r="AR1021" t="b">
        <v>0</v>
      </c>
      <c r="AS1021" t="b">
        <v>0</v>
      </c>
      <c r="AU1021">
        <v>0</v>
      </c>
      <c r="AW1021" t="b">
        <v>0</v>
      </c>
      <c r="AX1021" t="s">
        <v>9303</v>
      </c>
      <c r="AY1021" s="79" t="str">
        <f>HYPERLINK("https://twitter.com/veebadddieee")</f>
        <v>https://twitter.com/veebadddieee</v>
      </c>
      <c r="AZ1021" t="s">
        <v>66</v>
      </c>
      <c r="BA1021" s="2"/>
    </row>
    <row r="1022" spans="1:53" x14ac:dyDescent="0.45">
      <c r="A1022" s="62" t="s">
        <v>693</v>
      </c>
      <c r="B1022" s="63"/>
      <c r="C1022" s="63"/>
      <c r="D1022" s="64"/>
      <c r="E1022" s="66"/>
      <c r="F1022" s="98" t="str">
        <f>HYPERLINK("https://pbs.twimg.com/profile_images/1459244348688719874/u5n3DfNy_normal.jpg")</f>
        <v>https://pbs.twimg.com/profile_images/1459244348688719874/u5n3DfNy_normal.jpg</v>
      </c>
      <c r="G1022" s="63"/>
      <c r="H1022" s="67"/>
      <c r="I1022" s="68"/>
      <c r="J1022" s="68"/>
      <c r="K1022" s="67" t="s">
        <v>10028</v>
      </c>
      <c r="L1022" s="71"/>
      <c r="M1022" s="72"/>
      <c r="N1022" s="72"/>
      <c r="O1022" s="73"/>
      <c r="P1022" s="74"/>
      <c r="Q1022" s="74"/>
      <c r="R1022" s="81"/>
      <c r="S1022" s="81"/>
      <c r="T1022" s="81"/>
      <c r="U1022" s="81"/>
      <c r="V1022" s="48"/>
      <c r="W1022" s="48"/>
      <c r="X1022" s="48"/>
      <c r="Y1022" s="48"/>
      <c r="Z1022" s="47"/>
      <c r="AA1022" s="69"/>
      <c r="AB1022" s="69"/>
      <c r="AC1022" s="70"/>
      <c r="AD1022" t="s">
        <v>5718</v>
      </c>
      <c r="AE1022" s="78" t="s">
        <v>6955</v>
      </c>
      <c r="AF1022">
        <v>231</v>
      </c>
      <c r="AG1022">
        <v>158</v>
      </c>
      <c r="AH1022">
        <v>9708</v>
      </c>
      <c r="AI1022">
        <v>21470</v>
      </c>
      <c r="AL1022" t="s">
        <v>9047</v>
      </c>
      <c r="AO1022" s="76">
        <v>44512.818414351852</v>
      </c>
      <c r="AQ1022" t="b">
        <v>1</v>
      </c>
      <c r="AR1022" t="b">
        <v>0</v>
      </c>
      <c r="AS1022" t="b">
        <v>1</v>
      </c>
      <c r="AU1022">
        <v>0</v>
      </c>
      <c r="AW1022" t="b">
        <v>0</v>
      </c>
      <c r="AX1022" t="s">
        <v>9303</v>
      </c>
      <c r="AY1022" s="79" t="str">
        <f>HYPERLINK("https://twitter.com/dwaynepinckney5")</f>
        <v>https://twitter.com/dwaynepinckney5</v>
      </c>
      <c r="AZ1022" t="s">
        <v>66</v>
      </c>
      <c r="BA1022" s="2"/>
    </row>
    <row r="1023" spans="1:53" x14ac:dyDescent="0.45">
      <c r="A1023" s="62" t="s">
        <v>712</v>
      </c>
      <c r="B1023" s="63"/>
      <c r="C1023" s="63"/>
      <c r="D1023" s="64"/>
      <c r="E1023" s="66"/>
      <c r="F1023" s="98" t="str">
        <f>HYPERLINK("https://pbs.twimg.com/profile_images/1532905528263069698/S327csp6_normal.jpg")</f>
        <v>https://pbs.twimg.com/profile_images/1532905528263069698/S327csp6_normal.jpg</v>
      </c>
      <c r="G1023" s="63"/>
      <c r="H1023" s="67"/>
      <c r="I1023" s="68"/>
      <c r="J1023" s="68"/>
      <c r="K1023" s="67" t="s">
        <v>10049</v>
      </c>
      <c r="L1023" s="71"/>
      <c r="M1023" s="72"/>
      <c r="N1023" s="72"/>
      <c r="O1023" s="73"/>
      <c r="P1023" s="74"/>
      <c r="Q1023" s="74"/>
      <c r="R1023" s="81"/>
      <c r="S1023" s="81"/>
      <c r="T1023" s="81"/>
      <c r="U1023" s="81"/>
      <c r="V1023" s="48"/>
      <c r="W1023" s="48"/>
      <c r="X1023" s="48"/>
      <c r="Y1023" s="48"/>
      <c r="Z1023" s="47"/>
      <c r="AA1023" s="69"/>
      <c r="AB1023" s="69"/>
      <c r="AC1023" s="70"/>
      <c r="AD1023" t="s">
        <v>5738</v>
      </c>
      <c r="AE1023" s="78" t="s">
        <v>6975</v>
      </c>
      <c r="AF1023">
        <v>506</v>
      </c>
      <c r="AG1023">
        <v>157</v>
      </c>
      <c r="AH1023">
        <v>3814</v>
      </c>
      <c r="AI1023">
        <v>4631</v>
      </c>
      <c r="AK1023" t="s">
        <v>8136</v>
      </c>
      <c r="AO1023" s="76">
        <v>44716.084861111114</v>
      </c>
      <c r="AQ1023" t="b">
        <v>1</v>
      </c>
      <c r="AR1023" t="b">
        <v>0</v>
      </c>
      <c r="AS1023" t="b">
        <v>0</v>
      </c>
      <c r="AU1023">
        <v>0</v>
      </c>
      <c r="AW1023" t="b">
        <v>0</v>
      </c>
      <c r="AX1023" t="s">
        <v>9303</v>
      </c>
      <c r="AY1023" s="79" t="str">
        <f>HYPERLINK("https://twitter.com/grandnannymom")</f>
        <v>https://twitter.com/grandnannymom</v>
      </c>
      <c r="AZ1023" t="s">
        <v>66</v>
      </c>
      <c r="BA1023" s="2"/>
    </row>
    <row r="1024" spans="1:53" x14ac:dyDescent="0.45">
      <c r="A1024" s="62" t="s">
        <v>1371</v>
      </c>
      <c r="B1024" s="63"/>
      <c r="C1024" s="63"/>
      <c r="D1024" s="64"/>
      <c r="E1024" s="66"/>
      <c r="F1024" s="98" t="str">
        <f>HYPERLINK("https://pbs.twimg.com/profile_images/1019354755087233024/Tb5q4isS_normal.jpg")</f>
        <v>https://pbs.twimg.com/profile_images/1019354755087233024/Tb5q4isS_normal.jpg</v>
      </c>
      <c r="G1024" s="63"/>
      <c r="H1024" s="67"/>
      <c r="I1024" s="68"/>
      <c r="J1024" s="68"/>
      <c r="K1024" s="67" t="s">
        <v>10154</v>
      </c>
      <c r="L1024" s="71"/>
      <c r="M1024" s="72"/>
      <c r="N1024" s="72"/>
      <c r="O1024" s="73"/>
      <c r="P1024" s="74"/>
      <c r="Q1024" s="74"/>
      <c r="R1024" s="81"/>
      <c r="S1024" s="81"/>
      <c r="T1024" s="81"/>
      <c r="U1024" s="81"/>
      <c r="V1024" s="48"/>
      <c r="W1024" s="48"/>
      <c r="X1024" s="48"/>
      <c r="Y1024" s="48"/>
      <c r="Z1024" s="47"/>
      <c r="AA1024" s="69"/>
      <c r="AB1024" s="69"/>
      <c r="AC1024" s="70"/>
      <c r="AD1024" t="s">
        <v>5840</v>
      </c>
      <c r="AE1024" s="78" t="s">
        <v>7066</v>
      </c>
      <c r="AF1024">
        <v>40</v>
      </c>
      <c r="AG1024">
        <v>155</v>
      </c>
      <c r="AH1024">
        <v>836</v>
      </c>
      <c r="AI1024">
        <v>1539</v>
      </c>
      <c r="AL1024" t="s">
        <v>9102</v>
      </c>
      <c r="AO1024" s="76">
        <v>42674.899606481478</v>
      </c>
      <c r="AP1024" s="79" t="str">
        <f>HYPERLINK("https://pbs.twimg.com/profile_banners/793204761361129472/1496942980")</f>
        <v>https://pbs.twimg.com/profile_banners/793204761361129472/1496942980</v>
      </c>
      <c r="AQ1024" t="b">
        <v>1</v>
      </c>
      <c r="AR1024" t="b">
        <v>0</v>
      </c>
      <c r="AS1024" t="b">
        <v>0</v>
      </c>
      <c r="AU1024">
        <v>1</v>
      </c>
      <c r="AW1024" t="b">
        <v>0</v>
      </c>
      <c r="AX1024" t="s">
        <v>9303</v>
      </c>
      <c r="AY1024" s="79" t="str">
        <f>HYPERLINK("https://twitter.com/ctw_library")</f>
        <v>https://twitter.com/ctw_library</v>
      </c>
      <c r="AZ1024" t="s">
        <v>65</v>
      </c>
      <c r="BA1024" s="2"/>
    </row>
    <row r="1025" spans="1:53" x14ac:dyDescent="0.45">
      <c r="A1025" s="62" t="s">
        <v>296</v>
      </c>
      <c r="B1025" s="63"/>
      <c r="C1025" s="63"/>
      <c r="D1025" s="64"/>
      <c r="E1025" s="66"/>
      <c r="F1025" s="98" t="str">
        <f>HYPERLINK("https://pbs.twimg.com/profile_images/1247164374869069826/e9DEWWip_normal.jpg")</f>
        <v>https://pbs.twimg.com/profile_images/1247164374869069826/e9DEWWip_normal.jpg</v>
      </c>
      <c r="G1025" s="63"/>
      <c r="H1025" s="67"/>
      <c r="I1025" s="68"/>
      <c r="J1025" s="68"/>
      <c r="K1025" s="67" t="s">
        <v>9468</v>
      </c>
      <c r="L1025" s="71"/>
      <c r="M1025" s="72"/>
      <c r="N1025" s="72"/>
      <c r="O1025" s="73"/>
      <c r="P1025" s="74"/>
      <c r="Q1025" s="74"/>
      <c r="R1025" s="81"/>
      <c r="S1025" s="81"/>
      <c r="T1025" s="81"/>
      <c r="U1025" s="81"/>
      <c r="V1025" s="48"/>
      <c r="W1025" s="48"/>
      <c r="X1025" s="48"/>
      <c r="Y1025" s="48"/>
      <c r="Z1025" s="47"/>
      <c r="AA1025" s="69"/>
      <c r="AB1025" s="69"/>
      <c r="AC1025" s="70"/>
      <c r="AD1025" t="s">
        <v>5162</v>
      </c>
      <c r="AE1025" s="78" t="s">
        <v>6463</v>
      </c>
      <c r="AF1025">
        <v>16</v>
      </c>
      <c r="AG1025">
        <v>151</v>
      </c>
      <c r="AH1025">
        <v>19333</v>
      </c>
      <c r="AI1025">
        <v>46024</v>
      </c>
      <c r="AO1025" s="76">
        <v>43767.782893518517</v>
      </c>
      <c r="AQ1025" t="b">
        <v>1</v>
      </c>
      <c r="AR1025" t="b">
        <v>0</v>
      </c>
      <c r="AS1025" t="b">
        <v>0</v>
      </c>
      <c r="AU1025">
        <v>5</v>
      </c>
      <c r="AW1025" t="b">
        <v>0</v>
      </c>
      <c r="AX1025" t="s">
        <v>9303</v>
      </c>
      <c r="AY1025" s="79" t="str">
        <f>HYPERLINK("https://twitter.com/george_mas")</f>
        <v>https://twitter.com/george_mas</v>
      </c>
      <c r="AZ1025" t="s">
        <v>66</v>
      </c>
      <c r="BA1025" s="2"/>
    </row>
    <row r="1026" spans="1:53" x14ac:dyDescent="0.45">
      <c r="A1026" s="62" t="s">
        <v>1097</v>
      </c>
      <c r="B1026" s="63"/>
      <c r="C1026" s="63"/>
      <c r="D1026" s="64"/>
      <c r="E1026" s="66"/>
      <c r="F1026" s="98" t="str">
        <f>HYPERLINK("https://pbs.twimg.com/profile_images/1576325919530180612/tGnJUM5S_normal.jpg")</f>
        <v>https://pbs.twimg.com/profile_images/1576325919530180612/tGnJUM5S_normal.jpg</v>
      </c>
      <c r="G1026" s="63"/>
      <c r="H1026" s="67"/>
      <c r="I1026" s="68"/>
      <c r="J1026" s="68"/>
      <c r="K1026" s="67" t="s">
        <v>10644</v>
      </c>
      <c r="L1026" s="71"/>
      <c r="M1026" s="72"/>
      <c r="N1026" s="72"/>
      <c r="O1026" s="73"/>
      <c r="P1026" s="74"/>
      <c r="Q1026" s="74"/>
      <c r="R1026" s="81"/>
      <c r="S1026" s="81"/>
      <c r="T1026" s="81"/>
      <c r="U1026" s="81"/>
      <c r="V1026" s="48"/>
      <c r="W1026" s="48"/>
      <c r="X1026" s="48"/>
      <c r="Y1026" s="48"/>
      <c r="Z1026" s="47"/>
      <c r="AA1026" s="69"/>
      <c r="AB1026" s="69"/>
      <c r="AC1026" s="70"/>
      <c r="AD1026" t="s">
        <v>6319</v>
      </c>
      <c r="AE1026" s="78" t="s">
        <v>7481</v>
      </c>
      <c r="AF1026">
        <v>725</v>
      </c>
      <c r="AG1026">
        <v>151</v>
      </c>
      <c r="AH1026">
        <v>79</v>
      </c>
      <c r="AI1026">
        <v>582</v>
      </c>
      <c r="AK1026" t="s">
        <v>8664</v>
      </c>
      <c r="AL1026" t="s">
        <v>8763</v>
      </c>
      <c r="AM1026" s="79" t="str">
        <f>HYPERLINK("https://t.co/z18mv3qRYz")</f>
        <v>https://t.co/z18mv3qRYz</v>
      </c>
      <c r="AO1026" s="76">
        <v>44835.901493055557</v>
      </c>
      <c r="AP1026" s="79" t="str">
        <f>HYPERLINK("https://pbs.twimg.com/profile_banners/1576325577555968001/1664663954")</f>
        <v>https://pbs.twimg.com/profile_banners/1576325577555968001/1664663954</v>
      </c>
      <c r="AQ1026" t="b">
        <v>1</v>
      </c>
      <c r="AR1026" t="b">
        <v>0</v>
      </c>
      <c r="AS1026" t="b">
        <v>1</v>
      </c>
      <c r="AU1026">
        <v>0</v>
      </c>
      <c r="AW1026" t="b">
        <v>0</v>
      </c>
      <c r="AX1026" t="s">
        <v>9303</v>
      </c>
      <c r="AY1026" s="79" t="str">
        <f>HYPERLINK("https://twitter.com/elinamaffeo")</f>
        <v>https://twitter.com/elinamaffeo</v>
      </c>
      <c r="AZ1026" t="s">
        <v>66</v>
      </c>
      <c r="BA1026" s="2"/>
    </row>
    <row r="1027" spans="1:53" x14ac:dyDescent="0.45">
      <c r="A1027" s="62" t="s">
        <v>334</v>
      </c>
      <c r="B1027" s="63"/>
      <c r="C1027" s="63"/>
      <c r="D1027" s="64"/>
      <c r="E1027" s="66"/>
      <c r="F1027" s="98" t="str">
        <f>HYPERLINK("https://pbs.twimg.com/profile_images/1578377457547333633/lLwcqse8_normal.jpg")</f>
        <v>https://pbs.twimg.com/profile_images/1578377457547333633/lLwcqse8_normal.jpg</v>
      </c>
      <c r="G1027" s="63"/>
      <c r="H1027" s="67"/>
      <c r="I1027" s="68"/>
      <c r="J1027" s="68"/>
      <c r="K1027" s="67" t="s">
        <v>9551</v>
      </c>
      <c r="L1027" s="71"/>
      <c r="M1027" s="72"/>
      <c r="N1027" s="72"/>
      <c r="O1027" s="73"/>
      <c r="P1027" s="74"/>
      <c r="Q1027" s="74"/>
      <c r="R1027" s="81"/>
      <c r="S1027" s="81"/>
      <c r="T1027" s="81"/>
      <c r="U1027" s="81"/>
      <c r="V1027" s="48"/>
      <c r="W1027" s="48"/>
      <c r="X1027" s="48"/>
      <c r="Y1027" s="48"/>
      <c r="Z1027" s="47"/>
      <c r="AA1027" s="69"/>
      <c r="AB1027" s="69"/>
      <c r="AC1027" s="70"/>
      <c r="AD1027" t="s">
        <v>5244</v>
      </c>
      <c r="AE1027" s="78" t="s">
        <v>6527</v>
      </c>
      <c r="AF1027">
        <v>1550</v>
      </c>
      <c r="AG1027">
        <v>150</v>
      </c>
      <c r="AH1027">
        <v>10191</v>
      </c>
      <c r="AI1027">
        <v>1223</v>
      </c>
      <c r="AK1027" t="s">
        <v>7710</v>
      </c>
      <c r="AL1027">
        <v>60601</v>
      </c>
      <c r="AO1027" s="76">
        <v>44841.54960648148</v>
      </c>
      <c r="AP1027" s="79" t="str">
        <f>HYPERLINK("https://pbs.twimg.com/profile_banners/1578372259164688384/1665149559")</f>
        <v>https://pbs.twimg.com/profile_banners/1578372259164688384/1665149559</v>
      </c>
      <c r="AQ1027" t="b">
        <v>1</v>
      </c>
      <c r="AR1027" t="b">
        <v>0</v>
      </c>
      <c r="AS1027" t="b">
        <v>0</v>
      </c>
      <c r="AU1027">
        <v>0</v>
      </c>
      <c r="AW1027" t="b">
        <v>0</v>
      </c>
      <c r="AX1027" t="s">
        <v>9303</v>
      </c>
      <c r="AY1027" s="79" t="str">
        <f>HYPERLINK("https://twitter.com/phineasgregg")</f>
        <v>https://twitter.com/phineasgregg</v>
      </c>
      <c r="AZ1027" t="s">
        <v>66</v>
      </c>
      <c r="BA1027" s="2"/>
    </row>
    <row r="1028" spans="1:53" x14ac:dyDescent="0.45">
      <c r="A1028" s="62" t="s">
        <v>235</v>
      </c>
      <c r="B1028" s="63"/>
      <c r="C1028" s="63"/>
      <c r="D1028" s="64"/>
      <c r="E1028" s="66"/>
      <c r="F1028" s="98" t="str">
        <f>HYPERLINK("https://pbs.twimg.com/profile_images/1615585532330889216/V5YBNBBW_normal.png")</f>
        <v>https://pbs.twimg.com/profile_images/1615585532330889216/V5YBNBBW_normal.png</v>
      </c>
      <c r="G1028" s="63"/>
      <c r="H1028" s="67"/>
      <c r="I1028" s="68"/>
      <c r="J1028" s="68"/>
      <c r="K1028" s="67" t="s">
        <v>9356</v>
      </c>
      <c r="L1028" s="71"/>
      <c r="M1028" s="72"/>
      <c r="N1028" s="72"/>
      <c r="O1028" s="73"/>
      <c r="P1028" s="74"/>
      <c r="Q1028" s="74"/>
      <c r="R1028" s="81"/>
      <c r="S1028" s="81"/>
      <c r="T1028" s="81"/>
      <c r="U1028" s="81"/>
      <c r="V1028" s="48"/>
      <c r="W1028" s="48"/>
      <c r="X1028" s="48"/>
      <c r="Y1028" s="48"/>
      <c r="Z1028" s="47"/>
      <c r="AA1028" s="69"/>
      <c r="AB1028" s="69"/>
      <c r="AC1028" s="70"/>
      <c r="AD1028" t="s">
        <v>5052</v>
      </c>
      <c r="AE1028" s="78" t="s">
        <v>4649</v>
      </c>
      <c r="AF1028">
        <v>252</v>
      </c>
      <c r="AG1028">
        <v>149</v>
      </c>
      <c r="AH1028">
        <v>616</v>
      </c>
      <c r="AI1028">
        <v>720</v>
      </c>
      <c r="AK1028" t="s">
        <v>7538</v>
      </c>
      <c r="AL1028" t="s">
        <v>8709</v>
      </c>
      <c r="AM1028" s="79" t="str">
        <f>HYPERLINK("https://t.co/smFxINOsoU")</f>
        <v>https://t.co/smFxINOsoU</v>
      </c>
      <c r="AO1028" s="76">
        <v>43943.611168981479</v>
      </c>
      <c r="AP1028" s="79" t="str">
        <f>HYPERLINK("https://pbs.twimg.com/profile_banners/1252970407914688519/1672752560")</f>
        <v>https://pbs.twimg.com/profile_banners/1252970407914688519/1672752560</v>
      </c>
      <c r="AQ1028" t="b">
        <v>1</v>
      </c>
      <c r="AR1028" t="b">
        <v>0</v>
      </c>
      <c r="AS1028" t="b">
        <v>0</v>
      </c>
      <c r="AU1028">
        <v>8</v>
      </c>
      <c r="AW1028" t="b">
        <v>0</v>
      </c>
      <c r="AX1028" t="s">
        <v>9303</v>
      </c>
      <c r="AY1028" s="79" t="str">
        <f>HYPERLINK("https://twitter.com/ponzishorter")</f>
        <v>https://twitter.com/ponzishorter</v>
      </c>
      <c r="AZ1028" t="s">
        <v>66</v>
      </c>
      <c r="BA1028" s="2"/>
    </row>
    <row r="1029" spans="1:53" x14ac:dyDescent="0.45">
      <c r="A1029" s="62" t="s">
        <v>218</v>
      </c>
      <c r="B1029" s="63"/>
      <c r="C1029" s="63"/>
      <c r="D1029" s="64"/>
      <c r="E1029" s="66"/>
      <c r="F1029" s="98" t="str">
        <f>HYPERLINK("https://pbs.twimg.com/profile_images/1536191839836983297/tydtftl6_normal.jpg")</f>
        <v>https://pbs.twimg.com/profile_images/1536191839836983297/tydtftl6_normal.jpg</v>
      </c>
      <c r="G1029" s="63"/>
      <c r="H1029" s="67"/>
      <c r="I1029" s="68"/>
      <c r="J1029" s="68"/>
      <c r="K1029" s="67" t="s">
        <v>9306</v>
      </c>
      <c r="L1029" s="71"/>
      <c r="M1029" s="72"/>
      <c r="N1029" s="72"/>
      <c r="O1029" s="73"/>
      <c r="P1029" s="74"/>
      <c r="Q1029" s="74"/>
      <c r="R1029" s="81"/>
      <c r="S1029" s="81"/>
      <c r="T1029" s="81"/>
      <c r="U1029" s="81"/>
      <c r="V1029" s="48"/>
      <c r="W1029" s="48"/>
      <c r="X1029" s="48"/>
      <c r="Y1029" s="48"/>
      <c r="Z1029" s="47"/>
      <c r="AA1029" s="69"/>
      <c r="AB1029" s="69"/>
      <c r="AC1029" s="70"/>
      <c r="AD1029" t="s">
        <v>5002</v>
      </c>
      <c r="AE1029" s="78" t="s">
        <v>6330</v>
      </c>
      <c r="AF1029">
        <v>295</v>
      </c>
      <c r="AG1029">
        <v>149</v>
      </c>
      <c r="AH1029">
        <v>245120</v>
      </c>
      <c r="AI1029">
        <v>164850</v>
      </c>
      <c r="AK1029" t="s">
        <v>7492</v>
      </c>
      <c r="AL1029" t="s">
        <v>8674</v>
      </c>
      <c r="AM1029" s="79" t="str">
        <f>HYPERLINK("https://t.co/Mov6bkBQZX")</f>
        <v>https://t.co/Mov6bkBQZX</v>
      </c>
      <c r="AO1029" s="76">
        <v>40051.062060185184</v>
      </c>
      <c r="AP1029" s="79" t="str">
        <f>HYPERLINK("https://pbs.twimg.com/profile_banners/68864478/1477539004")</f>
        <v>https://pbs.twimg.com/profile_banners/68864478/1477539004</v>
      </c>
      <c r="AQ1029" t="b">
        <v>0</v>
      </c>
      <c r="AR1029" t="b">
        <v>0</v>
      </c>
      <c r="AS1029" t="b">
        <v>1</v>
      </c>
      <c r="AU1029">
        <v>6</v>
      </c>
      <c r="AV1029" s="79" t="str">
        <f>HYPERLINK("https://abs.twimg.com/images/themes/theme1/bg.png")</f>
        <v>https://abs.twimg.com/images/themes/theme1/bg.png</v>
      </c>
      <c r="AW1029" t="b">
        <v>0</v>
      </c>
      <c r="AX1029" t="s">
        <v>9303</v>
      </c>
      <c r="AY1029" s="79" t="str">
        <f>HYPERLINK("https://twitter.com/flyyestcoopeva")</f>
        <v>https://twitter.com/flyyestcoopeva</v>
      </c>
      <c r="AZ1029" t="s">
        <v>66</v>
      </c>
      <c r="BA1029" s="2"/>
    </row>
    <row r="1030" spans="1:53" x14ac:dyDescent="0.45">
      <c r="A1030" s="62" t="s">
        <v>472</v>
      </c>
      <c r="B1030" s="63"/>
      <c r="C1030" s="63"/>
      <c r="D1030" s="64"/>
      <c r="E1030" s="66"/>
      <c r="F1030" s="98" t="str">
        <f>HYPERLINK("https://pbs.twimg.com/profile_images/1611406026259193856/3ne9TQn3_normal.jpg")</f>
        <v>https://pbs.twimg.com/profile_images/1611406026259193856/3ne9TQn3_normal.jpg</v>
      </c>
      <c r="G1030" s="63"/>
      <c r="H1030" s="67"/>
      <c r="I1030" s="68"/>
      <c r="J1030" s="68"/>
      <c r="K1030" s="67" t="s">
        <v>9744</v>
      </c>
      <c r="L1030" s="71"/>
      <c r="M1030" s="72"/>
      <c r="N1030" s="72"/>
      <c r="O1030" s="73"/>
      <c r="P1030" s="74"/>
      <c r="Q1030" s="74"/>
      <c r="R1030" s="81"/>
      <c r="S1030" s="81"/>
      <c r="T1030" s="81"/>
      <c r="U1030" s="81"/>
      <c r="V1030" s="48"/>
      <c r="W1030" s="48"/>
      <c r="X1030" s="48"/>
      <c r="Y1030" s="48"/>
      <c r="Z1030" s="47"/>
      <c r="AA1030" s="69"/>
      <c r="AB1030" s="69"/>
      <c r="AC1030" s="70"/>
      <c r="AD1030" t="s">
        <v>5436</v>
      </c>
      <c r="AE1030" s="78" t="s">
        <v>4698</v>
      </c>
      <c r="AF1030">
        <v>451</v>
      </c>
      <c r="AG1030">
        <v>148</v>
      </c>
      <c r="AH1030">
        <v>13687</v>
      </c>
      <c r="AI1030">
        <v>33730</v>
      </c>
      <c r="AK1030" t="s">
        <v>7874</v>
      </c>
      <c r="AL1030" t="s">
        <v>8896</v>
      </c>
      <c r="AO1030" s="76">
        <v>42229.793530092589</v>
      </c>
      <c r="AP1030" s="79" t="str">
        <f>HYPERLINK("https://pbs.twimg.com/profile_banners/3420708089/1667970766")</f>
        <v>https://pbs.twimg.com/profile_banners/3420708089/1667970766</v>
      </c>
      <c r="AQ1030" t="b">
        <v>1</v>
      </c>
      <c r="AR1030" t="b">
        <v>0</v>
      </c>
      <c r="AS1030" t="b">
        <v>0</v>
      </c>
      <c r="AU1030">
        <v>0</v>
      </c>
      <c r="AV1030" s="79" t="str">
        <f>HYPERLINK("https://abs.twimg.com/images/themes/theme1/bg.png")</f>
        <v>https://abs.twimg.com/images/themes/theme1/bg.png</v>
      </c>
      <c r="AW1030" t="b">
        <v>0</v>
      </c>
      <c r="AX1030" t="s">
        <v>9303</v>
      </c>
      <c r="AY1030" s="79" t="str">
        <f>HYPERLINK("https://twitter.com/lostkimber")</f>
        <v>https://twitter.com/lostkimber</v>
      </c>
      <c r="AZ1030" t="s">
        <v>66</v>
      </c>
      <c r="BA1030" s="2"/>
    </row>
    <row r="1031" spans="1:53" x14ac:dyDescent="0.45">
      <c r="A1031" s="62" t="s">
        <v>1232</v>
      </c>
      <c r="B1031" s="63"/>
      <c r="C1031" s="63"/>
      <c r="D1031" s="64"/>
      <c r="E1031" s="66"/>
      <c r="F1031" s="98" t="str">
        <f>HYPERLINK("https://pbs.twimg.com/profile_images/1347631379/logo_normal.jpg")</f>
        <v>https://pbs.twimg.com/profile_images/1347631379/logo_normal.jpg</v>
      </c>
      <c r="G1031" s="63"/>
      <c r="H1031" s="67"/>
      <c r="I1031" s="68"/>
      <c r="J1031" s="68"/>
      <c r="K1031" s="67" t="s">
        <v>9580</v>
      </c>
      <c r="L1031" s="71"/>
      <c r="M1031" s="72"/>
      <c r="N1031" s="72"/>
      <c r="O1031" s="73"/>
      <c r="P1031" s="74"/>
      <c r="Q1031" s="74"/>
      <c r="R1031" s="81"/>
      <c r="S1031" s="81"/>
      <c r="T1031" s="81"/>
      <c r="U1031" s="81"/>
      <c r="V1031" s="48"/>
      <c r="W1031" s="48"/>
      <c r="X1031" s="48"/>
      <c r="Y1031" s="48"/>
      <c r="Z1031" s="47"/>
      <c r="AA1031" s="69"/>
      <c r="AB1031" s="69"/>
      <c r="AC1031" s="70"/>
      <c r="AD1031" t="s">
        <v>5273</v>
      </c>
      <c r="AE1031" s="78" t="s">
        <v>6551</v>
      </c>
      <c r="AF1031">
        <v>166</v>
      </c>
      <c r="AG1031">
        <v>147</v>
      </c>
      <c r="AH1031">
        <v>175</v>
      </c>
      <c r="AI1031">
        <v>0</v>
      </c>
      <c r="AK1031" t="s">
        <v>7734</v>
      </c>
      <c r="AL1031" t="s">
        <v>8823</v>
      </c>
      <c r="AM1031" s="79" t="str">
        <f>HYPERLINK("http://t.co/0mfDwdh8NQ")</f>
        <v>http://t.co/0mfDwdh8NQ</v>
      </c>
      <c r="AO1031" s="76">
        <v>40673.79488425926</v>
      </c>
      <c r="AQ1031" t="b">
        <v>0</v>
      </c>
      <c r="AR1031" t="b">
        <v>0</v>
      </c>
      <c r="AS1031" t="b">
        <v>1</v>
      </c>
      <c r="AU1031">
        <v>6</v>
      </c>
      <c r="AV1031" s="79" t="str">
        <f>HYPERLINK("https://abs.twimg.com/images/themes/theme13/bg.gif")</f>
        <v>https://abs.twimg.com/images/themes/theme13/bg.gif</v>
      </c>
      <c r="AW1031" t="b">
        <v>0</v>
      </c>
      <c r="AX1031" t="s">
        <v>9303</v>
      </c>
      <c r="AY1031" s="79" t="str">
        <f>HYPERLINK("https://twitter.com/rosemeadchamber")</f>
        <v>https://twitter.com/rosemeadchamber</v>
      </c>
      <c r="AZ1031" t="s">
        <v>65</v>
      </c>
      <c r="BA1031" s="2"/>
    </row>
    <row r="1032" spans="1:53" x14ac:dyDescent="0.45">
      <c r="A1032" s="62" t="s">
        <v>407</v>
      </c>
      <c r="B1032" s="63"/>
      <c r="C1032" s="63"/>
      <c r="D1032" s="64"/>
      <c r="E1032" s="66"/>
      <c r="F1032" s="98" t="str">
        <f>HYPERLINK("https://pbs.twimg.com/profile_images/1583922319914946560/gyrRcDwj_normal.jpg")</f>
        <v>https://pbs.twimg.com/profile_images/1583922319914946560/gyrRcDwj_normal.jpg</v>
      </c>
      <c r="G1032" s="63"/>
      <c r="H1032" s="67"/>
      <c r="I1032" s="68"/>
      <c r="J1032" s="68"/>
      <c r="K1032" s="67" t="s">
        <v>9658</v>
      </c>
      <c r="L1032" s="71"/>
      <c r="M1032" s="72"/>
      <c r="N1032" s="72"/>
      <c r="O1032" s="73"/>
      <c r="P1032" s="74"/>
      <c r="Q1032" s="74"/>
      <c r="R1032" s="81"/>
      <c r="S1032" s="81"/>
      <c r="T1032" s="81"/>
      <c r="U1032" s="81"/>
      <c r="V1032" s="48"/>
      <c r="W1032" s="48"/>
      <c r="X1032" s="48"/>
      <c r="Y1032" s="48"/>
      <c r="Z1032" s="47"/>
      <c r="AA1032" s="69"/>
      <c r="AB1032" s="69"/>
      <c r="AC1032" s="70"/>
      <c r="AD1032" t="s">
        <v>5351</v>
      </c>
      <c r="AE1032" s="78" t="s">
        <v>6625</v>
      </c>
      <c r="AF1032">
        <v>126</v>
      </c>
      <c r="AG1032">
        <v>146</v>
      </c>
      <c r="AH1032">
        <v>5990</v>
      </c>
      <c r="AI1032">
        <v>32422</v>
      </c>
      <c r="AO1032" s="76">
        <v>43841.190740740742</v>
      </c>
      <c r="AP1032" s="79" t="str">
        <f>HYPERLINK("https://pbs.twimg.com/profile_banners/1215854470388748289/1660511404")</f>
        <v>https://pbs.twimg.com/profile_banners/1215854470388748289/1660511404</v>
      </c>
      <c r="AQ1032" t="b">
        <v>1</v>
      </c>
      <c r="AR1032" t="b">
        <v>0</v>
      </c>
      <c r="AS1032" t="b">
        <v>0</v>
      </c>
      <c r="AU1032">
        <v>0</v>
      </c>
      <c r="AW1032" t="b">
        <v>0</v>
      </c>
      <c r="AX1032" t="s">
        <v>9303</v>
      </c>
      <c r="AY1032" s="79" t="str">
        <f>HYPERLINK("https://twitter.com/gimmewhaiwant")</f>
        <v>https://twitter.com/gimmewhaiwant</v>
      </c>
      <c r="AZ1032" t="s">
        <v>66</v>
      </c>
      <c r="BA1032" s="2"/>
    </row>
    <row r="1033" spans="1:53" x14ac:dyDescent="0.45">
      <c r="A1033" s="62" t="s">
        <v>769</v>
      </c>
      <c r="B1033" s="63"/>
      <c r="C1033" s="63"/>
      <c r="D1033" s="64"/>
      <c r="E1033" s="66"/>
      <c r="F1033" s="98" t="str">
        <f>HYPERLINK("https://pbs.twimg.com/profile_images/1618403373950160898/XgbRogNB_normal.jpg")</f>
        <v>https://pbs.twimg.com/profile_images/1618403373950160898/XgbRogNB_normal.jpg</v>
      </c>
      <c r="G1033" s="63"/>
      <c r="H1033" s="67"/>
      <c r="I1033" s="68"/>
      <c r="J1033" s="68"/>
      <c r="K1033" s="67" t="s">
        <v>10126</v>
      </c>
      <c r="L1033" s="71"/>
      <c r="M1033" s="72"/>
      <c r="N1033" s="72"/>
      <c r="O1033" s="73"/>
      <c r="P1033" s="74"/>
      <c r="Q1033" s="74"/>
      <c r="R1033" s="81"/>
      <c r="S1033" s="81"/>
      <c r="T1033" s="81"/>
      <c r="U1033" s="81"/>
      <c r="V1033" s="48"/>
      <c r="W1033" s="48"/>
      <c r="X1033" s="48"/>
      <c r="Y1033" s="48"/>
      <c r="Z1033" s="47"/>
      <c r="AA1033" s="69"/>
      <c r="AB1033" s="69"/>
      <c r="AC1033" s="70"/>
      <c r="AD1033" t="s">
        <v>5814</v>
      </c>
      <c r="AE1033" s="78" t="s">
        <v>7043</v>
      </c>
      <c r="AF1033">
        <v>441</v>
      </c>
      <c r="AG1033">
        <v>145</v>
      </c>
      <c r="AH1033">
        <v>1590</v>
      </c>
      <c r="AI1033">
        <v>620</v>
      </c>
      <c r="AK1033" t="s">
        <v>8208</v>
      </c>
      <c r="AL1033" t="s">
        <v>9091</v>
      </c>
      <c r="AO1033" s="76">
        <v>44880.985509259262</v>
      </c>
      <c r="AP1033" s="79" t="str">
        <f>HYPERLINK("https://pbs.twimg.com/profile_banners/1592663444502740992/1671822164")</f>
        <v>https://pbs.twimg.com/profile_banners/1592663444502740992/1671822164</v>
      </c>
      <c r="AQ1033" t="b">
        <v>1</v>
      </c>
      <c r="AR1033" t="b">
        <v>0</v>
      </c>
      <c r="AS1033" t="b">
        <v>0</v>
      </c>
      <c r="AU1033">
        <v>0</v>
      </c>
      <c r="AW1033" t="b">
        <v>0</v>
      </c>
      <c r="AX1033" t="s">
        <v>9303</v>
      </c>
      <c r="AY1033" s="79" t="str">
        <f>HYPERLINK("https://twitter.com/fortnitemidas95")</f>
        <v>https://twitter.com/fortnitemidas95</v>
      </c>
      <c r="AZ1033" t="s">
        <v>66</v>
      </c>
      <c r="BA1033" s="2"/>
    </row>
    <row r="1034" spans="1:53" x14ac:dyDescent="0.45">
      <c r="A1034" s="62" t="s">
        <v>434</v>
      </c>
      <c r="B1034" s="63"/>
      <c r="C1034" s="63"/>
      <c r="D1034" s="64"/>
      <c r="E1034" s="66"/>
      <c r="F1034" s="98" t="str">
        <f>HYPERLINK("https://pbs.twimg.com/profile_images/1620338716697935873/xaGMODUI_normal.jpg")</f>
        <v>https://pbs.twimg.com/profile_images/1620338716697935873/xaGMODUI_normal.jpg</v>
      </c>
      <c r="G1034" s="63"/>
      <c r="H1034" s="67"/>
      <c r="I1034" s="68"/>
      <c r="J1034" s="68"/>
      <c r="K1034" s="67" t="s">
        <v>9689</v>
      </c>
      <c r="L1034" s="71"/>
      <c r="M1034" s="72"/>
      <c r="N1034" s="72"/>
      <c r="O1034" s="73"/>
      <c r="P1034" s="74"/>
      <c r="Q1034" s="74"/>
      <c r="R1034" s="81"/>
      <c r="S1034" s="81"/>
      <c r="T1034" s="81"/>
      <c r="U1034" s="81"/>
      <c r="V1034" s="48"/>
      <c r="W1034" s="48"/>
      <c r="X1034" s="48"/>
      <c r="Y1034" s="48"/>
      <c r="Z1034" s="47"/>
      <c r="AA1034" s="69"/>
      <c r="AB1034" s="69"/>
      <c r="AC1034" s="70"/>
      <c r="AD1034" t="s">
        <v>5382</v>
      </c>
      <c r="AE1034" s="78" t="s">
        <v>6655</v>
      </c>
      <c r="AF1034">
        <v>350</v>
      </c>
      <c r="AG1034">
        <v>144</v>
      </c>
      <c r="AH1034">
        <v>1182</v>
      </c>
      <c r="AI1034">
        <v>13899</v>
      </c>
      <c r="AK1034" t="s">
        <v>7828</v>
      </c>
      <c r="AO1034" s="76">
        <v>43534.914166666669</v>
      </c>
      <c r="AP1034" s="79" t="str">
        <f>HYPERLINK("https://pbs.twimg.com/profile_banners/1104863599720226816/1675153885")</f>
        <v>https://pbs.twimg.com/profile_banners/1104863599720226816/1675153885</v>
      </c>
      <c r="AQ1034" t="b">
        <v>1</v>
      </c>
      <c r="AR1034" t="b">
        <v>0</v>
      </c>
      <c r="AS1034" t="b">
        <v>1</v>
      </c>
      <c r="AU1034">
        <v>2</v>
      </c>
      <c r="AW1034" t="b">
        <v>0</v>
      </c>
      <c r="AX1034" t="s">
        <v>9303</v>
      </c>
      <c r="AY1034" s="79" t="str">
        <f>HYPERLINK("https://twitter.com/nagkrish2")</f>
        <v>https://twitter.com/nagkrish2</v>
      </c>
      <c r="AZ1034" t="s">
        <v>66</v>
      </c>
      <c r="BA1034" s="2"/>
    </row>
    <row r="1035" spans="1:53" x14ac:dyDescent="0.45">
      <c r="A1035" s="62" t="s">
        <v>1034</v>
      </c>
      <c r="B1035" s="63"/>
      <c r="C1035" s="63"/>
      <c r="D1035" s="64"/>
      <c r="E1035" s="66"/>
      <c r="F1035" s="98" t="str">
        <f>HYPERLINK("https://pbs.twimg.com/profile_images/1463512235838423040/0Eux-pHG_normal.jpg")</f>
        <v>https://pbs.twimg.com/profile_images/1463512235838423040/0Eux-pHG_normal.jpg</v>
      </c>
      <c r="G1035" s="63"/>
      <c r="H1035" s="67"/>
      <c r="I1035" s="68"/>
      <c r="J1035" s="68"/>
      <c r="K1035" s="67" t="s">
        <v>10535</v>
      </c>
      <c r="L1035" s="71"/>
      <c r="M1035" s="72"/>
      <c r="N1035" s="72"/>
      <c r="O1035" s="73"/>
      <c r="P1035" s="74"/>
      <c r="Q1035" s="74"/>
      <c r="R1035" s="81"/>
      <c r="S1035" s="81"/>
      <c r="T1035" s="81"/>
      <c r="U1035" s="81"/>
      <c r="V1035" s="48"/>
      <c r="W1035" s="48"/>
      <c r="X1035" s="48"/>
      <c r="Y1035" s="48"/>
      <c r="Z1035" s="47"/>
      <c r="AA1035" s="69"/>
      <c r="AB1035" s="69"/>
      <c r="AC1035" s="70"/>
      <c r="AD1035" t="s">
        <v>6213</v>
      </c>
      <c r="AE1035" s="78" t="s">
        <v>7393</v>
      </c>
      <c r="AF1035">
        <v>65</v>
      </c>
      <c r="AG1035">
        <v>144</v>
      </c>
      <c r="AH1035">
        <v>153</v>
      </c>
      <c r="AI1035">
        <v>37</v>
      </c>
      <c r="AK1035" t="s">
        <v>8564</v>
      </c>
      <c r="AO1035" s="76">
        <v>44509.130497685182</v>
      </c>
      <c r="AP1035" s="79" t="str">
        <f>HYPERLINK("https://pbs.twimg.com/profile_banners/1457907753066930186/1638441305")</f>
        <v>https://pbs.twimg.com/profile_banners/1457907753066930186/1638441305</v>
      </c>
      <c r="AQ1035" t="b">
        <v>1</v>
      </c>
      <c r="AR1035" t="b">
        <v>0</v>
      </c>
      <c r="AS1035" t="b">
        <v>0</v>
      </c>
      <c r="AU1035">
        <v>0</v>
      </c>
      <c r="AW1035" t="b">
        <v>0</v>
      </c>
      <c r="AX1035" t="s">
        <v>9303</v>
      </c>
      <c r="AY1035" s="79" t="str">
        <f>HYPERLINK("https://twitter.com/abdulwhelan")</f>
        <v>https://twitter.com/abdulwhelan</v>
      </c>
      <c r="AZ1035" t="s">
        <v>66</v>
      </c>
      <c r="BA1035" s="2"/>
    </row>
    <row r="1036" spans="1:53" x14ac:dyDescent="0.45">
      <c r="A1036" s="62" t="s">
        <v>352</v>
      </c>
      <c r="B1036" s="63"/>
      <c r="C1036" s="63"/>
      <c r="D1036" s="64"/>
      <c r="E1036" s="66"/>
      <c r="F1036" s="98" t="str">
        <f>HYPERLINK("https://pbs.twimg.com/profile_images/1620659703238754304/OkOpg5Cj_normal.jpg")</f>
        <v>https://pbs.twimg.com/profile_images/1620659703238754304/OkOpg5Cj_normal.jpg</v>
      </c>
      <c r="G1036" s="63"/>
      <c r="H1036" s="67"/>
      <c r="I1036" s="68"/>
      <c r="J1036" s="68"/>
      <c r="K1036" s="67" t="s">
        <v>9577</v>
      </c>
      <c r="L1036" s="71"/>
      <c r="M1036" s="72"/>
      <c r="N1036" s="72"/>
      <c r="O1036" s="73"/>
      <c r="P1036" s="74"/>
      <c r="Q1036" s="74"/>
      <c r="R1036" s="81"/>
      <c r="S1036" s="81"/>
      <c r="T1036" s="81"/>
      <c r="U1036" s="81"/>
      <c r="V1036" s="48"/>
      <c r="W1036" s="48"/>
      <c r="X1036" s="48"/>
      <c r="Y1036" s="48"/>
      <c r="Z1036" s="47"/>
      <c r="AA1036" s="69"/>
      <c r="AB1036" s="69"/>
      <c r="AC1036" s="70"/>
      <c r="AD1036" t="s">
        <v>5270</v>
      </c>
      <c r="AE1036" s="78" t="s">
        <v>6548</v>
      </c>
      <c r="AF1036">
        <v>603</v>
      </c>
      <c r="AG1036">
        <v>143</v>
      </c>
      <c r="AH1036">
        <v>4565</v>
      </c>
      <c r="AI1036">
        <v>3191</v>
      </c>
      <c r="AK1036" t="s">
        <v>7731</v>
      </c>
      <c r="AM1036" s="79" t="str">
        <f>HYPERLINK("https://t.co/6or3YNqs4f")</f>
        <v>https://t.co/6or3YNqs4f</v>
      </c>
      <c r="AO1036" s="76">
        <v>42392.672337962962</v>
      </c>
      <c r="AP1036" s="79" t="str">
        <f>HYPERLINK("https://pbs.twimg.com/profile_banners/4838878467/1667777964")</f>
        <v>https://pbs.twimg.com/profile_banners/4838878467/1667777964</v>
      </c>
      <c r="AQ1036" t="b">
        <v>1</v>
      </c>
      <c r="AR1036" t="b">
        <v>0</v>
      </c>
      <c r="AS1036" t="b">
        <v>0</v>
      </c>
      <c r="AU1036">
        <v>1</v>
      </c>
      <c r="AW1036" t="b">
        <v>0</v>
      </c>
      <c r="AX1036" t="s">
        <v>9303</v>
      </c>
      <c r="AY1036" s="79" t="str">
        <f>HYPERLINK("https://twitter.com/alottabs_")</f>
        <v>https://twitter.com/alottabs_</v>
      </c>
      <c r="AZ1036" t="s">
        <v>66</v>
      </c>
      <c r="BA1036" s="2"/>
    </row>
    <row r="1037" spans="1:53" x14ac:dyDescent="0.45">
      <c r="A1037" s="62" t="s">
        <v>934</v>
      </c>
      <c r="B1037" s="63"/>
      <c r="C1037" s="63"/>
      <c r="D1037" s="64"/>
      <c r="E1037" s="66"/>
      <c r="F1037" s="98" t="str">
        <f>HYPERLINK("https://pbs.twimg.com/profile_images/1598787072675807233/rxYucdn0_normal.jpg")</f>
        <v>https://pbs.twimg.com/profile_images/1598787072675807233/rxYucdn0_normal.jpg</v>
      </c>
      <c r="G1037" s="63"/>
      <c r="H1037" s="67"/>
      <c r="I1037" s="68"/>
      <c r="J1037" s="68"/>
      <c r="K1037" s="67" t="s">
        <v>10368</v>
      </c>
      <c r="L1037" s="71"/>
      <c r="M1037" s="72"/>
      <c r="N1037" s="72"/>
      <c r="O1037" s="73"/>
      <c r="P1037" s="74"/>
      <c r="Q1037" s="74"/>
      <c r="R1037" s="81"/>
      <c r="S1037" s="81"/>
      <c r="T1037" s="81"/>
      <c r="U1037" s="81"/>
      <c r="V1037" s="48"/>
      <c r="W1037" s="48"/>
      <c r="X1037" s="48"/>
      <c r="Y1037" s="48"/>
      <c r="Z1037" s="47"/>
      <c r="AA1037" s="69"/>
      <c r="AB1037" s="69"/>
      <c r="AC1037" s="70"/>
      <c r="AD1037" t="s">
        <v>6051</v>
      </c>
      <c r="AE1037" s="78" t="s">
        <v>7256</v>
      </c>
      <c r="AF1037">
        <v>303</v>
      </c>
      <c r="AG1037">
        <v>142</v>
      </c>
      <c r="AH1037">
        <v>52657</v>
      </c>
      <c r="AI1037">
        <v>5135</v>
      </c>
      <c r="AK1037" t="s">
        <v>8417</v>
      </c>
      <c r="AO1037" s="76">
        <v>42648.708680555559</v>
      </c>
      <c r="AP1037" s="79" t="str">
        <f>HYPERLINK("https://pbs.twimg.com/profile_banners/783713485465214976/1602450472")</f>
        <v>https://pbs.twimg.com/profile_banners/783713485465214976/1602450472</v>
      </c>
      <c r="AQ1037" t="b">
        <v>1</v>
      </c>
      <c r="AR1037" t="b">
        <v>0</v>
      </c>
      <c r="AS1037" t="b">
        <v>1</v>
      </c>
      <c r="AU1037">
        <v>0</v>
      </c>
      <c r="AW1037" t="b">
        <v>0</v>
      </c>
      <c r="AX1037" t="s">
        <v>9303</v>
      </c>
      <c r="AY1037" s="79" t="str">
        <f>HYPERLINK("https://twitter.com/xzr56")</f>
        <v>https://twitter.com/xzr56</v>
      </c>
      <c r="AZ1037" t="s">
        <v>66</v>
      </c>
      <c r="BA1037" s="2"/>
    </row>
    <row r="1038" spans="1:53" x14ac:dyDescent="0.45">
      <c r="A1038" s="62" t="s">
        <v>1044</v>
      </c>
      <c r="B1038" s="63"/>
      <c r="C1038" s="63"/>
      <c r="D1038" s="64"/>
      <c r="E1038" s="66"/>
      <c r="F1038" s="98" t="str">
        <f>HYPERLINK("https://pbs.twimg.com/profile_images/1555518807849984000/67ua9kKn_normal.jpg")</f>
        <v>https://pbs.twimg.com/profile_images/1555518807849984000/67ua9kKn_normal.jpg</v>
      </c>
      <c r="G1038" s="63"/>
      <c r="H1038" s="67"/>
      <c r="I1038" s="68"/>
      <c r="J1038" s="68"/>
      <c r="K1038" s="67" t="s">
        <v>10549</v>
      </c>
      <c r="L1038" s="71"/>
      <c r="M1038" s="72"/>
      <c r="N1038" s="72"/>
      <c r="O1038" s="73"/>
      <c r="P1038" s="74"/>
      <c r="Q1038" s="74"/>
      <c r="R1038" s="81"/>
      <c r="S1038" s="81"/>
      <c r="T1038" s="81"/>
      <c r="U1038" s="81"/>
      <c r="V1038" s="48"/>
      <c r="W1038" s="48"/>
      <c r="X1038" s="48"/>
      <c r="Y1038" s="48"/>
      <c r="Z1038" s="47"/>
      <c r="AA1038" s="69"/>
      <c r="AB1038" s="69"/>
      <c r="AC1038" s="70"/>
      <c r="AD1038" t="s">
        <v>6227</v>
      </c>
      <c r="AE1038" s="78" t="s">
        <v>7403</v>
      </c>
      <c r="AF1038">
        <v>158</v>
      </c>
      <c r="AG1038">
        <v>141</v>
      </c>
      <c r="AH1038">
        <v>38114</v>
      </c>
      <c r="AI1038">
        <v>8187</v>
      </c>
      <c r="AK1038" t="s">
        <v>8575</v>
      </c>
      <c r="AL1038" t="s">
        <v>9254</v>
      </c>
      <c r="AM1038" s="79" t="str">
        <f>HYPERLINK("https://t.co/LxnlBnmqZL")</f>
        <v>https://t.co/LxnlBnmqZL</v>
      </c>
      <c r="AO1038" s="76">
        <v>44074.75068287037</v>
      </c>
      <c r="AP1038" s="79" t="str">
        <f>HYPERLINK("https://pbs.twimg.com/profile_banners/1300493775509295104/1659699480")</f>
        <v>https://pbs.twimg.com/profile_banners/1300493775509295104/1659699480</v>
      </c>
      <c r="AQ1038" t="b">
        <v>1</v>
      </c>
      <c r="AR1038" t="b">
        <v>0</v>
      </c>
      <c r="AS1038" t="b">
        <v>0</v>
      </c>
      <c r="AU1038">
        <v>1</v>
      </c>
      <c r="AW1038" t="b">
        <v>0</v>
      </c>
      <c r="AX1038" t="s">
        <v>9303</v>
      </c>
      <c r="AY1038" s="79" t="str">
        <f>HYPERLINK("https://twitter.com/madfangelo2020")</f>
        <v>https://twitter.com/madfangelo2020</v>
      </c>
      <c r="AZ1038" t="s">
        <v>66</v>
      </c>
      <c r="BA1038" s="2"/>
    </row>
    <row r="1039" spans="1:53" x14ac:dyDescent="0.45">
      <c r="A1039" s="62" t="s">
        <v>699</v>
      </c>
      <c r="B1039" s="63"/>
      <c r="C1039" s="63"/>
      <c r="D1039" s="64"/>
      <c r="E1039" s="66"/>
      <c r="F1039" s="98" t="str">
        <f>HYPERLINK("https://pbs.twimg.com/profile_images/1614465783840804864/SlhHV-7S_normal.jpg")</f>
        <v>https://pbs.twimg.com/profile_images/1614465783840804864/SlhHV-7S_normal.jpg</v>
      </c>
      <c r="G1039" s="63"/>
      <c r="H1039" s="67"/>
      <c r="I1039" s="68"/>
      <c r="J1039" s="68"/>
      <c r="K1039" s="67" t="s">
        <v>10033</v>
      </c>
      <c r="L1039" s="71"/>
      <c r="M1039" s="72"/>
      <c r="N1039" s="72"/>
      <c r="O1039" s="73"/>
      <c r="P1039" s="74"/>
      <c r="Q1039" s="74"/>
      <c r="R1039" s="81"/>
      <c r="S1039" s="81"/>
      <c r="T1039" s="81"/>
      <c r="U1039" s="81"/>
      <c r="V1039" s="48"/>
      <c r="W1039" s="48"/>
      <c r="X1039" s="48"/>
      <c r="Y1039" s="48"/>
      <c r="Z1039" s="47"/>
      <c r="AA1039" s="69"/>
      <c r="AB1039" s="69"/>
      <c r="AC1039" s="70"/>
      <c r="AD1039" t="s">
        <v>5723</v>
      </c>
      <c r="AE1039" s="78" t="s">
        <v>6960</v>
      </c>
      <c r="AF1039">
        <v>104</v>
      </c>
      <c r="AG1039">
        <v>141</v>
      </c>
      <c r="AH1039">
        <v>4202</v>
      </c>
      <c r="AI1039">
        <v>7476</v>
      </c>
      <c r="AL1039" t="s">
        <v>4899</v>
      </c>
      <c r="AO1039" s="76">
        <v>43090.614085648151</v>
      </c>
      <c r="AP1039" s="79" t="str">
        <f>HYPERLINK("https://pbs.twimg.com/profile_banners/943854641426595848/1634239256")</f>
        <v>https://pbs.twimg.com/profile_banners/943854641426595848/1634239256</v>
      </c>
      <c r="AQ1039" t="b">
        <v>1</v>
      </c>
      <c r="AR1039" t="b">
        <v>0</v>
      </c>
      <c r="AS1039" t="b">
        <v>1</v>
      </c>
      <c r="AU1039">
        <v>0</v>
      </c>
      <c r="AW1039" t="b">
        <v>0</v>
      </c>
      <c r="AX1039" t="s">
        <v>9303</v>
      </c>
      <c r="AY1039" s="79" t="str">
        <f>HYPERLINK("https://twitter.com/jollygiant15")</f>
        <v>https://twitter.com/jollygiant15</v>
      </c>
      <c r="AZ1039" t="s">
        <v>66</v>
      </c>
      <c r="BA1039" s="2"/>
    </row>
    <row r="1040" spans="1:53" x14ac:dyDescent="0.45">
      <c r="A1040" s="62" t="s">
        <v>976</v>
      </c>
      <c r="B1040" s="63"/>
      <c r="C1040" s="63"/>
      <c r="D1040" s="64"/>
      <c r="E1040" s="66"/>
      <c r="F1040" s="98" t="str">
        <f>HYPERLINK("https://pbs.twimg.com/profile_images/1601469163440054274/GPmARmNn_normal.jpg")</f>
        <v>https://pbs.twimg.com/profile_images/1601469163440054274/GPmARmNn_normal.jpg</v>
      </c>
      <c r="G1040" s="63"/>
      <c r="H1040" s="67"/>
      <c r="I1040" s="68"/>
      <c r="J1040" s="68"/>
      <c r="K1040" s="67" t="s">
        <v>10439</v>
      </c>
      <c r="L1040" s="71"/>
      <c r="M1040" s="72"/>
      <c r="N1040" s="72"/>
      <c r="O1040" s="73"/>
      <c r="P1040" s="74"/>
      <c r="Q1040" s="74"/>
      <c r="R1040" s="81"/>
      <c r="S1040" s="81"/>
      <c r="T1040" s="81"/>
      <c r="U1040" s="81"/>
      <c r="V1040" s="48"/>
      <c r="W1040" s="48"/>
      <c r="X1040" s="48"/>
      <c r="Y1040" s="48"/>
      <c r="Z1040" s="47"/>
      <c r="AA1040" s="69"/>
      <c r="AB1040" s="69"/>
      <c r="AC1040" s="70"/>
      <c r="AD1040" t="s">
        <v>6120</v>
      </c>
      <c r="AE1040" s="78" t="s">
        <v>4785</v>
      </c>
      <c r="AF1040">
        <v>336</v>
      </c>
      <c r="AG1040">
        <v>140</v>
      </c>
      <c r="AH1040">
        <v>2224</v>
      </c>
      <c r="AI1040">
        <v>2192</v>
      </c>
      <c r="AK1040" t="s">
        <v>8481</v>
      </c>
      <c r="AL1040" t="s">
        <v>9215</v>
      </c>
      <c r="AO1040" s="76">
        <v>44874.647800925923</v>
      </c>
      <c r="AP1040" s="79" t="str">
        <f>HYPERLINK("https://pbs.twimg.com/profile_banners/1590366560950124546/1674119924")</f>
        <v>https://pbs.twimg.com/profile_banners/1590366560950124546/1674119924</v>
      </c>
      <c r="AQ1040" t="b">
        <v>1</v>
      </c>
      <c r="AR1040" t="b">
        <v>0</v>
      </c>
      <c r="AS1040" t="b">
        <v>0</v>
      </c>
      <c r="AU1040">
        <v>0</v>
      </c>
      <c r="AW1040" t="b">
        <v>0</v>
      </c>
      <c r="AX1040" t="s">
        <v>9303</v>
      </c>
      <c r="AY1040" s="79" t="str">
        <f>HYPERLINK("https://twitter.com/tmillinerbbn")</f>
        <v>https://twitter.com/tmillinerbbn</v>
      </c>
      <c r="AZ1040" t="s">
        <v>66</v>
      </c>
      <c r="BA1040" s="2"/>
    </row>
    <row r="1041" spans="1:53" x14ac:dyDescent="0.45">
      <c r="A1041" s="62" t="s">
        <v>421</v>
      </c>
      <c r="B1041" s="63"/>
      <c r="C1041" s="63"/>
      <c r="D1041" s="64"/>
      <c r="E1041" s="66"/>
      <c r="F1041" s="98" t="str">
        <f>HYPERLINK("https://pbs.twimg.com/profile_images/1611895128884396032/pQQU_zax_normal.jpg")</f>
        <v>https://pbs.twimg.com/profile_images/1611895128884396032/pQQU_zax_normal.jpg</v>
      </c>
      <c r="G1041" s="63"/>
      <c r="H1041" s="67"/>
      <c r="I1041" s="68"/>
      <c r="J1041" s="68"/>
      <c r="K1041" s="67" t="s">
        <v>9672</v>
      </c>
      <c r="L1041" s="71"/>
      <c r="M1041" s="72"/>
      <c r="N1041" s="72"/>
      <c r="O1041" s="73"/>
      <c r="P1041" s="74"/>
      <c r="Q1041" s="74"/>
      <c r="R1041" s="81"/>
      <c r="S1041" s="81"/>
      <c r="T1041" s="81"/>
      <c r="U1041" s="81"/>
      <c r="V1041" s="48"/>
      <c r="W1041" s="48"/>
      <c r="X1041" s="48"/>
      <c r="Y1041" s="48"/>
      <c r="Z1041" s="47"/>
      <c r="AA1041" s="69"/>
      <c r="AB1041" s="69"/>
      <c r="AC1041" s="70"/>
      <c r="AD1041" t="s">
        <v>5365</v>
      </c>
      <c r="AE1041" s="78" t="s">
        <v>6639</v>
      </c>
      <c r="AF1041">
        <v>208</v>
      </c>
      <c r="AG1041">
        <v>139</v>
      </c>
      <c r="AH1041">
        <v>18255</v>
      </c>
      <c r="AI1041">
        <v>77889</v>
      </c>
      <c r="AO1041" s="76">
        <v>40140.914803240739</v>
      </c>
      <c r="AP1041" s="79" t="str">
        <f>HYPERLINK("https://pbs.twimg.com/profile_banners/92124497/1355917859")</f>
        <v>https://pbs.twimg.com/profile_banners/92124497/1355917859</v>
      </c>
      <c r="AQ1041" t="b">
        <v>1</v>
      </c>
      <c r="AR1041" t="b">
        <v>0</v>
      </c>
      <c r="AS1041" t="b">
        <v>0</v>
      </c>
      <c r="AU1041">
        <v>0</v>
      </c>
      <c r="AV1041" s="79" t="str">
        <f>HYPERLINK("https://abs.twimg.com/images/themes/theme1/bg.png")</f>
        <v>https://abs.twimg.com/images/themes/theme1/bg.png</v>
      </c>
      <c r="AW1041" t="b">
        <v>0</v>
      </c>
      <c r="AX1041" t="s">
        <v>9303</v>
      </c>
      <c r="AY1041" s="79" t="str">
        <f>HYPERLINK("https://twitter.com/stefaniraiz")</f>
        <v>https://twitter.com/stefaniraiz</v>
      </c>
      <c r="AZ1041" t="s">
        <v>66</v>
      </c>
      <c r="BA1041" s="2"/>
    </row>
    <row r="1042" spans="1:53" x14ac:dyDescent="0.45">
      <c r="A1042" s="62" t="s">
        <v>390</v>
      </c>
      <c r="B1042" s="63"/>
      <c r="C1042" s="63"/>
      <c r="D1042" s="64"/>
      <c r="E1042" s="66"/>
      <c r="F1042" s="98" t="str">
        <f>HYPERLINK("https://pbs.twimg.com/profile_images/1093937517/q100000420939155_6839_normal.jpg")</f>
        <v>https://pbs.twimg.com/profile_images/1093937517/q100000420939155_6839_normal.jpg</v>
      </c>
      <c r="G1042" s="63"/>
      <c r="H1042" s="67"/>
      <c r="I1042" s="68"/>
      <c r="J1042" s="68"/>
      <c r="K1042" s="67" t="s">
        <v>9638</v>
      </c>
      <c r="L1042" s="71"/>
      <c r="M1042" s="72"/>
      <c r="N1042" s="72"/>
      <c r="O1042" s="73"/>
      <c r="P1042" s="74"/>
      <c r="Q1042" s="74"/>
      <c r="R1042" s="81"/>
      <c r="S1042" s="81"/>
      <c r="T1042" s="81"/>
      <c r="U1042" s="81"/>
      <c r="V1042" s="48"/>
      <c r="W1042" s="48"/>
      <c r="X1042" s="48"/>
      <c r="Y1042" s="48"/>
      <c r="Z1042" s="47"/>
      <c r="AA1042" s="69"/>
      <c r="AB1042" s="69"/>
      <c r="AC1042" s="70"/>
      <c r="AD1042" t="s">
        <v>5331</v>
      </c>
      <c r="AE1042" s="78" t="s">
        <v>6606</v>
      </c>
      <c r="AF1042">
        <v>1185</v>
      </c>
      <c r="AG1042">
        <v>137</v>
      </c>
      <c r="AH1042">
        <v>11746</v>
      </c>
      <c r="AI1042">
        <v>9527</v>
      </c>
      <c r="AK1042" t="s">
        <v>7783</v>
      </c>
      <c r="AL1042" t="s">
        <v>8683</v>
      </c>
      <c r="AO1042" s="76">
        <v>40130.6481712963</v>
      </c>
      <c r="AQ1042" t="b">
        <v>0</v>
      </c>
      <c r="AR1042" t="b">
        <v>0</v>
      </c>
      <c r="AS1042" t="b">
        <v>1</v>
      </c>
      <c r="AU1042">
        <v>11</v>
      </c>
      <c r="AV1042" s="79" t="str">
        <f>HYPERLINK("https://abs.twimg.com/images/themes/theme1/bg.png")</f>
        <v>https://abs.twimg.com/images/themes/theme1/bg.png</v>
      </c>
      <c r="AW1042" t="b">
        <v>0</v>
      </c>
      <c r="AX1042" t="s">
        <v>9303</v>
      </c>
      <c r="AY1042" s="79" t="str">
        <f>HYPERLINK("https://twitter.com/mechag_86")</f>
        <v>https://twitter.com/mechag_86</v>
      </c>
      <c r="AZ1042" t="s">
        <v>66</v>
      </c>
      <c r="BA1042" s="2"/>
    </row>
    <row r="1043" spans="1:53" x14ac:dyDescent="0.45">
      <c r="A1043" s="62" t="s">
        <v>374</v>
      </c>
      <c r="B1043" s="63"/>
      <c r="C1043" s="63"/>
      <c r="D1043" s="64"/>
      <c r="E1043" s="66"/>
      <c r="F1043" s="98" t="str">
        <f>HYPERLINK("https://pbs.twimg.com/profile_images/1588721565499277312/uLLcBgrR_normal.jpg")</f>
        <v>https://pbs.twimg.com/profile_images/1588721565499277312/uLLcBgrR_normal.jpg</v>
      </c>
      <c r="G1043" s="63"/>
      <c r="H1043" s="67"/>
      <c r="I1043" s="68"/>
      <c r="J1043" s="68"/>
      <c r="K1043" s="67" t="s">
        <v>9616</v>
      </c>
      <c r="L1043" s="71"/>
      <c r="M1043" s="72"/>
      <c r="N1043" s="72"/>
      <c r="O1043" s="73"/>
      <c r="P1043" s="74"/>
      <c r="Q1043" s="74"/>
      <c r="R1043" s="81"/>
      <c r="S1043" s="81"/>
      <c r="T1043" s="81"/>
      <c r="U1043" s="81"/>
      <c r="V1043" s="48"/>
      <c r="W1043" s="48"/>
      <c r="X1043" s="48"/>
      <c r="Y1043" s="48"/>
      <c r="Z1043" s="47"/>
      <c r="AA1043" s="69"/>
      <c r="AB1043" s="69"/>
      <c r="AC1043" s="70"/>
      <c r="AD1043" t="s">
        <v>5309</v>
      </c>
      <c r="AE1043" s="78" t="s">
        <v>6586</v>
      </c>
      <c r="AF1043">
        <v>316</v>
      </c>
      <c r="AG1043">
        <v>135</v>
      </c>
      <c r="AH1043">
        <v>3425</v>
      </c>
      <c r="AI1043">
        <v>7220</v>
      </c>
      <c r="AK1043" t="s">
        <v>7764</v>
      </c>
      <c r="AL1043" t="s">
        <v>8839</v>
      </c>
      <c r="AO1043" s="76">
        <v>41066.098796296297</v>
      </c>
      <c r="AP1043" s="79" t="str">
        <f>HYPERLINK("https://pbs.twimg.com/profile_banners/600604340/1475792494")</f>
        <v>https://pbs.twimg.com/profile_banners/600604340/1475792494</v>
      </c>
      <c r="AQ1043" t="b">
        <v>1</v>
      </c>
      <c r="AR1043" t="b">
        <v>0</v>
      </c>
      <c r="AS1043" t="b">
        <v>0</v>
      </c>
      <c r="AU1043">
        <v>3</v>
      </c>
      <c r="AV1043" s="79" t="str">
        <f>HYPERLINK("https://abs.twimg.com/images/themes/theme1/bg.png")</f>
        <v>https://abs.twimg.com/images/themes/theme1/bg.png</v>
      </c>
      <c r="AW1043" t="b">
        <v>0</v>
      </c>
      <c r="AX1043" t="s">
        <v>9303</v>
      </c>
      <c r="AY1043" s="79" t="str">
        <f>HYPERLINK("https://twitter.com/youngcurse22")</f>
        <v>https://twitter.com/youngcurse22</v>
      </c>
      <c r="AZ1043" t="s">
        <v>66</v>
      </c>
      <c r="BA1043" s="2"/>
    </row>
    <row r="1044" spans="1:53" x14ac:dyDescent="0.45">
      <c r="A1044" s="62" t="s">
        <v>1083</v>
      </c>
      <c r="B1044" s="63"/>
      <c r="C1044" s="63"/>
      <c r="D1044" s="64"/>
      <c r="E1044" s="66"/>
      <c r="F1044" s="98" t="str">
        <f>HYPERLINK("https://pbs.twimg.com/profile_images/1289577046125895683/0YR0aRZI_normal.jpg")</f>
        <v>https://pbs.twimg.com/profile_images/1289577046125895683/0YR0aRZI_normal.jpg</v>
      </c>
      <c r="G1044" s="63"/>
      <c r="H1044" s="67"/>
      <c r="I1044" s="68"/>
      <c r="J1044" s="68"/>
      <c r="K1044" s="67" t="s">
        <v>10625</v>
      </c>
      <c r="L1044" s="71"/>
      <c r="M1044" s="72"/>
      <c r="N1044" s="72"/>
      <c r="O1044" s="73"/>
      <c r="P1044" s="74"/>
      <c r="Q1044" s="74"/>
      <c r="R1044" s="81"/>
      <c r="S1044" s="81"/>
      <c r="T1044" s="81"/>
      <c r="U1044" s="81"/>
      <c r="V1044" s="48"/>
      <c r="W1044" s="48"/>
      <c r="X1044" s="48"/>
      <c r="Y1044" s="48"/>
      <c r="Z1044" s="47"/>
      <c r="AA1044" s="69"/>
      <c r="AB1044" s="69"/>
      <c r="AC1044" s="70"/>
      <c r="AD1044" t="s">
        <v>6301</v>
      </c>
      <c r="AE1044" s="78" t="s">
        <v>7466</v>
      </c>
      <c r="AF1044">
        <v>2491</v>
      </c>
      <c r="AG1044">
        <v>135</v>
      </c>
      <c r="AH1044">
        <v>1085</v>
      </c>
      <c r="AI1044">
        <v>1102</v>
      </c>
      <c r="AK1044" t="s">
        <v>8646</v>
      </c>
      <c r="AM1044" s="79" t="str">
        <f>HYPERLINK("https://t.co/6sg7heMKnk")</f>
        <v>https://t.co/6sg7heMKnk</v>
      </c>
      <c r="AO1044" s="76">
        <v>40346.727824074071</v>
      </c>
      <c r="AP1044" s="79" t="str">
        <f>HYPERLINK("https://pbs.twimg.com/profile_banners/156702284/1559395649")</f>
        <v>https://pbs.twimg.com/profile_banners/156702284/1559395649</v>
      </c>
      <c r="AQ1044" t="b">
        <v>0</v>
      </c>
      <c r="AR1044" t="b">
        <v>0</v>
      </c>
      <c r="AS1044" t="b">
        <v>0</v>
      </c>
      <c r="AU1044">
        <v>3</v>
      </c>
      <c r="AV1044" s="79" t="str">
        <f>HYPERLINK("https://abs.twimg.com/images/themes/theme1/bg.png")</f>
        <v>https://abs.twimg.com/images/themes/theme1/bg.png</v>
      </c>
      <c r="AW1044" t="b">
        <v>0</v>
      </c>
      <c r="AX1044" t="s">
        <v>9303</v>
      </c>
      <c r="AY1044" s="79" t="str">
        <f>HYPERLINK("https://twitter.com/cxrioxs")</f>
        <v>https://twitter.com/cxrioxs</v>
      </c>
      <c r="AZ1044" t="s">
        <v>66</v>
      </c>
      <c r="BA1044" s="2"/>
    </row>
    <row r="1045" spans="1:53" x14ac:dyDescent="0.45">
      <c r="A1045" s="62" t="s">
        <v>629</v>
      </c>
      <c r="B1045" s="63"/>
      <c r="C1045" s="63"/>
      <c r="D1045" s="64"/>
      <c r="E1045" s="66"/>
      <c r="F1045" s="98" t="str">
        <f>HYPERLINK("https://pbs.twimg.com/profile_images/1551359504809336832/1PVl7i5f_normal.jpg")</f>
        <v>https://pbs.twimg.com/profile_images/1551359504809336832/1PVl7i5f_normal.jpg</v>
      </c>
      <c r="G1045" s="63"/>
      <c r="H1045" s="67"/>
      <c r="I1045" s="68"/>
      <c r="J1045" s="68"/>
      <c r="K1045" s="67" t="s">
        <v>9936</v>
      </c>
      <c r="L1045" s="71"/>
      <c r="M1045" s="72"/>
      <c r="N1045" s="72"/>
      <c r="O1045" s="73"/>
      <c r="P1045" s="74"/>
      <c r="Q1045" s="74"/>
      <c r="R1045" s="81"/>
      <c r="S1045" s="81"/>
      <c r="T1045" s="81"/>
      <c r="U1045" s="81"/>
      <c r="V1045" s="48"/>
      <c r="W1045" s="48"/>
      <c r="X1045" s="48"/>
      <c r="Y1045" s="48"/>
      <c r="Z1045" s="47"/>
      <c r="AA1045" s="69"/>
      <c r="AB1045" s="69"/>
      <c r="AC1045" s="70"/>
      <c r="AD1045" t="s">
        <v>5627</v>
      </c>
      <c r="AE1045" s="78" t="s">
        <v>6870</v>
      </c>
      <c r="AF1045">
        <v>149</v>
      </c>
      <c r="AG1045">
        <v>135</v>
      </c>
      <c r="AH1045">
        <v>2950</v>
      </c>
      <c r="AI1045">
        <v>4999</v>
      </c>
      <c r="AK1045" t="s">
        <v>8043</v>
      </c>
      <c r="AM1045" s="79" t="str">
        <f>HYPERLINK("https://t.co/9sJcRbu3aH")</f>
        <v>https://t.co/9sJcRbu3aH</v>
      </c>
      <c r="AO1045" s="76">
        <v>44154.683437500003</v>
      </c>
      <c r="AP1045" s="79" t="str">
        <f>HYPERLINK("https://pbs.twimg.com/profile_banners/1329460418012704772/1608947329")</f>
        <v>https://pbs.twimg.com/profile_banners/1329460418012704772/1608947329</v>
      </c>
      <c r="AQ1045" t="b">
        <v>1</v>
      </c>
      <c r="AR1045" t="b">
        <v>0</v>
      </c>
      <c r="AS1045" t="b">
        <v>0</v>
      </c>
      <c r="AU1045">
        <v>0</v>
      </c>
      <c r="AW1045" t="b">
        <v>0</v>
      </c>
      <c r="AX1045" t="s">
        <v>9303</v>
      </c>
      <c r="AY1045" s="79" t="str">
        <f>HYPERLINK("https://twitter.com/jennydelbloc")</f>
        <v>https://twitter.com/jennydelbloc</v>
      </c>
      <c r="AZ1045" t="s">
        <v>66</v>
      </c>
      <c r="BA1045" s="2"/>
    </row>
    <row r="1046" spans="1:53" x14ac:dyDescent="0.45">
      <c r="A1046" s="62" t="s">
        <v>644</v>
      </c>
      <c r="B1046" s="63"/>
      <c r="C1046" s="63"/>
      <c r="D1046" s="64"/>
      <c r="E1046" s="66"/>
      <c r="F1046" s="98" t="str">
        <f>HYPERLINK("https://pbs.twimg.com/profile_images/1165321528273190914/kwL7xVuB_normal.jpg")</f>
        <v>https://pbs.twimg.com/profile_images/1165321528273190914/kwL7xVuB_normal.jpg</v>
      </c>
      <c r="G1046" s="63"/>
      <c r="H1046" s="67"/>
      <c r="I1046" s="68"/>
      <c r="J1046" s="68"/>
      <c r="K1046" s="67" t="s">
        <v>9954</v>
      </c>
      <c r="L1046" s="71"/>
      <c r="M1046" s="72"/>
      <c r="N1046" s="72"/>
      <c r="O1046" s="73"/>
      <c r="P1046" s="74"/>
      <c r="Q1046" s="74"/>
      <c r="R1046" s="81"/>
      <c r="S1046" s="81"/>
      <c r="T1046" s="81"/>
      <c r="U1046" s="81"/>
      <c r="V1046" s="48"/>
      <c r="W1046" s="48"/>
      <c r="X1046" s="48"/>
      <c r="Y1046" s="48"/>
      <c r="Z1046" s="47"/>
      <c r="AA1046" s="69"/>
      <c r="AB1046" s="69"/>
      <c r="AC1046" s="70"/>
      <c r="AD1046" t="s">
        <v>5645</v>
      </c>
      <c r="AE1046" s="78" t="s">
        <v>6887</v>
      </c>
      <c r="AF1046">
        <v>186</v>
      </c>
      <c r="AG1046">
        <v>134</v>
      </c>
      <c r="AH1046">
        <v>10103</v>
      </c>
      <c r="AI1046">
        <v>17671</v>
      </c>
      <c r="AO1046" s="76">
        <v>43104.883252314816</v>
      </c>
      <c r="AQ1046" t="b">
        <v>0</v>
      </c>
      <c r="AR1046" t="b">
        <v>0</v>
      </c>
      <c r="AS1046" t="b">
        <v>0</v>
      </c>
      <c r="AU1046">
        <v>0</v>
      </c>
      <c r="AV1046" s="79" t="str">
        <f>HYPERLINK("https://abs.twimg.com/images/themes/theme1/bg.png")</f>
        <v>https://abs.twimg.com/images/themes/theme1/bg.png</v>
      </c>
      <c r="AW1046" t="b">
        <v>0</v>
      </c>
      <c r="AX1046" t="s">
        <v>9303</v>
      </c>
      <c r="AY1046" s="79" t="str">
        <f>HYPERLINK("https://twitter.com/santi_barross")</f>
        <v>https://twitter.com/santi_barross</v>
      </c>
      <c r="AZ1046" t="s">
        <v>66</v>
      </c>
      <c r="BA1046" s="2"/>
    </row>
    <row r="1047" spans="1:53" x14ac:dyDescent="0.45">
      <c r="A1047" s="62" t="s">
        <v>324</v>
      </c>
      <c r="B1047" s="63"/>
      <c r="C1047" s="63"/>
      <c r="D1047" s="64"/>
      <c r="E1047" s="66"/>
      <c r="F1047" s="98" t="str">
        <f>HYPERLINK("https://pbs.twimg.com/profile_images/1599862879985012737/52Klft7-_normal.jpg")</f>
        <v>https://pbs.twimg.com/profile_images/1599862879985012737/52Klft7-_normal.jpg</v>
      </c>
      <c r="G1047" s="63"/>
      <c r="H1047" s="67"/>
      <c r="I1047" s="68"/>
      <c r="J1047" s="68"/>
      <c r="K1047" s="67" t="s">
        <v>9527</v>
      </c>
      <c r="L1047" s="71"/>
      <c r="M1047" s="72"/>
      <c r="N1047" s="72"/>
      <c r="O1047" s="73"/>
      <c r="P1047" s="74"/>
      <c r="Q1047" s="74"/>
      <c r="R1047" s="81"/>
      <c r="S1047" s="81"/>
      <c r="T1047" s="81"/>
      <c r="U1047" s="81"/>
      <c r="V1047" s="48"/>
      <c r="W1047" s="48"/>
      <c r="X1047" s="48"/>
      <c r="Y1047" s="48"/>
      <c r="Z1047" s="47"/>
      <c r="AA1047" s="69"/>
      <c r="AB1047" s="69"/>
      <c r="AC1047" s="70"/>
      <c r="AD1047" t="s">
        <v>5221</v>
      </c>
      <c r="AE1047" s="78" t="s">
        <v>6507</v>
      </c>
      <c r="AF1047">
        <v>1181</v>
      </c>
      <c r="AG1047">
        <v>130</v>
      </c>
      <c r="AH1047">
        <v>3900</v>
      </c>
      <c r="AI1047">
        <v>66999</v>
      </c>
      <c r="AK1047" t="s">
        <v>7689</v>
      </c>
      <c r="AL1047" t="s">
        <v>8799</v>
      </c>
      <c r="AO1047" s="76">
        <v>43393.894131944442</v>
      </c>
      <c r="AP1047" s="79" t="str">
        <f>HYPERLINK("https://pbs.twimg.com/profile_banners/1053759650129174528/1669130359")</f>
        <v>https://pbs.twimg.com/profile_banners/1053759650129174528/1669130359</v>
      </c>
      <c r="AQ1047" t="b">
        <v>1</v>
      </c>
      <c r="AR1047" t="b">
        <v>0</v>
      </c>
      <c r="AS1047" t="b">
        <v>0</v>
      </c>
      <c r="AU1047">
        <v>0</v>
      </c>
      <c r="AW1047" t="b">
        <v>0</v>
      </c>
      <c r="AX1047" t="s">
        <v>9303</v>
      </c>
      <c r="AY1047" s="79" t="str">
        <f>HYPERLINK("https://twitter.com/mrmrsbatwonder")</f>
        <v>https://twitter.com/mrmrsbatwonder</v>
      </c>
      <c r="AZ1047" t="s">
        <v>66</v>
      </c>
      <c r="BA1047" s="2"/>
    </row>
    <row r="1048" spans="1:53" x14ac:dyDescent="0.45">
      <c r="A1048" s="62" t="s">
        <v>1272</v>
      </c>
      <c r="B1048" s="63"/>
      <c r="C1048" s="63"/>
      <c r="D1048" s="64"/>
      <c r="E1048" s="66"/>
      <c r="F1048" s="98" t="str">
        <f>HYPERLINK("https://pbs.twimg.com/profile_images/1163342090010529794/7CSyblsB_normal.jpg")</f>
        <v>https://pbs.twimg.com/profile_images/1163342090010529794/7CSyblsB_normal.jpg</v>
      </c>
      <c r="G1048" s="63"/>
      <c r="H1048" s="67"/>
      <c r="I1048" s="68"/>
      <c r="J1048" s="68"/>
      <c r="K1048" s="67" t="s">
        <v>9735</v>
      </c>
      <c r="L1048" s="71"/>
      <c r="M1048" s="72"/>
      <c r="N1048" s="72"/>
      <c r="O1048" s="73"/>
      <c r="P1048" s="74"/>
      <c r="Q1048" s="74"/>
      <c r="R1048" s="81"/>
      <c r="S1048" s="81"/>
      <c r="T1048" s="81"/>
      <c r="U1048" s="81"/>
      <c r="V1048" s="48"/>
      <c r="W1048" s="48"/>
      <c r="X1048" s="48"/>
      <c r="Y1048" s="48"/>
      <c r="Z1048" s="47"/>
      <c r="AA1048" s="69"/>
      <c r="AB1048" s="69"/>
      <c r="AC1048" s="70"/>
      <c r="AD1048" t="s">
        <v>5427</v>
      </c>
      <c r="AE1048" s="78" t="s">
        <v>6698</v>
      </c>
      <c r="AF1048">
        <v>64</v>
      </c>
      <c r="AG1048">
        <v>126</v>
      </c>
      <c r="AH1048">
        <v>867</v>
      </c>
      <c r="AI1048">
        <v>139</v>
      </c>
      <c r="AK1048" t="s">
        <v>7865</v>
      </c>
      <c r="AL1048" t="s">
        <v>4899</v>
      </c>
      <c r="AM1048" s="79" t="str">
        <f>HYPERLINK("https://t.co/hX2fhqXjMI")</f>
        <v>https://t.co/hX2fhqXjMI</v>
      </c>
      <c r="AO1048" s="76">
        <v>41739.675891203704</v>
      </c>
      <c r="AP1048" s="79" t="str">
        <f>HYPERLINK("https://pbs.twimg.com/profile_banners/2437220370/1562244929")</f>
        <v>https://pbs.twimg.com/profile_banners/2437220370/1562244929</v>
      </c>
      <c r="AQ1048" t="b">
        <v>0</v>
      </c>
      <c r="AR1048" t="b">
        <v>0</v>
      </c>
      <c r="AS1048" t="b">
        <v>0</v>
      </c>
      <c r="AU1048">
        <v>4</v>
      </c>
      <c r="AV1048" s="79" t="str">
        <f>HYPERLINK("https://abs.twimg.com/images/themes/theme1/bg.png")</f>
        <v>https://abs.twimg.com/images/themes/theme1/bg.png</v>
      </c>
      <c r="AW1048" t="b">
        <v>0</v>
      </c>
      <c r="AX1048" t="s">
        <v>9303</v>
      </c>
      <c r="AY1048" s="79" t="str">
        <f>HYPERLINK("https://twitter.com/carolinariceusa")</f>
        <v>https://twitter.com/carolinariceusa</v>
      </c>
      <c r="AZ1048" t="s">
        <v>65</v>
      </c>
      <c r="BA1048" s="2"/>
    </row>
    <row r="1049" spans="1:53" x14ac:dyDescent="0.45">
      <c r="A1049" s="62" t="s">
        <v>310</v>
      </c>
      <c r="B1049" s="63"/>
      <c r="C1049" s="63"/>
      <c r="D1049" s="64"/>
      <c r="E1049" s="66"/>
      <c r="F1049" s="98" t="str">
        <f>HYPERLINK("https://pbs.twimg.com/profile_images/1619422081069752320/8LIEX61-_normal.jpg")</f>
        <v>https://pbs.twimg.com/profile_images/1619422081069752320/8LIEX61-_normal.jpg</v>
      </c>
      <c r="G1049" s="63"/>
      <c r="H1049" s="67"/>
      <c r="I1049" s="68"/>
      <c r="J1049" s="68"/>
      <c r="K1049" s="67" t="s">
        <v>9506</v>
      </c>
      <c r="L1049" s="71"/>
      <c r="M1049" s="72"/>
      <c r="N1049" s="72"/>
      <c r="O1049" s="73"/>
      <c r="P1049" s="74"/>
      <c r="Q1049" s="74"/>
      <c r="R1049" s="81"/>
      <c r="S1049" s="81"/>
      <c r="T1049" s="81"/>
      <c r="U1049" s="81"/>
      <c r="V1049" s="48"/>
      <c r="W1049" s="48"/>
      <c r="X1049" s="48"/>
      <c r="Y1049" s="48"/>
      <c r="Z1049" s="47"/>
      <c r="AA1049" s="69"/>
      <c r="AB1049" s="69"/>
      <c r="AC1049" s="70"/>
      <c r="AD1049" t="s">
        <v>5200</v>
      </c>
      <c r="AE1049" s="78" t="s">
        <v>6491</v>
      </c>
      <c r="AF1049">
        <v>928</v>
      </c>
      <c r="AG1049">
        <v>125</v>
      </c>
      <c r="AH1049">
        <v>2544</v>
      </c>
      <c r="AI1049">
        <v>51851</v>
      </c>
      <c r="AK1049" t="s">
        <v>7670</v>
      </c>
      <c r="AO1049" s="76">
        <v>42816.659745370373</v>
      </c>
      <c r="AP1049" s="79" t="str">
        <f>HYPERLINK("https://pbs.twimg.com/profile_banners/844576913481854976/1674061422")</f>
        <v>https://pbs.twimg.com/profile_banners/844576913481854976/1674061422</v>
      </c>
      <c r="AQ1049" t="b">
        <v>1</v>
      </c>
      <c r="AR1049" t="b">
        <v>0</v>
      </c>
      <c r="AS1049" t="b">
        <v>0</v>
      </c>
      <c r="AU1049">
        <v>0</v>
      </c>
      <c r="AW1049" t="b">
        <v>0</v>
      </c>
      <c r="AX1049" t="s">
        <v>9303</v>
      </c>
      <c r="AY1049" s="79" t="str">
        <f>HYPERLINK("https://twitter.com/amytassel1")</f>
        <v>https://twitter.com/amytassel1</v>
      </c>
      <c r="AZ1049" t="s">
        <v>66</v>
      </c>
      <c r="BA1049" s="2"/>
    </row>
    <row r="1050" spans="1:53" x14ac:dyDescent="0.45">
      <c r="A1050" s="62" t="s">
        <v>905</v>
      </c>
      <c r="B1050" s="63"/>
      <c r="C1050" s="63"/>
      <c r="D1050" s="64"/>
      <c r="E1050" s="66"/>
      <c r="F1050" s="98" t="str">
        <f>HYPERLINK("https://pbs.twimg.com/profile_images/1507123216010997763/ZgOo_Xt-_normal.jpg")</f>
        <v>https://pbs.twimg.com/profile_images/1507123216010997763/ZgOo_Xt-_normal.jpg</v>
      </c>
      <c r="G1050" s="63"/>
      <c r="H1050" s="67"/>
      <c r="I1050" s="68"/>
      <c r="J1050" s="68"/>
      <c r="K1050" s="67" t="s">
        <v>10324</v>
      </c>
      <c r="L1050" s="71"/>
      <c r="M1050" s="72"/>
      <c r="N1050" s="72"/>
      <c r="O1050" s="73"/>
      <c r="P1050" s="74"/>
      <c r="Q1050" s="74"/>
      <c r="R1050" s="81"/>
      <c r="S1050" s="81"/>
      <c r="T1050" s="81"/>
      <c r="U1050" s="81"/>
      <c r="V1050" s="48"/>
      <c r="W1050" s="48"/>
      <c r="X1050" s="48"/>
      <c r="Y1050" s="48"/>
      <c r="Z1050" s="47"/>
      <c r="AA1050" s="69"/>
      <c r="AB1050" s="69"/>
      <c r="AC1050" s="70"/>
      <c r="AD1050" t="s">
        <v>6007</v>
      </c>
      <c r="AE1050" s="78" t="s">
        <v>7215</v>
      </c>
      <c r="AF1050">
        <v>116</v>
      </c>
      <c r="AG1050">
        <v>124</v>
      </c>
      <c r="AH1050">
        <v>842</v>
      </c>
      <c r="AI1050">
        <v>2455</v>
      </c>
      <c r="AK1050" t="s">
        <v>8379</v>
      </c>
      <c r="AL1050" t="s">
        <v>9175</v>
      </c>
      <c r="AM1050" s="79" t="str">
        <f>HYPERLINK("https://t.co/EfSluvhhaR")</f>
        <v>https://t.co/EfSluvhhaR</v>
      </c>
      <c r="AO1050" s="76">
        <v>42578.223668981482</v>
      </c>
      <c r="AP1050" s="79" t="str">
        <f>HYPERLINK("https://pbs.twimg.com/profile_banners/758170570576068612/1648161161")</f>
        <v>https://pbs.twimg.com/profile_banners/758170570576068612/1648161161</v>
      </c>
      <c r="AQ1050" t="b">
        <v>1</v>
      </c>
      <c r="AR1050" t="b">
        <v>0</v>
      </c>
      <c r="AS1050" t="b">
        <v>1</v>
      </c>
      <c r="AU1050">
        <v>0</v>
      </c>
      <c r="AW1050" t="b">
        <v>0</v>
      </c>
      <c r="AX1050" t="s">
        <v>9303</v>
      </c>
      <c r="AY1050" s="79" t="str">
        <f>HYPERLINK("https://twitter.com/deanna_helene")</f>
        <v>https://twitter.com/deanna_helene</v>
      </c>
      <c r="AZ1050" t="s">
        <v>66</v>
      </c>
      <c r="BA1050" s="2"/>
    </row>
    <row r="1051" spans="1:53" x14ac:dyDescent="0.45">
      <c r="A1051" s="62" t="s">
        <v>221</v>
      </c>
      <c r="B1051" s="63"/>
      <c r="C1051" s="63"/>
      <c r="D1051" s="64"/>
      <c r="E1051" s="66"/>
      <c r="F1051" s="98" t="str">
        <f>HYPERLINK("https://pbs.twimg.com/profile_images/1547233885360369665/TUN2BIfq_normal.jpg")</f>
        <v>https://pbs.twimg.com/profile_images/1547233885360369665/TUN2BIfq_normal.jpg</v>
      </c>
      <c r="G1051" s="63"/>
      <c r="H1051" s="67"/>
      <c r="I1051" s="68"/>
      <c r="J1051" s="68"/>
      <c r="K1051" s="67" t="s">
        <v>9315</v>
      </c>
      <c r="L1051" s="71"/>
      <c r="M1051" s="72"/>
      <c r="N1051" s="72"/>
      <c r="O1051" s="73"/>
      <c r="P1051" s="74"/>
      <c r="Q1051" s="74"/>
      <c r="R1051" s="81"/>
      <c r="S1051" s="81"/>
      <c r="T1051" s="81"/>
      <c r="U1051" s="81"/>
      <c r="V1051" s="48"/>
      <c r="W1051" s="48"/>
      <c r="X1051" s="48"/>
      <c r="Y1051" s="48"/>
      <c r="Z1051" s="47"/>
      <c r="AA1051" s="69"/>
      <c r="AB1051" s="69"/>
      <c r="AC1051" s="70"/>
      <c r="AD1051" t="s">
        <v>5011</v>
      </c>
      <c r="AE1051" s="78" t="s">
        <v>6336</v>
      </c>
      <c r="AF1051">
        <v>85</v>
      </c>
      <c r="AG1051">
        <v>123</v>
      </c>
      <c r="AH1051">
        <v>12</v>
      </c>
      <c r="AI1051">
        <v>2</v>
      </c>
      <c r="AK1051" t="s">
        <v>7501</v>
      </c>
      <c r="AO1051" s="76">
        <v>44755.622696759259</v>
      </c>
      <c r="AP1051" s="79" t="str">
        <f>HYPERLINK("https://pbs.twimg.com/profile_banners/1547233520372043777/1657724285")</f>
        <v>https://pbs.twimg.com/profile_banners/1547233520372043777/1657724285</v>
      </c>
      <c r="AQ1051" t="b">
        <v>1</v>
      </c>
      <c r="AR1051" t="b">
        <v>0</v>
      </c>
      <c r="AS1051" t="b">
        <v>0</v>
      </c>
      <c r="AU1051">
        <v>0</v>
      </c>
      <c r="AW1051" t="b">
        <v>0</v>
      </c>
      <c r="AX1051" t="s">
        <v>9303</v>
      </c>
      <c r="AY1051" s="79" t="str">
        <f>HYPERLINK("https://twitter.com/kylala81848300")</f>
        <v>https://twitter.com/kylala81848300</v>
      </c>
      <c r="AZ1051" t="s">
        <v>66</v>
      </c>
      <c r="BA1051" s="2"/>
    </row>
    <row r="1052" spans="1:53" x14ac:dyDescent="0.45">
      <c r="A1052" s="62" t="s">
        <v>1069</v>
      </c>
      <c r="B1052" s="63"/>
      <c r="C1052" s="63"/>
      <c r="D1052" s="64"/>
      <c r="E1052" s="66"/>
      <c r="F1052" s="98" t="str">
        <f>HYPERLINK("https://pbs.twimg.com/profile_images/1592313932999450624/SrlDWBlZ_normal.jpg")</f>
        <v>https://pbs.twimg.com/profile_images/1592313932999450624/SrlDWBlZ_normal.jpg</v>
      </c>
      <c r="G1052" s="63"/>
      <c r="H1052" s="67"/>
      <c r="I1052" s="68"/>
      <c r="J1052" s="68"/>
      <c r="K1052" s="67" t="s">
        <v>10601</v>
      </c>
      <c r="L1052" s="71"/>
      <c r="M1052" s="72"/>
      <c r="N1052" s="72"/>
      <c r="O1052" s="73"/>
      <c r="P1052" s="74"/>
      <c r="Q1052" s="74"/>
      <c r="R1052" s="81"/>
      <c r="S1052" s="81"/>
      <c r="T1052" s="81"/>
      <c r="U1052" s="81"/>
      <c r="V1052" s="48"/>
      <c r="W1052" s="48"/>
      <c r="X1052" s="48"/>
      <c r="Y1052" s="48"/>
      <c r="Z1052" s="47"/>
      <c r="AA1052" s="69"/>
      <c r="AB1052" s="69"/>
      <c r="AC1052" s="70"/>
      <c r="AD1052" t="s">
        <v>6278</v>
      </c>
      <c r="AE1052" s="78" t="s">
        <v>4818</v>
      </c>
      <c r="AF1052">
        <v>140</v>
      </c>
      <c r="AG1052">
        <v>123</v>
      </c>
      <c r="AH1052">
        <v>3897</v>
      </c>
      <c r="AI1052">
        <v>57047</v>
      </c>
      <c r="AK1052" t="s">
        <v>8625</v>
      </c>
      <c r="AL1052" t="s">
        <v>9195</v>
      </c>
      <c r="AO1052" s="76">
        <v>44345.138182870367</v>
      </c>
      <c r="AP1052" s="79" t="str">
        <f>HYPERLINK("https://pbs.twimg.com/profile_banners/1398478869959786497/1668778083")</f>
        <v>https://pbs.twimg.com/profile_banners/1398478869959786497/1668778083</v>
      </c>
      <c r="AQ1052" t="b">
        <v>1</v>
      </c>
      <c r="AR1052" t="b">
        <v>0</v>
      </c>
      <c r="AS1052" t="b">
        <v>1</v>
      </c>
      <c r="AU1052">
        <v>0</v>
      </c>
      <c r="AW1052" t="b">
        <v>0</v>
      </c>
      <c r="AX1052" t="s">
        <v>9303</v>
      </c>
      <c r="AY1052" s="79" t="str">
        <f>HYPERLINK("https://twitter.com/dannielvb9")</f>
        <v>https://twitter.com/dannielvb9</v>
      </c>
      <c r="AZ1052" t="s">
        <v>66</v>
      </c>
      <c r="BA1052" s="2"/>
    </row>
    <row r="1053" spans="1:53" x14ac:dyDescent="0.45">
      <c r="A1053" s="62" t="s">
        <v>731</v>
      </c>
      <c r="B1053" s="63"/>
      <c r="C1053" s="63"/>
      <c r="D1053" s="64"/>
      <c r="E1053" s="66"/>
      <c r="F1053" s="98" t="str">
        <f>HYPERLINK("https://abs.twimg.com/sticky/default_profile_images/default_profile_normal.png")</f>
        <v>https://abs.twimg.com/sticky/default_profile_images/default_profile_normal.png</v>
      </c>
      <c r="G1053" s="63"/>
      <c r="H1053" s="67"/>
      <c r="I1053" s="68"/>
      <c r="J1053" s="68"/>
      <c r="K1053" s="67" t="s">
        <v>10078</v>
      </c>
      <c r="L1053" s="71"/>
      <c r="M1053" s="72"/>
      <c r="N1053" s="72"/>
      <c r="O1053" s="73"/>
      <c r="P1053" s="74"/>
      <c r="Q1053" s="74"/>
      <c r="R1053" s="81"/>
      <c r="S1053" s="81"/>
      <c r="T1053" s="81"/>
      <c r="U1053" s="81"/>
      <c r="V1053" s="48"/>
      <c r="W1053" s="48"/>
      <c r="X1053" s="48"/>
      <c r="Y1053" s="48"/>
      <c r="Z1053" s="47"/>
      <c r="AA1053" s="69"/>
      <c r="AB1053" s="69"/>
      <c r="AC1053" s="70"/>
      <c r="AD1053" t="s">
        <v>5767</v>
      </c>
      <c r="AE1053" s="78" t="s">
        <v>7000</v>
      </c>
      <c r="AF1053">
        <v>473</v>
      </c>
      <c r="AG1053">
        <v>122</v>
      </c>
      <c r="AH1053">
        <v>10427</v>
      </c>
      <c r="AI1053">
        <v>34045</v>
      </c>
      <c r="AO1053" s="76">
        <v>42275.158206018517</v>
      </c>
      <c r="AQ1053" t="b">
        <v>1</v>
      </c>
      <c r="AR1053" t="b">
        <v>1</v>
      </c>
      <c r="AS1053" t="b">
        <v>1</v>
      </c>
      <c r="AU1053">
        <v>3</v>
      </c>
      <c r="AV1053" s="79" t="str">
        <f>HYPERLINK("https://abs.twimg.com/images/themes/theme1/bg.png")</f>
        <v>https://abs.twimg.com/images/themes/theme1/bg.png</v>
      </c>
      <c r="AW1053" t="b">
        <v>0</v>
      </c>
      <c r="AX1053" t="s">
        <v>9303</v>
      </c>
      <c r="AY1053" s="79" t="str">
        <f>HYPERLINK("https://twitter.com/juangota44")</f>
        <v>https://twitter.com/juangota44</v>
      </c>
      <c r="AZ1053" t="s">
        <v>66</v>
      </c>
      <c r="BA1053" s="2"/>
    </row>
    <row r="1054" spans="1:53" x14ac:dyDescent="0.45">
      <c r="A1054" s="62" t="s">
        <v>880</v>
      </c>
      <c r="B1054" s="63"/>
      <c r="C1054" s="63"/>
      <c r="D1054" s="64"/>
      <c r="E1054" s="66"/>
      <c r="F1054" s="98" t="str">
        <f>HYPERLINK("https://pbs.twimg.com/profile_images/1600751351595782151/I35iW48U_normal.jpg")</f>
        <v>https://pbs.twimg.com/profile_images/1600751351595782151/I35iW48U_normal.jpg</v>
      </c>
      <c r="G1054" s="63"/>
      <c r="H1054" s="67"/>
      <c r="I1054" s="68"/>
      <c r="J1054" s="68"/>
      <c r="K1054" s="67" t="s">
        <v>10284</v>
      </c>
      <c r="L1054" s="71"/>
      <c r="M1054" s="72"/>
      <c r="N1054" s="72"/>
      <c r="O1054" s="73"/>
      <c r="P1054" s="74"/>
      <c r="Q1054" s="74"/>
      <c r="R1054" s="81"/>
      <c r="S1054" s="81"/>
      <c r="T1054" s="81"/>
      <c r="U1054" s="81"/>
      <c r="V1054" s="48"/>
      <c r="W1054" s="48"/>
      <c r="X1054" s="48"/>
      <c r="Y1054" s="48"/>
      <c r="Z1054" s="47"/>
      <c r="AA1054" s="69"/>
      <c r="AB1054" s="69"/>
      <c r="AC1054" s="70"/>
      <c r="AD1054" t="s">
        <v>5967</v>
      </c>
      <c r="AE1054" s="78" t="s">
        <v>7179</v>
      </c>
      <c r="AF1054">
        <v>926</v>
      </c>
      <c r="AG1054">
        <v>118</v>
      </c>
      <c r="AH1054">
        <v>3700</v>
      </c>
      <c r="AI1054">
        <v>6196</v>
      </c>
      <c r="AK1054" t="s">
        <v>8344</v>
      </c>
      <c r="AL1054" t="s">
        <v>4899</v>
      </c>
      <c r="AM1054" s="79" t="str">
        <f>HYPERLINK("https://t.co/MHT2qDTOkt")</f>
        <v>https://t.co/MHT2qDTOkt</v>
      </c>
      <c r="AO1054" s="76">
        <v>41446.186018518521</v>
      </c>
      <c r="AP1054" s="79" t="str">
        <f>HYPERLINK("https://pbs.twimg.com/profile_banners/1535717252/1671417891")</f>
        <v>https://pbs.twimg.com/profile_banners/1535717252/1671417891</v>
      </c>
      <c r="AQ1054" t="b">
        <v>1</v>
      </c>
      <c r="AR1054" t="b">
        <v>0</v>
      </c>
      <c r="AS1054" t="b">
        <v>0</v>
      </c>
      <c r="AU1054">
        <v>0</v>
      </c>
      <c r="AV1054" s="79" t="str">
        <f>HYPERLINK("https://abs.twimg.com/images/themes/theme1/bg.png")</f>
        <v>https://abs.twimg.com/images/themes/theme1/bg.png</v>
      </c>
      <c r="AW1054" t="b">
        <v>0</v>
      </c>
      <c r="AX1054" t="s">
        <v>9303</v>
      </c>
      <c r="AY1054" s="79" t="str">
        <f>HYPERLINK("https://twitter.com/autonomymodelx")</f>
        <v>https://twitter.com/autonomymodelx</v>
      </c>
      <c r="AZ1054" t="s">
        <v>66</v>
      </c>
      <c r="BA1054" s="2"/>
    </row>
    <row r="1055" spans="1:53" x14ac:dyDescent="0.45">
      <c r="A1055" s="62" t="s">
        <v>240</v>
      </c>
      <c r="B1055" s="63"/>
      <c r="C1055" s="63"/>
      <c r="D1055" s="64"/>
      <c r="E1055" s="66"/>
      <c r="F1055" s="98" t="str">
        <f>HYPERLINK("https://pbs.twimg.com/profile_images/1331306437755060225/ReIlfqxe_normal.jpg")</f>
        <v>https://pbs.twimg.com/profile_images/1331306437755060225/ReIlfqxe_normal.jpg</v>
      </c>
      <c r="G1055" s="63"/>
      <c r="H1055" s="67"/>
      <c r="I1055" s="68"/>
      <c r="J1055" s="68"/>
      <c r="K1055" s="67" t="s">
        <v>9374</v>
      </c>
      <c r="L1055" s="71"/>
      <c r="M1055" s="72"/>
      <c r="N1055" s="72"/>
      <c r="O1055" s="73"/>
      <c r="P1055" s="74"/>
      <c r="Q1055" s="74"/>
      <c r="R1055" s="81"/>
      <c r="S1055" s="81"/>
      <c r="T1055" s="81"/>
      <c r="U1055" s="81"/>
      <c r="V1055" s="48"/>
      <c r="W1055" s="48"/>
      <c r="X1055" s="48"/>
      <c r="Y1055" s="48"/>
      <c r="Z1055" s="47"/>
      <c r="AA1055" s="69"/>
      <c r="AB1055" s="69"/>
      <c r="AC1055" s="70"/>
      <c r="AD1055" t="s">
        <v>5070</v>
      </c>
      <c r="AE1055" s="78" t="s">
        <v>6384</v>
      </c>
      <c r="AF1055">
        <v>523</v>
      </c>
      <c r="AG1055">
        <v>117</v>
      </c>
      <c r="AH1055">
        <v>3297</v>
      </c>
      <c r="AI1055">
        <v>11049</v>
      </c>
      <c r="AK1055" t="s">
        <v>7556</v>
      </c>
      <c r="AL1055" t="s">
        <v>8722</v>
      </c>
      <c r="AO1055" s="76">
        <v>44098.544722222221</v>
      </c>
      <c r="AP1055" s="79" t="str">
        <f>HYPERLINK("https://pbs.twimg.com/profile_banners/1309116411416129545/1602077673")</f>
        <v>https://pbs.twimg.com/profile_banners/1309116411416129545/1602077673</v>
      </c>
      <c r="AQ1055" t="b">
        <v>1</v>
      </c>
      <c r="AR1055" t="b">
        <v>0</v>
      </c>
      <c r="AS1055" t="b">
        <v>0</v>
      </c>
      <c r="AU1055">
        <v>2</v>
      </c>
      <c r="AW1055" t="b">
        <v>0</v>
      </c>
      <c r="AX1055" t="s">
        <v>9303</v>
      </c>
      <c r="AY1055" s="79" t="str">
        <f>HYPERLINK("https://twitter.com/amie3752")</f>
        <v>https://twitter.com/amie3752</v>
      </c>
      <c r="AZ1055" t="s">
        <v>66</v>
      </c>
      <c r="BA1055" s="2"/>
    </row>
    <row r="1056" spans="1:53" x14ac:dyDescent="0.45">
      <c r="A1056" s="62" t="s">
        <v>291</v>
      </c>
      <c r="B1056" s="63"/>
      <c r="C1056" s="63"/>
      <c r="D1056" s="64"/>
      <c r="E1056" s="66"/>
      <c r="F1056" s="98" t="str">
        <f>HYPERLINK("https://pbs.twimg.com/profile_images/1605620021719334915/ZgR2r50U_normal.jpg")</f>
        <v>https://pbs.twimg.com/profile_images/1605620021719334915/ZgR2r50U_normal.jpg</v>
      </c>
      <c r="G1056" s="63"/>
      <c r="H1056" s="67"/>
      <c r="I1056" s="68"/>
      <c r="J1056" s="68"/>
      <c r="K1056" s="67" t="s">
        <v>9457</v>
      </c>
      <c r="L1056" s="71"/>
      <c r="M1056" s="72"/>
      <c r="N1056" s="72"/>
      <c r="O1056" s="73"/>
      <c r="P1056" s="74"/>
      <c r="Q1056" s="74"/>
      <c r="R1056" s="81"/>
      <c r="S1056" s="81"/>
      <c r="T1056" s="81"/>
      <c r="U1056" s="81"/>
      <c r="V1056" s="48"/>
      <c r="W1056" s="48"/>
      <c r="X1056" s="48"/>
      <c r="Y1056" s="48"/>
      <c r="Z1056" s="47"/>
      <c r="AA1056" s="69"/>
      <c r="AB1056" s="69"/>
      <c r="AC1056" s="70"/>
      <c r="AD1056" t="s">
        <v>5151</v>
      </c>
      <c r="AE1056" s="78" t="s">
        <v>6452</v>
      </c>
      <c r="AF1056">
        <v>107</v>
      </c>
      <c r="AG1056">
        <v>116</v>
      </c>
      <c r="AH1056">
        <v>495</v>
      </c>
      <c r="AI1056">
        <v>713</v>
      </c>
      <c r="AK1056" t="s">
        <v>7623</v>
      </c>
      <c r="AM1056" s="79" t="str">
        <f>HYPERLINK("https://t.co/y9jwHF4t2Y")</f>
        <v>https://t.co/y9jwHF4t2Y</v>
      </c>
      <c r="AO1056" s="76">
        <v>44830.582916666666</v>
      </c>
      <c r="AP1056" s="79" t="str">
        <f>HYPERLINK("https://pbs.twimg.com/profile_banners/1574398192879296513/1670790950")</f>
        <v>https://pbs.twimg.com/profile_banners/1574398192879296513/1670790950</v>
      </c>
      <c r="AQ1056" t="b">
        <v>1</v>
      </c>
      <c r="AR1056" t="b">
        <v>0</v>
      </c>
      <c r="AS1056" t="b">
        <v>0</v>
      </c>
      <c r="AU1056">
        <v>0</v>
      </c>
      <c r="AW1056" t="b">
        <v>0</v>
      </c>
      <c r="AX1056" t="s">
        <v>9303</v>
      </c>
      <c r="AY1056" s="79" t="str">
        <f>HYPERLINK("https://twitter.com/manndowwn")</f>
        <v>https://twitter.com/manndowwn</v>
      </c>
      <c r="AZ1056" t="s">
        <v>66</v>
      </c>
      <c r="BA1056" s="2"/>
    </row>
    <row r="1057" spans="1:53" x14ac:dyDescent="0.45">
      <c r="A1057" s="62" t="s">
        <v>366</v>
      </c>
      <c r="B1057" s="63"/>
      <c r="C1057" s="63"/>
      <c r="D1057" s="64"/>
      <c r="E1057" s="66"/>
      <c r="F1057" s="98" t="str">
        <f>HYPERLINK("https://pbs.twimg.com/profile_images/833376794355064833/kwWdp7B1_normal.jpg")</f>
        <v>https://pbs.twimg.com/profile_images/833376794355064833/kwWdp7B1_normal.jpg</v>
      </c>
      <c r="G1057" s="63"/>
      <c r="H1057" s="67"/>
      <c r="I1057" s="68"/>
      <c r="J1057" s="68"/>
      <c r="K1057" s="67" t="s">
        <v>9609</v>
      </c>
      <c r="L1057" s="71"/>
      <c r="M1057" s="72"/>
      <c r="N1057" s="72"/>
      <c r="O1057" s="73"/>
      <c r="P1057" s="74"/>
      <c r="Q1057" s="74"/>
      <c r="R1057" s="81"/>
      <c r="S1057" s="81"/>
      <c r="T1057" s="81"/>
      <c r="U1057" s="81"/>
      <c r="V1057" s="48"/>
      <c r="W1057" s="48"/>
      <c r="X1057" s="48"/>
      <c r="Y1057" s="48"/>
      <c r="Z1057" s="47"/>
      <c r="AA1057" s="69"/>
      <c r="AB1057" s="69"/>
      <c r="AC1057" s="70"/>
      <c r="AD1057" t="s">
        <v>5302</v>
      </c>
      <c r="AE1057" s="78" t="s">
        <v>6580</v>
      </c>
      <c r="AF1057">
        <v>436</v>
      </c>
      <c r="AG1057">
        <v>116</v>
      </c>
      <c r="AH1057">
        <v>5059</v>
      </c>
      <c r="AI1057">
        <v>13425</v>
      </c>
      <c r="AK1057" t="s">
        <v>7758</v>
      </c>
      <c r="AL1057" t="s">
        <v>8683</v>
      </c>
      <c r="AO1057" s="76">
        <v>41759.632604166669</v>
      </c>
      <c r="AP1057" s="79" t="str">
        <f>HYPERLINK("https://pbs.twimg.com/profile_banners/2471123214/1398889419")</f>
        <v>https://pbs.twimg.com/profile_banners/2471123214/1398889419</v>
      </c>
      <c r="AQ1057" t="b">
        <v>1</v>
      </c>
      <c r="AR1057" t="b">
        <v>0</v>
      </c>
      <c r="AS1057" t="b">
        <v>1</v>
      </c>
      <c r="AU1057">
        <v>0</v>
      </c>
      <c r="AV1057" s="79" t="str">
        <f>HYPERLINK("https://abs.twimg.com/images/themes/theme1/bg.png")</f>
        <v>https://abs.twimg.com/images/themes/theme1/bg.png</v>
      </c>
      <c r="AW1057" t="b">
        <v>0</v>
      </c>
      <c r="AX1057" t="s">
        <v>9303</v>
      </c>
      <c r="AY1057" s="79" t="str">
        <f>HYPERLINK("https://twitter.com/msbutta214")</f>
        <v>https://twitter.com/msbutta214</v>
      </c>
      <c r="AZ1057" t="s">
        <v>66</v>
      </c>
      <c r="BA1057" s="2"/>
    </row>
    <row r="1058" spans="1:53" x14ac:dyDescent="0.45">
      <c r="A1058" s="62" t="s">
        <v>419</v>
      </c>
      <c r="B1058" s="63"/>
      <c r="C1058" s="63"/>
      <c r="D1058" s="64"/>
      <c r="E1058" s="66"/>
      <c r="F1058" s="98" t="str">
        <f>HYPERLINK("https://pbs.twimg.com/profile_images/1617238031278264320/jmcsryGt_normal.jpg")</f>
        <v>https://pbs.twimg.com/profile_images/1617238031278264320/jmcsryGt_normal.jpg</v>
      </c>
      <c r="G1058" s="63"/>
      <c r="H1058" s="67"/>
      <c r="I1058" s="68"/>
      <c r="J1058" s="68"/>
      <c r="K1058" s="67" t="s">
        <v>9670</v>
      </c>
      <c r="L1058" s="71"/>
      <c r="M1058" s="72"/>
      <c r="N1058" s="72"/>
      <c r="O1058" s="73"/>
      <c r="P1058" s="74"/>
      <c r="Q1058" s="74"/>
      <c r="R1058" s="81"/>
      <c r="S1058" s="81"/>
      <c r="T1058" s="81"/>
      <c r="U1058" s="81"/>
      <c r="V1058" s="48"/>
      <c r="W1058" s="48"/>
      <c r="X1058" s="48"/>
      <c r="Y1058" s="48"/>
      <c r="Z1058" s="47"/>
      <c r="AA1058" s="69"/>
      <c r="AB1058" s="69"/>
      <c r="AC1058" s="70"/>
      <c r="AD1058" t="s">
        <v>5363</v>
      </c>
      <c r="AE1058" s="78" t="s">
        <v>6637</v>
      </c>
      <c r="AF1058">
        <v>688</v>
      </c>
      <c r="AG1058">
        <v>116</v>
      </c>
      <c r="AH1058">
        <v>49499</v>
      </c>
      <c r="AI1058">
        <v>34326</v>
      </c>
      <c r="AK1058" t="s">
        <v>7813</v>
      </c>
      <c r="AO1058" s="76">
        <v>44836.586238425924</v>
      </c>
      <c r="AP1058" s="79" t="str">
        <f>HYPERLINK("https://pbs.twimg.com/profile_banners/1576573716972113921/1674414579")</f>
        <v>https://pbs.twimg.com/profile_banners/1576573716972113921/1674414579</v>
      </c>
      <c r="AQ1058" t="b">
        <v>1</v>
      </c>
      <c r="AR1058" t="b">
        <v>0</v>
      </c>
      <c r="AS1058" t="b">
        <v>0</v>
      </c>
      <c r="AU1058">
        <v>0</v>
      </c>
      <c r="AW1058" t="b">
        <v>0</v>
      </c>
      <c r="AX1058" t="s">
        <v>9303</v>
      </c>
      <c r="AY1058" s="79" t="str">
        <f>HYPERLINK("https://twitter.com/heyfriends1212")</f>
        <v>https://twitter.com/heyfriends1212</v>
      </c>
      <c r="AZ1058" t="s">
        <v>66</v>
      </c>
      <c r="BA1058" s="2"/>
    </row>
    <row r="1059" spans="1:53" x14ac:dyDescent="0.45">
      <c r="A1059" s="62" t="s">
        <v>622</v>
      </c>
      <c r="B1059" s="63"/>
      <c r="C1059" s="63"/>
      <c r="D1059" s="64"/>
      <c r="E1059" s="66"/>
      <c r="F1059" s="98" t="str">
        <f>HYPERLINK("https://pbs.twimg.com/profile_images/1569484156639350786/1cX2guB1_normal.jpg")</f>
        <v>https://pbs.twimg.com/profile_images/1569484156639350786/1cX2guB1_normal.jpg</v>
      </c>
      <c r="G1059" s="63"/>
      <c r="H1059" s="67"/>
      <c r="I1059" s="68"/>
      <c r="J1059" s="68"/>
      <c r="K1059" s="67" t="s">
        <v>9929</v>
      </c>
      <c r="L1059" s="71"/>
      <c r="M1059" s="72"/>
      <c r="N1059" s="72"/>
      <c r="O1059" s="73"/>
      <c r="P1059" s="74"/>
      <c r="Q1059" s="74"/>
      <c r="R1059" s="81"/>
      <c r="S1059" s="81"/>
      <c r="T1059" s="81"/>
      <c r="U1059" s="81"/>
      <c r="V1059" s="48"/>
      <c r="W1059" s="48"/>
      <c r="X1059" s="48"/>
      <c r="Y1059" s="48"/>
      <c r="Z1059" s="47"/>
      <c r="AA1059" s="69"/>
      <c r="AB1059" s="69"/>
      <c r="AC1059" s="70"/>
      <c r="AD1059" t="s">
        <v>5620</v>
      </c>
      <c r="AE1059" s="78" t="s">
        <v>6864</v>
      </c>
      <c r="AF1059">
        <v>41</v>
      </c>
      <c r="AG1059">
        <v>116</v>
      </c>
      <c r="AH1059">
        <v>14560</v>
      </c>
      <c r="AI1059">
        <v>66482</v>
      </c>
      <c r="AK1059" t="s">
        <v>8038</v>
      </c>
      <c r="AO1059" s="76">
        <v>41866.140960648147</v>
      </c>
      <c r="AQ1059" t="b">
        <v>1</v>
      </c>
      <c r="AR1059" t="b">
        <v>0</v>
      </c>
      <c r="AS1059" t="b">
        <v>0</v>
      </c>
      <c r="AU1059">
        <v>0</v>
      </c>
      <c r="AV1059" s="79" t="str">
        <f>HYPERLINK("https://abs.twimg.com/images/themes/theme1/bg.png")</f>
        <v>https://abs.twimg.com/images/themes/theme1/bg.png</v>
      </c>
      <c r="AW1059" t="b">
        <v>0</v>
      </c>
      <c r="AX1059" t="s">
        <v>9303</v>
      </c>
      <c r="AY1059" s="79" t="str">
        <f>HYPERLINK("https://twitter.com/123blarg456")</f>
        <v>https://twitter.com/123blarg456</v>
      </c>
      <c r="AZ1059" t="s">
        <v>66</v>
      </c>
      <c r="BA1059" s="2"/>
    </row>
    <row r="1060" spans="1:53" x14ac:dyDescent="0.45">
      <c r="A1060" s="62" t="s">
        <v>843</v>
      </c>
      <c r="B1060" s="63"/>
      <c r="C1060" s="63"/>
      <c r="D1060" s="64"/>
      <c r="E1060" s="66"/>
      <c r="F1060" s="98" t="str">
        <f>HYPERLINK("https://pbs.twimg.com/profile_images/1477735015643377664/qvnXi0xq_normal.jpg")</f>
        <v>https://pbs.twimg.com/profile_images/1477735015643377664/qvnXi0xq_normal.jpg</v>
      </c>
      <c r="G1060" s="63"/>
      <c r="H1060" s="67"/>
      <c r="I1060" s="68"/>
      <c r="J1060" s="68"/>
      <c r="K1060" s="67" t="s">
        <v>10238</v>
      </c>
      <c r="L1060" s="71"/>
      <c r="M1060" s="72"/>
      <c r="N1060" s="72"/>
      <c r="O1060" s="73"/>
      <c r="P1060" s="74"/>
      <c r="Q1060" s="74"/>
      <c r="R1060" s="81"/>
      <c r="S1060" s="81"/>
      <c r="T1060" s="81"/>
      <c r="U1060" s="81"/>
      <c r="V1060" s="48"/>
      <c r="W1060" s="48"/>
      <c r="X1060" s="48"/>
      <c r="Y1060" s="48"/>
      <c r="Z1060" s="47"/>
      <c r="AA1060" s="69"/>
      <c r="AB1060" s="69"/>
      <c r="AC1060" s="70"/>
      <c r="AD1060" t="s">
        <v>5922</v>
      </c>
      <c r="AE1060" s="78" t="s">
        <v>7138</v>
      </c>
      <c r="AF1060">
        <v>357</v>
      </c>
      <c r="AG1060">
        <v>116</v>
      </c>
      <c r="AH1060">
        <v>62602</v>
      </c>
      <c r="AI1060">
        <v>169169</v>
      </c>
      <c r="AL1060" t="s">
        <v>9134</v>
      </c>
      <c r="AO1060" s="76">
        <v>43264.446932870371</v>
      </c>
      <c r="AP1060" s="79" t="str">
        <f>HYPERLINK("https://pbs.twimg.com/profile_banners/1006849558310092800/1617207063")</f>
        <v>https://pbs.twimg.com/profile_banners/1006849558310092800/1617207063</v>
      </c>
      <c r="AQ1060" t="b">
        <v>0</v>
      </c>
      <c r="AR1060" t="b">
        <v>0</v>
      </c>
      <c r="AS1060" t="b">
        <v>1</v>
      </c>
      <c r="AU1060">
        <v>0</v>
      </c>
      <c r="AV1060" s="79" t="str">
        <f>HYPERLINK("https://abs.twimg.com/images/themes/theme1/bg.png")</f>
        <v>https://abs.twimg.com/images/themes/theme1/bg.png</v>
      </c>
      <c r="AW1060" t="b">
        <v>0</v>
      </c>
      <c r="AX1060" t="s">
        <v>9303</v>
      </c>
      <c r="AY1060" s="79" t="str">
        <f>HYPERLINK("https://twitter.com/prims525")</f>
        <v>https://twitter.com/prims525</v>
      </c>
      <c r="AZ1060" t="s">
        <v>66</v>
      </c>
      <c r="BA1060" s="2"/>
    </row>
    <row r="1061" spans="1:53" x14ac:dyDescent="0.45">
      <c r="A1061" s="62" t="s">
        <v>856</v>
      </c>
      <c r="B1061" s="63"/>
      <c r="C1061" s="63"/>
      <c r="D1061" s="64"/>
      <c r="E1061" s="66"/>
      <c r="F1061" s="98" t="str">
        <f>HYPERLINK("https://pbs.twimg.com/profile_images/1414768598556491786/XiIi4wvb_normal.jpg")</f>
        <v>https://pbs.twimg.com/profile_images/1414768598556491786/XiIi4wvb_normal.jpg</v>
      </c>
      <c r="G1061" s="63"/>
      <c r="H1061" s="67"/>
      <c r="I1061" s="68"/>
      <c r="J1061" s="68"/>
      <c r="K1061" s="67" t="s">
        <v>10255</v>
      </c>
      <c r="L1061" s="71"/>
      <c r="M1061" s="72"/>
      <c r="N1061" s="72"/>
      <c r="O1061" s="73"/>
      <c r="P1061" s="74"/>
      <c r="Q1061" s="74"/>
      <c r="R1061" s="81"/>
      <c r="S1061" s="81"/>
      <c r="T1061" s="81"/>
      <c r="U1061" s="81"/>
      <c r="V1061" s="48"/>
      <c r="W1061" s="48"/>
      <c r="X1061" s="48"/>
      <c r="Y1061" s="48"/>
      <c r="Z1061" s="47"/>
      <c r="AA1061" s="69"/>
      <c r="AB1061" s="69"/>
      <c r="AC1061" s="70"/>
      <c r="AD1061" t="s">
        <v>5938</v>
      </c>
      <c r="AE1061" s="78" t="s">
        <v>7152</v>
      </c>
      <c r="AF1061">
        <v>855</v>
      </c>
      <c r="AG1061">
        <v>114</v>
      </c>
      <c r="AH1061">
        <v>4693</v>
      </c>
      <c r="AI1061">
        <v>8484</v>
      </c>
      <c r="AK1061" t="s">
        <v>8317</v>
      </c>
      <c r="AL1061" t="s">
        <v>8930</v>
      </c>
      <c r="AM1061" s="79" t="str">
        <f>HYPERLINK("https://t.co/KxipT1DWdg")</f>
        <v>https://t.co/KxipT1DWdg</v>
      </c>
      <c r="AO1061" s="76">
        <v>40084.05300925926</v>
      </c>
      <c r="AP1061" s="79" t="str">
        <f>HYPERLINK("https://pbs.twimg.com/profile_banners/77885866/1599496065")</f>
        <v>https://pbs.twimg.com/profile_banners/77885866/1599496065</v>
      </c>
      <c r="AQ1061" t="b">
        <v>1</v>
      </c>
      <c r="AR1061" t="b">
        <v>0</v>
      </c>
      <c r="AS1061" t="b">
        <v>1</v>
      </c>
      <c r="AU1061">
        <v>24</v>
      </c>
      <c r="AV1061" s="79" t="str">
        <f>HYPERLINK("https://abs.twimg.com/images/themes/theme1/bg.png")</f>
        <v>https://abs.twimg.com/images/themes/theme1/bg.png</v>
      </c>
      <c r="AW1061" t="b">
        <v>0</v>
      </c>
      <c r="AX1061" t="s">
        <v>9303</v>
      </c>
      <c r="AY1061" s="79" t="str">
        <f>HYPERLINK("https://twitter.com/mrghoulishguy")</f>
        <v>https://twitter.com/mrghoulishguy</v>
      </c>
      <c r="AZ1061" t="s">
        <v>66</v>
      </c>
      <c r="BA1061" s="2"/>
    </row>
    <row r="1062" spans="1:53" x14ac:dyDescent="0.45">
      <c r="A1062" s="62" t="s">
        <v>1058</v>
      </c>
      <c r="B1062" s="63"/>
      <c r="C1062" s="63"/>
      <c r="D1062" s="64"/>
      <c r="E1062" s="66"/>
      <c r="F1062" s="98" t="str">
        <f>HYPERLINK("https://pbs.twimg.com/profile_images/1549528017873289216/co__QuXe_normal.jpg")</f>
        <v>https://pbs.twimg.com/profile_images/1549528017873289216/co__QuXe_normal.jpg</v>
      </c>
      <c r="G1062" s="63"/>
      <c r="H1062" s="67"/>
      <c r="I1062" s="68"/>
      <c r="J1062" s="68"/>
      <c r="K1062" s="67" t="s">
        <v>10575</v>
      </c>
      <c r="L1062" s="71"/>
      <c r="M1062" s="72"/>
      <c r="N1062" s="72"/>
      <c r="O1062" s="73"/>
      <c r="P1062" s="74"/>
      <c r="Q1062" s="74"/>
      <c r="R1062" s="81"/>
      <c r="S1062" s="81"/>
      <c r="T1062" s="81"/>
      <c r="U1062" s="81"/>
      <c r="V1062" s="48"/>
      <c r="W1062" s="48"/>
      <c r="X1062" s="48"/>
      <c r="Y1062" s="48"/>
      <c r="Z1062" s="47"/>
      <c r="AA1062" s="69"/>
      <c r="AB1062" s="69"/>
      <c r="AC1062" s="70"/>
      <c r="AD1062" t="s">
        <v>6253</v>
      </c>
      <c r="AE1062" s="78" t="s">
        <v>7426</v>
      </c>
      <c r="AF1062">
        <v>169</v>
      </c>
      <c r="AG1062">
        <v>114</v>
      </c>
      <c r="AH1062">
        <v>14</v>
      </c>
      <c r="AI1062">
        <v>1</v>
      </c>
      <c r="AK1062" t="s">
        <v>8600</v>
      </c>
      <c r="AO1062" s="76">
        <v>44761.953333333331</v>
      </c>
      <c r="AP1062" s="79" t="str">
        <f>HYPERLINK("https://pbs.twimg.com/profile_banners/1549527665195253760/1658271249")</f>
        <v>https://pbs.twimg.com/profile_banners/1549527665195253760/1658271249</v>
      </c>
      <c r="AQ1062" t="b">
        <v>1</v>
      </c>
      <c r="AR1062" t="b">
        <v>0</v>
      </c>
      <c r="AS1062" t="b">
        <v>0</v>
      </c>
      <c r="AU1062">
        <v>0</v>
      </c>
      <c r="AW1062" t="b">
        <v>0</v>
      </c>
      <c r="AX1062" t="s">
        <v>9303</v>
      </c>
      <c r="AY1062" s="79" t="str">
        <f>HYPERLINK("https://twitter.com/totlinda2")</f>
        <v>https://twitter.com/totlinda2</v>
      </c>
      <c r="AZ1062" t="s">
        <v>66</v>
      </c>
      <c r="BA1062" s="2"/>
    </row>
    <row r="1063" spans="1:53" x14ac:dyDescent="0.45">
      <c r="A1063" s="62" t="s">
        <v>268</v>
      </c>
      <c r="B1063" s="63"/>
      <c r="C1063" s="63"/>
      <c r="D1063" s="64"/>
      <c r="E1063" s="66"/>
      <c r="F1063" s="98" t="str">
        <f>HYPERLINK("https://abs.twimg.com/sticky/default_profile_images/default_profile_normal.png")</f>
        <v>https://abs.twimg.com/sticky/default_profile_images/default_profile_normal.png</v>
      </c>
      <c r="G1063" s="63"/>
      <c r="H1063" s="67"/>
      <c r="I1063" s="68"/>
      <c r="J1063" s="68"/>
      <c r="K1063" s="67" t="s">
        <v>9412</v>
      </c>
      <c r="L1063" s="71"/>
      <c r="M1063" s="72"/>
      <c r="N1063" s="72"/>
      <c r="O1063" s="73"/>
      <c r="P1063" s="74"/>
      <c r="Q1063" s="74"/>
      <c r="R1063" s="81"/>
      <c r="S1063" s="81"/>
      <c r="T1063" s="81"/>
      <c r="U1063" s="81"/>
      <c r="V1063" s="48"/>
      <c r="W1063" s="48"/>
      <c r="X1063" s="48"/>
      <c r="Y1063" s="48"/>
      <c r="Z1063" s="47"/>
      <c r="AA1063" s="69"/>
      <c r="AB1063" s="69"/>
      <c r="AC1063" s="70"/>
      <c r="AD1063" t="s">
        <v>268</v>
      </c>
      <c r="AE1063" s="78" t="s">
        <v>6415</v>
      </c>
      <c r="AF1063">
        <v>82</v>
      </c>
      <c r="AG1063">
        <v>112</v>
      </c>
      <c r="AH1063">
        <v>52100</v>
      </c>
      <c r="AI1063">
        <v>36850</v>
      </c>
      <c r="AO1063" s="76">
        <v>39545.642152777778</v>
      </c>
      <c r="AQ1063" t="b">
        <v>1</v>
      </c>
      <c r="AR1063" t="b">
        <v>1</v>
      </c>
      <c r="AS1063" t="b">
        <v>0</v>
      </c>
      <c r="AU1063">
        <v>2</v>
      </c>
      <c r="AV1063" s="79" t="str">
        <f>HYPERLINK("https://abs.twimg.com/images/themes/theme1/bg.png")</f>
        <v>https://abs.twimg.com/images/themes/theme1/bg.png</v>
      </c>
      <c r="AW1063" t="b">
        <v>0</v>
      </c>
      <c r="AX1063" t="s">
        <v>9303</v>
      </c>
      <c r="AY1063" s="79" t="str">
        <f>HYPERLINK("https://twitter.com/gkenney")</f>
        <v>https://twitter.com/gkenney</v>
      </c>
      <c r="AZ1063" t="s">
        <v>66</v>
      </c>
      <c r="BA1063" s="2"/>
    </row>
    <row r="1064" spans="1:53" x14ac:dyDescent="0.45">
      <c r="A1064" s="62" t="s">
        <v>602</v>
      </c>
      <c r="B1064" s="63"/>
      <c r="C1064" s="63"/>
      <c r="D1064" s="64"/>
      <c r="E1064" s="66"/>
      <c r="F1064" s="98" t="str">
        <f>HYPERLINK("https://pbs.twimg.com/profile_images/1621102870950039554/wQ_WHblR_normal.jpg")</f>
        <v>https://pbs.twimg.com/profile_images/1621102870950039554/wQ_WHblR_normal.jpg</v>
      </c>
      <c r="G1064" s="63"/>
      <c r="H1064" s="67"/>
      <c r="I1064" s="68"/>
      <c r="J1064" s="68"/>
      <c r="K1064" s="67" t="s">
        <v>9900</v>
      </c>
      <c r="L1064" s="71"/>
      <c r="M1064" s="72"/>
      <c r="N1064" s="72"/>
      <c r="O1064" s="73"/>
      <c r="P1064" s="74"/>
      <c r="Q1064" s="74"/>
      <c r="R1064" s="81"/>
      <c r="S1064" s="81"/>
      <c r="T1064" s="81"/>
      <c r="U1064" s="81"/>
      <c r="V1064" s="48"/>
      <c r="W1064" s="48"/>
      <c r="X1064" s="48"/>
      <c r="Y1064" s="48"/>
      <c r="Z1064" s="47"/>
      <c r="AA1064" s="69"/>
      <c r="AB1064" s="69"/>
      <c r="AC1064" s="70"/>
      <c r="AD1064" t="s">
        <v>5591</v>
      </c>
      <c r="AE1064" s="78" t="s">
        <v>6839</v>
      </c>
      <c r="AF1064">
        <v>407</v>
      </c>
      <c r="AG1064">
        <v>110</v>
      </c>
      <c r="AH1064">
        <v>1983</v>
      </c>
      <c r="AI1064">
        <v>25226</v>
      </c>
      <c r="AK1064" t="s">
        <v>8014</v>
      </c>
      <c r="AL1064" t="s">
        <v>8983</v>
      </c>
      <c r="AO1064" s="76">
        <v>44805.990914351853</v>
      </c>
      <c r="AP1064" s="79" t="str">
        <f>HYPERLINK("https://pbs.twimg.com/profile_banners/1565486356515758081/1675255858")</f>
        <v>https://pbs.twimg.com/profile_banners/1565486356515758081/1675255858</v>
      </c>
      <c r="AQ1064" t="b">
        <v>1</v>
      </c>
      <c r="AR1064" t="b">
        <v>0</v>
      </c>
      <c r="AS1064" t="b">
        <v>0</v>
      </c>
      <c r="AU1064">
        <v>0</v>
      </c>
      <c r="AW1064" t="b">
        <v>0</v>
      </c>
      <c r="AX1064" t="s">
        <v>9303</v>
      </c>
      <c r="AY1064" s="79" t="str">
        <f>HYPERLINK("https://twitter.com/arthurvm_")</f>
        <v>https://twitter.com/arthurvm_</v>
      </c>
      <c r="AZ1064" t="s">
        <v>66</v>
      </c>
      <c r="BA1064" s="2"/>
    </row>
    <row r="1065" spans="1:53" x14ac:dyDescent="0.45">
      <c r="A1065" s="62" t="s">
        <v>675</v>
      </c>
      <c r="B1065" s="63"/>
      <c r="C1065" s="63"/>
      <c r="D1065" s="64"/>
      <c r="E1065" s="66"/>
      <c r="F1065" s="98" t="str">
        <f>HYPERLINK("https://pbs.twimg.com/profile_images/1305915665157632001/8cp-Wb-v_normal.jpg")</f>
        <v>https://pbs.twimg.com/profile_images/1305915665157632001/8cp-Wb-v_normal.jpg</v>
      </c>
      <c r="G1065" s="63"/>
      <c r="H1065" s="67"/>
      <c r="I1065" s="68"/>
      <c r="J1065" s="68"/>
      <c r="K1065" s="67" t="s">
        <v>9996</v>
      </c>
      <c r="L1065" s="71"/>
      <c r="M1065" s="72"/>
      <c r="N1065" s="72"/>
      <c r="O1065" s="73"/>
      <c r="P1065" s="74"/>
      <c r="Q1065" s="74"/>
      <c r="R1065" s="81"/>
      <c r="S1065" s="81"/>
      <c r="T1065" s="81"/>
      <c r="U1065" s="81"/>
      <c r="V1065" s="48"/>
      <c r="W1065" s="48"/>
      <c r="X1065" s="48"/>
      <c r="Y1065" s="48"/>
      <c r="Z1065" s="47"/>
      <c r="AA1065" s="69"/>
      <c r="AB1065" s="69"/>
      <c r="AC1065" s="70"/>
      <c r="AD1065" t="s">
        <v>5686</v>
      </c>
      <c r="AE1065" s="78" t="s">
        <v>6929</v>
      </c>
      <c r="AF1065">
        <v>391</v>
      </c>
      <c r="AG1065">
        <v>110</v>
      </c>
      <c r="AH1065">
        <v>679</v>
      </c>
      <c r="AI1065">
        <v>14565</v>
      </c>
      <c r="AK1065" t="s">
        <v>8093</v>
      </c>
      <c r="AO1065" s="76">
        <v>43392.63585648148</v>
      </c>
      <c r="AP1065" s="79" t="str">
        <f>HYPERLINK("https://pbs.twimg.com/profile_banners/1053303666545840129/1540396060")</f>
        <v>https://pbs.twimg.com/profile_banners/1053303666545840129/1540396060</v>
      </c>
      <c r="AQ1065" t="b">
        <v>1</v>
      </c>
      <c r="AR1065" t="b">
        <v>0</v>
      </c>
      <c r="AS1065" t="b">
        <v>1</v>
      </c>
      <c r="AU1065">
        <v>0</v>
      </c>
      <c r="AW1065" t="b">
        <v>0</v>
      </c>
      <c r="AX1065" t="s">
        <v>9303</v>
      </c>
      <c r="AY1065" s="79" t="str">
        <f>HYPERLINK("https://twitter.com/jramon23190792")</f>
        <v>https://twitter.com/jramon23190792</v>
      </c>
      <c r="AZ1065" t="s">
        <v>66</v>
      </c>
      <c r="BA1065" s="2"/>
    </row>
    <row r="1066" spans="1:53" x14ac:dyDescent="0.45">
      <c r="A1066" s="62" t="s">
        <v>720</v>
      </c>
      <c r="B1066" s="63"/>
      <c r="C1066" s="63"/>
      <c r="D1066" s="64"/>
      <c r="E1066" s="66"/>
      <c r="F1066" s="98" t="str">
        <f>HYPERLINK("https://pbs.twimg.com/profile_images/1562344135461330944/Q2oVhwo5_normal.jpg")</f>
        <v>https://pbs.twimg.com/profile_images/1562344135461330944/Q2oVhwo5_normal.jpg</v>
      </c>
      <c r="G1066" s="63"/>
      <c r="H1066" s="67"/>
      <c r="I1066" s="68"/>
      <c r="J1066" s="68"/>
      <c r="K1066" s="67" t="s">
        <v>10063</v>
      </c>
      <c r="L1066" s="71"/>
      <c r="M1066" s="72"/>
      <c r="N1066" s="72"/>
      <c r="O1066" s="73"/>
      <c r="P1066" s="74"/>
      <c r="Q1066" s="74"/>
      <c r="R1066" s="81"/>
      <c r="S1066" s="81"/>
      <c r="T1066" s="81"/>
      <c r="U1066" s="81"/>
      <c r="V1066" s="48"/>
      <c r="W1066" s="48"/>
      <c r="X1066" s="48"/>
      <c r="Y1066" s="48"/>
      <c r="Z1066" s="47"/>
      <c r="AA1066" s="69"/>
      <c r="AB1066" s="69"/>
      <c r="AC1066" s="70"/>
      <c r="AD1066" t="s">
        <v>5752</v>
      </c>
      <c r="AE1066" s="78" t="s">
        <v>6988</v>
      </c>
      <c r="AF1066">
        <v>82</v>
      </c>
      <c r="AG1066">
        <v>110</v>
      </c>
      <c r="AH1066">
        <v>3127</v>
      </c>
      <c r="AI1066">
        <v>1763</v>
      </c>
      <c r="AK1066" t="s">
        <v>8149</v>
      </c>
      <c r="AL1066" t="s">
        <v>9060</v>
      </c>
      <c r="AO1066" s="76">
        <v>43561.575196759259</v>
      </c>
      <c r="AP1066" s="79" t="str">
        <f>HYPERLINK("https://pbs.twimg.com/profile_banners/1114525235095773185/1642488769")</f>
        <v>https://pbs.twimg.com/profile_banners/1114525235095773185/1642488769</v>
      </c>
      <c r="AQ1066" t="b">
        <v>1</v>
      </c>
      <c r="AR1066" t="b">
        <v>0</v>
      </c>
      <c r="AS1066" t="b">
        <v>0</v>
      </c>
      <c r="AU1066">
        <v>0</v>
      </c>
      <c r="AW1066" t="b">
        <v>0</v>
      </c>
      <c r="AX1066" t="s">
        <v>9303</v>
      </c>
      <c r="AY1066" s="79" t="str">
        <f>HYPERLINK("https://twitter.com/realtatheer")</f>
        <v>https://twitter.com/realtatheer</v>
      </c>
      <c r="AZ1066" t="s">
        <v>66</v>
      </c>
      <c r="BA1066" s="2"/>
    </row>
    <row r="1067" spans="1:53" x14ac:dyDescent="0.45">
      <c r="A1067" s="62" t="s">
        <v>907</v>
      </c>
      <c r="B1067" s="63"/>
      <c r="C1067" s="63"/>
      <c r="D1067" s="64"/>
      <c r="E1067" s="66"/>
      <c r="F1067" s="98" t="str">
        <f>HYPERLINK("https://pbs.twimg.com/profile_images/1620879295265574912/g4ytD-MK_normal.jpg")</f>
        <v>https://pbs.twimg.com/profile_images/1620879295265574912/g4ytD-MK_normal.jpg</v>
      </c>
      <c r="G1067" s="63"/>
      <c r="H1067" s="67"/>
      <c r="I1067" s="68"/>
      <c r="J1067" s="68"/>
      <c r="K1067" s="67" t="s">
        <v>10328</v>
      </c>
      <c r="L1067" s="71"/>
      <c r="M1067" s="72"/>
      <c r="N1067" s="72"/>
      <c r="O1067" s="73"/>
      <c r="P1067" s="74"/>
      <c r="Q1067" s="74"/>
      <c r="R1067" s="81"/>
      <c r="S1067" s="81"/>
      <c r="T1067" s="81"/>
      <c r="U1067" s="81"/>
      <c r="V1067" s="48"/>
      <c r="W1067" s="48"/>
      <c r="X1067" s="48"/>
      <c r="Y1067" s="48"/>
      <c r="Z1067" s="47"/>
      <c r="AA1067" s="69"/>
      <c r="AB1067" s="69"/>
      <c r="AC1067" s="70"/>
      <c r="AD1067" t="s">
        <v>6011</v>
      </c>
      <c r="AE1067" s="78" t="s">
        <v>7219</v>
      </c>
      <c r="AF1067">
        <v>491</v>
      </c>
      <c r="AG1067">
        <v>110</v>
      </c>
      <c r="AH1067">
        <v>6193</v>
      </c>
      <c r="AI1067">
        <v>949</v>
      </c>
      <c r="AK1067" t="s">
        <v>8383</v>
      </c>
      <c r="AL1067" t="s">
        <v>9177</v>
      </c>
      <c r="AO1067" s="76">
        <v>44104.639675925922</v>
      </c>
      <c r="AP1067" s="79" t="str">
        <f>HYPERLINK("https://pbs.twimg.com/profile_banners/1311325045504040962/1675282714")</f>
        <v>https://pbs.twimg.com/profile_banners/1311325045504040962/1675282714</v>
      </c>
      <c r="AQ1067" t="b">
        <v>1</v>
      </c>
      <c r="AR1067" t="b">
        <v>0</v>
      </c>
      <c r="AS1067" t="b">
        <v>1</v>
      </c>
      <c r="AU1067">
        <v>0</v>
      </c>
      <c r="AW1067" t="b">
        <v>0</v>
      </c>
      <c r="AX1067" t="s">
        <v>9303</v>
      </c>
      <c r="AY1067" s="79" t="str">
        <f>HYPERLINK("https://twitter.com/1mmastatistic")</f>
        <v>https://twitter.com/1mmastatistic</v>
      </c>
      <c r="AZ1067" t="s">
        <v>66</v>
      </c>
      <c r="BA1067" s="2"/>
    </row>
    <row r="1068" spans="1:53" x14ac:dyDescent="0.45">
      <c r="A1068" s="62" t="s">
        <v>800</v>
      </c>
      <c r="B1068" s="63"/>
      <c r="C1068" s="63"/>
      <c r="D1068" s="64"/>
      <c r="E1068" s="66"/>
      <c r="F1068" s="98" t="str">
        <f>HYPERLINK("https://pbs.twimg.com/profile_images/1554594370405400576/e7H-UDtd_normal.jpg")</f>
        <v>https://pbs.twimg.com/profile_images/1554594370405400576/e7H-UDtd_normal.jpg</v>
      </c>
      <c r="G1068" s="63"/>
      <c r="H1068" s="67"/>
      <c r="I1068" s="68"/>
      <c r="J1068" s="68"/>
      <c r="K1068" s="67" t="s">
        <v>10179</v>
      </c>
      <c r="L1068" s="71"/>
      <c r="M1068" s="72"/>
      <c r="N1068" s="72"/>
      <c r="O1068" s="73"/>
      <c r="P1068" s="74"/>
      <c r="Q1068" s="74"/>
      <c r="R1068" s="81"/>
      <c r="S1068" s="81"/>
      <c r="T1068" s="81"/>
      <c r="U1068" s="81"/>
      <c r="V1068" s="48"/>
      <c r="W1068" s="48"/>
      <c r="X1068" s="48"/>
      <c r="Y1068" s="48"/>
      <c r="Z1068" s="47"/>
      <c r="AA1068" s="69"/>
      <c r="AB1068" s="69"/>
      <c r="AC1068" s="70"/>
      <c r="AD1068" t="s">
        <v>5864</v>
      </c>
      <c r="AE1068" s="78" t="s">
        <v>7087</v>
      </c>
      <c r="AF1068">
        <v>236</v>
      </c>
      <c r="AG1068">
        <v>109</v>
      </c>
      <c r="AH1068">
        <v>43635</v>
      </c>
      <c r="AI1068">
        <v>55011</v>
      </c>
      <c r="AK1068" t="s">
        <v>8252</v>
      </c>
      <c r="AL1068" t="s">
        <v>9108</v>
      </c>
      <c r="AO1068" s="76">
        <v>44242.687881944446</v>
      </c>
      <c r="AP1068" s="79" t="str">
        <f>HYPERLINK("https://pbs.twimg.com/profile_banners/1361352147099660291/1659479205")</f>
        <v>https://pbs.twimg.com/profile_banners/1361352147099660291/1659479205</v>
      </c>
      <c r="AQ1068" t="b">
        <v>1</v>
      </c>
      <c r="AR1068" t="b">
        <v>0</v>
      </c>
      <c r="AS1068" t="b">
        <v>1</v>
      </c>
      <c r="AU1068">
        <v>0</v>
      </c>
      <c r="AW1068" t="b">
        <v>0</v>
      </c>
      <c r="AX1068" t="s">
        <v>9303</v>
      </c>
      <c r="AY1068" s="79" t="str">
        <f>HYPERLINK("https://twitter.com/battistoni_kyle")</f>
        <v>https://twitter.com/battistoni_kyle</v>
      </c>
      <c r="AZ1068" t="s">
        <v>66</v>
      </c>
      <c r="BA1068" s="2"/>
    </row>
    <row r="1069" spans="1:53" x14ac:dyDescent="0.45">
      <c r="A1069" s="62" t="s">
        <v>462</v>
      </c>
      <c r="B1069" s="63"/>
      <c r="C1069" s="63"/>
      <c r="D1069" s="64"/>
      <c r="E1069" s="66"/>
      <c r="F1069" s="98" t="str">
        <f>HYPERLINK("https://pbs.twimg.com/profile_images/1487936368793858050/PhdiyAZ7_normal.jpg")</f>
        <v>https://pbs.twimg.com/profile_images/1487936368793858050/PhdiyAZ7_normal.jpg</v>
      </c>
      <c r="G1069" s="63"/>
      <c r="H1069" s="67"/>
      <c r="I1069" s="68"/>
      <c r="J1069" s="68"/>
      <c r="K1069" s="67" t="s">
        <v>9727</v>
      </c>
      <c r="L1069" s="71"/>
      <c r="M1069" s="72"/>
      <c r="N1069" s="72"/>
      <c r="O1069" s="73"/>
      <c r="P1069" s="74"/>
      <c r="Q1069" s="74"/>
      <c r="R1069" s="81"/>
      <c r="S1069" s="81"/>
      <c r="T1069" s="81"/>
      <c r="U1069" s="81"/>
      <c r="V1069" s="48"/>
      <c r="W1069" s="48"/>
      <c r="X1069" s="48"/>
      <c r="Y1069" s="48"/>
      <c r="Z1069" s="47"/>
      <c r="AA1069" s="69"/>
      <c r="AB1069" s="69"/>
      <c r="AC1069" s="70"/>
      <c r="AD1069" t="s">
        <v>5419</v>
      </c>
      <c r="AE1069" s="78" t="s">
        <v>6691</v>
      </c>
      <c r="AF1069">
        <v>679</v>
      </c>
      <c r="AG1069">
        <v>106</v>
      </c>
      <c r="AH1069">
        <v>10157</v>
      </c>
      <c r="AI1069">
        <v>12773</v>
      </c>
      <c r="AK1069" t="s">
        <v>7859</v>
      </c>
      <c r="AO1069" s="76">
        <v>44545.784282407411</v>
      </c>
      <c r="AP1069" s="79" t="str">
        <f>HYPERLINK("https://pbs.twimg.com/profile_banners/1471190560841031685/1650671011")</f>
        <v>https://pbs.twimg.com/profile_banners/1471190560841031685/1650671011</v>
      </c>
      <c r="AQ1069" t="b">
        <v>1</v>
      </c>
      <c r="AR1069" t="b">
        <v>0</v>
      </c>
      <c r="AS1069" t="b">
        <v>1</v>
      </c>
      <c r="AU1069">
        <v>3</v>
      </c>
      <c r="AW1069" t="b">
        <v>0</v>
      </c>
      <c r="AX1069" t="s">
        <v>9303</v>
      </c>
      <c r="AY1069" s="79" t="str">
        <f>HYPERLINK("https://twitter.com/eddie_tex_tex")</f>
        <v>https://twitter.com/eddie_tex_tex</v>
      </c>
      <c r="AZ1069" t="s">
        <v>66</v>
      </c>
      <c r="BA1069" s="2"/>
    </row>
    <row r="1070" spans="1:53" x14ac:dyDescent="0.45">
      <c r="A1070" s="62" t="s">
        <v>947</v>
      </c>
      <c r="B1070" s="63"/>
      <c r="C1070" s="63"/>
      <c r="D1070" s="64"/>
      <c r="E1070" s="66"/>
      <c r="F1070" s="98" t="str">
        <f>HYPERLINK("https://pbs.twimg.com/profile_images/1485019758181371904/00XO42Q1_normal.jpg")</f>
        <v>https://pbs.twimg.com/profile_images/1485019758181371904/00XO42Q1_normal.jpg</v>
      </c>
      <c r="G1070" s="63"/>
      <c r="H1070" s="67"/>
      <c r="I1070" s="68"/>
      <c r="J1070" s="68"/>
      <c r="K1070" s="67" t="s">
        <v>10393</v>
      </c>
      <c r="L1070" s="71"/>
      <c r="M1070" s="72"/>
      <c r="N1070" s="72"/>
      <c r="O1070" s="73"/>
      <c r="P1070" s="74"/>
      <c r="Q1070" s="74"/>
      <c r="R1070" s="81"/>
      <c r="S1070" s="81"/>
      <c r="T1070" s="81"/>
      <c r="U1070" s="81"/>
      <c r="V1070" s="48"/>
      <c r="W1070" s="48"/>
      <c r="X1070" s="48"/>
      <c r="Y1070" s="48"/>
      <c r="Z1070" s="47"/>
      <c r="AA1070" s="69"/>
      <c r="AB1070" s="69"/>
      <c r="AC1070" s="70"/>
      <c r="AD1070" t="s">
        <v>6075</v>
      </c>
      <c r="AE1070" s="78" t="s">
        <v>7277</v>
      </c>
      <c r="AF1070">
        <v>71</v>
      </c>
      <c r="AG1070">
        <v>106</v>
      </c>
      <c r="AH1070">
        <v>710</v>
      </c>
      <c r="AI1070">
        <v>644</v>
      </c>
      <c r="AK1070" t="s">
        <v>8439</v>
      </c>
      <c r="AL1070" t="s">
        <v>9199</v>
      </c>
      <c r="AM1070" s="79" t="str">
        <f>HYPERLINK("https://t.co/VSlcwRyxYl")</f>
        <v>https://t.co/VSlcwRyxYl</v>
      </c>
      <c r="AO1070" s="76">
        <v>44494.767754629633</v>
      </c>
      <c r="AP1070" s="79" t="str">
        <f>HYPERLINK("https://pbs.twimg.com/profile_banners/1452702849650106370/1635919310")</f>
        <v>https://pbs.twimg.com/profile_banners/1452702849650106370/1635919310</v>
      </c>
      <c r="AQ1070" t="b">
        <v>1</v>
      </c>
      <c r="AR1070" t="b">
        <v>0</v>
      </c>
      <c r="AS1070" t="b">
        <v>0</v>
      </c>
      <c r="AU1070">
        <v>0</v>
      </c>
      <c r="AW1070" t="b">
        <v>0</v>
      </c>
      <c r="AX1070" t="s">
        <v>9303</v>
      </c>
      <c r="AY1070" s="79" t="str">
        <f>HYPERLINK("https://twitter.com/explica_miley")</f>
        <v>https://twitter.com/explica_miley</v>
      </c>
      <c r="AZ1070" t="s">
        <v>66</v>
      </c>
      <c r="BA1070" s="2"/>
    </row>
    <row r="1071" spans="1:53" x14ac:dyDescent="0.45">
      <c r="A1071" s="62" t="s">
        <v>223</v>
      </c>
      <c r="B1071" s="63"/>
      <c r="C1071" s="63"/>
      <c r="D1071" s="64"/>
      <c r="E1071" s="66"/>
      <c r="F1071" s="98" t="str">
        <f>HYPERLINK("https://pbs.twimg.com/profile_images/505824908337639424/5XztOYwe_normal.jpeg")</f>
        <v>https://pbs.twimg.com/profile_images/505824908337639424/5XztOYwe_normal.jpeg</v>
      </c>
      <c r="G1071" s="63"/>
      <c r="H1071" s="67"/>
      <c r="I1071" s="68"/>
      <c r="J1071" s="68"/>
      <c r="K1071" s="67" t="s">
        <v>9318</v>
      </c>
      <c r="L1071" s="71"/>
      <c r="M1071" s="72"/>
      <c r="N1071" s="72"/>
      <c r="O1071" s="73"/>
      <c r="P1071" s="74"/>
      <c r="Q1071" s="74"/>
      <c r="R1071" s="81"/>
      <c r="S1071" s="81"/>
      <c r="T1071" s="81"/>
      <c r="U1071" s="81"/>
      <c r="V1071" s="48"/>
      <c r="W1071" s="48"/>
      <c r="X1071" s="48"/>
      <c r="Y1071" s="48"/>
      <c r="Z1071" s="47"/>
      <c r="AA1071" s="69"/>
      <c r="AB1071" s="69"/>
      <c r="AC1071" s="70"/>
      <c r="AD1071" t="s">
        <v>5014</v>
      </c>
      <c r="AE1071" s="78" t="s">
        <v>6338</v>
      </c>
      <c r="AF1071">
        <v>555</v>
      </c>
      <c r="AG1071">
        <v>104</v>
      </c>
      <c r="AH1071">
        <v>3556</v>
      </c>
      <c r="AI1071">
        <v>1743</v>
      </c>
      <c r="AK1071" t="s">
        <v>7503</v>
      </c>
      <c r="AL1071" t="s">
        <v>8679</v>
      </c>
      <c r="AO1071" s="76">
        <v>41757.327766203707</v>
      </c>
      <c r="AP1071" s="79" t="str">
        <f>HYPERLINK("https://pbs.twimg.com/profile_banners/2467379556/1409433133")</f>
        <v>https://pbs.twimg.com/profile_banners/2467379556/1409433133</v>
      </c>
      <c r="AQ1071" t="b">
        <v>1</v>
      </c>
      <c r="AR1071" t="b">
        <v>0</v>
      </c>
      <c r="AS1071" t="b">
        <v>1</v>
      </c>
      <c r="AU1071">
        <v>0</v>
      </c>
      <c r="AV1071" s="79" t="str">
        <f>HYPERLINK("https://abs.twimg.com/images/themes/theme1/bg.png")</f>
        <v>https://abs.twimg.com/images/themes/theme1/bg.png</v>
      </c>
      <c r="AW1071" t="b">
        <v>0</v>
      </c>
      <c r="AX1071" t="s">
        <v>9303</v>
      </c>
      <c r="AY1071" s="79" t="str">
        <f>HYPERLINK("https://twitter.com/jeanne_muenchau")</f>
        <v>https://twitter.com/jeanne_muenchau</v>
      </c>
      <c r="AZ1071" t="s">
        <v>66</v>
      </c>
      <c r="BA1071" s="2"/>
    </row>
    <row r="1072" spans="1:53" x14ac:dyDescent="0.45">
      <c r="A1072" s="62" t="s">
        <v>1099</v>
      </c>
      <c r="B1072" s="63"/>
      <c r="C1072" s="63"/>
      <c r="D1072" s="64"/>
      <c r="E1072" s="66"/>
      <c r="F1072" s="98" t="str">
        <f>HYPERLINK("https://pbs.twimg.com/profile_images/2591935936/image_normal.jpg")</f>
        <v>https://pbs.twimg.com/profile_images/2591935936/image_normal.jpg</v>
      </c>
      <c r="G1072" s="63"/>
      <c r="H1072" s="67"/>
      <c r="I1072" s="68"/>
      <c r="J1072" s="68"/>
      <c r="K1072" s="67" t="s">
        <v>10646</v>
      </c>
      <c r="L1072" s="71"/>
      <c r="M1072" s="72"/>
      <c r="N1072" s="72"/>
      <c r="O1072" s="73"/>
      <c r="P1072" s="74"/>
      <c r="Q1072" s="74"/>
      <c r="R1072" s="81"/>
      <c r="S1072" s="81"/>
      <c r="T1072" s="81"/>
      <c r="U1072" s="81"/>
      <c r="V1072" s="48"/>
      <c r="W1072" s="48"/>
      <c r="X1072" s="48"/>
      <c r="Y1072" s="48"/>
      <c r="Z1072" s="47"/>
      <c r="AA1072" s="69"/>
      <c r="AB1072" s="69"/>
      <c r="AC1072" s="70"/>
      <c r="AD1072" t="s">
        <v>6321</v>
      </c>
      <c r="AE1072" s="78" t="s">
        <v>7483</v>
      </c>
      <c r="AF1072">
        <v>188</v>
      </c>
      <c r="AG1072">
        <v>102</v>
      </c>
      <c r="AH1072">
        <v>11940</v>
      </c>
      <c r="AI1072">
        <v>8606</v>
      </c>
      <c r="AK1072" t="s">
        <v>8666</v>
      </c>
      <c r="AL1072" t="s">
        <v>9299</v>
      </c>
      <c r="AO1072" s="76">
        <v>40509.089861111112</v>
      </c>
      <c r="AP1072" s="79" t="str">
        <f>HYPERLINK("https://pbs.twimg.com/profile_banners/220198517/1601273239")</f>
        <v>https://pbs.twimg.com/profile_banners/220198517/1601273239</v>
      </c>
      <c r="AQ1072" t="b">
        <v>1</v>
      </c>
      <c r="AR1072" t="b">
        <v>0</v>
      </c>
      <c r="AS1072" t="b">
        <v>1</v>
      </c>
      <c r="AU1072">
        <v>11</v>
      </c>
      <c r="AV1072" s="79" t="str">
        <f>HYPERLINK("https://abs.twimg.com/images/themes/theme1/bg.png")</f>
        <v>https://abs.twimg.com/images/themes/theme1/bg.png</v>
      </c>
      <c r="AW1072" t="b">
        <v>0</v>
      </c>
      <c r="AX1072" t="s">
        <v>9303</v>
      </c>
      <c r="AY1072" s="79" t="str">
        <f>HYPERLINK("https://twitter.com/nando052705")</f>
        <v>https://twitter.com/nando052705</v>
      </c>
      <c r="AZ1072" t="s">
        <v>66</v>
      </c>
      <c r="BA1072" s="2"/>
    </row>
    <row r="1073" spans="1:53" x14ac:dyDescent="0.45">
      <c r="A1073" s="62" t="s">
        <v>529</v>
      </c>
      <c r="B1073" s="63"/>
      <c r="C1073" s="63"/>
      <c r="D1073" s="64"/>
      <c r="E1073" s="66"/>
      <c r="F1073" s="98" t="str">
        <f>HYPERLINK("https://pbs.twimg.com/profile_images/1588927626990731268/18gkD8xm_normal.jpg")</f>
        <v>https://pbs.twimg.com/profile_images/1588927626990731268/18gkD8xm_normal.jpg</v>
      </c>
      <c r="G1073" s="63"/>
      <c r="H1073" s="67"/>
      <c r="I1073" s="68"/>
      <c r="J1073" s="68"/>
      <c r="K1073" s="67" t="s">
        <v>9821</v>
      </c>
      <c r="L1073" s="71"/>
      <c r="M1073" s="72"/>
      <c r="N1073" s="72"/>
      <c r="O1073" s="73"/>
      <c r="P1073" s="74"/>
      <c r="Q1073" s="74"/>
      <c r="R1073" s="81"/>
      <c r="S1073" s="81"/>
      <c r="T1073" s="81"/>
      <c r="U1073" s="81"/>
      <c r="V1073" s="48"/>
      <c r="W1073" s="48"/>
      <c r="X1073" s="48"/>
      <c r="Y1073" s="48"/>
      <c r="Z1073" s="47"/>
      <c r="AA1073" s="69"/>
      <c r="AB1073" s="69"/>
      <c r="AC1073" s="70"/>
      <c r="AD1073" t="s">
        <v>5512</v>
      </c>
      <c r="AE1073" s="78" t="s">
        <v>6763</v>
      </c>
      <c r="AF1073">
        <v>819</v>
      </c>
      <c r="AG1073">
        <v>100</v>
      </c>
      <c r="AH1073">
        <v>41443</v>
      </c>
      <c r="AI1073">
        <v>51130</v>
      </c>
      <c r="AK1073" t="s">
        <v>7939</v>
      </c>
      <c r="AO1073" s="76">
        <v>42421.128379629627</v>
      </c>
      <c r="AP1073" s="79" t="str">
        <f>HYPERLINK("https://pbs.twimg.com/profile_banners/701241147532836864/1587349878")</f>
        <v>https://pbs.twimg.com/profile_banners/701241147532836864/1587349878</v>
      </c>
      <c r="AQ1073" t="b">
        <v>1</v>
      </c>
      <c r="AR1073" t="b">
        <v>0</v>
      </c>
      <c r="AS1073" t="b">
        <v>0</v>
      </c>
      <c r="AU1073">
        <v>1</v>
      </c>
      <c r="AW1073" t="b">
        <v>0</v>
      </c>
      <c r="AX1073" t="s">
        <v>9303</v>
      </c>
      <c r="AY1073" s="79" t="str">
        <f>HYPERLINK("https://twitter.com/chibi_nova21")</f>
        <v>https://twitter.com/chibi_nova21</v>
      </c>
      <c r="AZ1073" t="s">
        <v>66</v>
      </c>
      <c r="BA1073" s="2"/>
    </row>
    <row r="1074" spans="1:53" x14ac:dyDescent="0.45">
      <c r="A1074" s="62" t="s">
        <v>955</v>
      </c>
      <c r="B1074" s="63"/>
      <c r="C1074" s="63"/>
      <c r="D1074" s="64"/>
      <c r="E1074" s="66"/>
      <c r="F1074" s="98" t="str">
        <f>HYPERLINK("https://pbs.twimg.com/profile_images/1528604766028255232/tzY9mB65_normal.jpg")</f>
        <v>https://pbs.twimg.com/profile_images/1528604766028255232/tzY9mB65_normal.jpg</v>
      </c>
      <c r="G1074" s="63"/>
      <c r="H1074" s="67"/>
      <c r="I1074" s="68"/>
      <c r="J1074" s="68"/>
      <c r="K1074" s="67" t="s">
        <v>10410</v>
      </c>
      <c r="L1074" s="71"/>
      <c r="M1074" s="72"/>
      <c r="N1074" s="72"/>
      <c r="O1074" s="73"/>
      <c r="P1074" s="74"/>
      <c r="Q1074" s="74"/>
      <c r="R1074" s="81"/>
      <c r="S1074" s="81"/>
      <c r="T1074" s="81"/>
      <c r="U1074" s="81"/>
      <c r="V1074" s="48"/>
      <c r="W1074" s="48"/>
      <c r="X1074" s="48"/>
      <c r="Y1074" s="48"/>
      <c r="Z1074" s="47"/>
      <c r="AA1074" s="69"/>
      <c r="AB1074" s="69"/>
      <c r="AC1074" s="70"/>
      <c r="AD1074" t="s">
        <v>6092</v>
      </c>
      <c r="AE1074" s="78" t="s">
        <v>7291</v>
      </c>
      <c r="AF1074">
        <v>333</v>
      </c>
      <c r="AG1074">
        <v>99</v>
      </c>
      <c r="AH1074">
        <v>895</v>
      </c>
      <c r="AI1074">
        <v>3130</v>
      </c>
      <c r="AK1074" t="s">
        <v>8454</v>
      </c>
      <c r="AO1074" s="76">
        <v>41388.741828703707</v>
      </c>
      <c r="AQ1074" t="b">
        <v>1</v>
      </c>
      <c r="AR1074" t="b">
        <v>0</v>
      </c>
      <c r="AS1074" t="b">
        <v>0</v>
      </c>
      <c r="AU1074">
        <v>0</v>
      </c>
      <c r="AV1074" s="79" t="str">
        <f>HYPERLINK("https://abs.twimg.com/images/themes/theme1/bg.png")</f>
        <v>https://abs.twimg.com/images/themes/theme1/bg.png</v>
      </c>
      <c r="AW1074" t="b">
        <v>0</v>
      </c>
      <c r="AX1074" t="s">
        <v>9303</v>
      </c>
      <c r="AY1074" s="79" t="str">
        <f>HYPERLINK("https://twitter.com/pickle_thebeast")</f>
        <v>https://twitter.com/pickle_thebeast</v>
      </c>
      <c r="AZ1074" t="s">
        <v>66</v>
      </c>
      <c r="BA1074" s="2"/>
    </row>
    <row r="1075" spans="1:53" x14ac:dyDescent="0.45">
      <c r="A1075" s="62" t="s">
        <v>1245</v>
      </c>
      <c r="B1075" s="63"/>
      <c r="C1075" s="63"/>
      <c r="D1075" s="64"/>
      <c r="E1075" s="66"/>
      <c r="F1075" s="98" t="str">
        <f>HYPERLINK("https://pbs.twimg.com/profile_images/1436224646198726659/0-_Ecb9t_normal.jpg")</f>
        <v>https://pbs.twimg.com/profile_images/1436224646198726659/0-_Ecb9t_normal.jpg</v>
      </c>
      <c r="G1075" s="63"/>
      <c r="H1075" s="67"/>
      <c r="I1075" s="68"/>
      <c r="J1075" s="68"/>
      <c r="K1075" s="67" t="s">
        <v>9598</v>
      </c>
      <c r="L1075" s="71"/>
      <c r="M1075" s="72"/>
      <c r="N1075" s="72"/>
      <c r="O1075" s="73"/>
      <c r="P1075" s="74"/>
      <c r="Q1075" s="74"/>
      <c r="R1075" s="81"/>
      <c r="S1075" s="81"/>
      <c r="T1075" s="81"/>
      <c r="U1075" s="81"/>
      <c r="V1075" s="48"/>
      <c r="W1075" s="48"/>
      <c r="X1075" s="48"/>
      <c r="Y1075" s="48"/>
      <c r="Z1075" s="47"/>
      <c r="AA1075" s="69"/>
      <c r="AB1075" s="69"/>
      <c r="AC1075" s="70"/>
      <c r="AD1075" t="s">
        <v>5291</v>
      </c>
      <c r="AE1075" s="78" t="s">
        <v>6569</v>
      </c>
      <c r="AF1075">
        <v>203</v>
      </c>
      <c r="AG1075">
        <v>98</v>
      </c>
      <c r="AH1075">
        <v>80</v>
      </c>
      <c r="AI1075">
        <v>7</v>
      </c>
      <c r="AK1075" t="s">
        <v>7748</v>
      </c>
      <c r="AL1075" t="s">
        <v>8832</v>
      </c>
      <c r="AM1075" s="79" t="str">
        <f>HYPERLINK("https://t.co/1qQ2tMO9Ud")</f>
        <v>https://t.co/1qQ2tMO9Ud</v>
      </c>
      <c r="AO1075" s="76">
        <v>44027.389652777776</v>
      </c>
      <c r="AP1075" s="79" t="str">
        <f>HYPERLINK("https://pbs.twimg.com/profile_banners/1283330410236305408/1663831259")</f>
        <v>https://pbs.twimg.com/profile_banners/1283330410236305408/1663831259</v>
      </c>
      <c r="AQ1075" t="b">
        <v>1</v>
      </c>
      <c r="AR1075" t="b">
        <v>0</v>
      </c>
      <c r="AS1075" t="b">
        <v>0</v>
      </c>
      <c r="AU1075">
        <v>5</v>
      </c>
      <c r="AW1075" t="b">
        <v>0</v>
      </c>
      <c r="AX1075" t="s">
        <v>9303</v>
      </c>
      <c r="AY1075" s="79" t="str">
        <f>HYPERLINK("https://twitter.com/trigoretail")</f>
        <v>https://twitter.com/trigoretail</v>
      </c>
      <c r="AZ1075" t="s">
        <v>65</v>
      </c>
      <c r="BA1075" s="2"/>
    </row>
    <row r="1076" spans="1:53" x14ac:dyDescent="0.45">
      <c r="A1076" s="62" t="s">
        <v>773</v>
      </c>
      <c r="B1076" s="63"/>
      <c r="C1076" s="63"/>
      <c r="D1076" s="64"/>
      <c r="E1076" s="66"/>
      <c r="F1076" s="98" t="str">
        <f>HYPERLINK("https://pbs.twimg.com/profile_images/1555980288924303360/O44Nru7b_normal.jpg")</f>
        <v>https://pbs.twimg.com/profile_images/1555980288924303360/O44Nru7b_normal.jpg</v>
      </c>
      <c r="G1076" s="63"/>
      <c r="H1076" s="67"/>
      <c r="I1076" s="68"/>
      <c r="J1076" s="68"/>
      <c r="K1076" s="67" t="s">
        <v>10131</v>
      </c>
      <c r="L1076" s="71"/>
      <c r="M1076" s="72"/>
      <c r="N1076" s="72"/>
      <c r="O1076" s="73"/>
      <c r="P1076" s="74"/>
      <c r="Q1076" s="74"/>
      <c r="R1076" s="81"/>
      <c r="S1076" s="81"/>
      <c r="T1076" s="81"/>
      <c r="U1076" s="81"/>
      <c r="V1076" s="48"/>
      <c r="W1076" s="48"/>
      <c r="X1076" s="48"/>
      <c r="Y1076" s="48"/>
      <c r="Z1076" s="47"/>
      <c r="AA1076" s="69"/>
      <c r="AB1076" s="69"/>
      <c r="AC1076" s="70"/>
      <c r="AD1076" t="s">
        <v>5819</v>
      </c>
      <c r="AE1076" s="78" t="s">
        <v>7046</v>
      </c>
      <c r="AF1076">
        <v>158</v>
      </c>
      <c r="AG1076">
        <v>97</v>
      </c>
      <c r="AH1076">
        <v>3309</v>
      </c>
      <c r="AI1076">
        <v>17227</v>
      </c>
      <c r="AK1076" t="s">
        <v>8213</v>
      </c>
      <c r="AL1076" t="s">
        <v>9094</v>
      </c>
      <c r="AO1076" s="76">
        <v>42280.677175925928</v>
      </c>
      <c r="AP1076" s="79" t="str">
        <f>HYPERLINK("https://pbs.twimg.com/profile_banners/3771614412/1659812323")</f>
        <v>https://pbs.twimg.com/profile_banners/3771614412/1659812323</v>
      </c>
      <c r="AQ1076" t="b">
        <v>1</v>
      </c>
      <c r="AR1076" t="b">
        <v>0</v>
      </c>
      <c r="AS1076" t="b">
        <v>0</v>
      </c>
      <c r="AU1076">
        <v>2</v>
      </c>
      <c r="AV1076" s="79" t="str">
        <f>HYPERLINK("https://abs.twimg.com/images/themes/theme1/bg.png")</f>
        <v>https://abs.twimg.com/images/themes/theme1/bg.png</v>
      </c>
      <c r="AW1076" t="b">
        <v>0</v>
      </c>
      <c r="AX1076" t="s">
        <v>9303</v>
      </c>
      <c r="AY1076" s="79" t="str">
        <f>HYPERLINK("https://twitter.com/savage_skeletor")</f>
        <v>https://twitter.com/savage_skeletor</v>
      </c>
      <c r="AZ1076" t="s">
        <v>66</v>
      </c>
      <c r="BA1076" s="2"/>
    </row>
    <row r="1077" spans="1:53" x14ac:dyDescent="0.45">
      <c r="A1077" s="62" t="s">
        <v>890</v>
      </c>
      <c r="B1077" s="63"/>
      <c r="C1077" s="63"/>
      <c r="D1077" s="64"/>
      <c r="E1077" s="66"/>
      <c r="F1077" s="98" t="str">
        <f>HYPERLINK("https://pbs.twimg.com/profile_images/1525672898714689536/3OtsrTwa_normal.jpg")</f>
        <v>https://pbs.twimg.com/profile_images/1525672898714689536/3OtsrTwa_normal.jpg</v>
      </c>
      <c r="G1077" s="63"/>
      <c r="H1077" s="67"/>
      <c r="I1077" s="68"/>
      <c r="J1077" s="68"/>
      <c r="K1077" s="67" t="s">
        <v>10304</v>
      </c>
      <c r="L1077" s="71"/>
      <c r="M1077" s="72"/>
      <c r="N1077" s="72"/>
      <c r="O1077" s="73"/>
      <c r="P1077" s="74"/>
      <c r="Q1077" s="74"/>
      <c r="R1077" s="81"/>
      <c r="S1077" s="81"/>
      <c r="T1077" s="81"/>
      <c r="U1077" s="81"/>
      <c r="V1077" s="48"/>
      <c r="W1077" s="48"/>
      <c r="X1077" s="48"/>
      <c r="Y1077" s="48"/>
      <c r="Z1077" s="47"/>
      <c r="AA1077" s="69"/>
      <c r="AB1077" s="69"/>
      <c r="AC1077" s="70"/>
      <c r="AD1077" t="s">
        <v>5987</v>
      </c>
      <c r="AE1077" s="78" t="s">
        <v>7197</v>
      </c>
      <c r="AF1077">
        <v>948</v>
      </c>
      <c r="AG1077">
        <v>96</v>
      </c>
      <c r="AH1077">
        <v>7676</v>
      </c>
      <c r="AI1077">
        <v>26848</v>
      </c>
      <c r="AK1077" t="s">
        <v>8362</v>
      </c>
      <c r="AO1077" s="76">
        <v>42460.872256944444</v>
      </c>
      <c r="AP1077" s="79" t="str">
        <f>HYPERLINK("https://pbs.twimg.com/profile_banners/715643846508421120/1670614117")</f>
        <v>https://pbs.twimg.com/profile_banners/715643846508421120/1670614117</v>
      </c>
      <c r="AQ1077" t="b">
        <v>0</v>
      </c>
      <c r="AR1077" t="b">
        <v>0</v>
      </c>
      <c r="AS1077" t="b">
        <v>0</v>
      </c>
      <c r="AU1077">
        <v>0</v>
      </c>
      <c r="AV1077" s="79" t="str">
        <f>HYPERLINK("https://abs.twimg.com/images/themes/theme1/bg.png")</f>
        <v>https://abs.twimg.com/images/themes/theme1/bg.png</v>
      </c>
      <c r="AW1077" t="b">
        <v>0</v>
      </c>
      <c r="AX1077" t="s">
        <v>9303</v>
      </c>
      <c r="AY1077" s="79" t="str">
        <f>HYPERLINK("https://twitter.com/wolfygangg")</f>
        <v>https://twitter.com/wolfygangg</v>
      </c>
      <c r="AZ1077" t="s">
        <v>66</v>
      </c>
      <c r="BA1077" s="2"/>
    </row>
    <row r="1078" spans="1:53" x14ac:dyDescent="0.45">
      <c r="A1078" s="62" t="s">
        <v>805</v>
      </c>
      <c r="B1078" s="63"/>
      <c r="C1078" s="63"/>
      <c r="D1078" s="64"/>
      <c r="E1078" s="66"/>
      <c r="F1078" s="98" t="str">
        <f>HYPERLINK("https://pbs.twimg.com/profile_images/1621003427902881792/XbMMqwbK_normal.jpg")</f>
        <v>https://pbs.twimg.com/profile_images/1621003427902881792/XbMMqwbK_normal.jpg</v>
      </c>
      <c r="G1078" s="63"/>
      <c r="H1078" s="67"/>
      <c r="I1078" s="68"/>
      <c r="J1078" s="68"/>
      <c r="K1078" s="67" t="s">
        <v>10184</v>
      </c>
      <c r="L1078" s="71"/>
      <c r="M1078" s="72"/>
      <c r="N1078" s="72"/>
      <c r="O1078" s="73"/>
      <c r="P1078" s="74"/>
      <c r="Q1078" s="74"/>
      <c r="R1078" s="81"/>
      <c r="S1078" s="81"/>
      <c r="T1078" s="81"/>
      <c r="U1078" s="81"/>
      <c r="V1078" s="48"/>
      <c r="W1078" s="48"/>
      <c r="X1078" s="48"/>
      <c r="Y1078" s="48"/>
      <c r="Z1078" s="47"/>
      <c r="AA1078" s="69"/>
      <c r="AB1078" s="69"/>
      <c r="AC1078" s="70"/>
      <c r="AD1078" t="s">
        <v>5868</v>
      </c>
      <c r="AE1078" s="78" t="s">
        <v>7091</v>
      </c>
      <c r="AF1078">
        <v>607</v>
      </c>
      <c r="AG1078">
        <v>95</v>
      </c>
      <c r="AH1078">
        <v>16047</v>
      </c>
      <c r="AI1078">
        <v>47137</v>
      </c>
      <c r="AK1078" t="s">
        <v>8257</v>
      </c>
      <c r="AL1078" t="s">
        <v>9111</v>
      </c>
      <c r="AO1078" s="76">
        <v>44295.063993055555</v>
      </c>
      <c r="AP1078" s="79" t="str">
        <f>HYPERLINK("https://pbs.twimg.com/profile_banners/1380332594097717249/1667365549")</f>
        <v>https://pbs.twimg.com/profile_banners/1380332594097717249/1667365549</v>
      </c>
      <c r="AQ1078" t="b">
        <v>1</v>
      </c>
      <c r="AR1078" t="b">
        <v>0</v>
      </c>
      <c r="AS1078" t="b">
        <v>0</v>
      </c>
      <c r="AU1078">
        <v>2</v>
      </c>
      <c r="AW1078" t="b">
        <v>0</v>
      </c>
      <c r="AX1078" t="s">
        <v>9303</v>
      </c>
      <c r="AY1078" s="79" t="str">
        <f>HYPERLINK("https://twitter.com/amala_flamvell")</f>
        <v>https://twitter.com/amala_flamvell</v>
      </c>
      <c r="AZ1078" t="s">
        <v>66</v>
      </c>
      <c r="BA1078" s="2"/>
    </row>
    <row r="1079" spans="1:53" x14ac:dyDescent="0.45">
      <c r="A1079" s="62" t="s">
        <v>509</v>
      </c>
      <c r="B1079" s="63"/>
      <c r="C1079" s="63"/>
      <c r="D1079" s="64"/>
      <c r="E1079" s="66"/>
      <c r="F1079" s="98" t="str">
        <f>HYPERLINK("https://pbs.twimg.com/profile_images/1614019452852658177/3tW2seDN_normal.jpg")</f>
        <v>https://pbs.twimg.com/profile_images/1614019452852658177/3tW2seDN_normal.jpg</v>
      </c>
      <c r="G1079" s="63"/>
      <c r="H1079" s="67"/>
      <c r="I1079" s="68"/>
      <c r="J1079" s="68"/>
      <c r="K1079" s="67" t="s">
        <v>9792</v>
      </c>
      <c r="L1079" s="71"/>
      <c r="M1079" s="72"/>
      <c r="N1079" s="72"/>
      <c r="O1079" s="73"/>
      <c r="P1079" s="74"/>
      <c r="Q1079" s="74"/>
      <c r="R1079" s="81"/>
      <c r="S1079" s="81"/>
      <c r="T1079" s="81"/>
      <c r="U1079" s="81"/>
      <c r="V1079" s="48"/>
      <c r="W1079" s="48"/>
      <c r="X1079" s="48"/>
      <c r="Y1079" s="48"/>
      <c r="Z1079" s="47"/>
      <c r="AA1079" s="69"/>
      <c r="AB1079" s="69"/>
      <c r="AC1079" s="70"/>
      <c r="AD1079" t="s">
        <v>5484</v>
      </c>
      <c r="AE1079" s="78" t="s">
        <v>6741</v>
      </c>
      <c r="AF1079">
        <v>224</v>
      </c>
      <c r="AG1079">
        <v>94</v>
      </c>
      <c r="AH1079">
        <v>968</v>
      </c>
      <c r="AI1079">
        <v>20441</v>
      </c>
      <c r="AK1079" t="s">
        <v>7913</v>
      </c>
      <c r="AO1079" s="76">
        <v>43932.289305555554</v>
      </c>
      <c r="AP1079" s="79" t="str">
        <f>HYPERLINK("https://pbs.twimg.com/profile_banners/1248867375065075712/1673647290")</f>
        <v>https://pbs.twimg.com/profile_banners/1248867375065075712/1673647290</v>
      </c>
      <c r="AQ1079" t="b">
        <v>1</v>
      </c>
      <c r="AR1079" t="b">
        <v>0</v>
      </c>
      <c r="AS1079" t="b">
        <v>0</v>
      </c>
      <c r="AU1079">
        <v>0</v>
      </c>
      <c r="AW1079" t="b">
        <v>0</v>
      </c>
      <c r="AX1079" t="s">
        <v>9303</v>
      </c>
      <c r="AY1079" s="79" t="str">
        <f>HYPERLINK("https://twitter.com/veronieray")</f>
        <v>https://twitter.com/veronieray</v>
      </c>
      <c r="AZ1079" t="s">
        <v>66</v>
      </c>
      <c r="BA1079" s="2"/>
    </row>
    <row r="1080" spans="1:53" x14ac:dyDescent="0.45">
      <c r="A1080" s="62" t="s">
        <v>440</v>
      </c>
      <c r="B1080" s="63"/>
      <c r="C1080" s="63"/>
      <c r="D1080" s="64"/>
      <c r="E1080" s="66"/>
      <c r="F1080" s="98" t="str">
        <f>HYPERLINK("https://pbs.twimg.com/profile_images/1302762916962349056/kmI14_VA_normal.jpg")</f>
        <v>https://pbs.twimg.com/profile_images/1302762916962349056/kmI14_VA_normal.jpg</v>
      </c>
      <c r="G1080" s="63"/>
      <c r="H1080" s="67"/>
      <c r="I1080" s="68"/>
      <c r="J1080" s="68"/>
      <c r="K1080" s="67" t="s">
        <v>9695</v>
      </c>
      <c r="L1080" s="71"/>
      <c r="M1080" s="72"/>
      <c r="N1080" s="72"/>
      <c r="O1080" s="73"/>
      <c r="P1080" s="74"/>
      <c r="Q1080" s="74"/>
      <c r="R1080" s="81"/>
      <c r="S1080" s="81"/>
      <c r="T1080" s="81"/>
      <c r="U1080" s="81"/>
      <c r="V1080" s="48"/>
      <c r="W1080" s="48"/>
      <c r="X1080" s="48"/>
      <c r="Y1080" s="48"/>
      <c r="Z1080" s="47"/>
      <c r="AA1080" s="69"/>
      <c r="AB1080" s="69"/>
      <c r="AC1080" s="70"/>
      <c r="AD1080" t="s">
        <v>5387</v>
      </c>
      <c r="AE1080" s="78" t="s">
        <v>6661</v>
      </c>
      <c r="AF1080">
        <v>156</v>
      </c>
      <c r="AG1080">
        <v>92</v>
      </c>
      <c r="AH1080">
        <v>7969</v>
      </c>
      <c r="AI1080">
        <v>48895</v>
      </c>
      <c r="AK1080" t="s">
        <v>7832</v>
      </c>
      <c r="AO1080" s="76">
        <v>44081.010844907411</v>
      </c>
      <c r="AP1080" s="79" t="str">
        <f>HYPERLINK("https://pbs.twimg.com/profile_banners/1302762349183594496/1599438180")</f>
        <v>https://pbs.twimg.com/profile_banners/1302762349183594496/1599438180</v>
      </c>
      <c r="AQ1080" t="b">
        <v>1</v>
      </c>
      <c r="AR1080" t="b">
        <v>0</v>
      </c>
      <c r="AS1080" t="b">
        <v>0</v>
      </c>
      <c r="AU1080">
        <v>0</v>
      </c>
      <c r="AW1080" t="b">
        <v>0</v>
      </c>
      <c r="AX1080" t="s">
        <v>9303</v>
      </c>
      <c r="AY1080" s="79" t="str">
        <f>HYPERLINK("https://twitter.com/tash_delellis")</f>
        <v>https://twitter.com/tash_delellis</v>
      </c>
      <c r="AZ1080" t="s">
        <v>66</v>
      </c>
      <c r="BA1080" s="2"/>
    </row>
    <row r="1081" spans="1:53" x14ac:dyDescent="0.45">
      <c r="A1081" s="62" t="s">
        <v>834</v>
      </c>
      <c r="B1081" s="63"/>
      <c r="C1081" s="63"/>
      <c r="D1081" s="64"/>
      <c r="E1081" s="66"/>
      <c r="F1081" s="98" t="str">
        <f>HYPERLINK("https://pbs.twimg.com/profile_images/1385364590205104130/KUFehLsP_normal.jpg")</f>
        <v>https://pbs.twimg.com/profile_images/1385364590205104130/KUFehLsP_normal.jpg</v>
      </c>
      <c r="G1081" s="63"/>
      <c r="H1081" s="67"/>
      <c r="I1081" s="68"/>
      <c r="J1081" s="68"/>
      <c r="K1081" s="67" t="s">
        <v>10227</v>
      </c>
      <c r="L1081" s="71"/>
      <c r="M1081" s="72"/>
      <c r="N1081" s="72"/>
      <c r="O1081" s="73"/>
      <c r="P1081" s="74"/>
      <c r="Q1081" s="74"/>
      <c r="R1081" s="81"/>
      <c r="S1081" s="81"/>
      <c r="T1081" s="81"/>
      <c r="U1081" s="81"/>
      <c r="V1081" s="48"/>
      <c r="W1081" s="48"/>
      <c r="X1081" s="48"/>
      <c r="Y1081" s="48"/>
      <c r="Z1081" s="47"/>
      <c r="AA1081" s="69"/>
      <c r="AB1081" s="69"/>
      <c r="AC1081" s="70"/>
      <c r="AD1081" t="s">
        <v>5911</v>
      </c>
      <c r="AE1081" s="78" t="s">
        <v>7128</v>
      </c>
      <c r="AF1081">
        <v>206</v>
      </c>
      <c r="AG1081">
        <v>92</v>
      </c>
      <c r="AH1081">
        <v>1340</v>
      </c>
      <c r="AI1081">
        <v>3924</v>
      </c>
      <c r="AK1081" t="s">
        <v>8294</v>
      </c>
      <c r="AL1081" t="s">
        <v>4899</v>
      </c>
      <c r="AO1081" s="76">
        <v>41144.934675925928</v>
      </c>
      <c r="AP1081" s="79" t="str">
        <f>HYPERLINK("https://pbs.twimg.com/profile_banners/776882982/1497645422")</f>
        <v>https://pbs.twimg.com/profile_banners/776882982/1497645422</v>
      </c>
      <c r="AQ1081" t="b">
        <v>0</v>
      </c>
      <c r="AR1081" t="b">
        <v>0</v>
      </c>
      <c r="AS1081" t="b">
        <v>0</v>
      </c>
      <c r="AU1081">
        <v>0</v>
      </c>
      <c r="AV1081" s="79" t="str">
        <f>HYPERLINK("https://abs.twimg.com/images/themes/theme1/bg.png")</f>
        <v>https://abs.twimg.com/images/themes/theme1/bg.png</v>
      </c>
      <c r="AW1081" t="b">
        <v>0</v>
      </c>
      <c r="AX1081" t="s">
        <v>9303</v>
      </c>
      <c r="AY1081" s="79" t="str">
        <f>HYPERLINK("https://twitter.com/zekonurlos")</f>
        <v>https://twitter.com/zekonurlos</v>
      </c>
      <c r="AZ1081" t="s">
        <v>66</v>
      </c>
      <c r="BA1081" s="2"/>
    </row>
    <row r="1082" spans="1:53" x14ac:dyDescent="0.45">
      <c r="A1082" s="62" t="s">
        <v>1375</v>
      </c>
      <c r="B1082" s="63"/>
      <c r="C1082" s="63"/>
      <c r="D1082" s="64"/>
      <c r="E1082" s="66"/>
      <c r="F1082" s="98" t="str">
        <f>HYPERLINK("https://pbs.twimg.com/profile_images/1309745453861281793/OSYNpe2w_normal.jpg")</f>
        <v>https://pbs.twimg.com/profile_images/1309745453861281793/OSYNpe2w_normal.jpg</v>
      </c>
      <c r="G1082" s="63"/>
      <c r="H1082" s="67"/>
      <c r="I1082" s="68"/>
      <c r="J1082" s="68"/>
      <c r="K1082" s="67" t="s">
        <v>10163</v>
      </c>
      <c r="L1082" s="71"/>
      <c r="M1082" s="72"/>
      <c r="N1082" s="72"/>
      <c r="O1082" s="73"/>
      <c r="P1082" s="74"/>
      <c r="Q1082" s="74"/>
      <c r="R1082" s="81"/>
      <c r="S1082" s="81"/>
      <c r="T1082" s="81"/>
      <c r="U1082" s="81"/>
      <c r="V1082" s="48"/>
      <c r="W1082" s="48"/>
      <c r="X1082" s="48"/>
      <c r="Y1082" s="48"/>
      <c r="Z1082" s="47"/>
      <c r="AA1082" s="69"/>
      <c r="AB1082" s="69"/>
      <c r="AC1082" s="70"/>
      <c r="AD1082" t="s">
        <v>5849</v>
      </c>
      <c r="AE1082" s="78" t="s">
        <v>7074</v>
      </c>
      <c r="AF1082">
        <v>196</v>
      </c>
      <c r="AG1082">
        <v>89</v>
      </c>
      <c r="AH1082">
        <v>160</v>
      </c>
      <c r="AI1082">
        <v>59</v>
      </c>
      <c r="AK1082" t="s">
        <v>8239</v>
      </c>
      <c r="AM1082" s="79" t="str">
        <f>HYPERLINK("https://t.co/WyDibCpuAs")</f>
        <v>https://t.co/WyDibCpuAs</v>
      </c>
      <c r="AO1082" s="76">
        <v>44004.092210648145</v>
      </c>
      <c r="AP1082" s="79" t="str">
        <f>HYPERLINK("https://pbs.twimg.com/profile_banners/1274888003928948741/1598724247")</f>
        <v>https://pbs.twimg.com/profile_banners/1274888003928948741/1598724247</v>
      </c>
      <c r="AQ1082" t="b">
        <v>1</v>
      </c>
      <c r="AR1082" t="b">
        <v>0</v>
      </c>
      <c r="AS1082" t="b">
        <v>0</v>
      </c>
      <c r="AU1082">
        <v>0</v>
      </c>
      <c r="AW1082" t="b">
        <v>0</v>
      </c>
      <c r="AX1082" t="s">
        <v>9303</v>
      </c>
      <c r="AY1082" s="79" t="str">
        <f>HYPERLINK("https://twitter.com/bigloudrock")</f>
        <v>https://twitter.com/bigloudrock</v>
      </c>
      <c r="AZ1082" t="s">
        <v>65</v>
      </c>
      <c r="BA1082" s="2"/>
    </row>
    <row r="1083" spans="1:53" x14ac:dyDescent="0.45">
      <c r="A1083" s="62" t="s">
        <v>338</v>
      </c>
      <c r="B1083" s="63"/>
      <c r="C1083" s="63"/>
      <c r="D1083" s="64"/>
      <c r="E1083" s="66"/>
      <c r="F1083" s="98" t="str">
        <f>HYPERLINK("https://pbs.twimg.com/profile_images/595434462437072896/6e-V6vzD_normal.jpg")</f>
        <v>https://pbs.twimg.com/profile_images/595434462437072896/6e-V6vzD_normal.jpg</v>
      </c>
      <c r="G1083" s="63"/>
      <c r="H1083" s="67"/>
      <c r="I1083" s="68"/>
      <c r="J1083" s="68"/>
      <c r="K1083" s="67" t="s">
        <v>9558</v>
      </c>
      <c r="L1083" s="71"/>
      <c r="M1083" s="72"/>
      <c r="N1083" s="72"/>
      <c r="O1083" s="73"/>
      <c r="P1083" s="74"/>
      <c r="Q1083" s="74"/>
      <c r="R1083" s="81"/>
      <c r="S1083" s="81"/>
      <c r="T1083" s="81"/>
      <c r="U1083" s="81"/>
      <c r="V1083" s="48"/>
      <c r="W1083" s="48"/>
      <c r="X1083" s="48"/>
      <c r="Y1083" s="48"/>
      <c r="Z1083" s="47"/>
      <c r="AA1083" s="69"/>
      <c r="AB1083" s="69"/>
      <c r="AC1083" s="70"/>
      <c r="AD1083" t="s">
        <v>5251</v>
      </c>
      <c r="AE1083" s="78" t="s">
        <v>6532</v>
      </c>
      <c r="AF1083">
        <v>617</v>
      </c>
      <c r="AG1083">
        <v>88</v>
      </c>
      <c r="AH1083">
        <v>9970</v>
      </c>
      <c r="AI1083">
        <v>859</v>
      </c>
      <c r="AK1083" t="s">
        <v>7715</v>
      </c>
      <c r="AL1083" t="s">
        <v>8811</v>
      </c>
      <c r="AO1083" s="76">
        <v>40705.266759259262</v>
      </c>
      <c r="AP1083" s="79" t="str">
        <f>HYPERLINK("https://pbs.twimg.com/profile_banners/315044264/1640393362")</f>
        <v>https://pbs.twimg.com/profile_banners/315044264/1640393362</v>
      </c>
      <c r="AQ1083" t="b">
        <v>0</v>
      </c>
      <c r="AR1083" t="b">
        <v>0</v>
      </c>
      <c r="AS1083" t="b">
        <v>1</v>
      </c>
      <c r="AU1083">
        <v>6</v>
      </c>
      <c r="AV1083" s="79" t="str">
        <f>HYPERLINK("https://abs.twimg.com/images/themes/theme9/bg.gif")</f>
        <v>https://abs.twimg.com/images/themes/theme9/bg.gif</v>
      </c>
      <c r="AW1083" t="b">
        <v>0</v>
      </c>
      <c r="AX1083" t="s">
        <v>9303</v>
      </c>
      <c r="AY1083" s="79" t="str">
        <f>HYPERLINK("https://twitter.com/theagent_z")</f>
        <v>https://twitter.com/theagent_z</v>
      </c>
      <c r="AZ1083" t="s">
        <v>66</v>
      </c>
      <c r="BA1083" s="2"/>
    </row>
    <row r="1084" spans="1:53" x14ac:dyDescent="0.45">
      <c r="A1084" s="62" t="s">
        <v>426</v>
      </c>
      <c r="B1084" s="63"/>
      <c r="C1084" s="63"/>
      <c r="D1084" s="64"/>
      <c r="E1084" s="66"/>
      <c r="F1084" s="98" t="str">
        <f>HYPERLINK("https://pbs.twimg.com/profile_images/1567907938173620225/8s3j-3jF_normal.jpg")</f>
        <v>https://pbs.twimg.com/profile_images/1567907938173620225/8s3j-3jF_normal.jpg</v>
      </c>
      <c r="G1084" s="63"/>
      <c r="H1084" s="67"/>
      <c r="I1084" s="68"/>
      <c r="J1084" s="68"/>
      <c r="K1084" s="67" t="s">
        <v>9678</v>
      </c>
      <c r="L1084" s="71"/>
      <c r="M1084" s="72"/>
      <c r="N1084" s="72"/>
      <c r="O1084" s="73"/>
      <c r="P1084" s="74"/>
      <c r="Q1084" s="74"/>
      <c r="R1084" s="81"/>
      <c r="S1084" s="81"/>
      <c r="T1084" s="81"/>
      <c r="U1084" s="81"/>
      <c r="V1084" s="48"/>
      <c r="W1084" s="48"/>
      <c r="X1084" s="48"/>
      <c r="Y1084" s="48"/>
      <c r="Z1084" s="47"/>
      <c r="AA1084" s="69"/>
      <c r="AB1084" s="69"/>
      <c r="AC1084" s="70"/>
      <c r="AD1084" t="s">
        <v>5371</v>
      </c>
      <c r="AE1084" s="78" t="s">
        <v>6644</v>
      </c>
      <c r="AF1084">
        <v>174</v>
      </c>
      <c r="AG1084">
        <v>88</v>
      </c>
      <c r="AH1084">
        <v>3101</v>
      </c>
      <c r="AI1084">
        <v>17894</v>
      </c>
      <c r="AK1084" t="s">
        <v>7819</v>
      </c>
      <c r="AL1084" t="s">
        <v>8783</v>
      </c>
      <c r="AO1084" s="76">
        <v>44565.38013888889</v>
      </c>
      <c r="AP1084" s="79" t="str">
        <f>HYPERLINK("https://pbs.twimg.com/profile_banners/1478291893330984963/1669891501")</f>
        <v>https://pbs.twimg.com/profile_banners/1478291893330984963/1669891501</v>
      </c>
      <c r="AQ1084" t="b">
        <v>1</v>
      </c>
      <c r="AR1084" t="b">
        <v>0</v>
      </c>
      <c r="AS1084" t="b">
        <v>1</v>
      </c>
      <c r="AU1084">
        <v>1</v>
      </c>
      <c r="AW1084" t="b">
        <v>0</v>
      </c>
      <c r="AX1084" t="s">
        <v>9303</v>
      </c>
      <c r="AY1084" s="79" t="str">
        <f>HYPERLINK("https://twitter.com/doc_himani12")</f>
        <v>https://twitter.com/doc_himani12</v>
      </c>
      <c r="AZ1084" t="s">
        <v>66</v>
      </c>
      <c r="BA1084" s="2"/>
    </row>
    <row r="1085" spans="1:53" x14ac:dyDescent="0.45">
      <c r="A1085" s="62" t="s">
        <v>450</v>
      </c>
      <c r="B1085" s="63"/>
      <c r="C1085" s="63"/>
      <c r="D1085" s="64"/>
      <c r="E1085" s="66"/>
      <c r="F1085" s="98" t="str">
        <f>HYPERLINK("https://pbs.twimg.com/profile_images/706208868217581568/hVfFYTkn_normal.jpg")</f>
        <v>https://pbs.twimg.com/profile_images/706208868217581568/hVfFYTkn_normal.jpg</v>
      </c>
      <c r="G1085" s="63"/>
      <c r="H1085" s="67"/>
      <c r="I1085" s="68"/>
      <c r="J1085" s="68"/>
      <c r="K1085" s="67" t="s">
        <v>9716</v>
      </c>
      <c r="L1085" s="71"/>
      <c r="M1085" s="72"/>
      <c r="N1085" s="72"/>
      <c r="O1085" s="73"/>
      <c r="P1085" s="74"/>
      <c r="Q1085" s="74"/>
      <c r="R1085" s="81"/>
      <c r="S1085" s="81"/>
      <c r="T1085" s="81"/>
      <c r="U1085" s="81"/>
      <c r="V1085" s="48"/>
      <c r="W1085" s="48"/>
      <c r="X1085" s="48"/>
      <c r="Y1085" s="48"/>
      <c r="Z1085" s="47"/>
      <c r="AA1085" s="69"/>
      <c r="AB1085" s="69"/>
      <c r="AC1085" s="70"/>
      <c r="AD1085" t="s">
        <v>5408</v>
      </c>
      <c r="AE1085" s="78" t="s">
        <v>6680</v>
      </c>
      <c r="AF1085">
        <v>474</v>
      </c>
      <c r="AG1085">
        <v>86</v>
      </c>
      <c r="AH1085">
        <v>1256</v>
      </c>
      <c r="AI1085">
        <v>232</v>
      </c>
      <c r="AK1085" t="s">
        <v>7848</v>
      </c>
      <c r="AL1085" t="s">
        <v>8882</v>
      </c>
      <c r="AM1085" s="79" t="str">
        <f>HYPERLINK("https://t.co/k8sJdGM36R")</f>
        <v>https://t.co/k8sJdGM36R</v>
      </c>
      <c r="AO1085" s="76">
        <v>39910.584988425922</v>
      </c>
      <c r="AP1085" s="79" t="str">
        <f>HYPERLINK("https://pbs.twimg.com/profile_banners/29453316/1396973703")</f>
        <v>https://pbs.twimg.com/profile_banners/29453316/1396973703</v>
      </c>
      <c r="AQ1085" t="b">
        <v>0</v>
      </c>
      <c r="AR1085" t="b">
        <v>0</v>
      </c>
      <c r="AS1085" t="b">
        <v>0</v>
      </c>
      <c r="AU1085">
        <v>1</v>
      </c>
      <c r="AV1085" s="79" t="str">
        <f>HYPERLINK("https://abs.twimg.com/images/themes/theme1/bg.png")</f>
        <v>https://abs.twimg.com/images/themes/theme1/bg.png</v>
      </c>
      <c r="AW1085" t="b">
        <v>0</v>
      </c>
      <c r="AX1085" t="s">
        <v>9303</v>
      </c>
      <c r="AY1085" s="79" t="str">
        <f>HYPERLINK("https://twitter.com/julietbogen")</f>
        <v>https://twitter.com/julietbogen</v>
      </c>
      <c r="AZ1085" t="s">
        <v>66</v>
      </c>
      <c r="BA1085" s="2"/>
    </row>
    <row r="1086" spans="1:53" x14ac:dyDescent="0.45">
      <c r="A1086" s="62" t="s">
        <v>978</v>
      </c>
      <c r="B1086" s="63"/>
      <c r="C1086" s="63"/>
      <c r="D1086" s="64"/>
      <c r="E1086" s="66"/>
      <c r="F1086" s="98" t="str">
        <f>HYPERLINK("https://pbs.twimg.com/profile_images/1611627998603612162/GrGj7bjy_normal.jpg")</f>
        <v>https://pbs.twimg.com/profile_images/1611627998603612162/GrGj7bjy_normal.jpg</v>
      </c>
      <c r="G1086" s="63"/>
      <c r="H1086" s="67"/>
      <c r="I1086" s="68"/>
      <c r="J1086" s="68"/>
      <c r="K1086" s="67" t="s">
        <v>10441</v>
      </c>
      <c r="L1086" s="71"/>
      <c r="M1086" s="72"/>
      <c r="N1086" s="72"/>
      <c r="O1086" s="73"/>
      <c r="P1086" s="74"/>
      <c r="Q1086" s="74"/>
      <c r="R1086" s="81"/>
      <c r="S1086" s="81"/>
      <c r="T1086" s="81"/>
      <c r="U1086" s="81"/>
      <c r="V1086" s="48"/>
      <c r="W1086" s="48"/>
      <c r="X1086" s="48"/>
      <c r="Y1086" s="48"/>
      <c r="Z1086" s="47"/>
      <c r="AA1086" s="69"/>
      <c r="AB1086" s="69"/>
      <c r="AC1086" s="70"/>
      <c r="AD1086" t="s">
        <v>6122</v>
      </c>
      <c r="AE1086" s="78" t="s">
        <v>7316</v>
      </c>
      <c r="AF1086">
        <v>267</v>
      </c>
      <c r="AG1086">
        <v>86</v>
      </c>
      <c r="AH1086">
        <v>967</v>
      </c>
      <c r="AI1086">
        <v>10160</v>
      </c>
      <c r="AK1086" t="s">
        <v>8482</v>
      </c>
      <c r="AL1086" t="s">
        <v>8797</v>
      </c>
      <c r="AM1086" s="79" t="str">
        <f>HYPERLINK("https://t.co/Afn0oey2BS")</f>
        <v>https://t.co/Afn0oey2BS</v>
      </c>
      <c r="AO1086" s="76">
        <v>43283.169687499998</v>
      </c>
      <c r="AP1086" s="79" t="str">
        <f>HYPERLINK("https://pbs.twimg.com/profile_banners/1013634457893564416/1675032439")</f>
        <v>https://pbs.twimg.com/profile_banners/1013634457893564416/1675032439</v>
      </c>
      <c r="AQ1086" t="b">
        <v>1</v>
      </c>
      <c r="AR1086" t="b">
        <v>0</v>
      </c>
      <c r="AS1086" t="b">
        <v>0</v>
      </c>
      <c r="AU1086">
        <v>0</v>
      </c>
      <c r="AW1086" t="b">
        <v>0</v>
      </c>
      <c r="AX1086" t="s">
        <v>9303</v>
      </c>
      <c r="AY1086" s="79" t="str">
        <f>HYPERLINK("https://twitter.com/xhaytonn")</f>
        <v>https://twitter.com/xhaytonn</v>
      </c>
      <c r="AZ1086" t="s">
        <v>66</v>
      </c>
      <c r="BA1086" s="2"/>
    </row>
    <row r="1087" spans="1:53" x14ac:dyDescent="0.45">
      <c r="A1087" s="62" t="s">
        <v>346</v>
      </c>
      <c r="B1087" s="63"/>
      <c r="C1087" s="63"/>
      <c r="D1087" s="64"/>
      <c r="E1087" s="66"/>
      <c r="F1087" s="98" t="str">
        <f>HYPERLINK("https://pbs.twimg.com/profile_images/1586803624331644929/I5XVujt3_normal.jpg")</f>
        <v>https://pbs.twimg.com/profile_images/1586803624331644929/I5XVujt3_normal.jpg</v>
      </c>
      <c r="G1087" s="63"/>
      <c r="H1087" s="67"/>
      <c r="I1087" s="68"/>
      <c r="J1087" s="68"/>
      <c r="K1087" s="67" t="s">
        <v>9570</v>
      </c>
      <c r="L1087" s="71"/>
      <c r="M1087" s="72"/>
      <c r="N1087" s="72"/>
      <c r="O1087" s="73"/>
      <c r="P1087" s="74"/>
      <c r="Q1087" s="74"/>
      <c r="R1087" s="81"/>
      <c r="S1087" s="81"/>
      <c r="T1087" s="81"/>
      <c r="U1087" s="81"/>
      <c r="V1087" s="48"/>
      <c r="W1087" s="48"/>
      <c r="X1087" s="48"/>
      <c r="Y1087" s="48"/>
      <c r="Z1087" s="47"/>
      <c r="AA1087" s="69"/>
      <c r="AB1087" s="69"/>
      <c r="AC1087" s="70"/>
      <c r="AD1087" t="s">
        <v>5263</v>
      </c>
      <c r="AE1087" s="78" t="s">
        <v>6541</v>
      </c>
      <c r="AF1087">
        <v>237</v>
      </c>
      <c r="AG1087">
        <v>85</v>
      </c>
      <c r="AH1087">
        <v>167</v>
      </c>
      <c r="AI1087">
        <v>68</v>
      </c>
      <c r="AK1087" t="s">
        <v>7727</v>
      </c>
      <c r="AL1087" t="s">
        <v>4917</v>
      </c>
      <c r="AM1087" s="79" t="str">
        <f>HYPERLINK("https://t.co/1omvXduWlx")</f>
        <v>https://t.co/1omvXduWlx</v>
      </c>
      <c r="AO1087" s="76">
        <v>44863.904537037037</v>
      </c>
      <c r="AP1087" s="79" t="str">
        <f>HYPERLINK("https://pbs.twimg.com/profile_banners/1586473538051096577/1671397932")</f>
        <v>https://pbs.twimg.com/profile_banners/1586473538051096577/1671397932</v>
      </c>
      <c r="AQ1087" t="b">
        <v>1</v>
      </c>
      <c r="AR1087" t="b">
        <v>0</v>
      </c>
      <c r="AS1087" t="b">
        <v>1</v>
      </c>
      <c r="AU1087">
        <v>0</v>
      </c>
      <c r="AW1087" t="b">
        <v>0</v>
      </c>
      <c r="AX1087" t="s">
        <v>9303</v>
      </c>
      <c r="AY1087" s="79" t="str">
        <f>HYPERLINK("https://twitter.com/lovebymichaeln")</f>
        <v>https://twitter.com/lovebymichaeln</v>
      </c>
      <c r="AZ1087" t="s">
        <v>66</v>
      </c>
      <c r="BA1087" s="2"/>
    </row>
    <row r="1088" spans="1:53" x14ac:dyDescent="0.45">
      <c r="A1088" s="62" t="s">
        <v>228</v>
      </c>
      <c r="B1088" s="63"/>
      <c r="C1088" s="63"/>
      <c r="D1088" s="64"/>
      <c r="E1088" s="66"/>
      <c r="F1088" s="98" t="str">
        <f>HYPERLINK("https://pbs.twimg.com/profile_images/651979523945164800/0Tt8AVs0_normal.jpg")</f>
        <v>https://pbs.twimg.com/profile_images/651979523945164800/0Tt8AVs0_normal.jpg</v>
      </c>
      <c r="G1088" s="63"/>
      <c r="H1088" s="67"/>
      <c r="I1088" s="68"/>
      <c r="J1088" s="68"/>
      <c r="K1088" s="67" t="s">
        <v>9331</v>
      </c>
      <c r="L1088" s="71"/>
      <c r="M1088" s="72"/>
      <c r="N1088" s="72"/>
      <c r="O1088" s="73"/>
      <c r="P1088" s="74"/>
      <c r="Q1088" s="74"/>
      <c r="R1088" s="81"/>
      <c r="S1088" s="81"/>
      <c r="T1088" s="81"/>
      <c r="U1088" s="81"/>
      <c r="V1088" s="48"/>
      <c r="W1088" s="48"/>
      <c r="X1088" s="48"/>
      <c r="Y1088" s="48"/>
      <c r="Z1088" s="47"/>
      <c r="AA1088" s="69"/>
      <c r="AB1088" s="69"/>
      <c r="AC1088" s="70"/>
      <c r="AD1088" t="s">
        <v>5027</v>
      </c>
      <c r="AE1088" s="78" t="s">
        <v>6345</v>
      </c>
      <c r="AF1088">
        <v>340</v>
      </c>
      <c r="AG1088">
        <v>84</v>
      </c>
      <c r="AH1088">
        <v>1137</v>
      </c>
      <c r="AI1088">
        <v>493</v>
      </c>
      <c r="AO1088" s="76">
        <v>40433.131863425922</v>
      </c>
      <c r="AP1088" s="79" t="str">
        <f>HYPERLINK("https://pbs.twimg.com/profile_banners/189744203/1437239884")</f>
        <v>https://pbs.twimg.com/profile_banners/189744203/1437239884</v>
      </c>
      <c r="AQ1088" t="b">
        <v>1</v>
      </c>
      <c r="AR1088" t="b">
        <v>0</v>
      </c>
      <c r="AS1088" t="b">
        <v>1</v>
      </c>
      <c r="AU1088">
        <v>4</v>
      </c>
      <c r="AV1088" s="79" t="str">
        <f>HYPERLINK("https://abs.twimg.com/images/themes/theme1/bg.png")</f>
        <v>https://abs.twimg.com/images/themes/theme1/bg.png</v>
      </c>
      <c r="AW1088" t="b">
        <v>0</v>
      </c>
      <c r="AX1088" t="s">
        <v>9303</v>
      </c>
      <c r="AY1088" s="79" t="str">
        <f>HYPERLINK("https://twitter.com/heavenlychc9")</f>
        <v>https://twitter.com/heavenlychc9</v>
      </c>
      <c r="AZ1088" t="s">
        <v>66</v>
      </c>
      <c r="BA1088" s="2"/>
    </row>
    <row r="1089" spans="1:53" x14ac:dyDescent="0.45">
      <c r="A1089" s="62" t="s">
        <v>700</v>
      </c>
      <c r="B1089" s="63"/>
      <c r="C1089" s="63"/>
      <c r="D1089" s="64"/>
      <c r="E1089" s="66"/>
      <c r="F1089" s="98" t="str">
        <f>HYPERLINK("https://pbs.twimg.com/profile_images/424216404351787009/TI82UjAR_normal.jpeg")</f>
        <v>https://pbs.twimg.com/profile_images/424216404351787009/TI82UjAR_normal.jpeg</v>
      </c>
      <c r="G1089" s="63"/>
      <c r="H1089" s="67"/>
      <c r="I1089" s="68"/>
      <c r="J1089" s="68"/>
      <c r="K1089" s="67" t="s">
        <v>10034</v>
      </c>
      <c r="L1089" s="71"/>
      <c r="M1089" s="72"/>
      <c r="N1089" s="72"/>
      <c r="O1089" s="73"/>
      <c r="P1089" s="74"/>
      <c r="Q1089" s="74"/>
      <c r="R1089" s="81"/>
      <c r="S1089" s="81"/>
      <c r="T1089" s="81"/>
      <c r="U1089" s="81"/>
      <c r="V1089" s="48"/>
      <c r="W1089" s="48"/>
      <c r="X1089" s="48"/>
      <c r="Y1089" s="48"/>
      <c r="Z1089" s="47"/>
      <c r="AA1089" s="69"/>
      <c r="AB1089" s="69"/>
      <c r="AC1089" s="70"/>
      <c r="AD1089" t="s">
        <v>5724</v>
      </c>
      <c r="AE1089" s="78" t="s">
        <v>6961</v>
      </c>
      <c r="AF1089">
        <v>161</v>
      </c>
      <c r="AG1089">
        <v>84</v>
      </c>
      <c r="AH1089">
        <v>460</v>
      </c>
      <c r="AI1089">
        <v>1223</v>
      </c>
      <c r="AL1089" t="s">
        <v>4908</v>
      </c>
      <c r="AO1089" s="76">
        <v>40856.924120370371</v>
      </c>
      <c r="AP1089" s="79" t="str">
        <f>HYPERLINK("https://pbs.twimg.com/profile_banners/408795345/1397407663")</f>
        <v>https://pbs.twimg.com/profile_banners/408795345/1397407663</v>
      </c>
      <c r="AQ1089" t="b">
        <v>0</v>
      </c>
      <c r="AR1089" t="b">
        <v>0</v>
      </c>
      <c r="AS1089" t="b">
        <v>1</v>
      </c>
      <c r="AU1089">
        <v>0</v>
      </c>
      <c r="AV1089" s="79" t="str">
        <f>HYPERLINK("https://abs.twimg.com/images/themes/theme1/bg.png")</f>
        <v>https://abs.twimg.com/images/themes/theme1/bg.png</v>
      </c>
      <c r="AW1089" t="b">
        <v>0</v>
      </c>
      <c r="AX1089" t="s">
        <v>9303</v>
      </c>
      <c r="AY1089" s="79" t="str">
        <f>HYPERLINK("https://twitter.com/amyjulissax33")</f>
        <v>https://twitter.com/amyjulissax33</v>
      </c>
      <c r="AZ1089" t="s">
        <v>66</v>
      </c>
      <c r="BA1089" s="2"/>
    </row>
    <row r="1090" spans="1:53" x14ac:dyDescent="0.45">
      <c r="A1090" s="62" t="s">
        <v>1039</v>
      </c>
      <c r="B1090" s="63"/>
      <c r="C1090" s="63"/>
      <c r="D1090" s="64"/>
      <c r="E1090" s="66"/>
      <c r="F1090" s="98" t="str">
        <f>HYPERLINK("https://pbs.twimg.com/profile_images/1392835344324833282/fJkDL3pw_normal.jpg")</f>
        <v>https://pbs.twimg.com/profile_images/1392835344324833282/fJkDL3pw_normal.jpg</v>
      </c>
      <c r="G1090" s="63"/>
      <c r="H1090" s="67"/>
      <c r="I1090" s="68"/>
      <c r="J1090" s="68"/>
      <c r="K1090" s="67" t="s">
        <v>10541</v>
      </c>
      <c r="L1090" s="71"/>
      <c r="M1090" s="72"/>
      <c r="N1090" s="72"/>
      <c r="O1090" s="73"/>
      <c r="P1090" s="74"/>
      <c r="Q1090" s="74"/>
      <c r="R1090" s="81"/>
      <c r="S1090" s="81"/>
      <c r="T1090" s="81"/>
      <c r="U1090" s="81"/>
      <c r="V1090" s="48"/>
      <c r="W1090" s="48"/>
      <c r="X1090" s="48"/>
      <c r="Y1090" s="48"/>
      <c r="Z1090" s="47"/>
      <c r="AA1090" s="69"/>
      <c r="AB1090" s="69"/>
      <c r="AC1090" s="70"/>
      <c r="AD1090" t="s">
        <v>6219</v>
      </c>
      <c r="AE1090" s="78" t="s">
        <v>7398</v>
      </c>
      <c r="AF1090">
        <v>112</v>
      </c>
      <c r="AG1090">
        <v>83</v>
      </c>
      <c r="AH1090">
        <v>2013</v>
      </c>
      <c r="AI1090">
        <v>7317</v>
      </c>
      <c r="AK1090" t="s">
        <v>8568</v>
      </c>
      <c r="AO1090" s="76">
        <v>44327.593113425923</v>
      </c>
      <c r="AQ1090" t="b">
        <v>1</v>
      </c>
      <c r="AR1090" t="b">
        <v>0</v>
      </c>
      <c r="AS1090" t="b">
        <v>0</v>
      </c>
      <c r="AU1090">
        <v>2</v>
      </c>
      <c r="AW1090" t="b">
        <v>0</v>
      </c>
      <c r="AX1090" t="s">
        <v>9303</v>
      </c>
      <c r="AY1090" s="79" t="str">
        <f>HYPERLINK("https://twitter.com/basstard78")</f>
        <v>https://twitter.com/basstard78</v>
      </c>
      <c r="AZ1090" t="s">
        <v>66</v>
      </c>
      <c r="BA1090" s="2"/>
    </row>
    <row r="1091" spans="1:53" x14ac:dyDescent="0.45">
      <c r="A1091" s="62" t="s">
        <v>904</v>
      </c>
      <c r="B1091" s="63"/>
      <c r="C1091" s="63"/>
      <c r="D1091" s="64"/>
      <c r="E1091" s="66"/>
      <c r="F1091" s="98" t="str">
        <f>HYPERLINK("https://pbs.twimg.com/profile_images/1157462385277509640/bt23j5a5_normal.jpg")</f>
        <v>https://pbs.twimg.com/profile_images/1157462385277509640/bt23j5a5_normal.jpg</v>
      </c>
      <c r="G1091" s="63"/>
      <c r="H1091" s="67"/>
      <c r="I1091" s="68"/>
      <c r="J1091" s="68"/>
      <c r="K1091" s="67" t="s">
        <v>10322</v>
      </c>
      <c r="L1091" s="71"/>
      <c r="M1091" s="72"/>
      <c r="N1091" s="72"/>
      <c r="O1091" s="73"/>
      <c r="P1091" s="74"/>
      <c r="Q1091" s="74"/>
      <c r="R1091" s="81"/>
      <c r="S1091" s="81"/>
      <c r="T1091" s="81"/>
      <c r="U1091" s="81"/>
      <c r="V1091" s="48"/>
      <c r="W1091" s="48"/>
      <c r="X1091" s="48"/>
      <c r="Y1091" s="48"/>
      <c r="Z1091" s="47"/>
      <c r="AA1091" s="69"/>
      <c r="AB1091" s="69"/>
      <c r="AC1091" s="70"/>
      <c r="AD1091" t="s">
        <v>6005</v>
      </c>
      <c r="AE1091" s="78" t="s">
        <v>7213</v>
      </c>
      <c r="AF1091">
        <v>517</v>
      </c>
      <c r="AG1091">
        <v>82</v>
      </c>
      <c r="AH1091">
        <v>682</v>
      </c>
      <c r="AI1091">
        <v>940</v>
      </c>
      <c r="AK1091" t="s">
        <v>8377</v>
      </c>
      <c r="AL1091" t="s">
        <v>4899</v>
      </c>
      <c r="AO1091" s="76">
        <v>40333.121365740742</v>
      </c>
      <c r="AP1091" s="79" t="str">
        <f>HYPERLINK("https://pbs.twimg.com/profile_banners/151724048/1629601705")</f>
        <v>https://pbs.twimg.com/profile_banners/151724048/1629601705</v>
      </c>
      <c r="AQ1091" t="b">
        <v>1</v>
      </c>
      <c r="AR1091" t="b">
        <v>0</v>
      </c>
      <c r="AS1091" t="b">
        <v>0</v>
      </c>
      <c r="AU1091">
        <v>0</v>
      </c>
      <c r="AV1091" s="79" t="str">
        <f>HYPERLINK("https://abs.twimg.com/images/themes/theme1/bg.png")</f>
        <v>https://abs.twimg.com/images/themes/theme1/bg.png</v>
      </c>
      <c r="AW1091" t="b">
        <v>0</v>
      </c>
      <c r="AX1091" t="s">
        <v>9303</v>
      </c>
      <c r="AY1091" s="79" t="str">
        <f>HYPERLINK("https://twitter.com/rk_theprolific1")</f>
        <v>https://twitter.com/rk_theprolific1</v>
      </c>
      <c r="AZ1091" t="s">
        <v>66</v>
      </c>
      <c r="BA1091" s="2"/>
    </row>
    <row r="1092" spans="1:53" x14ac:dyDescent="0.45">
      <c r="A1092" s="62" t="s">
        <v>304</v>
      </c>
      <c r="B1092" s="63"/>
      <c r="C1092" s="63"/>
      <c r="D1092" s="64"/>
      <c r="E1092" s="66"/>
      <c r="F1092" s="98" t="str">
        <f>HYPERLINK("https://pbs.twimg.com/profile_images/1599917394889265153/cv--7gLX_normal.jpg")</f>
        <v>https://pbs.twimg.com/profile_images/1599917394889265153/cv--7gLX_normal.jpg</v>
      </c>
      <c r="G1092" s="63"/>
      <c r="H1092" s="67"/>
      <c r="I1092" s="68"/>
      <c r="J1092" s="68"/>
      <c r="K1092" s="67" t="s">
        <v>9494</v>
      </c>
      <c r="L1092" s="71"/>
      <c r="M1092" s="72"/>
      <c r="N1092" s="72"/>
      <c r="O1092" s="73"/>
      <c r="P1092" s="74"/>
      <c r="Q1092" s="74"/>
      <c r="R1092" s="81"/>
      <c r="S1092" s="81"/>
      <c r="T1092" s="81"/>
      <c r="U1092" s="81"/>
      <c r="V1092" s="48"/>
      <c r="W1092" s="48"/>
      <c r="X1092" s="48"/>
      <c r="Y1092" s="48"/>
      <c r="Z1092" s="47"/>
      <c r="AA1092" s="69"/>
      <c r="AB1092" s="69"/>
      <c r="AC1092" s="70"/>
      <c r="AD1092" t="s">
        <v>5188</v>
      </c>
      <c r="AE1092" s="78" t="s">
        <v>6483</v>
      </c>
      <c r="AF1092">
        <v>434</v>
      </c>
      <c r="AG1092">
        <v>81</v>
      </c>
      <c r="AH1092">
        <v>927</v>
      </c>
      <c r="AI1092">
        <v>5525</v>
      </c>
      <c r="AK1092" t="s">
        <v>7659</v>
      </c>
      <c r="AO1092" s="76">
        <v>42963.92827546296</v>
      </c>
      <c r="AP1092" s="79" t="str">
        <f>HYPERLINK("https://pbs.twimg.com/profile_banners/897945243529695233/1670285041")</f>
        <v>https://pbs.twimg.com/profile_banners/897945243529695233/1670285041</v>
      </c>
      <c r="AQ1092" t="b">
        <v>1</v>
      </c>
      <c r="AR1092" t="b">
        <v>0</v>
      </c>
      <c r="AS1092" t="b">
        <v>0</v>
      </c>
      <c r="AU1092">
        <v>0</v>
      </c>
      <c r="AW1092" t="b">
        <v>0</v>
      </c>
      <c r="AX1092" t="s">
        <v>9303</v>
      </c>
      <c r="AY1092" s="79" t="str">
        <f>HYPERLINK("https://twitter.com/godhasthis17")</f>
        <v>https://twitter.com/godhasthis17</v>
      </c>
      <c r="AZ1092" t="s">
        <v>66</v>
      </c>
      <c r="BA1092" s="2"/>
    </row>
    <row r="1093" spans="1:53" x14ac:dyDescent="0.45">
      <c r="A1093" s="62" t="s">
        <v>1238</v>
      </c>
      <c r="B1093" s="63"/>
      <c r="C1093" s="63"/>
      <c r="D1093" s="64"/>
      <c r="E1093" s="66"/>
      <c r="F1093" s="98" t="str">
        <f>HYPERLINK("https://pbs.twimg.com/profile_images/1613209506506280966/S0Oa13yZ_normal.png")</f>
        <v>https://pbs.twimg.com/profile_images/1613209506506280966/S0Oa13yZ_normal.png</v>
      </c>
      <c r="G1093" s="63"/>
      <c r="H1093" s="67"/>
      <c r="I1093" s="68"/>
      <c r="J1093" s="68"/>
      <c r="K1093" s="67" t="s">
        <v>9591</v>
      </c>
      <c r="L1093" s="71"/>
      <c r="M1093" s="72"/>
      <c r="N1093" s="72"/>
      <c r="O1093" s="73"/>
      <c r="P1093" s="74"/>
      <c r="Q1093" s="74"/>
      <c r="R1093" s="81"/>
      <c r="S1093" s="81"/>
      <c r="T1093" s="81"/>
      <c r="U1093" s="81"/>
      <c r="V1093" s="48"/>
      <c r="W1093" s="48"/>
      <c r="X1093" s="48"/>
      <c r="Y1093" s="48"/>
      <c r="Z1093" s="47"/>
      <c r="AA1093" s="69"/>
      <c r="AB1093" s="69"/>
      <c r="AC1093" s="70"/>
      <c r="AD1093" t="s">
        <v>5284</v>
      </c>
      <c r="AE1093" s="78" t="s">
        <v>6562</v>
      </c>
      <c r="AF1093">
        <v>3</v>
      </c>
      <c r="AG1093">
        <v>80</v>
      </c>
      <c r="AH1093">
        <v>8</v>
      </c>
      <c r="AI1093">
        <v>0</v>
      </c>
      <c r="AK1093" t="s">
        <v>7743</v>
      </c>
      <c r="AL1093" t="s">
        <v>8827</v>
      </c>
      <c r="AM1093" s="79" t="str">
        <f>HYPERLINK("https://t.co/vgT3cjPBK3")</f>
        <v>https://t.co/vgT3cjPBK3</v>
      </c>
      <c r="AO1093" s="76">
        <v>44930.679525462961</v>
      </c>
      <c r="AP1093" s="79" t="str">
        <f>HYPERLINK("https://pbs.twimg.com/profile_banners/1610671970009350148/1673454096")</f>
        <v>https://pbs.twimg.com/profile_banners/1610671970009350148/1673454096</v>
      </c>
      <c r="AQ1093" t="b">
        <v>1</v>
      </c>
      <c r="AR1093" t="b">
        <v>0</v>
      </c>
      <c r="AS1093" t="b">
        <v>0</v>
      </c>
      <c r="AU1093">
        <v>1</v>
      </c>
      <c r="AW1093" t="b">
        <v>0</v>
      </c>
      <c r="AX1093" t="s">
        <v>9303</v>
      </c>
      <c r="AY1093" s="79" t="str">
        <f>HYPERLINK("https://twitter.com/teleport__app")</f>
        <v>https://twitter.com/teleport__app</v>
      </c>
      <c r="AZ1093" t="s">
        <v>65</v>
      </c>
      <c r="BA1093" s="2"/>
    </row>
    <row r="1094" spans="1:53" x14ac:dyDescent="0.45">
      <c r="A1094" s="62" t="s">
        <v>475</v>
      </c>
      <c r="B1094" s="63"/>
      <c r="C1094" s="63"/>
      <c r="D1094" s="64"/>
      <c r="E1094" s="66"/>
      <c r="F1094" s="98" t="str">
        <f>HYPERLINK("https://pbs.twimg.com/profile_images/1564468558674927616/hN9PwrwP_normal.jpg")</f>
        <v>https://pbs.twimg.com/profile_images/1564468558674927616/hN9PwrwP_normal.jpg</v>
      </c>
      <c r="G1094" s="63"/>
      <c r="H1094" s="67"/>
      <c r="I1094" s="68"/>
      <c r="J1094" s="68"/>
      <c r="K1094" s="67" t="s">
        <v>9747</v>
      </c>
      <c r="L1094" s="71"/>
      <c r="M1094" s="72"/>
      <c r="N1094" s="72"/>
      <c r="O1094" s="73"/>
      <c r="P1094" s="74"/>
      <c r="Q1094" s="74"/>
      <c r="R1094" s="81"/>
      <c r="S1094" s="81"/>
      <c r="T1094" s="81"/>
      <c r="U1094" s="81"/>
      <c r="V1094" s="48"/>
      <c r="W1094" s="48"/>
      <c r="X1094" s="48"/>
      <c r="Y1094" s="48"/>
      <c r="Z1094" s="47"/>
      <c r="AA1094" s="69"/>
      <c r="AB1094" s="69"/>
      <c r="AC1094" s="70"/>
      <c r="AD1094" t="s">
        <v>5439</v>
      </c>
      <c r="AE1094" s="78" t="s">
        <v>6704</v>
      </c>
      <c r="AF1094">
        <v>586</v>
      </c>
      <c r="AG1094">
        <v>79</v>
      </c>
      <c r="AH1094">
        <v>1434</v>
      </c>
      <c r="AI1094">
        <v>3373</v>
      </c>
      <c r="AO1094" s="76">
        <v>43937.110659722224</v>
      </c>
      <c r="AP1094" s="79" t="str">
        <f>HYPERLINK("https://pbs.twimg.com/profile_banners/1250614691392622592/1661833357")</f>
        <v>https://pbs.twimg.com/profile_banners/1250614691392622592/1661833357</v>
      </c>
      <c r="AQ1094" t="b">
        <v>1</v>
      </c>
      <c r="AR1094" t="b">
        <v>0</v>
      </c>
      <c r="AS1094" t="b">
        <v>0</v>
      </c>
      <c r="AU1094">
        <v>0</v>
      </c>
      <c r="AW1094" t="b">
        <v>0</v>
      </c>
      <c r="AX1094" t="s">
        <v>9303</v>
      </c>
      <c r="AY1094" s="79" t="str">
        <f>HYPERLINK("https://twitter.com/leonardtasean")</f>
        <v>https://twitter.com/leonardtasean</v>
      </c>
      <c r="AZ1094" t="s">
        <v>66</v>
      </c>
      <c r="BA1094" s="2"/>
    </row>
    <row r="1095" spans="1:53" x14ac:dyDescent="0.45">
      <c r="A1095" s="62" t="s">
        <v>678</v>
      </c>
      <c r="B1095" s="63"/>
      <c r="C1095" s="63"/>
      <c r="D1095" s="64"/>
      <c r="E1095" s="66"/>
      <c r="F1095" s="98" t="str">
        <f>HYPERLINK("https://pbs.twimg.com/profile_images/941520697637007360/tOL2Enac_normal.jpg")</f>
        <v>https://pbs.twimg.com/profile_images/941520697637007360/tOL2Enac_normal.jpg</v>
      </c>
      <c r="G1095" s="63"/>
      <c r="H1095" s="67"/>
      <c r="I1095" s="68"/>
      <c r="J1095" s="68"/>
      <c r="K1095" s="67" t="s">
        <v>9999</v>
      </c>
      <c r="L1095" s="71"/>
      <c r="M1095" s="72"/>
      <c r="N1095" s="72"/>
      <c r="O1095" s="73"/>
      <c r="P1095" s="74"/>
      <c r="Q1095" s="74"/>
      <c r="R1095" s="81"/>
      <c r="S1095" s="81"/>
      <c r="T1095" s="81"/>
      <c r="U1095" s="81"/>
      <c r="V1095" s="48"/>
      <c r="W1095" s="48"/>
      <c r="X1095" s="48"/>
      <c r="Y1095" s="48"/>
      <c r="Z1095" s="47"/>
      <c r="AA1095" s="69"/>
      <c r="AB1095" s="69"/>
      <c r="AC1095" s="70"/>
      <c r="AD1095" t="s">
        <v>5689</v>
      </c>
      <c r="AE1095" s="78" t="s">
        <v>6932</v>
      </c>
      <c r="AF1095">
        <v>448</v>
      </c>
      <c r="AG1095">
        <v>79</v>
      </c>
      <c r="AH1095">
        <v>1370</v>
      </c>
      <c r="AI1095">
        <v>1281</v>
      </c>
      <c r="AK1095" t="s">
        <v>8096</v>
      </c>
      <c r="AL1095" t="s">
        <v>9036</v>
      </c>
      <c r="AO1095" s="76">
        <v>40898.866469907407</v>
      </c>
      <c r="AQ1095" t="b">
        <v>0</v>
      </c>
      <c r="AR1095" t="b">
        <v>0</v>
      </c>
      <c r="AS1095" t="b">
        <v>0</v>
      </c>
      <c r="AU1095">
        <v>0</v>
      </c>
      <c r="AV1095" s="79" t="str">
        <f>HYPERLINK("https://abs.twimg.com/images/themes/theme1/bg.png")</f>
        <v>https://abs.twimg.com/images/themes/theme1/bg.png</v>
      </c>
      <c r="AW1095" t="b">
        <v>0</v>
      </c>
      <c r="AX1095" t="s">
        <v>9303</v>
      </c>
      <c r="AY1095" s="79" t="str">
        <f>HYPERLINK("https://twitter.com/ahoffenbacker")</f>
        <v>https://twitter.com/ahoffenbacker</v>
      </c>
      <c r="AZ1095" t="s">
        <v>66</v>
      </c>
      <c r="BA1095" s="2"/>
    </row>
    <row r="1096" spans="1:53" x14ac:dyDescent="0.45">
      <c r="A1096" s="62" t="s">
        <v>1369</v>
      </c>
      <c r="B1096" s="63"/>
      <c r="C1096" s="63"/>
      <c r="D1096" s="64"/>
      <c r="E1096" s="66"/>
      <c r="F1096" s="98" t="str">
        <f>HYPERLINK("https://pbs.twimg.com/profile_images/1319440564778053632/69fMFttK_normal.jpg")</f>
        <v>https://pbs.twimg.com/profile_images/1319440564778053632/69fMFttK_normal.jpg</v>
      </c>
      <c r="G1096" s="63"/>
      <c r="H1096" s="67"/>
      <c r="I1096" s="68"/>
      <c r="J1096" s="68"/>
      <c r="K1096" s="67" t="s">
        <v>10151</v>
      </c>
      <c r="L1096" s="71"/>
      <c r="M1096" s="72"/>
      <c r="N1096" s="72"/>
      <c r="O1096" s="73"/>
      <c r="P1096" s="74"/>
      <c r="Q1096" s="74"/>
      <c r="R1096" s="81"/>
      <c r="S1096" s="81"/>
      <c r="T1096" s="81"/>
      <c r="U1096" s="81"/>
      <c r="V1096" s="48"/>
      <c r="W1096" s="48"/>
      <c r="X1096" s="48"/>
      <c r="Y1096" s="48"/>
      <c r="Z1096" s="47"/>
      <c r="AA1096" s="69"/>
      <c r="AB1096" s="69"/>
      <c r="AC1096" s="70"/>
      <c r="AD1096" t="s">
        <v>5837</v>
      </c>
      <c r="AE1096" s="78" t="s">
        <v>7063</v>
      </c>
      <c r="AF1096">
        <v>614</v>
      </c>
      <c r="AG1096">
        <v>78</v>
      </c>
      <c r="AH1096">
        <v>166</v>
      </c>
      <c r="AI1096">
        <v>831</v>
      </c>
      <c r="AO1096" s="76">
        <v>42802.645624999997</v>
      </c>
      <c r="AP1096" s="79" t="str">
        <f>HYPERLINK("https://pbs.twimg.com/profile_banners/839498366128009216/1603414120")</f>
        <v>https://pbs.twimg.com/profile_banners/839498366128009216/1603414120</v>
      </c>
      <c r="AQ1096" t="b">
        <v>1</v>
      </c>
      <c r="AR1096" t="b">
        <v>0</v>
      </c>
      <c r="AS1096" t="b">
        <v>0</v>
      </c>
      <c r="AU1096">
        <v>2</v>
      </c>
      <c r="AW1096" t="b">
        <v>0</v>
      </c>
      <c r="AX1096" t="s">
        <v>9303</v>
      </c>
      <c r="AY1096" s="79" t="str">
        <f>HYPERLINK("https://twitter.com/elizapasill")</f>
        <v>https://twitter.com/elizapasill</v>
      </c>
      <c r="AZ1096" t="s">
        <v>65</v>
      </c>
      <c r="BA1096" s="2"/>
    </row>
    <row r="1097" spans="1:53" x14ac:dyDescent="0.45">
      <c r="A1097" s="62" t="s">
        <v>895</v>
      </c>
      <c r="B1097" s="63"/>
      <c r="C1097" s="63"/>
      <c r="D1097" s="64"/>
      <c r="E1097" s="66"/>
      <c r="F1097" s="98" t="str">
        <f>HYPERLINK("https://pbs.twimg.com/profile_images/1653190419/David_and_Verletta_-_Copy_normal.jpg")</f>
        <v>https://pbs.twimg.com/profile_images/1653190419/David_and_Verletta_-_Copy_normal.jpg</v>
      </c>
      <c r="G1097" s="63"/>
      <c r="H1097" s="67"/>
      <c r="I1097" s="68"/>
      <c r="J1097" s="68"/>
      <c r="K1097" s="67" t="s">
        <v>10309</v>
      </c>
      <c r="L1097" s="71"/>
      <c r="M1097" s="72"/>
      <c r="N1097" s="72"/>
      <c r="O1097" s="73"/>
      <c r="P1097" s="74"/>
      <c r="Q1097" s="74"/>
      <c r="R1097" s="81"/>
      <c r="S1097" s="81"/>
      <c r="T1097" s="81"/>
      <c r="U1097" s="81"/>
      <c r="V1097" s="48"/>
      <c r="W1097" s="48"/>
      <c r="X1097" s="48"/>
      <c r="Y1097" s="48"/>
      <c r="Z1097" s="47"/>
      <c r="AA1097" s="69"/>
      <c r="AB1097" s="69"/>
      <c r="AC1097" s="70"/>
      <c r="AD1097" t="s">
        <v>5992</v>
      </c>
      <c r="AE1097" s="78" t="s">
        <v>7202</v>
      </c>
      <c r="AF1097">
        <v>230</v>
      </c>
      <c r="AG1097">
        <v>78</v>
      </c>
      <c r="AH1097">
        <v>11237</v>
      </c>
      <c r="AI1097">
        <v>83</v>
      </c>
      <c r="AK1097" t="s">
        <v>8366</v>
      </c>
      <c r="AL1097" t="s">
        <v>9167</v>
      </c>
      <c r="AM1097" s="79" t="str">
        <f>HYPERLINK("http://t.co/4PMNlRu5Go")</f>
        <v>http://t.co/4PMNlRu5Go</v>
      </c>
      <c r="AO1097" s="76">
        <v>40779.752847222226</v>
      </c>
      <c r="AQ1097" t="b">
        <v>1</v>
      </c>
      <c r="AR1097" t="b">
        <v>0</v>
      </c>
      <c r="AS1097" t="b">
        <v>1</v>
      </c>
      <c r="AU1097">
        <v>1</v>
      </c>
      <c r="AV1097" s="79" t="str">
        <f>HYPERLINK("https://abs.twimg.com/images/themes/theme1/bg.png")</f>
        <v>https://abs.twimg.com/images/themes/theme1/bg.png</v>
      </c>
      <c r="AW1097" t="b">
        <v>0</v>
      </c>
      <c r="AX1097" t="s">
        <v>9303</v>
      </c>
      <c r="AY1097" s="79" t="str">
        <f>HYPERLINK("https://twitter.com/d1v3dd")</f>
        <v>https://twitter.com/d1v3dd</v>
      </c>
      <c r="AZ1097" t="s">
        <v>66</v>
      </c>
      <c r="BA1097" s="2"/>
    </row>
    <row r="1098" spans="1:53" x14ac:dyDescent="0.45">
      <c r="A1098" s="62" t="s">
        <v>706</v>
      </c>
      <c r="B1098" s="63"/>
      <c r="C1098" s="63"/>
      <c r="D1098" s="64"/>
      <c r="E1098" s="66"/>
      <c r="F1098" s="98" t="str">
        <f>HYPERLINK("https://pbs.twimg.com/profile_images/969412224245678080/a4KURZNB_normal.jpg")</f>
        <v>https://pbs.twimg.com/profile_images/969412224245678080/a4KURZNB_normal.jpg</v>
      </c>
      <c r="G1098" s="63"/>
      <c r="H1098" s="67"/>
      <c r="I1098" s="68"/>
      <c r="J1098" s="68"/>
      <c r="K1098" s="67" t="s">
        <v>10042</v>
      </c>
      <c r="L1098" s="71"/>
      <c r="M1098" s="72"/>
      <c r="N1098" s="72"/>
      <c r="O1098" s="73"/>
      <c r="P1098" s="74"/>
      <c r="Q1098" s="74"/>
      <c r="R1098" s="81"/>
      <c r="S1098" s="81"/>
      <c r="T1098" s="81"/>
      <c r="U1098" s="81"/>
      <c r="V1098" s="48"/>
      <c r="W1098" s="48"/>
      <c r="X1098" s="48"/>
      <c r="Y1098" s="48"/>
      <c r="Z1098" s="47"/>
      <c r="AA1098" s="69"/>
      <c r="AB1098" s="69"/>
      <c r="AC1098" s="70"/>
      <c r="AD1098" t="s">
        <v>5732</v>
      </c>
      <c r="AE1098" s="78" t="s">
        <v>6969</v>
      </c>
      <c r="AF1098">
        <v>38</v>
      </c>
      <c r="AG1098">
        <v>77</v>
      </c>
      <c r="AH1098">
        <v>6313</v>
      </c>
      <c r="AI1098">
        <v>33</v>
      </c>
      <c r="AK1098" t="s">
        <v>8130</v>
      </c>
      <c r="AL1098" t="s">
        <v>9053</v>
      </c>
      <c r="AO1098" s="76">
        <v>40926.873576388891</v>
      </c>
      <c r="AP1098" s="79" t="str">
        <f>HYPERLINK("https://pbs.twimg.com/profile_banners/467782200/1569379803")</f>
        <v>https://pbs.twimg.com/profile_banners/467782200/1569379803</v>
      </c>
      <c r="AQ1098" t="b">
        <v>0</v>
      </c>
      <c r="AR1098" t="b">
        <v>0</v>
      </c>
      <c r="AS1098" t="b">
        <v>1</v>
      </c>
      <c r="AU1098">
        <v>0</v>
      </c>
      <c r="AV1098" s="79" t="str">
        <f>HYPERLINK("https://abs.twimg.com/images/themes/theme9/bg.gif")</f>
        <v>https://abs.twimg.com/images/themes/theme9/bg.gif</v>
      </c>
      <c r="AW1098" t="b">
        <v>0</v>
      </c>
      <c r="AX1098" t="s">
        <v>9303</v>
      </c>
      <c r="AY1098" s="79" t="str">
        <f>HYPERLINK("https://twitter.com/yadayada3857")</f>
        <v>https://twitter.com/yadayada3857</v>
      </c>
      <c r="AZ1098" t="s">
        <v>66</v>
      </c>
      <c r="BA1098" s="2"/>
    </row>
    <row r="1099" spans="1:53" x14ac:dyDescent="0.45">
      <c r="A1099" s="62" t="s">
        <v>624</v>
      </c>
      <c r="B1099" s="63"/>
      <c r="C1099" s="63"/>
      <c r="D1099" s="64"/>
      <c r="E1099" s="66"/>
      <c r="F1099" s="98" t="str">
        <f>HYPERLINK("https://pbs.twimg.com/profile_images/1522344129811812352/PdzZ0OVf_normal.jpg")</f>
        <v>https://pbs.twimg.com/profile_images/1522344129811812352/PdzZ0OVf_normal.jpg</v>
      </c>
      <c r="G1099" s="63"/>
      <c r="H1099" s="67"/>
      <c r="I1099" s="68"/>
      <c r="J1099" s="68"/>
      <c r="K1099" s="67" t="s">
        <v>9931</v>
      </c>
      <c r="L1099" s="71"/>
      <c r="M1099" s="72"/>
      <c r="N1099" s="72"/>
      <c r="O1099" s="73"/>
      <c r="P1099" s="74"/>
      <c r="Q1099" s="74"/>
      <c r="R1099" s="81"/>
      <c r="S1099" s="81"/>
      <c r="T1099" s="81"/>
      <c r="U1099" s="81"/>
      <c r="V1099" s="48"/>
      <c r="W1099" s="48"/>
      <c r="X1099" s="48"/>
      <c r="Y1099" s="48"/>
      <c r="Z1099" s="47"/>
      <c r="AA1099" s="69"/>
      <c r="AB1099" s="69"/>
      <c r="AC1099" s="70"/>
      <c r="AD1099" t="s">
        <v>5622</v>
      </c>
      <c r="AE1099" s="78" t="s">
        <v>6866</v>
      </c>
      <c r="AF1099">
        <v>849</v>
      </c>
      <c r="AG1099">
        <v>76</v>
      </c>
      <c r="AH1099">
        <v>9823</v>
      </c>
      <c r="AI1099">
        <v>19591</v>
      </c>
      <c r="AO1099" s="76">
        <v>44494.195694444446</v>
      </c>
      <c r="AP1099" s="79" t="str">
        <f>HYPERLINK("https://pbs.twimg.com/profile_banners/1452495496921038849/1644174779")</f>
        <v>https://pbs.twimg.com/profile_banners/1452495496921038849/1644174779</v>
      </c>
      <c r="AQ1099" t="b">
        <v>1</v>
      </c>
      <c r="AR1099" t="b">
        <v>0</v>
      </c>
      <c r="AS1099" t="b">
        <v>0</v>
      </c>
      <c r="AU1099">
        <v>3</v>
      </c>
      <c r="AW1099" t="b">
        <v>0</v>
      </c>
      <c r="AX1099" t="s">
        <v>9303</v>
      </c>
      <c r="AY1099" s="79" t="str">
        <f>HYPERLINK("https://twitter.com/natalie74737687")</f>
        <v>https://twitter.com/natalie74737687</v>
      </c>
      <c r="AZ1099" t="s">
        <v>66</v>
      </c>
      <c r="BA1099" s="2"/>
    </row>
    <row r="1100" spans="1:53" x14ac:dyDescent="0.45">
      <c r="A1100" s="62" t="s">
        <v>754</v>
      </c>
      <c r="B1100" s="63"/>
      <c r="C1100" s="63"/>
      <c r="D1100" s="64"/>
      <c r="E1100" s="66"/>
      <c r="F1100" s="98" t="str">
        <f>HYPERLINK("https://pbs.twimg.com/profile_images/1448789805974712326/Lw-zo5WI_normal.jpg")</f>
        <v>https://pbs.twimg.com/profile_images/1448789805974712326/Lw-zo5WI_normal.jpg</v>
      </c>
      <c r="G1100" s="63"/>
      <c r="H1100" s="67"/>
      <c r="I1100" s="68"/>
      <c r="J1100" s="68"/>
      <c r="K1100" s="67" t="s">
        <v>10105</v>
      </c>
      <c r="L1100" s="71"/>
      <c r="M1100" s="72"/>
      <c r="N1100" s="72"/>
      <c r="O1100" s="73"/>
      <c r="P1100" s="74"/>
      <c r="Q1100" s="74"/>
      <c r="R1100" s="81"/>
      <c r="S1100" s="81"/>
      <c r="T1100" s="81"/>
      <c r="U1100" s="81"/>
      <c r="V1100" s="48"/>
      <c r="W1100" s="48"/>
      <c r="X1100" s="48"/>
      <c r="Y1100" s="48"/>
      <c r="Z1100" s="47"/>
      <c r="AA1100" s="69"/>
      <c r="AB1100" s="69"/>
      <c r="AC1100" s="70"/>
      <c r="AD1100" t="s">
        <v>5793</v>
      </c>
      <c r="AE1100" s="78" t="s">
        <v>7025</v>
      </c>
      <c r="AF1100">
        <v>355</v>
      </c>
      <c r="AG1100">
        <v>76</v>
      </c>
      <c r="AH1100">
        <v>583</v>
      </c>
      <c r="AI1100">
        <v>2219</v>
      </c>
      <c r="AK1100" t="s">
        <v>8188</v>
      </c>
      <c r="AL1100" t="s">
        <v>9083</v>
      </c>
      <c r="AM1100" s="79" t="str">
        <f>HYPERLINK("https://t.co/eJOjHiMSGU")</f>
        <v>https://t.co/eJOjHiMSGU</v>
      </c>
      <c r="AO1100" s="76">
        <v>41784.179212962961</v>
      </c>
      <c r="AP1100" s="79" t="str">
        <f>HYPERLINK("https://pbs.twimg.com/profile_banners/2562912917/1633695566")</f>
        <v>https://pbs.twimg.com/profile_banners/2562912917/1633695566</v>
      </c>
      <c r="AQ1100" t="b">
        <v>1</v>
      </c>
      <c r="AR1100" t="b">
        <v>0</v>
      </c>
      <c r="AS1100" t="b">
        <v>0</v>
      </c>
      <c r="AU1100">
        <v>1</v>
      </c>
      <c r="AV1100" s="79" t="str">
        <f>HYPERLINK("https://abs.twimg.com/images/themes/theme1/bg.png")</f>
        <v>https://abs.twimg.com/images/themes/theme1/bg.png</v>
      </c>
      <c r="AW1100" t="b">
        <v>0</v>
      </c>
      <c r="AX1100" t="s">
        <v>9303</v>
      </c>
      <c r="AY1100" s="79" t="str">
        <f>HYPERLINK("https://twitter.com/dpghittmann")</f>
        <v>https://twitter.com/dpghittmann</v>
      </c>
      <c r="AZ1100" t="s">
        <v>66</v>
      </c>
      <c r="BA1100" s="2"/>
    </row>
    <row r="1101" spans="1:53" x14ac:dyDescent="0.45">
      <c r="A1101" s="62" t="s">
        <v>804</v>
      </c>
      <c r="B1101" s="63"/>
      <c r="C1101" s="63"/>
      <c r="D1101" s="64"/>
      <c r="E1101" s="66"/>
      <c r="F1101" s="98" t="str">
        <f>HYPERLINK("https://pbs.twimg.com/profile_images/1605594641788817408/JNdFDrZQ_normal.jpg")</f>
        <v>https://pbs.twimg.com/profile_images/1605594641788817408/JNdFDrZQ_normal.jpg</v>
      </c>
      <c r="G1101" s="63"/>
      <c r="H1101" s="67"/>
      <c r="I1101" s="68"/>
      <c r="J1101" s="68"/>
      <c r="K1101" s="67" t="s">
        <v>10183</v>
      </c>
      <c r="L1101" s="71"/>
      <c r="M1101" s="72"/>
      <c r="N1101" s="72"/>
      <c r="O1101" s="73"/>
      <c r="P1101" s="74"/>
      <c r="Q1101" s="74"/>
      <c r="R1101" s="81"/>
      <c r="S1101" s="81"/>
      <c r="T1101" s="81"/>
      <c r="U1101" s="81"/>
      <c r="V1101" s="48"/>
      <c r="W1101" s="48"/>
      <c r="X1101" s="48"/>
      <c r="Y1101" s="48"/>
      <c r="Z1101" s="47"/>
      <c r="AA1101" s="69"/>
      <c r="AB1101" s="69"/>
      <c r="AC1101" s="70"/>
      <c r="AD1101" t="s">
        <v>5218</v>
      </c>
      <c r="AE1101" s="78" t="s">
        <v>4751</v>
      </c>
      <c r="AF1101">
        <v>134</v>
      </c>
      <c r="AG1101">
        <v>75</v>
      </c>
      <c r="AH1101">
        <v>4093</v>
      </c>
      <c r="AI1101">
        <v>261</v>
      </c>
      <c r="AK1101" t="s">
        <v>8256</v>
      </c>
      <c r="AO1101" s="76">
        <v>43503.154131944444</v>
      </c>
      <c r="AP1101" s="79" t="str">
        <f>HYPERLINK("https://pbs.twimg.com/profile_banners/1093354148827934721/1603424382")</f>
        <v>https://pbs.twimg.com/profile_banners/1093354148827934721/1603424382</v>
      </c>
      <c r="AQ1101" t="b">
        <v>1</v>
      </c>
      <c r="AR1101" t="b">
        <v>0</v>
      </c>
      <c r="AS1101" t="b">
        <v>0</v>
      </c>
      <c r="AU1101">
        <v>0</v>
      </c>
      <c r="AW1101" t="b">
        <v>0</v>
      </c>
      <c r="AX1101" t="s">
        <v>9303</v>
      </c>
      <c r="AY1101" s="79" t="str">
        <f>HYPERLINK("https://twitter.com/kenissupreme")</f>
        <v>https://twitter.com/kenissupreme</v>
      </c>
      <c r="AZ1101" t="s">
        <v>66</v>
      </c>
      <c r="BA1101" s="2"/>
    </row>
    <row r="1102" spans="1:53" x14ac:dyDescent="0.45">
      <c r="A1102" s="62" t="s">
        <v>463</v>
      </c>
      <c r="B1102" s="63"/>
      <c r="C1102" s="63"/>
      <c r="D1102" s="64"/>
      <c r="E1102" s="66"/>
      <c r="F1102" s="98" t="str">
        <f>HYPERLINK("https://pbs.twimg.com/profile_images/1485080968797073408/JSYDgYkg_normal.png")</f>
        <v>https://pbs.twimg.com/profile_images/1485080968797073408/JSYDgYkg_normal.png</v>
      </c>
      <c r="G1102" s="63"/>
      <c r="H1102" s="67"/>
      <c r="I1102" s="68"/>
      <c r="J1102" s="68"/>
      <c r="K1102" s="67" t="s">
        <v>9728</v>
      </c>
      <c r="L1102" s="71"/>
      <c r="M1102" s="72"/>
      <c r="N1102" s="72"/>
      <c r="O1102" s="73"/>
      <c r="P1102" s="74"/>
      <c r="Q1102" s="74"/>
      <c r="R1102" s="81"/>
      <c r="S1102" s="81"/>
      <c r="T1102" s="81"/>
      <c r="U1102" s="81"/>
      <c r="V1102" s="48"/>
      <c r="W1102" s="48"/>
      <c r="X1102" s="48"/>
      <c r="Y1102" s="48"/>
      <c r="Z1102" s="47"/>
      <c r="AA1102" s="69"/>
      <c r="AB1102" s="69"/>
      <c r="AC1102" s="70"/>
      <c r="AD1102" t="s">
        <v>5420</v>
      </c>
      <c r="AE1102" s="78" t="s">
        <v>6692</v>
      </c>
      <c r="AF1102">
        <v>346</v>
      </c>
      <c r="AG1102">
        <v>73</v>
      </c>
      <c r="AH1102">
        <v>11</v>
      </c>
      <c r="AI1102">
        <v>4</v>
      </c>
      <c r="AK1102" t="s">
        <v>7860</v>
      </c>
      <c r="AO1102" s="76">
        <v>44584.114212962966</v>
      </c>
      <c r="AQ1102" t="b">
        <v>1</v>
      </c>
      <c r="AR1102" t="b">
        <v>0</v>
      </c>
      <c r="AS1102" t="b">
        <v>0</v>
      </c>
      <c r="AU1102">
        <v>0</v>
      </c>
      <c r="AW1102" t="b">
        <v>0</v>
      </c>
      <c r="AX1102" t="s">
        <v>9303</v>
      </c>
      <c r="AY1102" s="79" t="str">
        <f>HYPERLINK("https://twitter.com/taylorkirby254")</f>
        <v>https://twitter.com/taylorkirby254</v>
      </c>
      <c r="AZ1102" t="s">
        <v>66</v>
      </c>
      <c r="BA1102" s="2"/>
    </row>
    <row r="1103" spans="1:53" x14ac:dyDescent="0.45">
      <c r="A1103" s="62" t="s">
        <v>398</v>
      </c>
      <c r="B1103" s="63"/>
      <c r="C1103" s="63"/>
      <c r="D1103" s="64"/>
      <c r="E1103" s="66"/>
      <c r="F1103" s="98" t="str">
        <f>HYPERLINK("https://pbs.twimg.com/profile_images/1620004105816080389/TwRKFZun_normal.jpg")</f>
        <v>https://pbs.twimg.com/profile_images/1620004105816080389/TwRKFZun_normal.jpg</v>
      </c>
      <c r="G1103" s="63"/>
      <c r="H1103" s="67"/>
      <c r="I1103" s="68"/>
      <c r="J1103" s="68"/>
      <c r="K1103" s="67" t="s">
        <v>9648</v>
      </c>
      <c r="L1103" s="71"/>
      <c r="M1103" s="72"/>
      <c r="N1103" s="72"/>
      <c r="O1103" s="73"/>
      <c r="P1103" s="74"/>
      <c r="Q1103" s="74"/>
      <c r="R1103" s="81"/>
      <c r="S1103" s="81"/>
      <c r="T1103" s="81"/>
      <c r="U1103" s="81"/>
      <c r="V1103" s="48"/>
      <c r="W1103" s="48"/>
      <c r="X1103" s="48"/>
      <c r="Y1103" s="48"/>
      <c r="Z1103" s="47"/>
      <c r="AA1103" s="69"/>
      <c r="AB1103" s="69"/>
      <c r="AC1103" s="70"/>
      <c r="AD1103" t="s">
        <v>5341</v>
      </c>
      <c r="AE1103" s="78" t="s">
        <v>6616</v>
      </c>
      <c r="AF1103">
        <v>104</v>
      </c>
      <c r="AG1103">
        <v>72</v>
      </c>
      <c r="AH1103">
        <v>331</v>
      </c>
      <c r="AI1103">
        <v>659</v>
      </c>
      <c r="AK1103" t="s">
        <v>7792</v>
      </c>
      <c r="AL1103" t="s">
        <v>8854</v>
      </c>
      <c r="AO1103" s="76">
        <v>44153.937199074076</v>
      </c>
      <c r="AP1103" s="79" t="str">
        <f>HYPERLINK("https://pbs.twimg.com/profile_banners/1329189889863266304/1658970404")</f>
        <v>https://pbs.twimg.com/profile_banners/1329189889863266304/1658970404</v>
      </c>
      <c r="AQ1103" t="b">
        <v>1</v>
      </c>
      <c r="AR1103" t="b">
        <v>0</v>
      </c>
      <c r="AS1103" t="b">
        <v>1</v>
      </c>
      <c r="AU1103">
        <v>0</v>
      </c>
      <c r="AW1103" t="b">
        <v>0</v>
      </c>
      <c r="AX1103" t="s">
        <v>9303</v>
      </c>
      <c r="AY1103" s="79" t="str">
        <f>HYPERLINK("https://twitter.com/fuckkdarneii")</f>
        <v>https://twitter.com/fuckkdarneii</v>
      </c>
      <c r="AZ1103" t="s">
        <v>66</v>
      </c>
      <c r="BA1103" s="2"/>
    </row>
    <row r="1104" spans="1:53" x14ac:dyDescent="0.45">
      <c r="A1104" s="62" t="s">
        <v>488</v>
      </c>
      <c r="B1104" s="63"/>
      <c r="C1104" s="63"/>
      <c r="D1104" s="64"/>
      <c r="E1104" s="66"/>
      <c r="F1104" s="98" t="str">
        <f>HYPERLINK("https://pbs.twimg.com/profile_images/1615685551969169409/XNc9C54i_normal.jpg")</f>
        <v>https://pbs.twimg.com/profile_images/1615685551969169409/XNc9C54i_normal.jpg</v>
      </c>
      <c r="G1104" s="63"/>
      <c r="H1104" s="67"/>
      <c r="I1104" s="68"/>
      <c r="J1104" s="68"/>
      <c r="K1104" s="67" t="s">
        <v>9761</v>
      </c>
      <c r="L1104" s="71"/>
      <c r="M1104" s="72"/>
      <c r="N1104" s="72"/>
      <c r="O1104" s="73"/>
      <c r="P1104" s="74"/>
      <c r="Q1104" s="74"/>
      <c r="R1104" s="81"/>
      <c r="S1104" s="81"/>
      <c r="T1104" s="81"/>
      <c r="U1104" s="81"/>
      <c r="V1104" s="48"/>
      <c r="W1104" s="48"/>
      <c r="X1104" s="48"/>
      <c r="Y1104" s="48"/>
      <c r="Z1104" s="47"/>
      <c r="AA1104" s="69"/>
      <c r="AB1104" s="69"/>
      <c r="AC1104" s="70"/>
      <c r="AD1104" t="s">
        <v>5453</v>
      </c>
      <c r="AE1104" s="78" t="s">
        <v>4701</v>
      </c>
      <c r="AF1104">
        <v>119</v>
      </c>
      <c r="AG1104">
        <v>72</v>
      </c>
      <c r="AH1104">
        <v>15620</v>
      </c>
      <c r="AI1104">
        <v>20080</v>
      </c>
      <c r="AO1104" s="76">
        <v>44684.272476851853</v>
      </c>
      <c r="AQ1104" t="b">
        <v>1</v>
      </c>
      <c r="AR1104" t="b">
        <v>0</v>
      </c>
      <c r="AS1104" t="b">
        <v>0</v>
      </c>
      <c r="AU1104">
        <v>0</v>
      </c>
      <c r="AW1104" t="b">
        <v>0</v>
      </c>
      <c r="AX1104" t="s">
        <v>9303</v>
      </c>
      <c r="AY1104" s="79" t="str">
        <f>HYPERLINK("https://twitter.com/superjosh05")</f>
        <v>https://twitter.com/superjosh05</v>
      </c>
      <c r="AZ1104" t="s">
        <v>66</v>
      </c>
      <c r="BA1104" s="2"/>
    </row>
    <row r="1105" spans="1:53" x14ac:dyDescent="0.45">
      <c r="A1105" s="62" t="s">
        <v>534</v>
      </c>
      <c r="B1105" s="63"/>
      <c r="C1105" s="63"/>
      <c r="D1105" s="64"/>
      <c r="E1105" s="66"/>
      <c r="F1105" s="98" t="str">
        <f>HYPERLINK("https://pbs.twimg.com/profile_images/1437372076797542405/JmklZRUv_normal.jpg")</f>
        <v>https://pbs.twimg.com/profile_images/1437372076797542405/JmklZRUv_normal.jpg</v>
      </c>
      <c r="G1105" s="63"/>
      <c r="H1105" s="67"/>
      <c r="I1105" s="68"/>
      <c r="J1105" s="68"/>
      <c r="K1105" s="67" t="s">
        <v>9827</v>
      </c>
      <c r="L1105" s="71"/>
      <c r="M1105" s="72"/>
      <c r="N1105" s="72"/>
      <c r="O1105" s="73"/>
      <c r="P1105" s="74"/>
      <c r="Q1105" s="74"/>
      <c r="R1105" s="81"/>
      <c r="S1105" s="81"/>
      <c r="T1105" s="81"/>
      <c r="U1105" s="81"/>
      <c r="V1105" s="48"/>
      <c r="W1105" s="48"/>
      <c r="X1105" s="48"/>
      <c r="Y1105" s="48"/>
      <c r="Z1105" s="47"/>
      <c r="AA1105" s="69"/>
      <c r="AB1105" s="69"/>
      <c r="AC1105" s="70"/>
      <c r="AD1105" t="s">
        <v>5518</v>
      </c>
      <c r="AE1105" s="78" t="s">
        <v>6769</v>
      </c>
      <c r="AF1105">
        <v>47</v>
      </c>
      <c r="AG1105">
        <v>72</v>
      </c>
      <c r="AH1105">
        <v>15112</v>
      </c>
      <c r="AI1105">
        <v>78403</v>
      </c>
      <c r="AK1105" t="s">
        <v>7944</v>
      </c>
      <c r="AL1105" t="s">
        <v>8935</v>
      </c>
      <c r="AO1105" s="76">
        <v>44452.461944444447</v>
      </c>
      <c r="AP1105" s="79" t="str">
        <f>HYPERLINK("https://pbs.twimg.com/profile_banners/1437371123465818125/1631540308")</f>
        <v>https://pbs.twimg.com/profile_banners/1437371123465818125/1631540308</v>
      </c>
      <c r="AQ1105" t="b">
        <v>1</v>
      </c>
      <c r="AR1105" t="b">
        <v>0</v>
      </c>
      <c r="AS1105" t="b">
        <v>0</v>
      </c>
      <c r="AU1105">
        <v>0</v>
      </c>
      <c r="AW1105" t="b">
        <v>0</v>
      </c>
      <c r="AX1105" t="s">
        <v>9303</v>
      </c>
      <c r="AY1105" s="79" t="str">
        <f>HYPERLINK("https://twitter.com/liltoot62")</f>
        <v>https://twitter.com/liltoot62</v>
      </c>
      <c r="AZ1105" t="s">
        <v>66</v>
      </c>
      <c r="BA1105" s="2"/>
    </row>
    <row r="1106" spans="1:53" x14ac:dyDescent="0.45">
      <c r="A1106" s="62" t="s">
        <v>380</v>
      </c>
      <c r="B1106" s="63"/>
      <c r="C1106" s="63"/>
      <c r="D1106" s="64"/>
      <c r="E1106" s="66"/>
      <c r="F1106" s="98" t="str">
        <f>HYPERLINK("https://pbs.twimg.com/profile_images/1613721709819092997/vWaKXVNB_normal.jpg")</f>
        <v>https://pbs.twimg.com/profile_images/1613721709819092997/vWaKXVNB_normal.jpg</v>
      </c>
      <c r="G1106" s="63"/>
      <c r="H1106" s="67"/>
      <c r="I1106" s="68"/>
      <c r="J1106" s="68"/>
      <c r="K1106" s="67" t="s">
        <v>9626</v>
      </c>
      <c r="L1106" s="71"/>
      <c r="M1106" s="72"/>
      <c r="N1106" s="72"/>
      <c r="O1106" s="73"/>
      <c r="P1106" s="74"/>
      <c r="Q1106" s="74"/>
      <c r="R1106" s="81"/>
      <c r="S1106" s="81"/>
      <c r="T1106" s="81"/>
      <c r="U1106" s="81"/>
      <c r="V1106" s="48"/>
      <c r="W1106" s="48"/>
      <c r="X1106" s="48"/>
      <c r="Y1106" s="48"/>
      <c r="Z1106" s="47"/>
      <c r="AA1106" s="69"/>
      <c r="AB1106" s="69"/>
      <c r="AC1106" s="70"/>
      <c r="AD1106" t="s">
        <v>5319</v>
      </c>
      <c r="AE1106" s="78" t="s">
        <v>6595</v>
      </c>
      <c r="AF1106">
        <v>229</v>
      </c>
      <c r="AG1106">
        <v>71</v>
      </c>
      <c r="AH1106">
        <v>26</v>
      </c>
      <c r="AI1106">
        <v>1069</v>
      </c>
      <c r="AK1106" t="s">
        <v>7773</v>
      </c>
      <c r="AL1106" t="s">
        <v>8845</v>
      </c>
      <c r="AM1106" s="79" t="str">
        <f>HYPERLINK("https://t.co/KAQRE2WKK3")</f>
        <v>https://t.co/KAQRE2WKK3</v>
      </c>
      <c r="AO1106" s="76">
        <v>44780.167881944442</v>
      </c>
      <c r="AP1106" s="79" t="str">
        <f>HYPERLINK("https://pbs.twimg.com/profile_banners/1556128373210230785/1673576355")</f>
        <v>https://pbs.twimg.com/profile_banners/1556128373210230785/1673576355</v>
      </c>
      <c r="AQ1106" t="b">
        <v>1</v>
      </c>
      <c r="AR1106" t="b">
        <v>0</v>
      </c>
      <c r="AS1106" t="b">
        <v>0</v>
      </c>
      <c r="AU1106">
        <v>1</v>
      </c>
      <c r="AW1106" t="b">
        <v>0</v>
      </c>
      <c r="AX1106" t="s">
        <v>9303</v>
      </c>
      <c r="AY1106" s="79" t="str">
        <f>HYPERLINK("https://twitter.com/newgiveaway24")</f>
        <v>https://twitter.com/newgiveaway24</v>
      </c>
      <c r="AZ1106" t="s">
        <v>66</v>
      </c>
      <c r="BA1106" s="2"/>
    </row>
    <row r="1107" spans="1:53" x14ac:dyDescent="0.45">
      <c r="A1107" s="62" t="s">
        <v>333</v>
      </c>
      <c r="B1107" s="63"/>
      <c r="C1107" s="63"/>
      <c r="D1107" s="64"/>
      <c r="E1107" s="66"/>
      <c r="F1107" s="98" t="str">
        <f>HYPERLINK("https://pbs.twimg.com/profile_images/968697873989808128/JG_D0YNW_normal.jpg")</f>
        <v>https://pbs.twimg.com/profile_images/968697873989808128/JG_D0YNW_normal.jpg</v>
      </c>
      <c r="G1107" s="63"/>
      <c r="H1107" s="67"/>
      <c r="I1107" s="68"/>
      <c r="J1107" s="68"/>
      <c r="K1107" s="67" t="s">
        <v>9546</v>
      </c>
      <c r="L1107" s="71"/>
      <c r="M1107" s="72"/>
      <c r="N1107" s="72"/>
      <c r="O1107" s="73"/>
      <c r="P1107" s="74"/>
      <c r="Q1107" s="74"/>
      <c r="R1107" s="81"/>
      <c r="S1107" s="81"/>
      <c r="T1107" s="81"/>
      <c r="U1107" s="81"/>
      <c r="V1107" s="48"/>
      <c r="W1107" s="48"/>
      <c r="X1107" s="48"/>
      <c r="Y1107" s="48"/>
      <c r="Z1107" s="47"/>
      <c r="AA1107" s="69"/>
      <c r="AB1107" s="69"/>
      <c r="AC1107" s="70"/>
      <c r="AD1107" t="s">
        <v>5239</v>
      </c>
      <c r="AE1107" s="78" t="s">
        <v>6522</v>
      </c>
      <c r="AF1107">
        <v>263</v>
      </c>
      <c r="AG1107">
        <v>71</v>
      </c>
      <c r="AH1107">
        <v>6348</v>
      </c>
      <c r="AI1107">
        <v>1703</v>
      </c>
      <c r="AK1107" t="s">
        <v>7707</v>
      </c>
      <c r="AL1107" t="s">
        <v>8808</v>
      </c>
      <c r="AO1107" s="76">
        <v>40025.990613425929</v>
      </c>
      <c r="AP1107" s="79" t="str">
        <f>HYPERLINK("https://pbs.twimg.com/profile_banners/61907087/1480718488")</f>
        <v>https://pbs.twimg.com/profile_banners/61907087/1480718488</v>
      </c>
      <c r="AQ1107" t="b">
        <v>0</v>
      </c>
      <c r="AR1107" t="b">
        <v>0</v>
      </c>
      <c r="AS1107" t="b">
        <v>0</v>
      </c>
      <c r="AU1107">
        <v>0</v>
      </c>
      <c r="AV1107" s="79" t="str">
        <f>HYPERLINK("https://abs.twimg.com/images/themes/theme10/bg.gif")</f>
        <v>https://abs.twimg.com/images/themes/theme10/bg.gif</v>
      </c>
      <c r="AW1107" t="b">
        <v>0</v>
      </c>
      <c r="AX1107" t="s">
        <v>9303</v>
      </c>
      <c r="AY1107" s="79" t="str">
        <f>HYPERLINK("https://twitter.com/staceyrosb")</f>
        <v>https://twitter.com/staceyrosb</v>
      </c>
      <c r="AZ1107" t="s">
        <v>66</v>
      </c>
      <c r="BA1107" s="2"/>
    </row>
    <row r="1108" spans="1:53" x14ac:dyDescent="0.45">
      <c r="A1108" s="62" t="s">
        <v>764</v>
      </c>
      <c r="B1108" s="63"/>
      <c r="C1108" s="63"/>
      <c r="D1108" s="64"/>
      <c r="E1108" s="66"/>
      <c r="F1108" s="98" t="str">
        <f>HYPERLINK("https://pbs.twimg.com/profile_images/1601136369945874433/DwPnTpTc_normal.jpg")</f>
        <v>https://pbs.twimg.com/profile_images/1601136369945874433/DwPnTpTc_normal.jpg</v>
      </c>
      <c r="G1108" s="63"/>
      <c r="H1108" s="67"/>
      <c r="I1108" s="68"/>
      <c r="J1108" s="68"/>
      <c r="K1108" s="67" t="s">
        <v>10121</v>
      </c>
      <c r="L1108" s="71"/>
      <c r="M1108" s="72"/>
      <c r="N1108" s="72"/>
      <c r="O1108" s="73"/>
      <c r="P1108" s="74"/>
      <c r="Q1108" s="74"/>
      <c r="R1108" s="81"/>
      <c r="S1108" s="81"/>
      <c r="T1108" s="81"/>
      <c r="U1108" s="81"/>
      <c r="V1108" s="48"/>
      <c r="W1108" s="48"/>
      <c r="X1108" s="48"/>
      <c r="Y1108" s="48"/>
      <c r="Z1108" s="47"/>
      <c r="AA1108" s="69"/>
      <c r="AB1108" s="69"/>
      <c r="AC1108" s="70"/>
      <c r="AD1108" t="s">
        <v>5809</v>
      </c>
      <c r="AE1108" s="78" t="s">
        <v>7038</v>
      </c>
      <c r="AF1108">
        <v>48</v>
      </c>
      <c r="AG1108">
        <v>71</v>
      </c>
      <c r="AH1108">
        <v>7630</v>
      </c>
      <c r="AI1108">
        <v>46948</v>
      </c>
      <c r="AK1108" t="s">
        <v>8204</v>
      </c>
      <c r="AL1108" t="s">
        <v>8830</v>
      </c>
      <c r="AO1108" s="76">
        <v>43324.314641203702</v>
      </c>
      <c r="AP1108" s="79" t="str">
        <f>HYPERLINK("https://pbs.twimg.com/profile_banners/1028544889728819200/1668619775")</f>
        <v>https://pbs.twimg.com/profile_banners/1028544889728819200/1668619775</v>
      </c>
      <c r="AQ1108" t="b">
        <v>0</v>
      </c>
      <c r="AR1108" t="b">
        <v>0</v>
      </c>
      <c r="AS1108" t="b">
        <v>1</v>
      </c>
      <c r="AU1108">
        <v>0</v>
      </c>
      <c r="AV1108" s="79" t="str">
        <f>HYPERLINK("https://abs.twimg.com/images/themes/theme1/bg.png")</f>
        <v>https://abs.twimg.com/images/themes/theme1/bg.png</v>
      </c>
      <c r="AW1108" t="b">
        <v>0</v>
      </c>
      <c r="AX1108" t="s">
        <v>9303</v>
      </c>
      <c r="AY1108" s="79" t="str">
        <f>HYPERLINK("https://twitter.com/younagh2000")</f>
        <v>https://twitter.com/younagh2000</v>
      </c>
      <c r="AZ1108" t="s">
        <v>66</v>
      </c>
      <c r="BA1108" s="2"/>
    </row>
    <row r="1109" spans="1:53" x14ac:dyDescent="0.45">
      <c r="A1109" s="62" t="s">
        <v>972</v>
      </c>
      <c r="B1109" s="63"/>
      <c r="C1109" s="63"/>
      <c r="D1109" s="64"/>
      <c r="E1109" s="66"/>
      <c r="F1109" s="98" t="str">
        <f>HYPERLINK("https://pbs.twimg.com/profile_images/1521955421514350593/zYTTc-dc_normal.png")</f>
        <v>https://pbs.twimg.com/profile_images/1521955421514350593/zYTTc-dc_normal.png</v>
      </c>
      <c r="G1109" s="63"/>
      <c r="H1109" s="67"/>
      <c r="I1109" s="68"/>
      <c r="J1109" s="68"/>
      <c r="K1109" s="67" t="s">
        <v>10434</v>
      </c>
      <c r="L1109" s="71"/>
      <c r="M1109" s="72"/>
      <c r="N1109" s="72"/>
      <c r="O1109" s="73"/>
      <c r="P1109" s="74"/>
      <c r="Q1109" s="74"/>
      <c r="R1109" s="81"/>
      <c r="S1109" s="81"/>
      <c r="T1109" s="81"/>
      <c r="U1109" s="81"/>
      <c r="V1109" s="48"/>
      <c r="W1109" s="48"/>
      <c r="X1109" s="48"/>
      <c r="Y1109" s="48"/>
      <c r="Z1109" s="47"/>
      <c r="AA1109" s="69"/>
      <c r="AB1109" s="69"/>
      <c r="AC1109" s="70"/>
      <c r="AD1109" t="s">
        <v>972</v>
      </c>
      <c r="AE1109" s="78" t="s">
        <v>7311</v>
      </c>
      <c r="AF1109">
        <v>206</v>
      </c>
      <c r="AG1109">
        <v>70</v>
      </c>
      <c r="AH1109">
        <v>964</v>
      </c>
      <c r="AI1109">
        <v>2660</v>
      </c>
      <c r="AK1109" t="s">
        <v>8476</v>
      </c>
      <c r="AL1109" t="s">
        <v>9212</v>
      </c>
      <c r="AO1109" s="76">
        <v>40138.573796296296</v>
      </c>
      <c r="AP1109" s="79" t="str">
        <f>HYPERLINK("https://pbs.twimg.com/profile_banners/91574295/1626801505")</f>
        <v>https://pbs.twimg.com/profile_banners/91574295/1626801505</v>
      </c>
      <c r="AQ1109" t="b">
        <v>0</v>
      </c>
      <c r="AR1109" t="b">
        <v>0</v>
      </c>
      <c r="AS1109" t="b">
        <v>1</v>
      </c>
      <c r="AU1109">
        <v>1</v>
      </c>
      <c r="AV1109" s="79" t="str">
        <f>HYPERLINK("https://abs.twimg.com/images/themes/theme15/bg.png")</f>
        <v>https://abs.twimg.com/images/themes/theme15/bg.png</v>
      </c>
      <c r="AW1109" t="b">
        <v>0</v>
      </c>
      <c r="AX1109" t="s">
        <v>9303</v>
      </c>
      <c r="AY1109" s="79" t="str">
        <f>HYPERLINK("https://twitter.com/paxultek")</f>
        <v>https://twitter.com/paxultek</v>
      </c>
      <c r="AZ1109" t="s">
        <v>66</v>
      </c>
      <c r="BA1109" s="2"/>
    </row>
    <row r="1110" spans="1:53" x14ac:dyDescent="0.45">
      <c r="A1110" s="62" t="s">
        <v>971</v>
      </c>
      <c r="B1110" s="63"/>
      <c r="C1110" s="63"/>
      <c r="D1110" s="64"/>
      <c r="E1110" s="66"/>
      <c r="F1110" s="98" t="str">
        <f>HYPERLINK("https://pbs.twimg.com/profile_images/1079525533707317249/JVYkMHWX_normal.jpg")</f>
        <v>https://pbs.twimg.com/profile_images/1079525533707317249/JVYkMHWX_normal.jpg</v>
      </c>
      <c r="G1110" s="63"/>
      <c r="H1110" s="67"/>
      <c r="I1110" s="68"/>
      <c r="J1110" s="68"/>
      <c r="K1110" s="67" t="s">
        <v>10433</v>
      </c>
      <c r="L1110" s="71"/>
      <c r="M1110" s="72"/>
      <c r="N1110" s="72"/>
      <c r="O1110" s="73"/>
      <c r="P1110" s="74"/>
      <c r="Q1110" s="74"/>
      <c r="R1110" s="81"/>
      <c r="S1110" s="81"/>
      <c r="T1110" s="81"/>
      <c r="U1110" s="81"/>
      <c r="V1110" s="48"/>
      <c r="W1110" s="48"/>
      <c r="X1110" s="48"/>
      <c r="Y1110" s="48"/>
      <c r="Z1110" s="47"/>
      <c r="AA1110" s="69"/>
      <c r="AB1110" s="69"/>
      <c r="AC1110" s="70"/>
      <c r="AD1110" t="s">
        <v>6115</v>
      </c>
      <c r="AE1110" s="78" t="s">
        <v>4782</v>
      </c>
      <c r="AF1110">
        <v>68</v>
      </c>
      <c r="AG1110">
        <v>70</v>
      </c>
      <c r="AH1110">
        <v>7281</v>
      </c>
      <c r="AI1110">
        <v>3719</v>
      </c>
      <c r="AK1110" t="s">
        <v>8475</v>
      </c>
      <c r="AL1110" t="s">
        <v>9211</v>
      </c>
      <c r="AO1110" s="76">
        <v>43351.859918981485</v>
      </c>
      <c r="AP1110" s="79" t="str">
        <f>HYPERLINK("https://pbs.twimg.com/profile_banners/1038526962443149313/1653279400")</f>
        <v>https://pbs.twimg.com/profile_banners/1038526962443149313/1653279400</v>
      </c>
      <c r="AQ1110" t="b">
        <v>1</v>
      </c>
      <c r="AR1110" t="b">
        <v>0</v>
      </c>
      <c r="AS1110" t="b">
        <v>0</v>
      </c>
      <c r="AU1110">
        <v>0</v>
      </c>
      <c r="AW1110" t="b">
        <v>0</v>
      </c>
      <c r="AX1110" t="s">
        <v>9303</v>
      </c>
      <c r="AY1110" s="79" t="str">
        <f>HYPERLINK("https://twitter.com/firestormfox1")</f>
        <v>https://twitter.com/firestormfox1</v>
      </c>
      <c r="AZ1110" t="s">
        <v>66</v>
      </c>
      <c r="BA1110" s="2"/>
    </row>
    <row r="1111" spans="1:53" x14ac:dyDescent="0.45">
      <c r="A1111" s="62" t="s">
        <v>912</v>
      </c>
      <c r="B1111" s="63"/>
      <c r="C1111" s="63"/>
      <c r="D1111" s="64"/>
      <c r="E1111" s="66"/>
      <c r="F1111" s="98" t="str">
        <f>HYPERLINK("https://pbs.twimg.com/profile_images/1198841139899633666/J1TT6myP_normal.jpg")</f>
        <v>https://pbs.twimg.com/profile_images/1198841139899633666/J1TT6myP_normal.jpg</v>
      </c>
      <c r="G1111" s="63"/>
      <c r="H1111" s="67"/>
      <c r="I1111" s="68"/>
      <c r="J1111" s="68"/>
      <c r="K1111" s="67" t="s">
        <v>10333</v>
      </c>
      <c r="L1111" s="71"/>
      <c r="M1111" s="72"/>
      <c r="N1111" s="72"/>
      <c r="O1111" s="73"/>
      <c r="P1111" s="74"/>
      <c r="Q1111" s="74"/>
      <c r="R1111" s="81"/>
      <c r="S1111" s="81"/>
      <c r="T1111" s="81"/>
      <c r="U1111" s="81"/>
      <c r="V1111" s="48"/>
      <c r="W1111" s="48"/>
      <c r="X1111" s="48"/>
      <c r="Y1111" s="48"/>
      <c r="Z1111" s="47"/>
      <c r="AA1111" s="69"/>
      <c r="AB1111" s="69"/>
      <c r="AC1111" s="70"/>
      <c r="AD1111" t="s">
        <v>6016</v>
      </c>
      <c r="AE1111" s="78" t="s">
        <v>7224</v>
      </c>
      <c r="AF1111">
        <v>396</v>
      </c>
      <c r="AG1111">
        <v>69</v>
      </c>
      <c r="AH1111">
        <v>4290</v>
      </c>
      <c r="AI1111">
        <v>1602</v>
      </c>
      <c r="AL1111" t="s">
        <v>4900</v>
      </c>
      <c r="AO1111" s="76">
        <v>40617.238819444443</v>
      </c>
      <c r="AP1111" s="79" t="str">
        <f>HYPERLINK("https://pbs.twimg.com/profile_banners/266416324/1469497570")</f>
        <v>https://pbs.twimg.com/profile_banners/266416324/1469497570</v>
      </c>
      <c r="AQ1111" t="b">
        <v>0</v>
      </c>
      <c r="AR1111" t="b">
        <v>0</v>
      </c>
      <c r="AS1111" t="b">
        <v>1</v>
      </c>
      <c r="AU1111">
        <v>2</v>
      </c>
      <c r="AV1111" s="79" t="str">
        <f>HYPERLINK("https://abs.twimg.com/images/themes/theme1/bg.png")</f>
        <v>https://abs.twimg.com/images/themes/theme1/bg.png</v>
      </c>
      <c r="AW1111" t="b">
        <v>0</v>
      </c>
      <c r="AX1111" t="s">
        <v>9303</v>
      </c>
      <c r="AY1111" s="79" t="str">
        <f>HYPERLINK("https://twitter.com/angel13224")</f>
        <v>https://twitter.com/angel13224</v>
      </c>
      <c r="AZ1111" t="s">
        <v>66</v>
      </c>
      <c r="BA1111" s="2"/>
    </row>
    <row r="1112" spans="1:53" x14ac:dyDescent="0.45">
      <c r="A1112" s="62" t="s">
        <v>480</v>
      </c>
      <c r="B1112" s="63"/>
      <c r="C1112" s="63"/>
      <c r="D1112" s="64"/>
      <c r="E1112" s="66"/>
      <c r="F1112" s="98" t="str">
        <f>HYPERLINK("https://pbs.twimg.com/profile_images/1603392648429043716/TyID5sf2_normal.jpg")</f>
        <v>https://pbs.twimg.com/profile_images/1603392648429043716/TyID5sf2_normal.jpg</v>
      </c>
      <c r="G1112" s="63"/>
      <c r="H1112" s="67"/>
      <c r="I1112" s="68"/>
      <c r="J1112" s="68"/>
      <c r="K1112" s="67" t="s">
        <v>9752</v>
      </c>
      <c r="L1112" s="71"/>
      <c r="M1112" s="72"/>
      <c r="N1112" s="72"/>
      <c r="O1112" s="73"/>
      <c r="P1112" s="74"/>
      <c r="Q1112" s="74"/>
      <c r="R1112" s="81"/>
      <c r="S1112" s="81"/>
      <c r="T1112" s="81"/>
      <c r="U1112" s="81"/>
      <c r="V1112" s="48"/>
      <c r="W1112" s="48"/>
      <c r="X1112" s="48"/>
      <c r="Y1112" s="48"/>
      <c r="Z1112" s="47"/>
      <c r="AA1112" s="69"/>
      <c r="AB1112" s="69"/>
      <c r="AC1112" s="70"/>
      <c r="AD1112" t="s">
        <v>5444</v>
      </c>
      <c r="AE1112" s="78" t="s">
        <v>6709</v>
      </c>
      <c r="AF1112">
        <v>92</v>
      </c>
      <c r="AG1112">
        <v>69</v>
      </c>
      <c r="AH1112">
        <v>1893</v>
      </c>
      <c r="AI1112">
        <v>300</v>
      </c>
      <c r="AK1112" t="s">
        <v>7880</v>
      </c>
      <c r="AL1112" t="s">
        <v>8901</v>
      </c>
      <c r="AM1112" s="79" t="str">
        <f>HYPERLINK("https://t.co/9SapGZKrSE")</f>
        <v>https://t.co/9SapGZKrSE</v>
      </c>
      <c r="AO1112" s="76">
        <v>44312.180925925924</v>
      </c>
      <c r="AP1112" s="79" t="str">
        <f>HYPERLINK("https://pbs.twimg.com/profile_banners/1386535600967360512/1651302341")</f>
        <v>https://pbs.twimg.com/profile_banners/1386535600967360512/1651302341</v>
      </c>
      <c r="AQ1112" t="b">
        <v>1</v>
      </c>
      <c r="AR1112" t="b">
        <v>0</v>
      </c>
      <c r="AS1112" t="b">
        <v>1</v>
      </c>
      <c r="AU1112">
        <v>0</v>
      </c>
      <c r="AW1112" t="b">
        <v>0</v>
      </c>
      <c r="AX1112" t="s">
        <v>9303</v>
      </c>
      <c r="AY1112" s="79" t="str">
        <f>HYPERLINK("https://twitter.com/nickwaynegames")</f>
        <v>https://twitter.com/nickwaynegames</v>
      </c>
      <c r="AZ1112" t="s">
        <v>66</v>
      </c>
      <c r="BA1112" s="2"/>
    </row>
    <row r="1113" spans="1:53" x14ac:dyDescent="0.45">
      <c r="A1113" s="62" t="s">
        <v>639</v>
      </c>
      <c r="B1113" s="63"/>
      <c r="C1113" s="63"/>
      <c r="D1113" s="64"/>
      <c r="E1113" s="66"/>
      <c r="F1113" s="98" t="str">
        <f>HYPERLINK("https://pbs.twimg.com/profile_images/1373864874170839049/U9vWcaCP_normal.jpg")</f>
        <v>https://pbs.twimg.com/profile_images/1373864874170839049/U9vWcaCP_normal.jpg</v>
      </c>
      <c r="G1113" s="63"/>
      <c r="H1113" s="67"/>
      <c r="I1113" s="68"/>
      <c r="J1113" s="68"/>
      <c r="K1113" s="67" t="s">
        <v>9950</v>
      </c>
      <c r="L1113" s="71"/>
      <c r="M1113" s="72"/>
      <c r="N1113" s="72"/>
      <c r="O1113" s="73"/>
      <c r="P1113" s="74"/>
      <c r="Q1113" s="74"/>
      <c r="R1113" s="81"/>
      <c r="S1113" s="81"/>
      <c r="T1113" s="81"/>
      <c r="U1113" s="81"/>
      <c r="V1113" s="48"/>
      <c r="W1113" s="48"/>
      <c r="X1113" s="48"/>
      <c r="Y1113" s="48"/>
      <c r="Z1113" s="47"/>
      <c r="AA1113" s="69"/>
      <c r="AB1113" s="69"/>
      <c r="AC1113" s="70"/>
      <c r="AD1113" t="s">
        <v>5641</v>
      </c>
      <c r="AE1113" s="78" t="s">
        <v>6883</v>
      </c>
      <c r="AF1113">
        <v>159</v>
      </c>
      <c r="AG1113">
        <v>67</v>
      </c>
      <c r="AH1113">
        <v>5745</v>
      </c>
      <c r="AI1113">
        <v>17055</v>
      </c>
      <c r="AK1113" t="s">
        <v>8055</v>
      </c>
      <c r="AL1113" t="s">
        <v>4899</v>
      </c>
      <c r="AO1113" s="76">
        <v>43466.438935185186</v>
      </c>
      <c r="AP1113" s="79" t="str">
        <f>HYPERLINK("https://pbs.twimg.com/profile_banners/1080049006531805185/1563394583")</f>
        <v>https://pbs.twimg.com/profile_banners/1080049006531805185/1563394583</v>
      </c>
      <c r="AQ1113" t="b">
        <v>1</v>
      </c>
      <c r="AR1113" t="b">
        <v>0</v>
      </c>
      <c r="AS1113" t="b">
        <v>0</v>
      </c>
      <c r="AU1113">
        <v>1</v>
      </c>
      <c r="AW1113" t="b">
        <v>0</v>
      </c>
      <c r="AX1113" t="s">
        <v>9303</v>
      </c>
      <c r="AY1113" s="79" t="str">
        <f>HYPERLINK("https://twitter.com/lauraknitstoys")</f>
        <v>https://twitter.com/lauraknitstoys</v>
      </c>
      <c r="AZ1113" t="s">
        <v>66</v>
      </c>
      <c r="BA1113" s="2"/>
    </row>
    <row r="1114" spans="1:53" x14ac:dyDescent="0.45">
      <c r="A1114" s="62" t="s">
        <v>948</v>
      </c>
      <c r="B1114" s="63"/>
      <c r="C1114" s="63"/>
      <c r="D1114" s="64"/>
      <c r="E1114" s="66"/>
      <c r="F1114" s="98" t="str">
        <f>HYPERLINK("https://pbs.twimg.com/profile_images/1419755883337330692/B6VsU0ie_normal.jpg")</f>
        <v>https://pbs.twimg.com/profile_images/1419755883337330692/B6VsU0ie_normal.jpg</v>
      </c>
      <c r="G1114" s="63"/>
      <c r="H1114" s="67"/>
      <c r="I1114" s="68"/>
      <c r="J1114" s="68"/>
      <c r="K1114" s="67" t="s">
        <v>10394</v>
      </c>
      <c r="L1114" s="71"/>
      <c r="M1114" s="72"/>
      <c r="N1114" s="72"/>
      <c r="O1114" s="73"/>
      <c r="P1114" s="74"/>
      <c r="Q1114" s="74"/>
      <c r="R1114" s="81"/>
      <c r="S1114" s="81"/>
      <c r="T1114" s="81"/>
      <c r="U1114" s="81"/>
      <c r="V1114" s="48"/>
      <c r="W1114" s="48"/>
      <c r="X1114" s="48"/>
      <c r="Y1114" s="48"/>
      <c r="Z1114" s="47"/>
      <c r="AA1114" s="69"/>
      <c r="AB1114" s="69"/>
      <c r="AC1114" s="70"/>
      <c r="AD1114" t="s">
        <v>6076</v>
      </c>
      <c r="AE1114" s="78" t="s">
        <v>4775</v>
      </c>
      <c r="AF1114">
        <v>349</v>
      </c>
      <c r="AG1114">
        <v>67</v>
      </c>
      <c r="AH1114">
        <v>743</v>
      </c>
      <c r="AI1114">
        <v>16770</v>
      </c>
      <c r="AO1114" s="76">
        <v>43724.218668981484</v>
      </c>
      <c r="AQ1114" t="b">
        <v>1</v>
      </c>
      <c r="AR1114" t="b">
        <v>0</v>
      </c>
      <c r="AS1114" t="b">
        <v>0</v>
      </c>
      <c r="AU1114">
        <v>0</v>
      </c>
      <c r="AW1114" t="b">
        <v>0</v>
      </c>
      <c r="AX1114" t="s">
        <v>9303</v>
      </c>
      <c r="AY1114" s="79" t="str">
        <f>HYPERLINK("https://twitter.com/ghostpantsdaily")</f>
        <v>https://twitter.com/ghostpantsdaily</v>
      </c>
      <c r="AZ1114" t="s">
        <v>66</v>
      </c>
      <c r="BA1114" s="2"/>
    </row>
    <row r="1115" spans="1:53" x14ac:dyDescent="0.45">
      <c r="A1115" s="62" t="s">
        <v>441</v>
      </c>
      <c r="B1115" s="63"/>
      <c r="C1115" s="63"/>
      <c r="D1115" s="64"/>
      <c r="E1115" s="66"/>
      <c r="F1115" s="98" t="str">
        <f>HYPERLINK("https://pbs.twimg.com/profile_images/971051160240054272/uDIQu0Cn_normal.jpg")</f>
        <v>https://pbs.twimg.com/profile_images/971051160240054272/uDIQu0Cn_normal.jpg</v>
      </c>
      <c r="G1115" s="63"/>
      <c r="H1115" s="67"/>
      <c r="I1115" s="68"/>
      <c r="J1115" s="68"/>
      <c r="K1115" s="67" t="s">
        <v>9696</v>
      </c>
      <c r="L1115" s="71"/>
      <c r="M1115" s="72"/>
      <c r="N1115" s="72"/>
      <c r="O1115" s="73"/>
      <c r="P1115" s="74"/>
      <c r="Q1115" s="74"/>
      <c r="R1115" s="81"/>
      <c r="S1115" s="81"/>
      <c r="T1115" s="81"/>
      <c r="U1115" s="81"/>
      <c r="V1115" s="48"/>
      <c r="W1115" s="48"/>
      <c r="X1115" s="48"/>
      <c r="Y1115" s="48"/>
      <c r="Z1115" s="47"/>
      <c r="AA1115" s="69"/>
      <c r="AB1115" s="69"/>
      <c r="AC1115" s="70"/>
      <c r="AD1115" t="s">
        <v>5388</v>
      </c>
      <c r="AE1115" s="78" t="s">
        <v>6662</v>
      </c>
      <c r="AF1115">
        <v>474</v>
      </c>
      <c r="AG1115">
        <v>66</v>
      </c>
      <c r="AH1115">
        <v>14255</v>
      </c>
      <c r="AI1115">
        <v>4572</v>
      </c>
      <c r="AO1115" s="76">
        <v>42003.730636574073</v>
      </c>
      <c r="AQ1115" t="b">
        <v>1</v>
      </c>
      <c r="AR1115" t="b">
        <v>0</v>
      </c>
      <c r="AS1115" t="b">
        <v>0</v>
      </c>
      <c r="AU1115">
        <v>9</v>
      </c>
      <c r="AV1115" s="79" t="str">
        <f>HYPERLINK("https://abs.twimg.com/images/themes/theme1/bg.png")</f>
        <v>https://abs.twimg.com/images/themes/theme1/bg.png</v>
      </c>
      <c r="AW1115" t="b">
        <v>0</v>
      </c>
      <c r="AX1115" t="s">
        <v>9303</v>
      </c>
      <c r="AY1115" s="79" t="str">
        <f>HYPERLINK("https://twitter.com/gonzabear")</f>
        <v>https://twitter.com/gonzabear</v>
      </c>
      <c r="AZ1115" t="s">
        <v>66</v>
      </c>
      <c r="BA1115" s="2"/>
    </row>
    <row r="1116" spans="1:53" x14ac:dyDescent="0.45">
      <c r="A1116" s="62" t="s">
        <v>752</v>
      </c>
      <c r="B1116" s="63"/>
      <c r="C1116" s="63"/>
      <c r="D1116" s="64"/>
      <c r="E1116" s="66"/>
      <c r="F1116" s="98" t="str">
        <f>HYPERLINK("https://pbs.twimg.com/profile_images/1591986619321573376/EkO-m6n7_normal.jpg")</f>
        <v>https://pbs.twimg.com/profile_images/1591986619321573376/EkO-m6n7_normal.jpg</v>
      </c>
      <c r="G1116" s="63"/>
      <c r="H1116" s="67"/>
      <c r="I1116" s="68"/>
      <c r="J1116" s="68"/>
      <c r="K1116" s="67" t="s">
        <v>10103</v>
      </c>
      <c r="L1116" s="71"/>
      <c r="M1116" s="72"/>
      <c r="N1116" s="72"/>
      <c r="O1116" s="73"/>
      <c r="P1116" s="74"/>
      <c r="Q1116" s="74"/>
      <c r="R1116" s="81"/>
      <c r="S1116" s="81"/>
      <c r="T1116" s="81"/>
      <c r="U1116" s="81"/>
      <c r="V1116" s="48"/>
      <c r="W1116" s="48"/>
      <c r="X1116" s="48"/>
      <c r="Y1116" s="48"/>
      <c r="Z1116" s="47"/>
      <c r="AA1116" s="69"/>
      <c r="AB1116" s="69"/>
      <c r="AC1116" s="70"/>
      <c r="AD1116" t="s">
        <v>5791</v>
      </c>
      <c r="AE1116" s="78" t="s">
        <v>7023</v>
      </c>
      <c r="AF1116">
        <v>126</v>
      </c>
      <c r="AG1116">
        <v>65</v>
      </c>
      <c r="AH1116">
        <v>2090</v>
      </c>
      <c r="AI1116">
        <v>16952</v>
      </c>
      <c r="AK1116" t="s">
        <v>8186</v>
      </c>
      <c r="AM1116" s="79" t="str">
        <f>HYPERLINK("https://t.co/xFhW1lR9vq")</f>
        <v>https://t.co/xFhW1lR9vq</v>
      </c>
      <c r="AO1116" s="76">
        <v>43979.100127314814</v>
      </c>
      <c r="AP1116" s="79" t="str">
        <f>HYPERLINK("https://pbs.twimg.com/profile_banners/1265831149923962883/1668394173")</f>
        <v>https://pbs.twimg.com/profile_banners/1265831149923962883/1668394173</v>
      </c>
      <c r="AQ1116" t="b">
        <v>1</v>
      </c>
      <c r="AR1116" t="b">
        <v>0</v>
      </c>
      <c r="AS1116" t="b">
        <v>0</v>
      </c>
      <c r="AU1116">
        <v>1</v>
      </c>
      <c r="AW1116" t="b">
        <v>0</v>
      </c>
      <c r="AX1116" t="s">
        <v>9303</v>
      </c>
      <c r="AY1116" s="79" t="str">
        <f>HYPERLINK("https://twitter.com/atlayton")</f>
        <v>https://twitter.com/atlayton</v>
      </c>
      <c r="AZ1116" t="s">
        <v>66</v>
      </c>
      <c r="BA1116" s="2"/>
    </row>
    <row r="1117" spans="1:53" x14ac:dyDescent="0.45">
      <c r="A1117" s="62" t="s">
        <v>355</v>
      </c>
      <c r="B1117" s="63"/>
      <c r="C1117" s="63"/>
      <c r="D1117" s="64"/>
      <c r="E1117" s="66"/>
      <c r="F1117" s="98" t="str">
        <f>HYPERLINK("https://pbs.twimg.com/profile_images/329059613/IMG_0572_normal.JPG")</f>
        <v>https://pbs.twimg.com/profile_images/329059613/IMG_0572_normal.JPG</v>
      </c>
      <c r="G1117" s="63"/>
      <c r="H1117" s="67"/>
      <c r="I1117" s="68"/>
      <c r="J1117" s="68"/>
      <c r="K1117" s="67" t="s">
        <v>9583</v>
      </c>
      <c r="L1117" s="71"/>
      <c r="M1117" s="72"/>
      <c r="N1117" s="72"/>
      <c r="O1117" s="73"/>
      <c r="P1117" s="74"/>
      <c r="Q1117" s="74"/>
      <c r="R1117" s="81"/>
      <c r="S1117" s="81"/>
      <c r="T1117" s="81"/>
      <c r="U1117" s="81"/>
      <c r="V1117" s="48"/>
      <c r="W1117" s="48"/>
      <c r="X1117" s="48"/>
      <c r="Y1117" s="48"/>
      <c r="Z1117" s="47"/>
      <c r="AA1117" s="69"/>
      <c r="AB1117" s="69"/>
      <c r="AC1117" s="70"/>
      <c r="AD1117" t="s">
        <v>5276</v>
      </c>
      <c r="AE1117" s="78" t="s">
        <v>6554</v>
      </c>
      <c r="AF1117">
        <v>366</v>
      </c>
      <c r="AG1117">
        <v>64</v>
      </c>
      <c r="AH1117">
        <v>862</v>
      </c>
      <c r="AI1117">
        <v>1353</v>
      </c>
      <c r="AL1117" t="s">
        <v>8765</v>
      </c>
      <c r="AO1117" s="76">
        <v>39924.96912037037</v>
      </c>
      <c r="AP1117" s="79" t="str">
        <f>HYPERLINK("https://pbs.twimg.com/profile_banners/34084965/1440701411")</f>
        <v>https://pbs.twimg.com/profile_banners/34084965/1440701411</v>
      </c>
      <c r="AQ1117" t="b">
        <v>1</v>
      </c>
      <c r="AR1117" t="b">
        <v>0</v>
      </c>
      <c r="AS1117" t="b">
        <v>1</v>
      </c>
      <c r="AU1117">
        <v>2</v>
      </c>
      <c r="AV1117" s="79" t="str">
        <f>HYPERLINK("https://abs.twimg.com/images/themes/theme1/bg.png")</f>
        <v>https://abs.twimg.com/images/themes/theme1/bg.png</v>
      </c>
      <c r="AW1117" t="b">
        <v>0</v>
      </c>
      <c r="AX1117" t="s">
        <v>9303</v>
      </c>
      <c r="AY1117" s="79" t="str">
        <f>HYPERLINK("https://twitter.com/maryluvsmarc")</f>
        <v>https://twitter.com/maryluvsmarc</v>
      </c>
      <c r="AZ1117" t="s">
        <v>66</v>
      </c>
      <c r="BA1117" s="2"/>
    </row>
    <row r="1118" spans="1:53" x14ac:dyDescent="0.45">
      <c r="A1118" s="62" t="s">
        <v>1132</v>
      </c>
      <c r="B1118" s="63"/>
      <c r="C1118" s="63"/>
      <c r="D1118" s="64"/>
      <c r="E1118" s="66"/>
      <c r="F1118" s="98" t="str">
        <f>HYPERLINK("https://pbs.twimg.com/profile_images/1587944454467493896/Rgkjn__G_normal.jpg")</f>
        <v>https://pbs.twimg.com/profile_images/1587944454467493896/Rgkjn__G_normal.jpg</v>
      </c>
      <c r="G1118" s="63"/>
      <c r="H1118" s="67"/>
      <c r="I1118" s="68"/>
      <c r="J1118" s="68"/>
      <c r="K1118" s="67" t="s">
        <v>9354</v>
      </c>
      <c r="L1118" s="71"/>
      <c r="M1118" s="72"/>
      <c r="N1118" s="72"/>
      <c r="O1118" s="73"/>
      <c r="P1118" s="74"/>
      <c r="Q1118" s="74"/>
      <c r="R1118" s="81"/>
      <c r="S1118" s="81"/>
      <c r="T1118" s="81"/>
      <c r="U1118" s="81"/>
      <c r="V1118" s="48"/>
      <c r="W1118" s="48"/>
      <c r="X1118" s="48"/>
      <c r="Y1118" s="48"/>
      <c r="Z1118" s="47"/>
      <c r="AA1118" s="69"/>
      <c r="AB1118" s="69"/>
      <c r="AC1118" s="70"/>
      <c r="AD1118" t="s">
        <v>5050</v>
      </c>
      <c r="AE1118" s="78" t="s">
        <v>4648</v>
      </c>
      <c r="AF1118">
        <v>572</v>
      </c>
      <c r="AG1118">
        <v>64</v>
      </c>
      <c r="AH1118">
        <v>19822</v>
      </c>
      <c r="AI1118">
        <v>12873</v>
      </c>
      <c r="AK1118" t="s">
        <v>7536</v>
      </c>
      <c r="AL1118" t="s">
        <v>4917</v>
      </c>
      <c r="AO1118" s="76">
        <v>41026.931666666664</v>
      </c>
      <c r="AP1118" s="79" t="str">
        <f>HYPERLINK("https://pbs.twimg.com/profile_banners/564962776/1641054723")</f>
        <v>https://pbs.twimg.com/profile_banners/564962776/1641054723</v>
      </c>
      <c r="AQ1118" t="b">
        <v>0</v>
      </c>
      <c r="AR1118" t="b">
        <v>0</v>
      </c>
      <c r="AS1118" t="b">
        <v>1</v>
      </c>
      <c r="AU1118">
        <v>0</v>
      </c>
      <c r="AV1118" s="79" t="str">
        <f>HYPERLINK("https://abs.twimg.com/images/themes/theme4/bg.gif")</f>
        <v>https://abs.twimg.com/images/themes/theme4/bg.gif</v>
      </c>
      <c r="AW1118" t="b">
        <v>0</v>
      </c>
      <c r="AX1118" t="s">
        <v>9303</v>
      </c>
      <c r="AY1118" s="79" t="str">
        <f>HYPERLINK("https://twitter.com/dis_nari")</f>
        <v>https://twitter.com/dis_nari</v>
      </c>
      <c r="AZ1118" t="s">
        <v>65</v>
      </c>
      <c r="BA1118" s="2"/>
    </row>
    <row r="1119" spans="1:53" x14ac:dyDescent="0.45">
      <c r="A1119" s="62" t="s">
        <v>633</v>
      </c>
      <c r="B1119" s="63"/>
      <c r="C1119" s="63"/>
      <c r="D1119" s="64"/>
      <c r="E1119" s="66"/>
      <c r="F1119" s="98" t="str">
        <f>HYPERLINK("https://pbs.twimg.com/profile_images/1612748211386449920/z_m-RHAX_normal.jpg")</f>
        <v>https://pbs.twimg.com/profile_images/1612748211386449920/z_m-RHAX_normal.jpg</v>
      </c>
      <c r="G1119" s="63"/>
      <c r="H1119" s="67"/>
      <c r="I1119" s="68"/>
      <c r="J1119" s="68"/>
      <c r="K1119" s="67" t="s">
        <v>9942</v>
      </c>
      <c r="L1119" s="71"/>
      <c r="M1119" s="72"/>
      <c r="N1119" s="72"/>
      <c r="O1119" s="73"/>
      <c r="P1119" s="74"/>
      <c r="Q1119" s="74"/>
      <c r="R1119" s="81"/>
      <c r="S1119" s="81"/>
      <c r="T1119" s="81"/>
      <c r="U1119" s="81"/>
      <c r="V1119" s="48"/>
      <c r="W1119" s="48"/>
      <c r="X1119" s="48"/>
      <c r="Y1119" s="48"/>
      <c r="Z1119" s="47"/>
      <c r="AA1119" s="69"/>
      <c r="AB1119" s="69"/>
      <c r="AC1119" s="70"/>
      <c r="AD1119" t="s">
        <v>5633</v>
      </c>
      <c r="AE1119" s="78" t="s">
        <v>6876</v>
      </c>
      <c r="AF1119">
        <v>156</v>
      </c>
      <c r="AG1119">
        <v>64</v>
      </c>
      <c r="AH1119">
        <v>850</v>
      </c>
      <c r="AI1119">
        <v>47</v>
      </c>
      <c r="AL1119" t="s">
        <v>9008</v>
      </c>
      <c r="AO1119" s="76">
        <v>42376.966782407406</v>
      </c>
      <c r="AP1119" s="79" t="str">
        <f>HYPERLINK("https://pbs.twimg.com/profile_banners/4725646153/1620403476")</f>
        <v>https://pbs.twimg.com/profile_banners/4725646153/1620403476</v>
      </c>
      <c r="AQ1119" t="b">
        <v>1</v>
      </c>
      <c r="AR1119" t="b">
        <v>0</v>
      </c>
      <c r="AS1119" t="b">
        <v>1</v>
      </c>
      <c r="AU1119">
        <v>0</v>
      </c>
      <c r="AW1119" t="b">
        <v>0</v>
      </c>
      <c r="AX1119" t="s">
        <v>9303</v>
      </c>
      <c r="AY1119" s="79" t="str">
        <f>HYPERLINK("https://twitter.com/thiccasz_jay")</f>
        <v>https://twitter.com/thiccasz_jay</v>
      </c>
      <c r="AZ1119" t="s">
        <v>66</v>
      </c>
      <c r="BA1119" s="2"/>
    </row>
    <row r="1120" spans="1:53" x14ac:dyDescent="0.45">
      <c r="A1120" s="62" t="s">
        <v>308</v>
      </c>
      <c r="B1120" s="63"/>
      <c r="C1120" s="63"/>
      <c r="D1120" s="64"/>
      <c r="E1120" s="66"/>
      <c r="F1120" s="98" t="str">
        <f>HYPERLINK("https://pbs.twimg.com/profile_images/980969707502174208/fo8CBXWE_normal.jpg")</f>
        <v>https://pbs.twimg.com/profile_images/980969707502174208/fo8CBXWE_normal.jpg</v>
      </c>
      <c r="G1120" s="63"/>
      <c r="H1120" s="67"/>
      <c r="I1120" s="68"/>
      <c r="J1120" s="68"/>
      <c r="K1120" s="67" t="s">
        <v>9504</v>
      </c>
      <c r="L1120" s="71"/>
      <c r="M1120" s="72"/>
      <c r="N1120" s="72"/>
      <c r="O1120" s="73"/>
      <c r="P1120" s="74"/>
      <c r="Q1120" s="74"/>
      <c r="R1120" s="81"/>
      <c r="S1120" s="81"/>
      <c r="T1120" s="81"/>
      <c r="U1120" s="81"/>
      <c r="V1120" s="48"/>
      <c r="W1120" s="48"/>
      <c r="X1120" s="48"/>
      <c r="Y1120" s="48"/>
      <c r="Z1120" s="47"/>
      <c r="AA1120" s="69"/>
      <c r="AB1120" s="69"/>
      <c r="AC1120" s="70"/>
      <c r="AD1120" t="s">
        <v>5198</v>
      </c>
      <c r="AE1120" s="78" t="s">
        <v>6489</v>
      </c>
      <c r="AF1120">
        <v>371</v>
      </c>
      <c r="AG1120">
        <v>63</v>
      </c>
      <c r="AH1120">
        <v>3269</v>
      </c>
      <c r="AI1120">
        <v>1705</v>
      </c>
      <c r="AK1120" t="s">
        <v>7668</v>
      </c>
      <c r="AL1120" t="s">
        <v>8786</v>
      </c>
      <c r="AM1120" s="79" t="str">
        <f>HYPERLINK("https://t.co/fy92wqMwcG")</f>
        <v>https://t.co/fy92wqMwcG</v>
      </c>
      <c r="AO1120" s="76">
        <v>40119.286759259259</v>
      </c>
      <c r="AP1120" s="79" t="str">
        <f>HYPERLINK("https://pbs.twimg.com/profile_banners/86890025/1580169672")</f>
        <v>https://pbs.twimg.com/profile_banners/86890025/1580169672</v>
      </c>
      <c r="AQ1120" t="b">
        <v>1</v>
      </c>
      <c r="AR1120" t="b">
        <v>0</v>
      </c>
      <c r="AS1120" t="b">
        <v>1</v>
      </c>
      <c r="AU1120">
        <v>2</v>
      </c>
      <c r="AV1120" s="79" t="str">
        <f>HYPERLINK("https://abs.twimg.com/images/themes/theme1/bg.png")</f>
        <v>https://abs.twimg.com/images/themes/theme1/bg.png</v>
      </c>
      <c r="AW1120" t="b">
        <v>0</v>
      </c>
      <c r="AX1120" t="s">
        <v>9303</v>
      </c>
      <c r="AY1120" s="79" t="str">
        <f>HYPERLINK("https://twitter.com/stacie1216")</f>
        <v>https://twitter.com/stacie1216</v>
      </c>
      <c r="AZ1120" t="s">
        <v>66</v>
      </c>
      <c r="BA1120" s="2"/>
    </row>
    <row r="1121" spans="1:53" x14ac:dyDescent="0.45">
      <c r="A1121" s="62" t="s">
        <v>274</v>
      </c>
      <c r="B1121" s="63"/>
      <c r="C1121" s="63"/>
      <c r="D1121" s="64"/>
      <c r="E1121" s="66"/>
      <c r="F1121" s="98" t="str">
        <f>HYPERLINK("https://pbs.twimg.com/profile_images/1620988716562141189/4IRqyxrK_normal.jpg")</f>
        <v>https://pbs.twimg.com/profile_images/1620988716562141189/4IRqyxrK_normal.jpg</v>
      </c>
      <c r="G1121" s="63"/>
      <c r="H1121" s="67"/>
      <c r="I1121" s="68"/>
      <c r="J1121" s="68"/>
      <c r="K1121" s="67" t="s">
        <v>9424</v>
      </c>
      <c r="L1121" s="71"/>
      <c r="M1121" s="72"/>
      <c r="N1121" s="72"/>
      <c r="O1121" s="73"/>
      <c r="P1121" s="74"/>
      <c r="Q1121" s="74"/>
      <c r="R1121" s="81"/>
      <c r="S1121" s="81"/>
      <c r="T1121" s="81"/>
      <c r="U1121" s="81"/>
      <c r="V1121" s="48"/>
      <c r="W1121" s="48"/>
      <c r="X1121" s="48"/>
      <c r="Y1121" s="48"/>
      <c r="Z1121" s="47"/>
      <c r="AA1121" s="69"/>
      <c r="AB1121" s="69"/>
      <c r="AC1121" s="70"/>
      <c r="AD1121" t="s">
        <v>5118</v>
      </c>
      <c r="AE1121" s="78" t="s">
        <v>6426</v>
      </c>
      <c r="AF1121">
        <v>292</v>
      </c>
      <c r="AG1121">
        <v>63</v>
      </c>
      <c r="AH1121">
        <v>533</v>
      </c>
      <c r="AI1121">
        <v>14722</v>
      </c>
      <c r="AK1121" t="s">
        <v>7597</v>
      </c>
      <c r="AL1121" t="s">
        <v>8744</v>
      </c>
      <c r="AM1121" s="79" t="str">
        <f>HYPERLINK("https://t.co/YbpRAo9BcY")</f>
        <v>https://t.co/YbpRAo9BcY</v>
      </c>
      <c r="AO1121" s="76">
        <v>41664.517858796295</v>
      </c>
      <c r="AP1121" s="79" t="str">
        <f>HYPERLINK("https://pbs.twimg.com/profile_banners/2309947872/1675308852")</f>
        <v>https://pbs.twimg.com/profile_banners/2309947872/1675308852</v>
      </c>
      <c r="AQ1121" t="b">
        <v>0</v>
      </c>
      <c r="AR1121" t="b">
        <v>0</v>
      </c>
      <c r="AS1121" t="b">
        <v>1</v>
      </c>
      <c r="AU1121">
        <v>0</v>
      </c>
      <c r="AV1121" s="79" t="str">
        <f>HYPERLINK("https://abs.twimg.com/images/themes/theme1/bg.png")</f>
        <v>https://abs.twimg.com/images/themes/theme1/bg.png</v>
      </c>
      <c r="AW1121" t="b">
        <v>0</v>
      </c>
      <c r="AX1121" t="s">
        <v>9303</v>
      </c>
      <c r="AY1121" s="79" t="str">
        <f>HYPERLINK("https://twitter.com/dbov68")</f>
        <v>https://twitter.com/dbov68</v>
      </c>
      <c r="AZ1121" t="s">
        <v>66</v>
      </c>
      <c r="BA1121" s="2"/>
    </row>
    <row r="1122" spans="1:53" x14ac:dyDescent="0.45">
      <c r="A1122" s="62" t="s">
        <v>230</v>
      </c>
      <c r="B1122" s="63"/>
      <c r="C1122" s="63"/>
      <c r="D1122" s="64"/>
      <c r="E1122" s="66"/>
      <c r="F1122" s="98" t="str">
        <f>HYPERLINK("https://pbs.twimg.com/profile_images/1350869984575180808/04-m0Fap_normal.jpg")</f>
        <v>https://pbs.twimg.com/profile_images/1350869984575180808/04-m0Fap_normal.jpg</v>
      </c>
      <c r="G1122" s="63"/>
      <c r="H1122" s="67"/>
      <c r="I1122" s="68"/>
      <c r="J1122" s="68"/>
      <c r="K1122" s="67" t="s">
        <v>9336</v>
      </c>
      <c r="L1122" s="71"/>
      <c r="M1122" s="72"/>
      <c r="N1122" s="72"/>
      <c r="O1122" s="73"/>
      <c r="P1122" s="74"/>
      <c r="Q1122" s="74"/>
      <c r="R1122" s="81"/>
      <c r="S1122" s="81"/>
      <c r="T1122" s="81"/>
      <c r="U1122" s="81"/>
      <c r="V1122" s="48"/>
      <c r="W1122" s="48"/>
      <c r="X1122" s="48"/>
      <c r="Y1122" s="48"/>
      <c r="Z1122" s="47"/>
      <c r="AA1122" s="69"/>
      <c r="AB1122" s="69"/>
      <c r="AC1122" s="70"/>
      <c r="AD1122" t="s">
        <v>5032</v>
      </c>
      <c r="AE1122" s="78" t="s">
        <v>6350</v>
      </c>
      <c r="AF1122">
        <v>249</v>
      </c>
      <c r="AG1122">
        <v>62</v>
      </c>
      <c r="AH1122">
        <v>3237</v>
      </c>
      <c r="AI1122">
        <v>1627</v>
      </c>
      <c r="AK1122" t="s">
        <v>7520</v>
      </c>
      <c r="AL1122" t="s">
        <v>8694</v>
      </c>
      <c r="AM1122" s="79" t="str">
        <f>HYPERLINK("https://t.co/sOfiCMydFD")</f>
        <v>https://t.co/sOfiCMydFD</v>
      </c>
      <c r="AO1122" s="76">
        <v>42206.272719907407</v>
      </c>
      <c r="AP1122" s="79" t="str">
        <f>HYPERLINK("https://pbs.twimg.com/profile_banners/3385558594/1610907478")</f>
        <v>https://pbs.twimg.com/profile_banners/3385558594/1610907478</v>
      </c>
      <c r="AQ1122" t="b">
        <v>0</v>
      </c>
      <c r="AR1122" t="b">
        <v>0</v>
      </c>
      <c r="AS1122" t="b">
        <v>1</v>
      </c>
      <c r="AU1122">
        <v>1</v>
      </c>
      <c r="AV1122" s="79" t="str">
        <f>HYPERLINK("https://abs.twimg.com/images/themes/theme1/bg.png")</f>
        <v>https://abs.twimg.com/images/themes/theme1/bg.png</v>
      </c>
      <c r="AW1122" t="b">
        <v>0</v>
      </c>
      <c r="AX1122" t="s">
        <v>9303</v>
      </c>
      <c r="AY1122" s="79" t="str">
        <f>HYPERLINK("https://twitter.com/dronilabeu")</f>
        <v>https://twitter.com/dronilabeu</v>
      </c>
      <c r="AZ1122" t="s">
        <v>66</v>
      </c>
      <c r="BA1122" s="2"/>
    </row>
    <row r="1123" spans="1:53" x14ac:dyDescent="0.45">
      <c r="A1123" s="62" t="s">
        <v>626</v>
      </c>
      <c r="B1123" s="63"/>
      <c r="C1123" s="63"/>
      <c r="D1123" s="64"/>
      <c r="E1123" s="66"/>
      <c r="F1123" s="98" t="str">
        <f>HYPERLINK("https://pbs.twimg.com/profile_images/1551944725086711808/2o1fixDV_normal.jpg")</f>
        <v>https://pbs.twimg.com/profile_images/1551944725086711808/2o1fixDV_normal.jpg</v>
      </c>
      <c r="G1123" s="63"/>
      <c r="H1123" s="67"/>
      <c r="I1123" s="68"/>
      <c r="J1123" s="68"/>
      <c r="K1123" s="67" t="s">
        <v>9933</v>
      </c>
      <c r="L1123" s="71"/>
      <c r="M1123" s="72"/>
      <c r="N1123" s="72"/>
      <c r="O1123" s="73"/>
      <c r="P1123" s="74"/>
      <c r="Q1123" s="74"/>
      <c r="R1123" s="81"/>
      <c r="S1123" s="81"/>
      <c r="T1123" s="81"/>
      <c r="U1123" s="81"/>
      <c r="V1123" s="48"/>
      <c r="W1123" s="48"/>
      <c r="X1123" s="48"/>
      <c r="Y1123" s="48"/>
      <c r="Z1123" s="47"/>
      <c r="AA1123" s="69"/>
      <c r="AB1123" s="69"/>
      <c r="AC1123" s="70"/>
      <c r="AD1123" t="s">
        <v>5624</v>
      </c>
      <c r="AE1123" s="78" t="s">
        <v>6868</v>
      </c>
      <c r="AF1123">
        <v>676</v>
      </c>
      <c r="AG1123">
        <v>62</v>
      </c>
      <c r="AH1123">
        <v>83793</v>
      </c>
      <c r="AI1123">
        <v>80736</v>
      </c>
      <c r="AK1123" t="s">
        <v>8040</v>
      </c>
      <c r="AL1123" t="s">
        <v>9003</v>
      </c>
      <c r="AO1123" s="76">
        <v>44516.111608796295</v>
      </c>
      <c r="AP1123" s="79" t="str">
        <f>HYPERLINK("https://pbs.twimg.com/profile_banners/1460437541174263813/1660270327")</f>
        <v>https://pbs.twimg.com/profile_banners/1460437541174263813/1660270327</v>
      </c>
      <c r="AQ1123" t="b">
        <v>1</v>
      </c>
      <c r="AR1123" t="b">
        <v>0</v>
      </c>
      <c r="AS1123" t="b">
        <v>0</v>
      </c>
      <c r="AU1123">
        <v>0</v>
      </c>
      <c r="AW1123" t="b">
        <v>0</v>
      </c>
      <c r="AX1123" t="s">
        <v>9303</v>
      </c>
      <c r="AY1123" s="79" t="str">
        <f>HYPERLINK("https://twitter.com/juyeonisseur")</f>
        <v>https://twitter.com/juyeonisseur</v>
      </c>
      <c r="AZ1123" t="s">
        <v>66</v>
      </c>
      <c r="BA1123" s="2"/>
    </row>
    <row r="1124" spans="1:53" x14ac:dyDescent="0.45">
      <c r="A1124" s="62" t="s">
        <v>744</v>
      </c>
      <c r="B1124" s="63"/>
      <c r="C1124" s="63"/>
      <c r="D1124" s="64"/>
      <c r="E1124" s="66"/>
      <c r="F1124" s="98" t="str">
        <f>HYPERLINK("https://pbs.twimg.com/profile_images/1410760649060331524/SoGfgWOW_normal.jpg")</f>
        <v>https://pbs.twimg.com/profile_images/1410760649060331524/SoGfgWOW_normal.jpg</v>
      </c>
      <c r="G1124" s="63"/>
      <c r="H1124" s="67"/>
      <c r="I1124" s="68"/>
      <c r="J1124" s="68"/>
      <c r="K1124" s="67" t="s">
        <v>10095</v>
      </c>
      <c r="L1124" s="71"/>
      <c r="M1124" s="72"/>
      <c r="N1124" s="72"/>
      <c r="O1124" s="73"/>
      <c r="P1124" s="74"/>
      <c r="Q1124" s="74"/>
      <c r="R1124" s="81"/>
      <c r="S1124" s="81"/>
      <c r="T1124" s="81"/>
      <c r="U1124" s="81"/>
      <c r="V1124" s="48"/>
      <c r="W1124" s="48"/>
      <c r="X1124" s="48"/>
      <c r="Y1124" s="48"/>
      <c r="Z1124" s="47"/>
      <c r="AA1124" s="69"/>
      <c r="AB1124" s="69"/>
      <c r="AC1124" s="70"/>
      <c r="AD1124" t="s">
        <v>5783</v>
      </c>
      <c r="AE1124" s="78" t="s">
        <v>7015</v>
      </c>
      <c r="AF1124">
        <v>67</v>
      </c>
      <c r="AG1124">
        <v>62</v>
      </c>
      <c r="AH1124">
        <v>1325</v>
      </c>
      <c r="AI1124">
        <v>3255</v>
      </c>
      <c r="AK1124" t="s">
        <v>8178</v>
      </c>
      <c r="AO1124" s="76">
        <v>44145.846678240741</v>
      </c>
      <c r="AP1124" s="79" t="str">
        <f>HYPERLINK("https://pbs.twimg.com/profile_banners/1326258080355659776/1621199064")</f>
        <v>https://pbs.twimg.com/profile_banners/1326258080355659776/1621199064</v>
      </c>
      <c r="AQ1124" t="b">
        <v>1</v>
      </c>
      <c r="AR1124" t="b">
        <v>0</v>
      </c>
      <c r="AS1124" t="b">
        <v>0</v>
      </c>
      <c r="AU1124">
        <v>0</v>
      </c>
      <c r="AW1124" t="b">
        <v>0</v>
      </c>
      <c r="AX1124" t="s">
        <v>9303</v>
      </c>
      <c r="AY1124" s="79" t="str">
        <f>HYPERLINK("https://twitter.com/dlegg236")</f>
        <v>https://twitter.com/dlegg236</v>
      </c>
      <c r="AZ1124" t="s">
        <v>66</v>
      </c>
      <c r="BA1124" s="2"/>
    </row>
    <row r="1125" spans="1:53" x14ac:dyDescent="0.45">
      <c r="A1125" s="62" t="s">
        <v>369</v>
      </c>
      <c r="B1125" s="63"/>
      <c r="C1125" s="63"/>
      <c r="D1125" s="64"/>
      <c r="E1125" s="66"/>
      <c r="F1125" s="98" t="str">
        <f>HYPERLINK("https://pbs.twimg.com/profile_images/1417727572138397698/6OuB9zpP_normal.jpg")</f>
        <v>https://pbs.twimg.com/profile_images/1417727572138397698/6OuB9zpP_normal.jpg</v>
      </c>
      <c r="G1125" s="63"/>
      <c r="H1125" s="67"/>
      <c r="I1125" s="68"/>
      <c r="J1125" s="68"/>
      <c r="K1125" s="67" t="s">
        <v>9612</v>
      </c>
      <c r="L1125" s="71"/>
      <c r="M1125" s="72"/>
      <c r="N1125" s="72"/>
      <c r="O1125" s="73"/>
      <c r="P1125" s="74"/>
      <c r="Q1125" s="74"/>
      <c r="R1125" s="81"/>
      <c r="S1125" s="81"/>
      <c r="T1125" s="81"/>
      <c r="U1125" s="81"/>
      <c r="V1125" s="48"/>
      <c r="W1125" s="48"/>
      <c r="X1125" s="48"/>
      <c r="Y1125" s="48"/>
      <c r="Z1125" s="47"/>
      <c r="AA1125" s="69"/>
      <c r="AB1125" s="69"/>
      <c r="AC1125" s="70"/>
      <c r="AD1125" t="s">
        <v>5305</v>
      </c>
      <c r="AE1125" s="78" t="s">
        <v>6583</v>
      </c>
      <c r="AF1125">
        <v>250</v>
      </c>
      <c r="AG1125">
        <v>61</v>
      </c>
      <c r="AH1125">
        <v>48</v>
      </c>
      <c r="AI1125">
        <v>135</v>
      </c>
      <c r="AK1125" t="s">
        <v>7760</v>
      </c>
      <c r="AL1125" t="s">
        <v>8749</v>
      </c>
      <c r="AO1125" s="76">
        <v>40091.845925925925</v>
      </c>
      <c r="AP1125" s="79" t="str">
        <f>HYPERLINK("https://pbs.twimg.com/profile_banners/80115699/1626848199")</f>
        <v>https://pbs.twimg.com/profile_banners/80115699/1626848199</v>
      </c>
      <c r="AQ1125" t="b">
        <v>0</v>
      </c>
      <c r="AR1125" t="b">
        <v>0</v>
      </c>
      <c r="AS1125" t="b">
        <v>0</v>
      </c>
      <c r="AU1125">
        <v>0</v>
      </c>
      <c r="AV1125" s="79" t="str">
        <f>HYPERLINK("https://abs.twimg.com/images/themes/theme4/bg.gif")</f>
        <v>https://abs.twimg.com/images/themes/theme4/bg.gif</v>
      </c>
      <c r="AW1125" t="b">
        <v>0</v>
      </c>
      <c r="AX1125" t="s">
        <v>9303</v>
      </c>
      <c r="AY1125" s="79" t="str">
        <f>HYPERLINK("https://twitter.com/tktkustomz")</f>
        <v>https://twitter.com/tktkustomz</v>
      </c>
      <c r="AZ1125" t="s">
        <v>66</v>
      </c>
      <c r="BA1125" s="2"/>
    </row>
    <row r="1126" spans="1:53" x14ac:dyDescent="0.45">
      <c r="A1126" s="62" t="s">
        <v>774</v>
      </c>
      <c r="B1126" s="63"/>
      <c r="C1126" s="63"/>
      <c r="D1126" s="64"/>
      <c r="E1126" s="66"/>
      <c r="F1126" s="98" t="str">
        <f>HYPERLINK("https://pbs.twimg.com/profile_images/1619799450980851718/soujw55s_normal.jpg")</f>
        <v>https://pbs.twimg.com/profile_images/1619799450980851718/soujw55s_normal.jpg</v>
      </c>
      <c r="G1126" s="63"/>
      <c r="H1126" s="67"/>
      <c r="I1126" s="68"/>
      <c r="J1126" s="68"/>
      <c r="K1126" s="67" t="s">
        <v>10132</v>
      </c>
      <c r="L1126" s="71"/>
      <c r="M1126" s="72"/>
      <c r="N1126" s="72"/>
      <c r="O1126" s="73"/>
      <c r="P1126" s="74"/>
      <c r="Q1126" s="74"/>
      <c r="R1126" s="81"/>
      <c r="S1126" s="81"/>
      <c r="T1126" s="81"/>
      <c r="U1126" s="81"/>
      <c r="V1126" s="48"/>
      <c r="W1126" s="48"/>
      <c r="X1126" s="48"/>
      <c r="Y1126" s="48"/>
      <c r="Z1126" s="47"/>
      <c r="AA1126" s="69"/>
      <c r="AB1126" s="69"/>
      <c r="AC1126" s="70"/>
      <c r="AD1126" t="s">
        <v>5820</v>
      </c>
      <c r="AE1126" s="78" t="s">
        <v>7047</v>
      </c>
      <c r="AF1126">
        <v>207</v>
      </c>
      <c r="AG1126">
        <v>61</v>
      </c>
      <c r="AH1126">
        <v>3350</v>
      </c>
      <c r="AI1126">
        <v>12154</v>
      </c>
      <c r="AK1126" t="s">
        <v>8214</v>
      </c>
      <c r="AO1126" s="76">
        <v>43852.942453703705</v>
      </c>
      <c r="AP1126" s="79" t="str">
        <f>HYPERLINK("https://pbs.twimg.com/profile_banners/1220113135346094080/1648237973")</f>
        <v>https://pbs.twimg.com/profile_banners/1220113135346094080/1648237973</v>
      </c>
      <c r="AQ1126" t="b">
        <v>1</v>
      </c>
      <c r="AR1126" t="b">
        <v>0</v>
      </c>
      <c r="AS1126" t="b">
        <v>0</v>
      </c>
      <c r="AU1126">
        <v>0</v>
      </c>
      <c r="AW1126" t="b">
        <v>0</v>
      </c>
      <c r="AX1126" t="s">
        <v>9303</v>
      </c>
      <c r="AY1126" s="79" t="str">
        <f>HYPERLINK("https://twitter.com/rmexico11")</f>
        <v>https://twitter.com/rmexico11</v>
      </c>
      <c r="AZ1126" t="s">
        <v>66</v>
      </c>
      <c r="BA1126" s="2"/>
    </row>
    <row r="1127" spans="1:53" x14ac:dyDescent="0.45">
      <c r="A1127" s="62" t="s">
        <v>284</v>
      </c>
      <c r="B1127" s="63"/>
      <c r="C1127" s="63"/>
      <c r="D1127" s="64"/>
      <c r="E1127" s="66"/>
      <c r="F1127" s="98" t="str">
        <f>HYPERLINK("https://pbs.twimg.com/profile_images/545306421609254913/FlzaeGbc_normal.png")</f>
        <v>https://pbs.twimg.com/profile_images/545306421609254913/FlzaeGbc_normal.png</v>
      </c>
      <c r="G1127" s="63"/>
      <c r="H1127" s="67"/>
      <c r="I1127" s="68"/>
      <c r="J1127" s="68"/>
      <c r="K1127" s="67" t="s">
        <v>9439</v>
      </c>
      <c r="L1127" s="71"/>
      <c r="M1127" s="72"/>
      <c r="N1127" s="72"/>
      <c r="O1127" s="73"/>
      <c r="P1127" s="74"/>
      <c r="Q1127" s="74"/>
      <c r="R1127" s="81"/>
      <c r="S1127" s="81"/>
      <c r="T1127" s="81"/>
      <c r="U1127" s="81"/>
      <c r="V1127" s="48"/>
      <c r="W1127" s="48"/>
      <c r="X1127" s="48"/>
      <c r="Y1127" s="48"/>
      <c r="Z1127" s="47"/>
      <c r="AA1127" s="69"/>
      <c r="AB1127" s="69"/>
      <c r="AC1127" s="70"/>
      <c r="AD1127" t="s">
        <v>5133</v>
      </c>
      <c r="AE1127" s="78" t="s">
        <v>4662</v>
      </c>
      <c r="AF1127">
        <v>299</v>
      </c>
      <c r="AG1127">
        <v>60</v>
      </c>
      <c r="AH1127">
        <v>4528</v>
      </c>
      <c r="AI1127">
        <v>116</v>
      </c>
      <c r="AK1127" t="s">
        <v>7608</v>
      </c>
      <c r="AL1127" t="s">
        <v>8753</v>
      </c>
      <c r="AO1127" s="76">
        <v>39958.368506944447</v>
      </c>
      <c r="AP1127" s="79" t="str">
        <f>HYPERLINK("https://pbs.twimg.com/profile_banners/42376172/1418846876")</f>
        <v>https://pbs.twimg.com/profile_banners/42376172/1418846876</v>
      </c>
      <c r="AQ1127" t="b">
        <v>0</v>
      </c>
      <c r="AR1127" t="b">
        <v>0</v>
      </c>
      <c r="AS1127" t="b">
        <v>1</v>
      </c>
      <c r="AU1127">
        <v>0</v>
      </c>
      <c r="AV1127" s="79" t="str">
        <f>HYPERLINK("https://abs.twimg.com/images/themes/theme14/bg.gif")</f>
        <v>https://abs.twimg.com/images/themes/theme14/bg.gif</v>
      </c>
      <c r="AW1127" t="b">
        <v>0</v>
      </c>
      <c r="AX1127" t="s">
        <v>9303</v>
      </c>
      <c r="AY1127" s="79" t="str">
        <f>HYPERLINK("https://twitter.com/hexidimentional")</f>
        <v>https://twitter.com/hexidimentional</v>
      </c>
      <c r="AZ1127" t="s">
        <v>66</v>
      </c>
      <c r="BA1127" s="2"/>
    </row>
    <row r="1128" spans="1:53" x14ac:dyDescent="0.45">
      <c r="A1128" s="62" t="s">
        <v>321</v>
      </c>
      <c r="B1128" s="63"/>
      <c r="C1128" s="63"/>
      <c r="D1128" s="64"/>
      <c r="E1128" s="66"/>
      <c r="F1128" s="98" t="str">
        <f>HYPERLINK("https://pbs.twimg.com/profile_images/1400976339000184839/OEmjNJTi_normal.jpg")</f>
        <v>https://pbs.twimg.com/profile_images/1400976339000184839/OEmjNJTi_normal.jpg</v>
      </c>
      <c r="G1128" s="63"/>
      <c r="H1128" s="67"/>
      <c r="I1128" s="68"/>
      <c r="J1128" s="68"/>
      <c r="K1128" s="67" t="s">
        <v>9523</v>
      </c>
      <c r="L1128" s="71"/>
      <c r="M1128" s="72"/>
      <c r="N1128" s="72"/>
      <c r="O1128" s="73"/>
      <c r="P1128" s="74"/>
      <c r="Q1128" s="74"/>
      <c r="R1128" s="81"/>
      <c r="S1128" s="81"/>
      <c r="T1128" s="81"/>
      <c r="U1128" s="81"/>
      <c r="V1128" s="48"/>
      <c r="W1128" s="48"/>
      <c r="X1128" s="48"/>
      <c r="Y1128" s="48"/>
      <c r="Z1128" s="47"/>
      <c r="AA1128" s="69"/>
      <c r="AB1128" s="69"/>
      <c r="AC1128" s="70"/>
      <c r="AD1128" t="s">
        <v>5217</v>
      </c>
      <c r="AE1128" s="78" t="s">
        <v>6504</v>
      </c>
      <c r="AF1128">
        <v>313</v>
      </c>
      <c r="AG1128">
        <v>60</v>
      </c>
      <c r="AH1128">
        <v>865</v>
      </c>
      <c r="AI1128">
        <v>951</v>
      </c>
      <c r="AO1128" s="76">
        <v>42148.027199074073</v>
      </c>
      <c r="AP1128" s="79" t="str">
        <f>HYPERLINK("https://pbs.twimg.com/profile_banners/3224714377/1622853788")</f>
        <v>https://pbs.twimg.com/profile_banners/3224714377/1622853788</v>
      </c>
      <c r="AQ1128" t="b">
        <v>1</v>
      </c>
      <c r="AR1128" t="b">
        <v>0</v>
      </c>
      <c r="AS1128" t="b">
        <v>0</v>
      </c>
      <c r="AU1128">
        <v>0</v>
      </c>
      <c r="AV1128" s="79" t="str">
        <f>HYPERLINK("https://abs.twimg.com/images/themes/theme1/bg.png")</f>
        <v>https://abs.twimg.com/images/themes/theme1/bg.png</v>
      </c>
      <c r="AW1128" t="b">
        <v>0</v>
      </c>
      <c r="AX1128" t="s">
        <v>9303</v>
      </c>
      <c r="AY1128" s="79" t="str">
        <f>HYPERLINK("https://twitter.com/krysleeskincare")</f>
        <v>https://twitter.com/krysleeskincare</v>
      </c>
      <c r="AZ1128" t="s">
        <v>66</v>
      </c>
      <c r="BA1128" s="2"/>
    </row>
    <row r="1129" spans="1:53" x14ac:dyDescent="0.45">
      <c r="A1129" s="62" t="s">
        <v>330</v>
      </c>
      <c r="B1129" s="63"/>
      <c r="C1129" s="63"/>
      <c r="D1129" s="64"/>
      <c r="E1129" s="66"/>
      <c r="F1129" s="98" t="str">
        <f>HYPERLINK("https://pbs.twimg.com/profile_images/1393092037306638336/PYrE5-o5_normal.jpg")</f>
        <v>https://pbs.twimg.com/profile_images/1393092037306638336/PYrE5-o5_normal.jpg</v>
      </c>
      <c r="G1129" s="63"/>
      <c r="H1129" s="67"/>
      <c r="I1129" s="68"/>
      <c r="J1129" s="68"/>
      <c r="K1129" s="67" t="s">
        <v>9541</v>
      </c>
      <c r="L1129" s="71"/>
      <c r="M1129" s="72"/>
      <c r="N1129" s="72"/>
      <c r="O1129" s="73"/>
      <c r="P1129" s="74"/>
      <c r="Q1129" s="74"/>
      <c r="R1129" s="81"/>
      <c r="S1129" s="81"/>
      <c r="T1129" s="81"/>
      <c r="U1129" s="81"/>
      <c r="V1129" s="48"/>
      <c r="W1129" s="48"/>
      <c r="X1129" s="48"/>
      <c r="Y1129" s="48"/>
      <c r="Z1129" s="47"/>
      <c r="AA1129" s="69"/>
      <c r="AB1129" s="69"/>
      <c r="AC1129" s="70"/>
      <c r="AD1129" t="s">
        <v>5234</v>
      </c>
      <c r="AE1129" s="78" t="s">
        <v>6519</v>
      </c>
      <c r="AF1129">
        <v>73</v>
      </c>
      <c r="AG1129">
        <v>60</v>
      </c>
      <c r="AH1129">
        <v>4618</v>
      </c>
      <c r="AI1129">
        <v>3982</v>
      </c>
      <c r="AK1129" t="s">
        <v>7702</v>
      </c>
      <c r="AO1129" s="76">
        <v>43950.951956018522</v>
      </c>
      <c r="AP1129" s="79" t="str">
        <f>HYPERLINK("https://pbs.twimg.com/profile_banners/1255630496278753280/1588205235")</f>
        <v>https://pbs.twimg.com/profile_banners/1255630496278753280/1588205235</v>
      </c>
      <c r="AQ1129" t="b">
        <v>1</v>
      </c>
      <c r="AR1129" t="b">
        <v>0</v>
      </c>
      <c r="AS1129" t="b">
        <v>0</v>
      </c>
      <c r="AU1129">
        <v>0</v>
      </c>
      <c r="AW1129" t="b">
        <v>0</v>
      </c>
      <c r="AX1129" t="s">
        <v>9303</v>
      </c>
      <c r="AY1129" s="79" t="str">
        <f>HYPERLINK("https://twitter.com/jackkav08431165")</f>
        <v>https://twitter.com/jackkav08431165</v>
      </c>
      <c r="AZ1129" t="s">
        <v>66</v>
      </c>
      <c r="BA1129" s="2"/>
    </row>
    <row r="1130" spans="1:53" x14ac:dyDescent="0.45">
      <c r="A1130" s="62" t="s">
        <v>1496</v>
      </c>
      <c r="B1130" s="63"/>
      <c r="C1130" s="63"/>
      <c r="D1130" s="64"/>
      <c r="E1130" s="66"/>
      <c r="F1130" s="98" t="str">
        <f>HYPERLINK("https://pbs.twimg.com/profile_images/1413432980027158530/0IVLAzJP_normal.png")</f>
        <v>https://pbs.twimg.com/profile_images/1413432980027158530/0IVLAzJP_normal.png</v>
      </c>
      <c r="G1130" s="63"/>
      <c r="H1130" s="67"/>
      <c r="I1130" s="68"/>
      <c r="J1130" s="68"/>
      <c r="K1130" s="67" t="s">
        <v>10501</v>
      </c>
      <c r="L1130" s="71"/>
      <c r="M1130" s="72"/>
      <c r="N1130" s="72"/>
      <c r="O1130" s="73"/>
      <c r="P1130" s="74"/>
      <c r="Q1130" s="74"/>
      <c r="R1130" s="81"/>
      <c r="S1130" s="81"/>
      <c r="T1130" s="81"/>
      <c r="U1130" s="81"/>
      <c r="V1130" s="48"/>
      <c r="W1130" s="48"/>
      <c r="X1130" s="48"/>
      <c r="Y1130" s="48"/>
      <c r="Z1130" s="47"/>
      <c r="AA1130" s="69"/>
      <c r="AB1130" s="69"/>
      <c r="AC1130" s="70"/>
      <c r="AD1130" t="s">
        <v>6179</v>
      </c>
      <c r="AE1130" s="78" t="s">
        <v>7364</v>
      </c>
      <c r="AF1130">
        <v>53</v>
      </c>
      <c r="AG1130">
        <v>59</v>
      </c>
      <c r="AH1130">
        <v>71</v>
      </c>
      <c r="AI1130">
        <v>20</v>
      </c>
      <c r="AK1130" t="s">
        <v>8535</v>
      </c>
      <c r="AL1130" t="s">
        <v>8824</v>
      </c>
      <c r="AM1130" s="79" t="str">
        <f>HYPERLINK("https://t.co/rANxOnfw57")</f>
        <v>https://t.co/rANxOnfw57</v>
      </c>
      <c r="AO1130" s="76">
        <v>43099.859664351854</v>
      </c>
      <c r="AP1130" s="79" t="str">
        <f>HYPERLINK("https://pbs.twimg.com/profile_banners/947205125772402689/1611317661")</f>
        <v>https://pbs.twimg.com/profile_banners/947205125772402689/1611317661</v>
      </c>
      <c r="AQ1130" t="b">
        <v>0</v>
      </c>
      <c r="AR1130" t="b">
        <v>0</v>
      </c>
      <c r="AS1130" t="b">
        <v>0</v>
      </c>
      <c r="AU1130">
        <v>1</v>
      </c>
      <c r="AV1130" s="79" t="str">
        <f>HYPERLINK("https://abs.twimg.com/images/themes/theme1/bg.png")</f>
        <v>https://abs.twimg.com/images/themes/theme1/bg.png</v>
      </c>
      <c r="AW1130" t="b">
        <v>0</v>
      </c>
      <c r="AX1130" t="s">
        <v>9303</v>
      </c>
      <c r="AY1130" s="79" t="str">
        <f>HYPERLINK("https://twitter.com/sozie")</f>
        <v>https://twitter.com/sozie</v>
      </c>
      <c r="AZ1130" t="s">
        <v>65</v>
      </c>
      <c r="BA1130" s="2"/>
    </row>
    <row r="1131" spans="1:53" x14ac:dyDescent="0.45">
      <c r="A1131" s="62" t="s">
        <v>1366</v>
      </c>
      <c r="B1131" s="63"/>
      <c r="C1131" s="63"/>
      <c r="D1131" s="64"/>
      <c r="E1131" s="66"/>
      <c r="F1131" s="98" t="str">
        <f>HYPERLINK("https://pbs.twimg.com/profile_images/1094705332578910214/_tOCKYUY_normal.jpg")</f>
        <v>https://pbs.twimg.com/profile_images/1094705332578910214/_tOCKYUY_normal.jpg</v>
      </c>
      <c r="G1131" s="63"/>
      <c r="H1131" s="67"/>
      <c r="I1131" s="68"/>
      <c r="J1131" s="68"/>
      <c r="K1131" s="67" t="s">
        <v>10137</v>
      </c>
      <c r="L1131" s="71"/>
      <c r="M1131" s="72"/>
      <c r="N1131" s="72"/>
      <c r="O1131" s="73"/>
      <c r="P1131" s="74"/>
      <c r="Q1131" s="74"/>
      <c r="R1131" s="81"/>
      <c r="S1131" s="81"/>
      <c r="T1131" s="81"/>
      <c r="U1131" s="81"/>
      <c r="V1131" s="48"/>
      <c r="W1131" s="48"/>
      <c r="X1131" s="48"/>
      <c r="Y1131" s="48"/>
      <c r="Z1131" s="47"/>
      <c r="AA1131" s="69"/>
      <c r="AB1131" s="69"/>
      <c r="AC1131" s="70"/>
      <c r="AD1131" t="s">
        <v>5825</v>
      </c>
      <c r="AE1131" s="78" t="s">
        <v>4744</v>
      </c>
      <c r="AF1131">
        <v>70</v>
      </c>
      <c r="AG1131">
        <v>58</v>
      </c>
      <c r="AH1131">
        <v>4906</v>
      </c>
      <c r="AI1131">
        <v>8003</v>
      </c>
      <c r="AK1131" t="s">
        <v>8218</v>
      </c>
      <c r="AL1131" t="s">
        <v>8768</v>
      </c>
      <c r="AO1131" s="76">
        <v>43506.876643518517</v>
      </c>
      <c r="AP1131" s="79" t="str">
        <f>HYPERLINK("https://pbs.twimg.com/profile_banners/1094703143378653184/1549833065")</f>
        <v>https://pbs.twimg.com/profile_banners/1094703143378653184/1549833065</v>
      </c>
      <c r="AQ1131" t="b">
        <v>1</v>
      </c>
      <c r="AR1131" t="b">
        <v>0</v>
      </c>
      <c r="AS1131" t="b">
        <v>1</v>
      </c>
      <c r="AU1131">
        <v>0</v>
      </c>
      <c r="AW1131" t="b">
        <v>0</v>
      </c>
      <c r="AX1131" t="s">
        <v>9303</v>
      </c>
      <c r="AY1131" s="79" t="str">
        <f>HYPERLINK("https://twitter.com/ashkickerusa")</f>
        <v>https://twitter.com/ashkickerusa</v>
      </c>
      <c r="AZ1131" t="s">
        <v>65</v>
      </c>
      <c r="BA1131" s="2"/>
    </row>
    <row r="1132" spans="1:53" x14ac:dyDescent="0.45">
      <c r="A1132" s="82" t="s">
        <v>1104</v>
      </c>
      <c r="B1132" s="63"/>
      <c r="C1132" s="63"/>
      <c r="D1132" s="64"/>
      <c r="E1132" s="66"/>
      <c r="F1132" s="98" t="str">
        <f>HYPERLINK("https://pbs.twimg.com/profile_images/481476367985307649/HqqZ9Fnd_normal.jpeg")</f>
        <v>https://pbs.twimg.com/profile_images/481476367985307649/HqqZ9Fnd_normal.jpeg</v>
      </c>
      <c r="G1132" s="63"/>
      <c r="H1132" s="67"/>
      <c r="I1132" s="68"/>
      <c r="J1132" s="68"/>
      <c r="K1132" s="67" t="s">
        <v>10652</v>
      </c>
      <c r="L1132" s="71"/>
      <c r="M1132" s="72"/>
      <c r="N1132" s="72"/>
      <c r="O1132" s="73"/>
      <c r="P1132" s="74"/>
      <c r="Q1132" s="74"/>
      <c r="R1132" s="81"/>
      <c r="S1132" s="81"/>
      <c r="T1132" s="81"/>
      <c r="U1132" s="81"/>
      <c r="V1132" s="48"/>
      <c r="W1132" s="48"/>
      <c r="X1132" s="48"/>
      <c r="Y1132" s="48"/>
      <c r="Z1132" s="47"/>
      <c r="AA1132" s="69"/>
      <c r="AB1132" s="69"/>
      <c r="AC1132" s="96"/>
      <c r="AD1132" t="s">
        <v>6327</v>
      </c>
      <c r="AE1132" s="78" t="s">
        <v>7488</v>
      </c>
      <c r="AF1132">
        <v>174</v>
      </c>
      <c r="AG1132">
        <v>58</v>
      </c>
      <c r="AH1132">
        <v>1158</v>
      </c>
      <c r="AI1132">
        <v>423</v>
      </c>
      <c r="AO1132" s="76">
        <v>39902.911921296298</v>
      </c>
      <c r="AP1132" s="79" t="str">
        <f>HYPERLINK("https://pbs.twimg.com/profile_banners/27739166/1403627923")</f>
        <v>https://pbs.twimg.com/profile_banners/27739166/1403627923</v>
      </c>
      <c r="AQ1132" t="b">
        <v>1</v>
      </c>
      <c r="AR1132" t="b">
        <v>0</v>
      </c>
      <c r="AS1132" t="b">
        <v>0</v>
      </c>
      <c r="AU1132">
        <v>0</v>
      </c>
      <c r="AV1132" s="79" t="str">
        <f>HYPERLINK("https://abs.twimg.com/images/themes/theme1/bg.png")</f>
        <v>https://abs.twimg.com/images/themes/theme1/bg.png</v>
      </c>
      <c r="AW1132" t="b">
        <v>0</v>
      </c>
      <c r="AX1132" t="s">
        <v>9303</v>
      </c>
      <c r="AY1132" s="79" t="str">
        <f>HYPERLINK("https://twitter.com/uslynnukandrew")</f>
        <v>https://twitter.com/uslynnukandrew</v>
      </c>
      <c r="AZ1132" t="s">
        <v>66</v>
      </c>
      <c r="BA1132" s="2"/>
    </row>
    <row r="1133" spans="1:53" x14ac:dyDescent="0.45">
      <c r="A1133" s="62" t="s">
        <v>656</v>
      </c>
      <c r="B1133" s="63"/>
      <c r="C1133" s="63"/>
      <c r="D1133" s="64"/>
      <c r="E1133" s="66"/>
      <c r="F1133" s="98" t="str">
        <f>HYPERLINK("https://pbs.twimg.com/profile_images/1576672512217325568/xDI7eVW0_normal.jpg")</f>
        <v>https://pbs.twimg.com/profile_images/1576672512217325568/xDI7eVW0_normal.jpg</v>
      </c>
      <c r="G1133" s="63"/>
      <c r="H1133" s="67"/>
      <c r="I1133" s="68"/>
      <c r="J1133" s="68"/>
      <c r="K1133" s="67" t="s">
        <v>9968</v>
      </c>
      <c r="L1133" s="71"/>
      <c r="M1133" s="72"/>
      <c r="N1133" s="72"/>
      <c r="O1133" s="73"/>
      <c r="P1133" s="74"/>
      <c r="Q1133" s="74"/>
      <c r="R1133" s="81"/>
      <c r="S1133" s="81"/>
      <c r="T1133" s="81"/>
      <c r="U1133" s="81"/>
      <c r="V1133" s="48"/>
      <c r="W1133" s="48"/>
      <c r="X1133" s="48"/>
      <c r="Y1133" s="48"/>
      <c r="Z1133" s="47"/>
      <c r="AA1133" s="69"/>
      <c r="AB1133" s="69"/>
      <c r="AC1133" s="70"/>
      <c r="AD1133" t="s">
        <v>5659</v>
      </c>
      <c r="AE1133" s="78" t="s">
        <v>6901</v>
      </c>
      <c r="AF1133">
        <v>54</v>
      </c>
      <c r="AG1133">
        <v>57</v>
      </c>
      <c r="AH1133">
        <v>30</v>
      </c>
      <c r="AI1133">
        <v>25</v>
      </c>
      <c r="AK1133" t="s">
        <v>8068</v>
      </c>
      <c r="AO1133" s="76">
        <v>44836.858726851853</v>
      </c>
      <c r="AQ1133" t="b">
        <v>1</v>
      </c>
      <c r="AR1133" t="b">
        <v>0</v>
      </c>
      <c r="AS1133" t="b">
        <v>0</v>
      </c>
      <c r="AU1133">
        <v>0</v>
      </c>
      <c r="AW1133" t="b">
        <v>0</v>
      </c>
      <c r="AX1133" t="s">
        <v>9303</v>
      </c>
      <c r="AY1133" s="79" t="str">
        <f>HYPERLINK("https://twitter.com/navgireramdas")</f>
        <v>https://twitter.com/navgireramdas</v>
      </c>
      <c r="AZ1133" t="s">
        <v>66</v>
      </c>
      <c r="BA1133" s="2"/>
    </row>
    <row r="1134" spans="1:53" x14ac:dyDescent="0.45">
      <c r="A1134" s="62" t="s">
        <v>808</v>
      </c>
      <c r="B1134" s="63"/>
      <c r="C1134" s="63"/>
      <c r="D1134" s="64"/>
      <c r="E1134" s="66"/>
      <c r="F1134" s="98" t="str">
        <f>HYPERLINK("https://pbs.twimg.com/profile_images/1575952196046290944/FKjGdmsZ_normal.jpg")</f>
        <v>https://pbs.twimg.com/profile_images/1575952196046290944/FKjGdmsZ_normal.jpg</v>
      </c>
      <c r="G1134" s="63"/>
      <c r="H1134" s="67"/>
      <c r="I1134" s="68"/>
      <c r="J1134" s="68"/>
      <c r="K1134" s="67" t="s">
        <v>10189</v>
      </c>
      <c r="L1134" s="71"/>
      <c r="M1134" s="72"/>
      <c r="N1134" s="72"/>
      <c r="O1134" s="73"/>
      <c r="P1134" s="74"/>
      <c r="Q1134" s="74"/>
      <c r="R1134" s="81"/>
      <c r="S1134" s="81"/>
      <c r="T1134" s="81"/>
      <c r="U1134" s="81"/>
      <c r="V1134" s="48"/>
      <c r="W1134" s="48"/>
      <c r="X1134" s="48"/>
      <c r="Y1134" s="48"/>
      <c r="Z1134" s="47"/>
      <c r="AA1134" s="69"/>
      <c r="AB1134" s="69"/>
      <c r="AC1134" s="70"/>
      <c r="AD1134" t="s">
        <v>5873</v>
      </c>
      <c r="AE1134" s="78" t="s">
        <v>7095</v>
      </c>
      <c r="AF1134">
        <v>354</v>
      </c>
      <c r="AG1134">
        <v>57</v>
      </c>
      <c r="AH1134">
        <v>12060</v>
      </c>
      <c r="AI1134">
        <v>774</v>
      </c>
      <c r="AK1134" t="s">
        <v>8261</v>
      </c>
      <c r="AL1134" t="s">
        <v>9115</v>
      </c>
      <c r="AO1134" s="76">
        <v>44576.457905092589</v>
      </c>
      <c r="AP1134" s="79" t="str">
        <f>HYPERLINK("https://pbs.twimg.com/profile_banners/1482306291976519683/1664571001")</f>
        <v>https://pbs.twimg.com/profile_banners/1482306291976519683/1664571001</v>
      </c>
      <c r="AQ1134" t="b">
        <v>1</v>
      </c>
      <c r="AR1134" t="b">
        <v>0</v>
      </c>
      <c r="AS1134" t="b">
        <v>1</v>
      </c>
      <c r="AU1134">
        <v>0</v>
      </c>
      <c r="AW1134" t="b">
        <v>0</v>
      </c>
      <c r="AX1134" t="s">
        <v>9303</v>
      </c>
      <c r="AY1134" s="79" t="str">
        <f>HYPERLINK("https://twitter.com/msangela9111")</f>
        <v>https://twitter.com/msangela9111</v>
      </c>
      <c r="AZ1134" t="s">
        <v>66</v>
      </c>
      <c r="BA1134" s="2"/>
    </row>
    <row r="1135" spans="1:53" x14ac:dyDescent="0.45">
      <c r="A1135" s="62" t="s">
        <v>522</v>
      </c>
      <c r="B1135" s="63"/>
      <c r="C1135" s="63"/>
      <c r="D1135" s="64"/>
      <c r="E1135" s="66"/>
      <c r="F1135" s="98" t="str">
        <f>HYPERLINK("https://pbs.twimg.com/profile_images/1591219951091621888/BQwKhB7A_normal.jpg")</f>
        <v>https://pbs.twimg.com/profile_images/1591219951091621888/BQwKhB7A_normal.jpg</v>
      </c>
      <c r="G1135" s="63"/>
      <c r="H1135" s="67"/>
      <c r="I1135" s="68"/>
      <c r="J1135" s="68"/>
      <c r="K1135" s="67" t="s">
        <v>9812</v>
      </c>
      <c r="L1135" s="71"/>
      <c r="M1135" s="72"/>
      <c r="N1135" s="72"/>
      <c r="O1135" s="73"/>
      <c r="P1135" s="74"/>
      <c r="Q1135" s="74"/>
      <c r="R1135" s="81"/>
      <c r="S1135" s="81"/>
      <c r="T1135" s="81"/>
      <c r="U1135" s="81"/>
      <c r="V1135" s="48"/>
      <c r="W1135" s="48"/>
      <c r="X1135" s="48"/>
      <c r="Y1135" s="48"/>
      <c r="Z1135" s="47"/>
      <c r="AA1135" s="69"/>
      <c r="AB1135" s="69"/>
      <c r="AC1135" s="70"/>
      <c r="AD1135" t="s">
        <v>5503</v>
      </c>
      <c r="AE1135" s="78" t="s">
        <v>4711</v>
      </c>
      <c r="AF1135">
        <v>167</v>
      </c>
      <c r="AG1135">
        <v>55</v>
      </c>
      <c r="AH1135">
        <v>20240</v>
      </c>
      <c r="AI1135">
        <v>6465</v>
      </c>
      <c r="AK1135" t="s">
        <v>7931</v>
      </c>
      <c r="AL1135" t="s">
        <v>8929</v>
      </c>
      <c r="AO1135" s="76">
        <v>41782.957743055558</v>
      </c>
      <c r="AP1135" s="79" t="str">
        <f>HYPERLINK("https://pbs.twimg.com/profile_banners/2518893955/1497117191")</f>
        <v>https://pbs.twimg.com/profile_banners/2518893955/1497117191</v>
      </c>
      <c r="AQ1135" t="b">
        <v>0</v>
      </c>
      <c r="AR1135" t="b">
        <v>0</v>
      </c>
      <c r="AS1135" t="b">
        <v>0</v>
      </c>
      <c r="AU1135">
        <v>8</v>
      </c>
      <c r="AV1135" s="79" t="str">
        <f>HYPERLINK("https://abs.twimg.com/images/themes/theme1/bg.png")</f>
        <v>https://abs.twimg.com/images/themes/theme1/bg.png</v>
      </c>
      <c r="AW1135" t="b">
        <v>0</v>
      </c>
      <c r="AX1135" t="s">
        <v>9303</v>
      </c>
      <c r="AY1135" s="79" t="str">
        <f>HYPERLINK("https://twitter.com/adayareisanur")</f>
        <v>https://twitter.com/adayareisanur</v>
      </c>
      <c r="AZ1135" t="s">
        <v>66</v>
      </c>
      <c r="BA1135" s="2"/>
    </row>
    <row r="1136" spans="1:53" x14ac:dyDescent="0.45">
      <c r="A1136" s="62" t="s">
        <v>392</v>
      </c>
      <c r="B1136" s="63"/>
      <c r="C1136" s="63"/>
      <c r="D1136" s="64"/>
      <c r="E1136" s="66"/>
      <c r="F1136" s="98" t="str">
        <f>HYPERLINK("https://pbs.twimg.com/profile_images/1615621149358002176/5xNScSoL_normal.jpg")</f>
        <v>https://pbs.twimg.com/profile_images/1615621149358002176/5xNScSoL_normal.jpg</v>
      </c>
      <c r="G1136" s="63"/>
      <c r="H1136" s="67"/>
      <c r="I1136" s="68"/>
      <c r="J1136" s="68"/>
      <c r="K1136" s="67" t="s">
        <v>9640</v>
      </c>
      <c r="L1136" s="71"/>
      <c r="M1136" s="72"/>
      <c r="N1136" s="72"/>
      <c r="O1136" s="73"/>
      <c r="P1136" s="74"/>
      <c r="Q1136" s="74"/>
      <c r="R1136" s="81"/>
      <c r="S1136" s="81"/>
      <c r="T1136" s="81"/>
      <c r="U1136" s="81"/>
      <c r="V1136" s="48"/>
      <c r="W1136" s="48"/>
      <c r="X1136" s="48"/>
      <c r="Y1136" s="48"/>
      <c r="Z1136" s="47"/>
      <c r="AA1136" s="69"/>
      <c r="AB1136" s="69"/>
      <c r="AC1136" s="70"/>
      <c r="AD1136" t="s">
        <v>5333</v>
      </c>
      <c r="AE1136" s="78" t="s">
        <v>6608</v>
      </c>
      <c r="AF1136">
        <v>391</v>
      </c>
      <c r="AG1136">
        <v>55</v>
      </c>
      <c r="AH1136">
        <v>4436</v>
      </c>
      <c r="AI1136">
        <v>1615</v>
      </c>
      <c r="AK1136" t="s">
        <v>7785</v>
      </c>
      <c r="AL1136" t="s">
        <v>8851</v>
      </c>
      <c r="AM1136" s="79" t="str">
        <f>HYPERLINK("https://t.co/IHCI1G9Mw7")</f>
        <v>https://t.co/IHCI1G9Mw7</v>
      </c>
      <c r="AO1136" s="76">
        <v>44916.727256944447</v>
      </c>
      <c r="AP1136" s="79" t="str">
        <f>HYPERLINK("https://pbs.twimg.com/profile_banners/1605615802744446977/1674029027")</f>
        <v>https://pbs.twimg.com/profile_banners/1605615802744446977/1674029027</v>
      </c>
      <c r="AQ1136" t="b">
        <v>1</v>
      </c>
      <c r="AR1136" t="b">
        <v>0</v>
      </c>
      <c r="AS1136" t="b">
        <v>0</v>
      </c>
      <c r="AU1136">
        <v>1</v>
      </c>
      <c r="AW1136" t="b">
        <v>0</v>
      </c>
      <c r="AX1136" t="s">
        <v>9303</v>
      </c>
      <c r="AY1136" s="79" t="str">
        <f>HYPERLINK("https://twitter.com/cafreeman316")</f>
        <v>https://twitter.com/cafreeman316</v>
      </c>
      <c r="AZ1136" t="s">
        <v>66</v>
      </c>
      <c r="BA1136" s="2"/>
    </row>
    <row r="1137" spans="1:53" x14ac:dyDescent="0.45">
      <c r="A1137" s="62" t="s">
        <v>686</v>
      </c>
      <c r="B1137" s="63"/>
      <c r="C1137" s="63"/>
      <c r="D1137" s="64"/>
      <c r="E1137" s="66"/>
      <c r="F1137" s="98" t="str">
        <f>HYPERLINK("https://pbs.twimg.com/profile_images/1397214267678642179/ke_S53ZA_normal.jpg")</f>
        <v>https://pbs.twimg.com/profile_images/1397214267678642179/ke_S53ZA_normal.jpg</v>
      </c>
      <c r="G1137" s="63"/>
      <c r="H1137" s="67"/>
      <c r="I1137" s="68"/>
      <c r="J1137" s="68"/>
      <c r="K1137" s="67" t="s">
        <v>10016</v>
      </c>
      <c r="L1137" s="71"/>
      <c r="M1137" s="72"/>
      <c r="N1137" s="72"/>
      <c r="O1137" s="73"/>
      <c r="P1137" s="74"/>
      <c r="Q1137" s="74"/>
      <c r="R1137" s="81"/>
      <c r="S1137" s="81"/>
      <c r="T1137" s="81"/>
      <c r="U1137" s="81"/>
      <c r="V1137" s="48"/>
      <c r="W1137" s="48"/>
      <c r="X1137" s="48"/>
      <c r="Y1137" s="48"/>
      <c r="Z1137" s="47"/>
      <c r="AA1137" s="69"/>
      <c r="AB1137" s="69"/>
      <c r="AC1137" s="70"/>
      <c r="AD1137" t="s">
        <v>5706</v>
      </c>
      <c r="AE1137" s="78" t="s">
        <v>6946</v>
      </c>
      <c r="AF1137">
        <v>910</v>
      </c>
      <c r="AG1137">
        <v>55</v>
      </c>
      <c r="AH1137">
        <v>10745</v>
      </c>
      <c r="AI1137">
        <v>14260</v>
      </c>
      <c r="AO1137" s="76">
        <v>42461.995115740741</v>
      </c>
      <c r="AP1137" s="79" t="str">
        <f>HYPERLINK("https://pbs.twimg.com/profile_banners/716050755241713664/1656265755")</f>
        <v>https://pbs.twimg.com/profile_banners/716050755241713664/1656265755</v>
      </c>
      <c r="AQ1137" t="b">
        <v>1</v>
      </c>
      <c r="AR1137" t="b">
        <v>0</v>
      </c>
      <c r="AS1137" t="b">
        <v>1</v>
      </c>
      <c r="AU1137">
        <v>1</v>
      </c>
      <c r="AW1137" t="b">
        <v>0</v>
      </c>
      <c r="AX1137" t="s">
        <v>9303</v>
      </c>
      <c r="AY1137" s="79" t="str">
        <f>HYPERLINK("https://twitter.com/sparklezonfire")</f>
        <v>https://twitter.com/sparklezonfire</v>
      </c>
      <c r="AZ1137" t="s">
        <v>66</v>
      </c>
      <c r="BA1137" s="2"/>
    </row>
    <row r="1138" spans="1:53" x14ac:dyDescent="0.45">
      <c r="A1138" s="62" t="s">
        <v>1088</v>
      </c>
      <c r="B1138" s="63"/>
      <c r="C1138" s="63"/>
      <c r="D1138" s="64"/>
      <c r="E1138" s="66"/>
      <c r="F1138" s="98" t="str">
        <f>HYPERLINK("https://pbs.twimg.com/profile_images/1618878877270433792/RE8bKG3a_normal.jpg")</f>
        <v>https://pbs.twimg.com/profile_images/1618878877270433792/RE8bKG3a_normal.jpg</v>
      </c>
      <c r="G1138" s="63"/>
      <c r="H1138" s="67"/>
      <c r="I1138" s="68"/>
      <c r="J1138" s="68"/>
      <c r="K1138" s="67" t="s">
        <v>10633</v>
      </c>
      <c r="L1138" s="71"/>
      <c r="M1138" s="72"/>
      <c r="N1138" s="72"/>
      <c r="O1138" s="73"/>
      <c r="P1138" s="74"/>
      <c r="Q1138" s="74"/>
      <c r="R1138" s="81"/>
      <c r="S1138" s="81"/>
      <c r="T1138" s="81"/>
      <c r="U1138" s="81"/>
      <c r="V1138" s="48"/>
      <c r="W1138" s="48"/>
      <c r="X1138" s="48"/>
      <c r="Y1138" s="48"/>
      <c r="Z1138" s="47"/>
      <c r="AA1138" s="69"/>
      <c r="AB1138" s="69"/>
      <c r="AC1138" s="70"/>
      <c r="AD1138" t="s">
        <v>6309</v>
      </c>
      <c r="AE1138" s="78" t="s">
        <v>7472</v>
      </c>
      <c r="AF1138">
        <v>76</v>
      </c>
      <c r="AG1138">
        <v>55</v>
      </c>
      <c r="AH1138">
        <v>6280</v>
      </c>
      <c r="AI1138">
        <v>14894</v>
      </c>
      <c r="AK1138" t="s">
        <v>8654</v>
      </c>
      <c r="AO1138" s="76">
        <v>44500.471296296295</v>
      </c>
      <c r="AP1138" s="79" t="str">
        <f>HYPERLINK("https://pbs.twimg.com/profile_banners/1454769719186272261/1674805776")</f>
        <v>https://pbs.twimg.com/profile_banners/1454769719186272261/1674805776</v>
      </c>
      <c r="AQ1138" t="b">
        <v>1</v>
      </c>
      <c r="AR1138" t="b">
        <v>0</v>
      </c>
      <c r="AS1138" t="b">
        <v>0</v>
      </c>
      <c r="AU1138">
        <v>1</v>
      </c>
      <c r="AW1138" t="b">
        <v>0</v>
      </c>
      <c r="AX1138" t="s">
        <v>9303</v>
      </c>
      <c r="AY1138" s="79" t="str">
        <f>HYPERLINK("https://twitter.com/yuupisaidthat")</f>
        <v>https://twitter.com/yuupisaidthat</v>
      </c>
      <c r="AZ1138" t="s">
        <v>66</v>
      </c>
      <c r="BA1138" s="2"/>
    </row>
    <row r="1139" spans="1:53" x14ac:dyDescent="0.45">
      <c r="A1139" s="62" t="s">
        <v>423</v>
      </c>
      <c r="B1139" s="63"/>
      <c r="C1139" s="63"/>
      <c r="D1139" s="64"/>
      <c r="E1139" s="66"/>
      <c r="F1139" s="98" t="str">
        <f>HYPERLINK("https://pbs.twimg.com/profile_images/1573845467221430274/CafbQREI_normal.jpg")</f>
        <v>https://pbs.twimg.com/profile_images/1573845467221430274/CafbQREI_normal.jpg</v>
      </c>
      <c r="G1139" s="63"/>
      <c r="H1139" s="67"/>
      <c r="I1139" s="68"/>
      <c r="J1139" s="68"/>
      <c r="K1139" s="67" t="s">
        <v>9674</v>
      </c>
      <c r="L1139" s="71"/>
      <c r="M1139" s="72"/>
      <c r="N1139" s="72"/>
      <c r="O1139" s="73"/>
      <c r="P1139" s="74"/>
      <c r="Q1139" s="74"/>
      <c r="R1139" s="81"/>
      <c r="S1139" s="81"/>
      <c r="T1139" s="81"/>
      <c r="U1139" s="81"/>
      <c r="V1139" s="48"/>
      <c r="W1139" s="48"/>
      <c r="X1139" s="48"/>
      <c r="Y1139" s="48"/>
      <c r="Z1139" s="47"/>
      <c r="AA1139" s="69"/>
      <c r="AB1139" s="69"/>
      <c r="AC1139" s="70"/>
      <c r="AD1139" t="s">
        <v>5367</v>
      </c>
      <c r="AE1139" s="78" t="s">
        <v>6641</v>
      </c>
      <c r="AF1139">
        <v>490</v>
      </c>
      <c r="AG1139">
        <v>55</v>
      </c>
      <c r="AH1139">
        <v>2331</v>
      </c>
      <c r="AI1139">
        <v>5798</v>
      </c>
      <c r="AK1139" t="s">
        <v>7816</v>
      </c>
      <c r="AM1139" s="79" t="str">
        <f>HYPERLINK("https://t.co/t5dY05Vgb6")</f>
        <v>https://t.co/t5dY05Vgb6</v>
      </c>
      <c r="AO1139" s="76">
        <v>43069.371608796297</v>
      </c>
      <c r="AP1139" s="79" t="str">
        <f>HYPERLINK("https://pbs.twimg.com/profile_banners/936156625995554816/1550174573")</f>
        <v>https://pbs.twimg.com/profile_banners/936156625995554816/1550174573</v>
      </c>
      <c r="AQ1139" t="b">
        <v>0</v>
      </c>
      <c r="AR1139" t="b">
        <v>0</v>
      </c>
      <c r="AS1139" t="b">
        <v>0</v>
      </c>
      <c r="AU1139">
        <v>0</v>
      </c>
      <c r="AV1139" s="79" t="str">
        <f>HYPERLINK("https://abs.twimg.com/images/themes/theme1/bg.png")</f>
        <v>https://abs.twimg.com/images/themes/theme1/bg.png</v>
      </c>
      <c r="AW1139" t="b">
        <v>0</v>
      </c>
      <c r="AX1139" t="s">
        <v>9303</v>
      </c>
      <c r="AY1139" s="79" t="str">
        <f>HYPERLINK("https://twitter.com/qtea_piez")</f>
        <v>https://twitter.com/qtea_piez</v>
      </c>
      <c r="AZ1139" t="s">
        <v>66</v>
      </c>
      <c r="BA1139" s="2"/>
    </row>
    <row r="1140" spans="1:53" x14ac:dyDescent="0.45">
      <c r="A1140" s="62" t="s">
        <v>428</v>
      </c>
      <c r="B1140" s="63"/>
      <c r="C1140" s="63"/>
      <c r="D1140" s="64"/>
      <c r="E1140" s="66"/>
      <c r="F1140" s="98" t="str">
        <f>HYPERLINK("https://pbs.twimg.com/profile_images/1324874315964305411/udvTw7tk_normal.jpg")</f>
        <v>https://pbs.twimg.com/profile_images/1324874315964305411/udvTw7tk_normal.jpg</v>
      </c>
      <c r="G1140" s="63"/>
      <c r="H1140" s="67"/>
      <c r="I1140" s="68"/>
      <c r="J1140" s="68"/>
      <c r="K1140" s="67" t="s">
        <v>9680</v>
      </c>
      <c r="L1140" s="71"/>
      <c r="M1140" s="72"/>
      <c r="N1140" s="72"/>
      <c r="O1140" s="73"/>
      <c r="P1140" s="74"/>
      <c r="Q1140" s="74"/>
      <c r="R1140" s="81"/>
      <c r="S1140" s="81"/>
      <c r="T1140" s="81"/>
      <c r="U1140" s="81"/>
      <c r="V1140" s="48"/>
      <c r="W1140" s="48"/>
      <c r="X1140" s="48"/>
      <c r="Y1140" s="48"/>
      <c r="Z1140" s="47"/>
      <c r="AA1140" s="69"/>
      <c r="AB1140" s="69"/>
      <c r="AC1140" s="70"/>
      <c r="AD1140" t="s">
        <v>5373</v>
      </c>
      <c r="AE1140" s="78" t="s">
        <v>6646</v>
      </c>
      <c r="AF1140">
        <v>48</v>
      </c>
      <c r="AG1140">
        <v>55</v>
      </c>
      <c r="AH1140">
        <v>4385</v>
      </c>
      <c r="AI1140">
        <v>7</v>
      </c>
      <c r="AK1140" t="s">
        <v>7821</v>
      </c>
      <c r="AL1140" t="s">
        <v>8868</v>
      </c>
      <c r="AO1140" s="76">
        <v>39980.662789351853</v>
      </c>
      <c r="AQ1140" t="b">
        <v>0</v>
      </c>
      <c r="AR1140" t="b">
        <v>0</v>
      </c>
      <c r="AS1140" t="b">
        <v>1</v>
      </c>
      <c r="AU1140">
        <v>0</v>
      </c>
      <c r="AV1140" s="79" t="str">
        <f>HYPERLINK("https://abs.twimg.com/images/themes/theme10/bg.gif")</f>
        <v>https://abs.twimg.com/images/themes/theme10/bg.gif</v>
      </c>
      <c r="AW1140" t="b">
        <v>0</v>
      </c>
      <c r="AX1140" t="s">
        <v>9303</v>
      </c>
      <c r="AY1140" s="79" t="str">
        <f>HYPERLINK("https://twitter.com/_rachelle_bee")</f>
        <v>https://twitter.com/_rachelle_bee</v>
      </c>
      <c r="AZ1140" t="s">
        <v>66</v>
      </c>
      <c r="BA1140" s="2"/>
    </row>
    <row r="1141" spans="1:53" x14ac:dyDescent="0.45">
      <c r="A1141" s="62" t="s">
        <v>474</v>
      </c>
      <c r="B1141" s="63"/>
      <c r="C1141" s="63"/>
      <c r="D1141" s="64"/>
      <c r="E1141" s="66"/>
      <c r="F1141" s="98" t="str">
        <f>HYPERLINK("https://pbs.twimg.com/profile_images/1620096817236004865/NrdZ1E1k_normal.jpg")</f>
        <v>https://pbs.twimg.com/profile_images/1620096817236004865/NrdZ1E1k_normal.jpg</v>
      </c>
      <c r="G1141" s="63"/>
      <c r="H1141" s="67"/>
      <c r="I1141" s="68"/>
      <c r="J1141" s="68"/>
      <c r="K1141" s="67" t="s">
        <v>9746</v>
      </c>
      <c r="L1141" s="71"/>
      <c r="M1141" s="72"/>
      <c r="N1141" s="72"/>
      <c r="O1141" s="73"/>
      <c r="P1141" s="74"/>
      <c r="Q1141" s="74"/>
      <c r="R1141" s="81"/>
      <c r="S1141" s="81"/>
      <c r="T1141" s="81"/>
      <c r="U1141" s="81"/>
      <c r="V1141" s="48"/>
      <c r="W1141" s="48"/>
      <c r="X1141" s="48"/>
      <c r="Y1141" s="48"/>
      <c r="Z1141" s="47"/>
      <c r="AA1141" s="69"/>
      <c r="AB1141" s="69"/>
      <c r="AC1141" s="70"/>
      <c r="AD1141" t="s">
        <v>5438</v>
      </c>
      <c r="AE1141" s="78" t="s">
        <v>6703</v>
      </c>
      <c r="AF1141">
        <v>260</v>
      </c>
      <c r="AG1141">
        <v>55</v>
      </c>
      <c r="AH1141">
        <v>2877</v>
      </c>
      <c r="AI1141">
        <v>9576</v>
      </c>
      <c r="AK1141" t="s">
        <v>7876</v>
      </c>
      <c r="AO1141" s="76">
        <v>44640.148599537039</v>
      </c>
      <c r="AP1141" s="79" t="str">
        <f>HYPERLINK("https://pbs.twimg.com/profile_banners/1505387110878089216/1674205382")</f>
        <v>https://pbs.twimg.com/profile_banners/1505387110878089216/1674205382</v>
      </c>
      <c r="AQ1141" t="b">
        <v>1</v>
      </c>
      <c r="AR1141" t="b">
        <v>0</v>
      </c>
      <c r="AS1141" t="b">
        <v>0</v>
      </c>
      <c r="AU1141">
        <v>0</v>
      </c>
      <c r="AW1141" t="b">
        <v>0</v>
      </c>
      <c r="AX1141" t="s">
        <v>9303</v>
      </c>
      <c r="AY1141" s="79" t="str">
        <f>HYPERLINK("https://twitter.com/karlaatmidnight")</f>
        <v>https://twitter.com/karlaatmidnight</v>
      </c>
      <c r="AZ1141" t="s">
        <v>66</v>
      </c>
      <c r="BA1141" s="2"/>
    </row>
    <row r="1142" spans="1:53" x14ac:dyDescent="0.45">
      <c r="A1142" s="62" t="s">
        <v>1350</v>
      </c>
      <c r="B1142" s="63"/>
      <c r="C1142" s="63"/>
      <c r="D1142" s="64"/>
      <c r="E1142" s="66"/>
      <c r="F1142" s="98" t="str">
        <f>HYPERLINK("https://pbs.twimg.com/profile_images/1540382318476525580/bXnOxj9j_normal.jpg")</f>
        <v>https://pbs.twimg.com/profile_images/1540382318476525580/bXnOxj9j_normal.jpg</v>
      </c>
      <c r="G1142" s="63"/>
      <c r="H1142" s="67"/>
      <c r="I1142" s="68"/>
      <c r="J1142" s="68"/>
      <c r="K1142" s="67" t="s">
        <v>10064</v>
      </c>
      <c r="L1142" s="71"/>
      <c r="M1142" s="72"/>
      <c r="N1142" s="72"/>
      <c r="O1142" s="73"/>
      <c r="P1142" s="74"/>
      <c r="Q1142" s="74"/>
      <c r="R1142" s="81"/>
      <c r="S1142" s="81"/>
      <c r="T1142" s="81"/>
      <c r="U1142" s="81"/>
      <c r="V1142" s="48"/>
      <c r="W1142" s="48"/>
      <c r="X1142" s="48"/>
      <c r="Y1142" s="48"/>
      <c r="Z1142" s="47"/>
      <c r="AA1142" s="69"/>
      <c r="AB1142" s="69"/>
      <c r="AC1142" s="70"/>
      <c r="AD1142" t="s">
        <v>5753</v>
      </c>
      <c r="AE1142" s="78" t="s">
        <v>4733</v>
      </c>
      <c r="AF1142">
        <v>399</v>
      </c>
      <c r="AG1142">
        <v>55</v>
      </c>
      <c r="AH1142">
        <v>4415</v>
      </c>
      <c r="AI1142">
        <v>22086</v>
      </c>
      <c r="AK1142" t="s">
        <v>8150</v>
      </c>
      <c r="AO1142" s="76">
        <v>43329.12604166667</v>
      </c>
      <c r="AP1142" s="79" t="str">
        <f>HYPERLINK("https://pbs.twimg.com/profile_banners/1030288480964894720/1653445867")</f>
        <v>https://pbs.twimg.com/profile_banners/1030288480964894720/1653445867</v>
      </c>
      <c r="AQ1142" t="b">
        <v>1</v>
      </c>
      <c r="AR1142" t="b">
        <v>0</v>
      </c>
      <c r="AS1142" t="b">
        <v>0</v>
      </c>
      <c r="AU1142">
        <v>0</v>
      </c>
      <c r="AW1142" t="b">
        <v>0</v>
      </c>
      <c r="AX1142" t="s">
        <v>9303</v>
      </c>
      <c r="AY1142" s="79" t="str">
        <f>HYPERLINK("https://twitter.com/northupwilma")</f>
        <v>https://twitter.com/northupwilma</v>
      </c>
      <c r="AZ1142" t="s">
        <v>65</v>
      </c>
      <c r="BA1142" s="2"/>
    </row>
    <row r="1143" spans="1:53" x14ac:dyDescent="0.45">
      <c r="A1143" s="62" t="s">
        <v>662</v>
      </c>
      <c r="B1143" s="63"/>
      <c r="C1143" s="63"/>
      <c r="D1143" s="64"/>
      <c r="E1143" s="66"/>
      <c r="F1143" s="98" t="str">
        <f>HYPERLINK("https://pbs.twimg.com/profile_images/1487853173092106240/vEB9P5ZR_normal.jpg")</f>
        <v>https://pbs.twimg.com/profile_images/1487853173092106240/vEB9P5ZR_normal.jpg</v>
      </c>
      <c r="G1143" s="63"/>
      <c r="H1143" s="67"/>
      <c r="I1143" s="68"/>
      <c r="J1143" s="68"/>
      <c r="K1143" s="67" t="s">
        <v>9982</v>
      </c>
      <c r="L1143" s="71"/>
      <c r="M1143" s="72"/>
      <c r="N1143" s="72"/>
      <c r="O1143" s="73"/>
      <c r="P1143" s="74"/>
      <c r="Q1143" s="74"/>
      <c r="R1143" s="81"/>
      <c r="S1143" s="81"/>
      <c r="T1143" s="81"/>
      <c r="U1143" s="81"/>
      <c r="V1143" s="48"/>
      <c r="W1143" s="48"/>
      <c r="X1143" s="48"/>
      <c r="Y1143" s="48"/>
      <c r="Z1143" s="47"/>
      <c r="AA1143" s="69"/>
      <c r="AB1143" s="69"/>
      <c r="AC1143" s="70"/>
      <c r="AD1143" t="s">
        <v>5673</v>
      </c>
      <c r="AE1143" s="78" t="s">
        <v>6915</v>
      </c>
      <c r="AF1143">
        <v>22</v>
      </c>
      <c r="AG1143">
        <v>54</v>
      </c>
      <c r="AH1143">
        <v>4224</v>
      </c>
      <c r="AI1143">
        <v>1778</v>
      </c>
      <c r="AO1143" s="76">
        <v>44591.763703703706</v>
      </c>
      <c r="AP1143" s="79" t="str">
        <f>HYPERLINK("https://pbs.twimg.com/profile_banners/1487852874826661894/1659087598")</f>
        <v>https://pbs.twimg.com/profile_banners/1487852874826661894/1659087598</v>
      </c>
      <c r="AQ1143" t="b">
        <v>1</v>
      </c>
      <c r="AR1143" t="b">
        <v>0</v>
      </c>
      <c r="AS1143" t="b">
        <v>0</v>
      </c>
      <c r="AU1143">
        <v>0</v>
      </c>
      <c r="AW1143" t="b">
        <v>0</v>
      </c>
      <c r="AX1143" t="s">
        <v>9303</v>
      </c>
      <c r="AY1143" s="79" t="str">
        <f>HYPERLINK("https://twitter.com/theyouthscat1")</f>
        <v>https://twitter.com/theyouthscat1</v>
      </c>
      <c r="AZ1143" t="s">
        <v>66</v>
      </c>
      <c r="BA1143" s="2"/>
    </row>
    <row r="1144" spans="1:53" x14ac:dyDescent="0.45">
      <c r="A1144" s="62" t="s">
        <v>1225</v>
      </c>
      <c r="B1144" s="63"/>
      <c r="C1144" s="63"/>
      <c r="D1144" s="64"/>
      <c r="E1144" s="66"/>
      <c r="F1144" s="98" t="str">
        <f>HYPERLINK("https://pbs.twimg.com/profile_images/754990445764210688/iOEyZdYk_normal.jpg")</f>
        <v>https://pbs.twimg.com/profile_images/754990445764210688/iOEyZdYk_normal.jpg</v>
      </c>
      <c r="G1144" s="63"/>
      <c r="H1144" s="67"/>
      <c r="I1144" s="68"/>
      <c r="J1144" s="68"/>
      <c r="K1144" s="67" t="s">
        <v>9550</v>
      </c>
      <c r="L1144" s="71"/>
      <c r="M1144" s="72"/>
      <c r="N1144" s="72"/>
      <c r="O1144" s="73"/>
      <c r="P1144" s="74"/>
      <c r="Q1144" s="74"/>
      <c r="R1144" s="81"/>
      <c r="S1144" s="81"/>
      <c r="T1144" s="81"/>
      <c r="U1144" s="81"/>
      <c r="V1144" s="48"/>
      <c r="W1144" s="48"/>
      <c r="X1144" s="48"/>
      <c r="Y1144" s="48"/>
      <c r="Z1144" s="47"/>
      <c r="AA1144" s="69"/>
      <c r="AB1144" s="69"/>
      <c r="AC1144" s="70"/>
      <c r="AD1144" t="s">
        <v>5243</v>
      </c>
      <c r="AE1144" s="78" t="s">
        <v>6526</v>
      </c>
      <c r="AF1144">
        <v>0</v>
      </c>
      <c r="AG1144">
        <v>52</v>
      </c>
      <c r="AH1144">
        <v>0</v>
      </c>
      <c r="AI1144">
        <v>0</v>
      </c>
      <c r="AO1144" s="76">
        <v>42569.446747685186</v>
      </c>
      <c r="AP1144" s="79" t="str">
        <f>HYPERLINK("https://pbs.twimg.com/profile_banners/754989921836859392/1468845589")</f>
        <v>https://pbs.twimg.com/profile_banners/754989921836859392/1468845589</v>
      </c>
      <c r="AQ1144" t="b">
        <v>0</v>
      </c>
      <c r="AR1144" t="b">
        <v>0</v>
      </c>
      <c r="AS1144" t="b">
        <v>0</v>
      </c>
      <c r="AU1144">
        <v>1</v>
      </c>
      <c r="AV1144" s="79" t="str">
        <f>HYPERLINK("https://abs.twimg.com/images/themes/theme1/bg.png")</f>
        <v>https://abs.twimg.com/images/themes/theme1/bg.png</v>
      </c>
      <c r="AW1144" t="b">
        <v>0</v>
      </c>
      <c r="AX1144" t="s">
        <v>9303</v>
      </c>
      <c r="AY1144" s="79" t="str">
        <f>HYPERLINK("https://twitter.com/chinapetroleumc")</f>
        <v>https://twitter.com/chinapetroleumc</v>
      </c>
      <c r="AZ1144" t="s">
        <v>65</v>
      </c>
      <c r="BA1144" s="2"/>
    </row>
    <row r="1145" spans="1:53" x14ac:dyDescent="0.45">
      <c r="A1145" s="62" t="s">
        <v>780</v>
      </c>
      <c r="B1145" s="63"/>
      <c r="C1145" s="63"/>
      <c r="D1145" s="64"/>
      <c r="E1145" s="66"/>
      <c r="F1145" s="98" t="str">
        <f>HYPERLINK("https://pbs.twimg.com/profile_images/1621140579488006146/lNhSFi_A_normal.jpg")</f>
        <v>https://pbs.twimg.com/profile_images/1621140579488006146/lNhSFi_A_normal.jpg</v>
      </c>
      <c r="G1145" s="63"/>
      <c r="H1145" s="67"/>
      <c r="I1145" s="68"/>
      <c r="J1145" s="68"/>
      <c r="K1145" s="67" t="s">
        <v>10139</v>
      </c>
      <c r="L1145" s="71"/>
      <c r="M1145" s="72"/>
      <c r="N1145" s="72"/>
      <c r="O1145" s="73"/>
      <c r="P1145" s="74"/>
      <c r="Q1145" s="74"/>
      <c r="R1145" s="81"/>
      <c r="S1145" s="81"/>
      <c r="T1145" s="81"/>
      <c r="U1145" s="81"/>
      <c r="V1145" s="48"/>
      <c r="W1145" s="48"/>
      <c r="X1145" s="48"/>
      <c r="Y1145" s="48"/>
      <c r="Z1145" s="47"/>
      <c r="AA1145" s="69"/>
      <c r="AB1145" s="69"/>
      <c r="AC1145" s="70"/>
      <c r="AD1145" t="s">
        <v>5827</v>
      </c>
      <c r="AE1145" s="78" t="s">
        <v>7053</v>
      </c>
      <c r="AF1145">
        <v>209</v>
      </c>
      <c r="AG1145">
        <v>52</v>
      </c>
      <c r="AH1145">
        <v>545</v>
      </c>
      <c r="AI1145">
        <v>1735</v>
      </c>
      <c r="AK1145" t="s">
        <v>8220</v>
      </c>
      <c r="AO1145" s="76">
        <v>42082.055486111109</v>
      </c>
      <c r="AQ1145" t="b">
        <v>1</v>
      </c>
      <c r="AR1145" t="b">
        <v>0</v>
      </c>
      <c r="AS1145" t="b">
        <v>0</v>
      </c>
      <c r="AU1145">
        <v>0</v>
      </c>
      <c r="AV1145" s="79" t="str">
        <f>HYPERLINK("https://abs.twimg.com/images/themes/theme1/bg.png")</f>
        <v>https://abs.twimg.com/images/themes/theme1/bg.png</v>
      </c>
      <c r="AW1145" t="b">
        <v>0</v>
      </c>
      <c r="AX1145" t="s">
        <v>9303</v>
      </c>
      <c r="AY1145" s="79" t="str">
        <f>HYPERLINK("https://twitter.com/miamigosevrywhr")</f>
        <v>https://twitter.com/miamigosevrywhr</v>
      </c>
      <c r="AZ1145" t="s">
        <v>66</v>
      </c>
      <c r="BA1145" s="2"/>
    </row>
    <row r="1146" spans="1:53" x14ac:dyDescent="0.45">
      <c r="A1146" s="62" t="s">
        <v>1330</v>
      </c>
      <c r="B1146" s="63"/>
      <c r="C1146" s="63"/>
      <c r="D1146" s="64"/>
      <c r="E1146" s="66"/>
      <c r="F1146" s="98" t="str">
        <f>HYPERLINK("https://abs.twimg.com/sticky/default_profile_images/default_profile_normal.png")</f>
        <v>https://abs.twimg.com/sticky/default_profile_images/default_profile_normal.png</v>
      </c>
      <c r="G1146" s="63"/>
      <c r="H1146" s="67"/>
      <c r="I1146" s="68"/>
      <c r="J1146" s="68"/>
      <c r="K1146" s="67" t="s">
        <v>10010</v>
      </c>
      <c r="L1146" s="71"/>
      <c r="M1146" s="72"/>
      <c r="N1146" s="72"/>
      <c r="O1146" s="73"/>
      <c r="P1146" s="74"/>
      <c r="Q1146" s="74"/>
      <c r="R1146" s="81"/>
      <c r="S1146" s="81"/>
      <c r="T1146" s="81"/>
      <c r="U1146" s="81"/>
      <c r="V1146" s="48"/>
      <c r="W1146" s="48"/>
      <c r="X1146" s="48"/>
      <c r="Y1146" s="48"/>
      <c r="Z1146" s="47"/>
      <c r="AA1146" s="69"/>
      <c r="AB1146" s="69"/>
      <c r="AC1146" s="70"/>
      <c r="AD1146" t="s">
        <v>5700</v>
      </c>
      <c r="AE1146" s="78" t="s">
        <v>6941</v>
      </c>
      <c r="AF1146">
        <v>4</v>
      </c>
      <c r="AG1146">
        <v>51</v>
      </c>
      <c r="AH1146">
        <v>2</v>
      </c>
      <c r="AI1146">
        <v>0</v>
      </c>
      <c r="AO1146" s="76">
        <v>39168.57675925926</v>
      </c>
      <c r="AQ1146" t="b">
        <v>0</v>
      </c>
      <c r="AR1146" t="b">
        <v>1</v>
      </c>
      <c r="AS1146" t="b">
        <v>0</v>
      </c>
      <c r="AU1146">
        <v>1</v>
      </c>
      <c r="AV1146" s="79" t="str">
        <f>HYPERLINK("https://abs.twimg.com/images/themes/theme1/bg.png")</f>
        <v>https://abs.twimg.com/images/themes/theme1/bg.png</v>
      </c>
      <c r="AW1146" t="b">
        <v>0</v>
      </c>
      <c r="AX1146" t="s">
        <v>9303</v>
      </c>
      <c r="AY1146" s="79" t="str">
        <f>HYPERLINK("https://twitter.com/bars")</f>
        <v>https://twitter.com/bars</v>
      </c>
      <c r="AZ1146" t="s">
        <v>65</v>
      </c>
      <c r="BA1146" s="2"/>
    </row>
    <row r="1147" spans="1:53" x14ac:dyDescent="0.45">
      <c r="A1147" s="62" t="s">
        <v>851</v>
      </c>
      <c r="B1147" s="63"/>
      <c r="C1147" s="63"/>
      <c r="D1147" s="64"/>
      <c r="E1147" s="66"/>
      <c r="F1147" s="98" t="str">
        <f>HYPERLINK("https://pbs.twimg.com/profile_images/1553927577865273344/e6AdMJJa_normal.jpg")</f>
        <v>https://pbs.twimg.com/profile_images/1553927577865273344/e6AdMJJa_normal.jpg</v>
      </c>
      <c r="G1147" s="63"/>
      <c r="H1147" s="67"/>
      <c r="I1147" s="68"/>
      <c r="J1147" s="68"/>
      <c r="K1147" s="67" t="s">
        <v>10249</v>
      </c>
      <c r="L1147" s="71"/>
      <c r="M1147" s="72"/>
      <c r="N1147" s="72"/>
      <c r="O1147" s="73"/>
      <c r="P1147" s="74"/>
      <c r="Q1147" s="74"/>
      <c r="R1147" s="81"/>
      <c r="S1147" s="81"/>
      <c r="T1147" s="81"/>
      <c r="U1147" s="81"/>
      <c r="V1147" s="48"/>
      <c r="W1147" s="48"/>
      <c r="X1147" s="48"/>
      <c r="Y1147" s="48"/>
      <c r="Z1147" s="47"/>
      <c r="AA1147" s="69"/>
      <c r="AB1147" s="69"/>
      <c r="AC1147" s="70"/>
      <c r="AD1147" t="s">
        <v>5932</v>
      </c>
      <c r="AE1147" s="78" t="s">
        <v>7147</v>
      </c>
      <c r="AF1147">
        <v>169</v>
      </c>
      <c r="AG1147">
        <v>51</v>
      </c>
      <c r="AH1147">
        <v>1741</v>
      </c>
      <c r="AI1147">
        <v>7021</v>
      </c>
      <c r="AK1147" t="s">
        <v>8311</v>
      </c>
      <c r="AL1147" t="s">
        <v>9139</v>
      </c>
      <c r="AM1147" s="79" t="str">
        <f>HYPERLINK("https://t.co/LrZ1h9iY4e")</f>
        <v>https://t.co/LrZ1h9iY4e</v>
      </c>
      <c r="AO1147" s="76">
        <v>44449.543900462966</v>
      </c>
      <c r="AP1147" s="79" t="str">
        <f>HYPERLINK("https://pbs.twimg.com/profile_banners/1436314267687522305/1636550257")</f>
        <v>https://pbs.twimg.com/profile_banners/1436314267687522305/1636550257</v>
      </c>
      <c r="AQ1147" t="b">
        <v>1</v>
      </c>
      <c r="AR1147" t="b">
        <v>0</v>
      </c>
      <c r="AS1147" t="b">
        <v>0</v>
      </c>
      <c r="AU1147">
        <v>0</v>
      </c>
      <c r="AW1147" t="b">
        <v>0</v>
      </c>
      <c r="AX1147" t="s">
        <v>9303</v>
      </c>
      <c r="AY1147" s="79" t="str">
        <f>HYPERLINK("https://twitter.com/rogel_guerrerog")</f>
        <v>https://twitter.com/rogel_guerrerog</v>
      </c>
      <c r="AZ1147" t="s">
        <v>66</v>
      </c>
      <c r="BA1147" s="2"/>
    </row>
    <row r="1148" spans="1:53" x14ac:dyDescent="0.45">
      <c r="A1148" s="62" t="s">
        <v>312</v>
      </c>
      <c r="B1148" s="63"/>
      <c r="C1148" s="63"/>
      <c r="D1148" s="64"/>
      <c r="E1148" s="66"/>
      <c r="F1148" s="98" t="str">
        <f>HYPERLINK("https://pbs.twimg.com/profile_images/1374166133041885188/UUHBdkLy_normal.jpg")</f>
        <v>https://pbs.twimg.com/profile_images/1374166133041885188/UUHBdkLy_normal.jpg</v>
      </c>
      <c r="G1148" s="63"/>
      <c r="H1148" s="67"/>
      <c r="I1148" s="68"/>
      <c r="J1148" s="68"/>
      <c r="K1148" s="67" t="s">
        <v>9508</v>
      </c>
      <c r="L1148" s="71"/>
      <c r="M1148" s="72"/>
      <c r="N1148" s="72"/>
      <c r="O1148" s="73"/>
      <c r="P1148" s="74"/>
      <c r="Q1148" s="74"/>
      <c r="R1148" s="81"/>
      <c r="S1148" s="81"/>
      <c r="T1148" s="81"/>
      <c r="U1148" s="81"/>
      <c r="V1148" s="48"/>
      <c r="W1148" s="48"/>
      <c r="X1148" s="48"/>
      <c r="Y1148" s="48"/>
      <c r="Z1148" s="47"/>
      <c r="AA1148" s="69"/>
      <c r="AB1148" s="69"/>
      <c r="AC1148" s="70"/>
      <c r="AD1148" t="s">
        <v>5202</v>
      </c>
      <c r="AE1148" s="78" t="s">
        <v>6493</v>
      </c>
      <c r="AF1148">
        <v>188</v>
      </c>
      <c r="AG1148">
        <v>50</v>
      </c>
      <c r="AH1148">
        <v>936</v>
      </c>
      <c r="AI1148">
        <v>1864</v>
      </c>
      <c r="AK1148" t="s">
        <v>7672</v>
      </c>
      <c r="AO1148" s="76">
        <v>41671.368854166663</v>
      </c>
      <c r="AP1148" s="79" t="str">
        <f>HYPERLINK("https://pbs.twimg.com/profile_banners/2322028135/1616461882")</f>
        <v>https://pbs.twimg.com/profile_banners/2322028135/1616461882</v>
      </c>
      <c r="AQ1148" t="b">
        <v>1</v>
      </c>
      <c r="AR1148" t="b">
        <v>0</v>
      </c>
      <c r="AS1148" t="b">
        <v>0</v>
      </c>
      <c r="AU1148">
        <v>0</v>
      </c>
      <c r="AV1148" s="79" t="str">
        <f>HYPERLINK("https://abs.twimg.com/images/themes/theme1/bg.png")</f>
        <v>https://abs.twimg.com/images/themes/theme1/bg.png</v>
      </c>
      <c r="AW1148" t="b">
        <v>0</v>
      </c>
      <c r="AX1148" t="s">
        <v>9303</v>
      </c>
      <c r="AY1148" s="79" t="str">
        <f>HYPERLINK("https://twitter.com/aseem1999")</f>
        <v>https://twitter.com/aseem1999</v>
      </c>
      <c r="AZ1148" t="s">
        <v>66</v>
      </c>
      <c r="BA1148" s="2"/>
    </row>
    <row r="1149" spans="1:53" x14ac:dyDescent="0.45">
      <c r="A1149" s="62" t="s">
        <v>307</v>
      </c>
      <c r="B1149" s="63"/>
      <c r="C1149" s="63"/>
      <c r="D1149" s="64"/>
      <c r="E1149" s="66"/>
      <c r="F1149" s="98" t="str">
        <f>HYPERLINK("https://pbs.twimg.com/profile_images/1590421010607706115/q4RRrOWL_normal.jpg")</f>
        <v>https://pbs.twimg.com/profile_images/1590421010607706115/q4RRrOWL_normal.jpg</v>
      </c>
      <c r="G1149" s="63"/>
      <c r="H1149" s="67"/>
      <c r="I1149" s="68"/>
      <c r="J1149" s="68"/>
      <c r="K1149" s="67" t="s">
        <v>9503</v>
      </c>
      <c r="L1149" s="71"/>
      <c r="M1149" s="72"/>
      <c r="N1149" s="72"/>
      <c r="O1149" s="73"/>
      <c r="P1149" s="74"/>
      <c r="Q1149" s="74"/>
      <c r="R1149" s="81"/>
      <c r="S1149" s="81"/>
      <c r="T1149" s="81"/>
      <c r="U1149" s="81"/>
      <c r="V1149" s="48"/>
      <c r="W1149" s="48"/>
      <c r="X1149" s="48"/>
      <c r="Y1149" s="48"/>
      <c r="Z1149" s="47"/>
      <c r="AA1149" s="69"/>
      <c r="AB1149" s="69"/>
      <c r="AC1149" s="70"/>
      <c r="AD1149" t="s">
        <v>5197</v>
      </c>
      <c r="AE1149" s="78" t="s">
        <v>6488</v>
      </c>
      <c r="AF1149">
        <v>489</v>
      </c>
      <c r="AG1149">
        <v>49</v>
      </c>
      <c r="AH1149">
        <v>1463</v>
      </c>
      <c r="AI1149">
        <v>1601</v>
      </c>
      <c r="AK1149" t="s">
        <v>7667</v>
      </c>
      <c r="AL1149" t="s">
        <v>8785</v>
      </c>
      <c r="AO1149" s="76">
        <v>44874.783761574072</v>
      </c>
      <c r="AP1149" s="79" t="str">
        <f>HYPERLINK("https://pbs.twimg.com/profile_banners/1590416037559894022/1668020951")</f>
        <v>https://pbs.twimg.com/profile_banners/1590416037559894022/1668020951</v>
      </c>
      <c r="AQ1149" t="b">
        <v>1</v>
      </c>
      <c r="AR1149" t="b">
        <v>0</v>
      </c>
      <c r="AS1149" t="b">
        <v>0</v>
      </c>
      <c r="AU1149">
        <v>0</v>
      </c>
      <c r="AW1149" t="b">
        <v>0</v>
      </c>
      <c r="AX1149" t="s">
        <v>9303</v>
      </c>
      <c r="AY1149" s="79" t="str">
        <f>HYPERLINK("https://twitter.com/artfan90a")</f>
        <v>https://twitter.com/artfan90a</v>
      </c>
      <c r="AZ1149" t="s">
        <v>66</v>
      </c>
      <c r="BA1149" s="2"/>
    </row>
    <row r="1150" spans="1:53" x14ac:dyDescent="0.45">
      <c r="A1150" s="62" t="s">
        <v>782</v>
      </c>
      <c r="B1150" s="63"/>
      <c r="C1150" s="63"/>
      <c r="D1150" s="64"/>
      <c r="E1150" s="66"/>
      <c r="F1150" s="98" t="str">
        <f>HYPERLINK("https://pbs.twimg.com/profile_images/1415362639736213510/jfi3pRcO_normal.jpg")</f>
        <v>https://pbs.twimg.com/profile_images/1415362639736213510/jfi3pRcO_normal.jpg</v>
      </c>
      <c r="G1150" s="63"/>
      <c r="H1150" s="67"/>
      <c r="I1150" s="68"/>
      <c r="J1150" s="68"/>
      <c r="K1150" s="67" t="s">
        <v>10142</v>
      </c>
      <c r="L1150" s="71"/>
      <c r="M1150" s="72"/>
      <c r="N1150" s="72"/>
      <c r="O1150" s="73"/>
      <c r="P1150" s="74"/>
      <c r="Q1150" s="74"/>
      <c r="R1150" s="81"/>
      <c r="S1150" s="81"/>
      <c r="T1150" s="81"/>
      <c r="U1150" s="81"/>
      <c r="V1150" s="48"/>
      <c r="W1150" s="48"/>
      <c r="X1150" s="48"/>
      <c r="Y1150" s="48"/>
      <c r="Z1150" s="47"/>
      <c r="AA1150" s="69"/>
      <c r="AB1150" s="69"/>
      <c r="AC1150" s="70"/>
      <c r="AD1150" t="s">
        <v>5829</v>
      </c>
      <c r="AE1150" s="78" t="s">
        <v>4746</v>
      </c>
      <c r="AF1150">
        <v>2</v>
      </c>
      <c r="AG1150">
        <v>49</v>
      </c>
      <c r="AH1150">
        <v>101</v>
      </c>
      <c r="AI1150">
        <v>39</v>
      </c>
      <c r="AK1150" t="s">
        <v>8221</v>
      </c>
      <c r="AL1150" t="s">
        <v>9097</v>
      </c>
      <c r="AM1150" s="79" t="str">
        <f>HYPERLINK("https://t.co/0ULBMB4bZQ")</f>
        <v>https://t.co/0ULBMB4bZQ</v>
      </c>
      <c r="AO1150" s="76">
        <v>44248.586134259262</v>
      </c>
      <c r="AP1150" s="79" t="str">
        <f>HYPERLINK("https://pbs.twimg.com/profile_banners/1363489424777043968/1621597252")</f>
        <v>https://pbs.twimg.com/profile_banners/1363489424777043968/1621597252</v>
      </c>
      <c r="AQ1150" t="b">
        <v>1</v>
      </c>
      <c r="AR1150" t="b">
        <v>0</v>
      </c>
      <c r="AS1150" t="b">
        <v>0</v>
      </c>
      <c r="AU1150">
        <v>0</v>
      </c>
      <c r="AW1150" t="b">
        <v>0</v>
      </c>
      <c r="AX1150" t="s">
        <v>9303</v>
      </c>
      <c r="AY1150" s="79" t="str">
        <f>HYPERLINK("https://twitter.com/wakingup80")</f>
        <v>https://twitter.com/wakingup80</v>
      </c>
      <c r="AZ1150" t="s">
        <v>66</v>
      </c>
      <c r="BA1150" s="2"/>
    </row>
    <row r="1151" spans="1:53" x14ac:dyDescent="0.45">
      <c r="A1151" s="62" t="s">
        <v>1384</v>
      </c>
      <c r="B1151" s="63"/>
      <c r="C1151" s="63"/>
      <c r="D1151" s="64"/>
      <c r="E1151" s="66"/>
      <c r="F1151" s="98" t="str">
        <f>HYPERLINK("https://pbs.twimg.com/profile_images/1610522295428124672/z2wRxyGr_normal.jpg")</f>
        <v>https://pbs.twimg.com/profile_images/1610522295428124672/z2wRxyGr_normal.jpg</v>
      </c>
      <c r="G1151" s="63"/>
      <c r="H1151" s="67"/>
      <c r="I1151" s="68"/>
      <c r="J1151" s="68"/>
      <c r="K1151" s="67" t="s">
        <v>10177</v>
      </c>
      <c r="L1151" s="71"/>
      <c r="M1151" s="72"/>
      <c r="N1151" s="72"/>
      <c r="O1151" s="73"/>
      <c r="P1151" s="74"/>
      <c r="Q1151" s="74"/>
      <c r="R1151" s="81"/>
      <c r="S1151" s="81"/>
      <c r="T1151" s="81"/>
      <c r="U1151" s="81"/>
      <c r="V1151" s="48"/>
      <c r="W1151" s="48"/>
      <c r="X1151" s="48"/>
      <c r="Y1151" s="48"/>
      <c r="Z1151" s="47"/>
      <c r="AA1151" s="69"/>
      <c r="AB1151" s="69"/>
      <c r="AC1151" s="70"/>
      <c r="AD1151" t="s">
        <v>5863</v>
      </c>
      <c r="AE1151" s="78" t="s">
        <v>4748</v>
      </c>
      <c r="AF1151">
        <v>85</v>
      </c>
      <c r="AG1151">
        <v>49</v>
      </c>
      <c r="AH1151">
        <v>7465</v>
      </c>
      <c r="AI1151">
        <v>4149</v>
      </c>
      <c r="AK1151" t="s">
        <v>8250</v>
      </c>
      <c r="AO1151" s="76">
        <v>44852.40253472222</v>
      </c>
      <c r="AP1151" s="79" t="str">
        <f>HYPERLINK("https://pbs.twimg.com/profile_banners/1582305332633767936/1672799648")</f>
        <v>https://pbs.twimg.com/profile_banners/1582305332633767936/1672799648</v>
      </c>
      <c r="AQ1151" t="b">
        <v>1</v>
      </c>
      <c r="AR1151" t="b">
        <v>0</v>
      </c>
      <c r="AS1151" t="b">
        <v>0</v>
      </c>
      <c r="AU1151">
        <v>0</v>
      </c>
      <c r="AW1151" t="b">
        <v>0</v>
      </c>
      <c r="AX1151" t="s">
        <v>9303</v>
      </c>
      <c r="AY1151" s="79" t="str">
        <f>HYPERLINK("https://twitter.com/plkpauifmtp0zvg")</f>
        <v>https://twitter.com/plkpauifmtp0zvg</v>
      </c>
      <c r="AZ1151" t="s">
        <v>65</v>
      </c>
      <c r="BA1151" s="2"/>
    </row>
    <row r="1152" spans="1:53" x14ac:dyDescent="0.45">
      <c r="A1152" s="62" t="s">
        <v>775</v>
      </c>
      <c r="B1152" s="63"/>
      <c r="C1152" s="63"/>
      <c r="D1152" s="64"/>
      <c r="E1152" s="66"/>
      <c r="F1152" s="98" t="str">
        <f>HYPERLINK("https://pbs.twimg.com/profile_images/1534298411146657792/bKx_wyER_normal.jpg")</f>
        <v>https://pbs.twimg.com/profile_images/1534298411146657792/bKx_wyER_normal.jpg</v>
      </c>
      <c r="G1152" s="63"/>
      <c r="H1152" s="67"/>
      <c r="I1152" s="68"/>
      <c r="J1152" s="68"/>
      <c r="K1152" s="67" t="s">
        <v>10133</v>
      </c>
      <c r="L1152" s="71"/>
      <c r="M1152" s="72"/>
      <c r="N1152" s="72"/>
      <c r="O1152" s="73"/>
      <c r="P1152" s="74"/>
      <c r="Q1152" s="74"/>
      <c r="R1152" s="81"/>
      <c r="S1152" s="81"/>
      <c r="T1152" s="81"/>
      <c r="U1152" s="81"/>
      <c r="V1152" s="48"/>
      <c r="W1152" s="48"/>
      <c r="X1152" s="48"/>
      <c r="Y1152" s="48"/>
      <c r="Z1152" s="47"/>
      <c r="AA1152" s="69"/>
      <c r="AB1152" s="69"/>
      <c r="AC1152" s="70"/>
      <c r="AD1152" t="s">
        <v>5821</v>
      </c>
      <c r="AE1152" s="78" t="s">
        <v>7048</v>
      </c>
      <c r="AF1152">
        <v>182</v>
      </c>
      <c r="AG1152">
        <v>48</v>
      </c>
      <c r="AH1152">
        <v>7368</v>
      </c>
      <c r="AI1152">
        <v>49058</v>
      </c>
      <c r="AK1152" t="s">
        <v>8215</v>
      </c>
      <c r="AL1152" t="s">
        <v>8813</v>
      </c>
      <c r="AO1152" s="76">
        <v>40041.130057870374</v>
      </c>
      <c r="AP1152" s="79" t="str">
        <f>HYPERLINK("https://pbs.twimg.com/profile_banners/66038872/1398303237")</f>
        <v>https://pbs.twimg.com/profile_banners/66038872/1398303237</v>
      </c>
      <c r="AQ1152" t="b">
        <v>0</v>
      </c>
      <c r="AR1152" t="b">
        <v>0</v>
      </c>
      <c r="AS1152" t="b">
        <v>1</v>
      </c>
      <c r="AU1152">
        <v>0</v>
      </c>
      <c r="AV1152" s="79" t="str">
        <f>HYPERLINK("https://abs.twimg.com/images/themes/theme9/bg.gif")</f>
        <v>https://abs.twimg.com/images/themes/theme9/bg.gif</v>
      </c>
      <c r="AW1152" t="b">
        <v>0</v>
      </c>
      <c r="AX1152" t="s">
        <v>9303</v>
      </c>
      <c r="AY1152" s="79" t="str">
        <f>HYPERLINK("https://twitter.com/jendaissues")</f>
        <v>https://twitter.com/jendaissues</v>
      </c>
      <c r="AZ1152" t="s">
        <v>66</v>
      </c>
      <c r="BA1152" s="2"/>
    </row>
    <row r="1153" spans="1:53" x14ac:dyDescent="0.45">
      <c r="A1153" s="62" t="s">
        <v>753</v>
      </c>
      <c r="B1153" s="63"/>
      <c r="C1153" s="63"/>
      <c r="D1153" s="64"/>
      <c r="E1153" s="66"/>
      <c r="F1153" s="98" t="str">
        <f>HYPERLINK("https://pbs.twimg.com/profile_images/1617678119464505346/BUQ55hDu_normal.jpg")</f>
        <v>https://pbs.twimg.com/profile_images/1617678119464505346/BUQ55hDu_normal.jpg</v>
      </c>
      <c r="G1153" s="63"/>
      <c r="H1153" s="67"/>
      <c r="I1153" s="68"/>
      <c r="J1153" s="68"/>
      <c r="K1153" s="67" t="s">
        <v>10104</v>
      </c>
      <c r="L1153" s="71"/>
      <c r="M1153" s="72"/>
      <c r="N1153" s="72"/>
      <c r="O1153" s="73"/>
      <c r="P1153" s="74"/>
      <c r="Q1153" s="74"/>
      <c r="R1153" s="81"/>
      <c r="S1153" s="81"/>
      <c r="T1153" s="81"/>
      <c r="U1153" s="81"/>
      <c r="V1153" s="48"/>
      <c r="W1153" s="48"/>
      <c r="X1153" s="48"/>
      <c r="Y1153" s="48"/>
      <c r="Z1153" s="47"/>
      <c r="AA1153" s="69"/>
      <c r="AB1153" s="69"/>
      <c r="AC1153" s="70"/>
      <c r="AD1153" t="s">
        <v>5792</v>
      </c>
      <c r="AE1153" s="78" t="s">
        <v>7024</v>
      </c>
      <c r="AF1153">
        <v>211</v>
      </c>
      <c r="AG1153">
        <v>47</v>
      </c>
      <c r="AH1153">
        <v>3182</v>
      </c>
      <c r="AI1153">
        <v>8314</v>
      </c>
      <c r="AK1153" t="s">
        <v>8187</v>
      </c>
      <c r="AL1153" t="s">
        <v>9082</v>
      </c>
      <c r="AM1153" s="79" t="str">
        <f>HYPERLINK("https://t.co/yIJ6uPhAvP")</f>
        <v>https://t.co/yIJ6uPhAvP</v>
      </c>
      <c r="AO1153" s="76">
        <v>43654.652280092596</v>
      </c>
      <c r="AP1153" s="79" t="str">
        <f>HYPERLINK("https://pbs.twimg.com/profile_banners/1148255241185312768/1674519625")</f>
        <v>https://pbs.twimg.com/profile_banners/1148255241185312768/1674519625</v>
      </c>
      <c r="AQ1153" t="b">
        <v>1</v>
      </c>
      <c r="AR1153" t="b">
        <v>0</v>
      </c>
      <c r="AS1153" t="b">
        <v>1</v>
      </c>
      <c r="AU1153">
        <v>1</v>
      </c>
      <c r="AW1153" t="b">
        <v>0</v>
      </c>
      <c r="AX1153" t="s">
        <v>9303</v>
      </c>
      <c r="AY1153" s="79" t="str">
        <f>HYPERLINK("https://twitter.com/saccharineqq")</f>
        <v>https://twitter.com/saccharineqq</v>
      </c>
      <c r="AZ1153" t="s">
        <v>66</v>
      </c>
      <c r="BA1153" s="2"/>
    </row>
    <row r="1154" spans="1:53" x14ac:dyDescent="0.45">
      <c r="A1154" s="62" t="s">
        <v>270</v>
      </c>
      <c r="B1154" s="63"/>
      <c r="C1154" s="63"/>
      <c r="D1154" s="64"/>
      <c r="E1154" s="66"/>
      <c r="F1154" s="98" t="str">
        <f>HYPERLINK("https://pbs.twimg.com/profile_images/1334458955666513920/_vWXnM14_normal.jpg")</f>
        <v>https://pbs.twimg.com/profile_images/1334458955666513920/_vWXnM14_normal.jpg</v>
      </c>
      <c r="G1154" s="63"/>
      <c r="H1154" s="67"/>
      <c r="I1154" s="68"/>
      <c r="J1154" s="68"/>
      <c r="K1154" s="67" t="s">
        <v>9414</v>
      </c>
      <c r="L1154" s="71"/>
      <c r="M1154" s="72"/>
      <c r="N1154" s="72"/>
      <c r="O1154" s="73"/>
      <c r="P1154" s="74"/>
      <c r="Q1154" s="74"/>
      <c r="R1154" s="81"/>
      <c r="S1154" s="81"/>
      <c r="T1154" s="81"/>
      <c r="U1154" s="81"/>
      <c r="V1154" s="48"/>
      <c r="W1154" s="48"/>
      <c r="X1154" s="48"/>
      <c r="Y1154" s="48"/>
      <c r="Z1154" s="47"/>
      <c r="AA1154" s="69"/>
      <c r="AB1154" s="69"/>
      <c r="AC1154" s="70"/>
      <c r="AD1154" t="s">
        <v>5108</v>
      </c>
      <c r="AE1154" s="78" t="s">
        <v>6417</v>
      </c>
      <c r="AF1154">
        <v>336</v>
      </c>
      <c r="AG1154">
        <v>46</v>
      </c>
      <c r="AH1154">
        <v>389</v>
      </c>
      <c r="AI1154">
        <v>691</v>
      </c>
      <c r="AO1154" s="76">
        <v>40964.617685185185</v>
      </c>
      <c r="AP1154" s="79" t="str">
        <f>HYPERLINK("https://pbs.twimg.com/profile_banners/503108386/1581774696")</f>
        <v>https://pbs.twimg.com/profile_banners/503108386/1581774696</v>
      </c>
      <c r="AQ1154" t="b">
        <v>1</v>
      </c>
      <c r="AR1154" t="b">
        <v>0</v>
      </c>
      <c r="AS1154" t="b">
        <v>0</v>
      </c>
      <c r="AU1154">
        <v>0</v>
      </c>
      <c r="AV1154" s="79" t="str">
        <f>HYPERLINK("https://abs.twimg.com/images/themes/theme1/bg.png")</f>
        <v>https://abs.twimg.com/images/themes/theme1/bg.png</v>
      </c>
      <c r="AW1154" t="b">
        <v>0</v>
      </c>
      <c r="AX1154" t="s">
        <v>9303</v>
      </c>
      <c r="AY1154" s="79" t="str">
        <f>HYPERLINK("https://twitter.com/bjsmith120216")</f>
        <v>https://twitter.com/bjsmith120216</v>
      </c>
      <c r="AZ1154" t="s">
        <v>66</v>
      </c>
      <c r="BA1154" s="2"/>
    </row>
    <row r="1155" spans="1:53" x14ac:dyDescent="0.45">
      <c r="A1155" s="62" t="s">
        <v>500</v>
      </c>
      <c r="B1155" s="63"/>
      <c r="C1155" s="63"/>
      <c r="D1155" s="64"/>
      <c r="E1155" s="66"/>
      <c r="F1155" s="98" t="str">
        <f>HYPERLINK("https://pbs.twimg.com/profile_images/597956848449269760/xgG4GXSy_normal.jpg")</f>
        <v>https://pbs.twimg.com/profile_images/597956848449269760/xgG4GXSy_normal.jpg</v>
      </c>
      <c r="G1155" s="63"/>
      <c r="H1155" s="67"/>
      <c r="I1155" s="68"/>
      <c r="J1155" s="68"/>
      <c r="K1155" s="67" t="s">
        <v>9776</v>
      </c>
      <c r="L1155" s="71"/>
      <c r="M1155" s="72"/>
      <c r="N1155" s="72"/>
      <c r="O1155" s="73"/>
      <c r="P1155" s="74"/>
      <c r="Q1155" s="74"/>
      <c r="R1155" s="81"/>
      <c r="S1155" s="81"/>
      <c r="T1155" s="81"/>
      <c r="U1155" s="81"/>
      <c r="V1155" s="48"/>
      <c r="W1155" s="48"/>
      <c r="X1155" s="48"/>
      <c r="Y1155" s="48"/>
      <c r="Z1155" s="47"/>
      <c r="AA1155" s="69"/>
      <c r="AB1155" s="69"/>
      <c r="AC1155" s="70"/>
      <c r="AD1155" t="s">
        <v>5468</v>
      </c>
      <c r="AE1155" s="78" t="s">
        <v>6727</v>
      </c>
      <c r="AF1155">
        <v>141</v>
      </c>
      <c r="AG1155">
        <v>45</v>
      </c>
      <c r="AH1155">
        <v>3722</v>
      </c>
      <c r="AI1155">
        <v>1349</v>
      </c>
      <c r="AK1155" t="s">
        <v>7900</v>
      </c>
      <c r="AO1155" s="76">
        <v>42136.072291666664</v>
      </c>
      <c r="AP1155" s="79" t="str">
        <f>HYPERLINK("https://pbs.twimg.com/profile_banners/3192678182/1648300638")</f>
        <v>https://pbs.twimg.com/profile_banners/3192678182/1648300638</v>
      </c>
      <c r="AQ1155" t="b">
        <v>1</v>
      </c>
      <c r="AR1155" t="b">
        <v>0</v>
      </c>
      <c r="AS1155" t="b">
        <v>0</v>
      </c>
      <c r="AU1155">
        <v>3</v>
      </c>
      <c r="AV1155" s="79" t="str">
        <f>HYPERLINK("https://abs.twimg.com/images/themes/theme1/bg.png")</f>
        <v>https://abs.twimg.com/images/themes/theme1/bg.png</v>
      </c>
      <c r="AW1155" t="b">
        <v>0</v>
      </c>
      <c r="AX1155" t="s">
        <v>9303</v>
      </c>
      <c r="AY1155" s="79" t="str">
        <f>HYPERLINK("https://twitter.com/titasmakeupbox")</f>
        <v>https://twitter.com/titasmakeupbox</v>
      </c>
      <c r="AZ1155" t="s">
        <v>66</v>
      </c>
      <c r="BA1155" s="2"/>
    </row>
    <row r="1156" spans="1:53" x14ac:dyDescent="0.45">
      <c r="A1156" s="62" t="s">
        <v>437</v>
      </c>
      <c r="B1156" s="63"/>
      <c r="C1156" s="63"/>
      <c r="D1156" s="64"/>
      <c r="E1156" s="66"/>
      <c r="F1156" s="98" t="str">
        <f>HYPERLINK("https://pbs.twimg.com/profile_images/934869797925466113/R39cJxWr_normal.jpg")</f>
        <v>https://pbs.twimg.com/profile_images/934869797925466113/R39cJxWr_normal.jpg</v>
      </c>
      <c r="G1156" s="63"/>
      <c r="H1156" s="67"/>
      <c r="I1156" s="68"/>
      <c r="J1156" s="68"/>
      <c r="K1156" s="67" t="s">
        <v>9692</v>
      </c>
      <c r="L1156" s="71"/>
      <c r="M1156" s="72"/>
      <c r="N1156" s="72"/>
      <c r="O1156" s="73"/>
      <c r="P1156" s="74"/>
      <c r="Q1156" s="74"/>
      <c r="R1156" s="81"/>
      <c r="S1156" s="81"/>
      <c r="T1156" s="81"/>
      <c r="U1156" s="81"/>
      <c r="V1156" s="48"/>
      <c r="W1156" s="48"/>
      <c r="X1156" s="48"/>
      <c r="Y1156" s="48"/>
      <c r="Z1156" s="47"/>
      <c r="AA1156" s="69"/>
      <c r="AB1156" s="69"/>
      <c r="AC1156" s="70"/>
      <c r="AD1156" t="s">
        <v>5100</v>
      </c>
      <c r="AE1156" s="78" t="s">
        <v>6658</v>
      </c>
      <c r="AF1156">
        <v>257</v>
      </c>
      <c r="AG1156">
        <v>45</v>
      </c>
      <c r="AH1156">
        <v>1825</v>
      </c>
      <c r="AI1156">
        <v>1494</v>
      </c>
      <c r="AL1156" t="s">
        <v>4899</v>
      </c>
      <c r="AO1156" s="76">
        <v>43059.865057870367</v>
      </c>
      <c r="AQ1156" t="b">
        <v>1</v>
      </c>
      <c r="AR1156" t="b">
        <v>0</v>
      </c>
      <c r="AS1156" t="b">
        <v>0</v>
      </c>
      <c r="AU1156">
        <v>1</v>
      </c>
      <c r="AW1156" t="b">
        <v>0</v>
      </c>
      <c r="AX1156" t="s">
        <v>9303</v>
      </c>
      <c r="AY1156" s="79" t="str">
        <f>HYPERLINK("https://twitter.com/reallilgham")</f>
        <v>https://twitter.com/reallilgham</v>
      </c>
      <c r="AZ1156" t="s">
        <v>66</v>
      </c>
      <c r="BA1156" s="2"/>
    </row>
    <row r="1157" spans="1:53" x14ac:dyDescent="0.45">
      <c r="A1157" s="62" t="s">
        <v>344</v>
      </c>
      <c r="B1157" s="63"/>
      <c r="C1157" s="63"/>
      <c r="D1157" s="64"/>
      <c r="E1157" s="66"/>
      <c r="F1157" s="98" t="str">
        <f>HYPERLINK("https://pbs.twimg.com/profile_images/1618273909710770177/E147gf2V_normal.jpg")</f>
        <v>https://pbs.twimg.com/profile_images/1618273909710770177/E147gf2V_normal.jpg</v>
      </c>
      <c r="G1157" s="63"/>
      <c r="H1157" s="67"/>
      <c r="I1157" s="68"/>
      <c r="J1157" s="68"/>
      <c r="K1157" s="67" t="s">
        <v>9568</v>
      </c>
      <c r="L1157" s="71"/>
      <c r="M1157" s="72"/>
      <c r="N1157" s="72"/>
      <c r="O1157" s="73"/>
      <c r="P1157" s="74"/>
      <c r="Q1157" s="74"/>
      <c r="R1157" s="81"/>
      <c r="S1157" s="81"/>
      <c r="T1157" s="81"/>
      <c r="U1157" s="81"/>
      <c r="V1157" s="48"/>
      <c r="W1157" s="48"/>
      <c r="X1157" s="48"/>
      <c r="Y1157" s="48"/>
      <c r="Z1157" s="47"/>
      <c r="AA1157" s="69"/>
      <c r="AB1157" s="69"/>
      <c r="AC1157" s="70"/>
      <c r="AD1157" t="s">
        <v>5261</v>
      </c>
      <c r="AE1157" s="78" t="s">
        <v>6539</v>
      </c>
      <c r="AF1157">
        <v>192</v>
      </c>
      <c r="AG1157">
        <v>45</v>
      </c>
      <c r="AH1157">
        <v>1973</v>
      </c>
      <c r="AI1157">
        <v>1672</v>
      </c>
      <c r="AK1157" t="s">
        <v>7725</v>
      </c>
      <c r="AL1157" t="s">
        <v>8817</v>
      </c>
      <c r="AO1157" s="76">
        <v>44851.617905092593</v>
      </c>
      <c r="AP1157" s="79" t="str">
        <f>HYPERLINK("https://pbs.twimg.com/profile_banners/1582020971191537666/1673272419")</f>
        <v>https://pbs.twimg.com/profile_banners/1582020971191537666/1673272419</v>
      </c>
      <c r="AQ1157" t="b">
        <v>1</v>
      </c>
      <c r="AR1157" t="b">
        <v>0</v>
      </c>
      <c r="AS1157" t="b">
        <v>0</v>
      </c>
      <c r="AU1157">
        <v>0</v>
      </c>
      <c r="AW1157" t="b">
        <v>0</v>
      </c>
      <c r="AX1157" t="s">
        <v>9303</v>
      </c>
      <c r="AY1157" s="79" t="str">
        <f>HYPERLINK("https://twitter.com/gregor44kris")</f>
        <v>https://twitter.com/gregor44kris</v>
      </c>
      <c r="AZ1157" t="s">
        <v>66</v>
      </c>
      <c r="BA1157" s="2"/>
    </row>
    <row r="1158" spans="1:53" x14ac:dyDescent="0.45">
      <c r="A1158" s="62" t="s">
        <v>527</v>
      </c>
      <c r="B1158" s="63"/>
      <c r="C1158" s="63"/>
      <c r="D1158" s="64"/>
      <c r="E1158" s="66"/>
      <c r="F1158" s="98" t="str">
        <f>HYPERLINK("https://pbs.twimg.com/profile_images/1589624162884079616/-dAVs09b_normal.jpg")</f>
        <v>https://pbs.twimg.com/profile_images/1589624162884079616/-dAVs09b_normal.jpg</v>
      </c>
      <c r="G1158" s="63"/>
      <c r="H1158" s="67"/>
      <c r="I1158" s="68"/>
      <c r="J1158" s="68"/>
      <c r="K1158" s="67" t="s">
        <v>9818</v>
      </c>
      <c r="L1158" s="71"/>
      <c r="M1158" s="72"/>
      <c r="N1158" s="72"/>
      <c r="O1158" s="73"/>
      <c r="P1158" s="74"/>
      <c r="Q1158" s="74"/>
      <c r="R1158" s="81"/>
      <c r="S1158" s="81"/>
      <c r="T1158" s="81"/>
      <c r="U1158" s="81"/>
      <c r="V1158" s="48"/>
      <c r="W1158" s="48"/>
      <c r="X1158" s="48"/>
      <c r="Y1158" s="48"/>
      <c r="Z1158" s="47"/>
      <c r="AA1158" s="69"/>
      <c r="AB1158" s="69"/>
      <c r="AC1158" s="70"/>
      <c r="AD1158" t="s">
        <v>5509</v>
      </c>
      <c r="AE1158" s="78" t="s">
        <v>6762</v>
      </c>
      <c r="AF1158">
        <v>297</v>
      </c>
      <c r="AG1158">
        <v>45</v>
      </c>
      <c r="AH1158">
        <v>665</v>
      </c>
      <c r="AI1158">
        <v>2059</v>
      </c>
      <c r="AK1158" t="s">
        <v>7937</v>
      </c>
      <c r="AO1158" s="76">
        <v>44219.894062500003</v>
      </c>
      <c r="AP1158" s="79" t="str">
        <f>HYPERLINK("https://pbs.twimg.com/profile_banners/1353091937365061633/1634248374")</f>
        <v>https://pbs.twimg.com/profile_banners/1353091937365061633/1634248374</v>
      </c>
      <c r="AQ1158" t="b">
        <v>1</v>
      </c>
      <c r="AR1158" t="b">
        <v>0</v>
      </c>
      <c r="AS1158" t="b">
        <v>1</v>
      </c>
      <c r="AU1158">
        <v>0</v>
      </c>
      <c r="AW1158" t="b">
        <v>0</v>
      </c>
      <c r="AX1158" t="s">
        <v>9303</v>
      </c>
      <c r="AY1158" s="79" t="str">
        <f>HYPERLINK("https://twitter.com/dennisrs10")</f>
        <v>https://twitter.com/dennisrs10</v>
      </c>
      <c r="AZ1158" t="s">
        <v>66</v>
      </c>
      <c r="BA1158" s="2"/>
    </row>
    <row r="1159" spans="1:53" x14ac:dyDescent="0.45">
      <c r="A1159" s="62" t="s">
        <v>796</v>
      </c>
      <c r="B1159" s="63"/>
      <c r="C1159" s="63"/>
      <c r="D1159" s="64"/>
      <c r="E1159" s="66"/>
      <c r="F1159" s="98" t="str">
        <f>HYPERLINK("https://pbs.twimg.com/profile_images/1620926801311670272/F_uSEtz2_normal.jpg")</f>
        <v>https://pbs.twimg.com/profile_images/1620926801311670272/F_uSEtz2_normal.jpg</v>
      </c>
      <c r="G1159" s="63"/>
      <c r="H1159" s="67"/>
      <c r="I1159" s="68"/>
      <c r="J1159" s="68"/>
      <c r="K1159" s="67" t="s">
        <v>10166</v>
      </c>
      <c r="L1159" s="71"/>
      <c r="M1159" s="72"/>
      <c r="N1159" s="72"/>
      <c r="O1159" s="73"/>
      <c r="P1159" s="74"/>
      <c r="Q1159" s="74"/>
      <c r="R1159" s="81"/>
      <c r="S1159" s="81"/>
      <c r="T1159" s="81"/>
      <c r="U1159" s="81"/>
      <c r="V1159" s="48"/>
      <c r="W1159" s="48"/>
      <c r="X1159" s="48"/>
      <c r="Y1159" s="48"/>
      <c r="Z1159" s="47"/>
      <c r="AA1159" s="69"/>
      <c r="AB1159" s="69"/>
      <c r="AC1159" s="70"/>
      <c r="AD1159" t="s">
        <v>5852</v>
      </c>
      <c r="AE1159" s="78" t="s">
        <v>4750</v>
      </c>
      <c r="AF1159">
        <v>282</v>
      </c>
      <c r="AG1159">
        <v>45</v>
      </c>
      <c r="AH1159">
        <v>14242</v>
      </c>
      <c r="AI1159">
        <v>7615</v>
      </c>
      <c r="AO1159" s="76">
        <v>43290.982881944445</v>
      </c>
      <c r="AP1159" s="79" t="str">
        <f>HYPERLINK("https://pbs.twimg.com/profile_banners/1016465864487587840/1675063663")</f>
        <v>https://pbs.twimg.com/profile_banners/1016465864487587840/1675063663</v>
      </c>
      <c r="AQ1159" t="b">
        <v>1</v>
      </c>
      <c r="AR1159" t="b">
        <v>0</v>
      </c>
      <c r="AS1159" t="b">
        <v>1</v>
      </c>
      <c r="AU1159">
        <v>0</v>
      </c>
      <c r="AW1159" t="b">
        <v>0</v>
      </c>
      <c r="AX1159" t="s">
        <v>9303</v>
      </c>
      <c r="AY1159" s="79" t="str">
        <f>HYPERLINK("https://twitter.com/juugya1")</f>
        <v>https://twitter.com/juugya1</v>
      </c>
      <c r="AZ1159" t="s">
        <v>66</v>
      </c>
      <c r="BA1159" s="2"/>
    </row>
    <row r="1160" spans="1:53" x14ac:dyDescent="0.45">
      <c r="A1160" s="62" t="s">
        <v>935</v>
      </c>
      <c r="B1160" s="63"/>
      <c r="C1160" s="63"/>
      <c r="D1160" s="64"/>
      <c r="E1160" s="66"/>
      <c r="F1160" s="98" t="str">
        <f>HYPERLINK("https://pbs.twimg.com/profile_images/1496731250874322946/oGeAir5o_normal.jpg")</f>
        <v>https://pbs.twimg.com/profile_images/1496731250874322946/oGeAir5o_normal.jpg</v>
      </c>
      <c r="G1160" s="63"/>
      <c r="H1160" s="67"/>
      <c r="I1160" s="68"/>
      <c r="J1160" s="68"/>
      <c r="K1160" s="67" t="s">
        <v>10373</v>
      </c>
      <c r="L1160" s="71"/>
      <c r="M1160" s="72"/>
      <c r="N1160" s="72"/>
      <c r="O1160" s="73"/>
      <c r="P1160" s="74"/>
      <c r="Q1160" s="74"/>
      <c r="R1160" s="81"/>
      <c r="S1160" s="81"/>
      <c r="T1160" s="81"/>
      <c r="U1160" s="81"/>
      <c r="V1160" s="48"/>
      <c r="W1160" s="48"/>
      <c r="X1160" s="48"/>
      <c r="Y1160" s="48"/>
      <c r="Z1160" s="47"/>
      <c r="AA1160" s="69"/>
      <c r="AB1160" s="69"/>
      <c r="AC1160" s="70"/>
      <c r="AD1160" t="s">
        <v>6056</v>
      </c>
      <c r="AE1160" s="78" t="s">
        <v>7260</v>
      </c>
      <c r="AF1160">
        <v>262</v>
      </c>
      <c r="AG1160">
        <v>45</v>
      </c>
      <c r="AH1160">
        <v>2502</v>
      </c>
      <c r="AI1160">
        <v>16473</v>
      </c>
      <c r="AK1160" t="s">
        <v>8421</v>
      </c>
      <c r="AL1160" t="s">
        <v>9193</v>
      </c>
      <c r="AO1160" s="76">
        <v>44256.150034722225</v>
      </c>
      <c r="AP1160" s="79" t="str">
        <f>HYPERLINK("https://pbs.twimg.com/profile_banners/1366230693651472388/1661727051")</f>
        <v>https://pbs.twimg.com/profile_banners/1366230693651472388/1661727051</v>
      </c>
      <c r="AQ1160" t="b">
        <v>1</v>
      </c>
      <c r="AR1160" t="b">
        <v>0</v>
      </c>
      <c r="AS1160" t="b">
        <v>1</v>
      </c>
      <c r="AU1160">
        <v>0</v>
      </c>
      <c r="AW1160" t="b">
        <v>0</v>
      </c>
      <c r="AX1160" t="s">
        <v>9303</v>
      </c>
      <c r="AY1160" s="79" t="str">
        <f>HYPERLINK("https://twitter.com/imdanian")</f>
        <v>https://twitter.com/imdanian</v>
      </c>
      <c r="AZ1160" t="s">
        <v>66</v>
      </c>
      <c r="BA1160" s="2"/>
    </row>
    <row r="1161" spans="1:53" x14ac:dyDescent="0.45">
      <c r="A1161" s="62" t="s">
        <v>974</v>
      </c>
      <c r="B1161" s="63"/>
      <c r="C1161" s="63"/>
      <c r="D1161" s="64"/>
      <c r="E1161" s="66"/>
      <c r="F1161" s="98" t="str">
        <f>HYPERLINK("https://pbs.twimg.com/profile_images/1001548652823924736/sWX1Pe-u_normal.jpg")</f>
        <v>https://pbs.twimg.com/profile_images/1001548652823924736/sWX1Pe-u_normal.jpg</v>
      </c>
      <c r="G1161" s="63"/>
      <c r="H1161" s="67"/>
      <c r="I1161" s="68"/>
      <c r="J1161" s="68"/>
      <c r="K1161" s="67" t="s">
        <v>10437</v>
      </c>
      <c r="L1161" s="71"/>
      <c r="M1161" s="72"/>
      <c r="N1161" s="72"/>
      <c r="O1161" s="73"/>
      <c r="P1161" s="74"/>
      <c r="Q1161" s="74"/>
      <c r="R1161" s="81"/>
      <c r="S1161" s="81"/>
      <c r="T1161" s="81"/>
      <c r="U1161" s="81"/>
      <c r="V1161" s="48"/>
      <c r="W1161" s="48"/>
      <c r="X1161" s="48"/>
      <c r="Y1161" s="48"/>
      <c r="Z1161" s="47"/>
      <c r="AA1161" s="69"/>
      <c r="AB1161" s="69"/>
      <c r="AC1161" s="70"/>
      <c r="AD1161" t="s">
        <v>6118</v>
      </c>
      <c r="AE1161" s="78" t="s">
        <v>7313</v>
      </c>
      <c r="AF1161">
        <v>115</v>
      </c>
      <c r="AG1161">
        <v>44</v>
      </c>
      <c r="AH1161">
        <v>3936</v>
      </c>
      <c r="AI1161">
        <v>2778</v>
      </c>
      <c r="AK1161" t="s">
        <v>8479</v>
      </c>
      <c r="AL1161" t="s">
        <v>8797</v>
      </c>
      <c r="AO1161" s="76">
        <v>42506.074664351851</v>
      </c>
      <c r="AQ1161" t="b">
        <v>1</v>
      </c>
      <c r="AR1161" t="b">
        <v>0</v>
      </c>
      <c r="AS1161" t="b">
        <v>0</v>
      </c>
      <c r="AU1161">
        <v>1</v>
      </c>
      <c r="AW1161" t="b">
        <v>0</v>
      </c>
      <c r="AX1161" t="s">
        <v>9303</v>
      </c>
      <c r="AY1161" s="79" t="str">
        <f>HYPERLINK("https://twitter.com/redstag92gaming")</f>
        <v>https://twitter.com/redstag92gaming</v>
      </c>
      <c r="AZ1161" t="s">
        <v>66</v>
      </c>
      <c r="BA1161" s="2"/>
    </row>
    <row r="1162" spans="1:53" x14ac:dyDescent="0.45">
      <c r="A1162" s="62" t="s">
        <v>424</v>
      </c>
      <c r="B1162" s="63"/>
      <c r="C1162" s="63"/>
      <c r="D1162" s="64"/>
      <c r="E1162" s="66"/>
      <c r="F1162" s="98" t="str">
        <f>HYPERLINK("https://pbs.twimg.com/profile_images/1529971709197041665/R9ss8TGk_normal.jpg")</f>
        <v>https://pbs.twimg.com/profile_images/1529971709197041665/R9ss8TGk_normal.jpg</v>
      </c>
      <c r="G1162" s="63"/>
      <c r="H1162" s="67"/>
      <c r="I1162" s="68"/>
      <c r="J1162" s="68"/>
      <c r="K1162" s="67" t="s">
        <v>9676</v>
      </c>
      <c r="L1162" s="71"/>
      <c r="M1162" s="72"/>
      <c r="N1162" s="72"/>
      <c r="O1162" s="73"/>
      <c r="P1162" s="74"/>
      <c r="Q1162" s="74"/>
      <c r="R1162" s="81"/>
      <c r="S1162" s="81"/>
      <c r="T1162" s="81"/>
      <c r="U1162" s="81"/>
      <c r="V1162" s="48"/>
      <c r="W1162" s="48"/>
      <c r="X1162" s="48"/>
      <c r="Y1162" s="48"/>
      <c r="Z1162" s="47"/>
      <c r="AA1162" s="69"/>
      <c r="AB1162" s="69"/>
      <c r="AC1162" s="70"/>
      <c r="AD1162" t="s">
        <v>5369</v>
      </c>
      <c r="AE1162" s="78" t="s">
        <v>6642</v>
      </c>
      <c r="AF1162">
        <v>151</v>
      </c>
      <c r="AG1162">
        <v>44</v>
      </c>
      <c r="AH1162">
        <v>52</v>
      </c>
      <c r="AI1162">
        <v>731</v>
      </c>
      <c r="AL1162" t="s">
        <v>4917</v>
      </c>
      <c r="AO1162" s="76">
        <v>42204.049108796295</v>
      </c>
      <c r="AQ1162" t="b">
        <v>1</v>
      </c>
      <c r="AR1162" t="b">
        <v>0</v>
      </c>
      <c r="AS1162" t="b">
        <v>0</v>
      </c>
      <c r="AU1162">
        <v>0</v>
      </c>
      <c r="AV1162" s="79" t="str">
        <f>HYPERLINK("https://abs.twimg.com/images/themes/theme1/bg.png")</f>
        <v>https://abs.twimg.com/images/themes/theme1/bg.png</v>
      </c>
      <c r="AW1162" t="b">
        <v>0</v>
      </c>
      <c r="AX1162" t="s">
        <v>9303</v>
      </c>
      <c r="AY1162" s="79" t="str">
        <f>HYPERLINK("https://twitter.com/and_there_i_go")</f>
        <v>https://twitter.com/and_there_i_go</v>
      </c>
      <c r="AZ1162" t="s">
        <v>66</v>
      </c>
      <c r="BA1162" s="2"/>
    </row>
    <row r="1163" spans="1:53" x14ac:dyDescent="0.45">
      <c r="A1163" s="62" t="s">
        <v>387</v>
      </c>
      <c r="B1163" s="63"/>
      <c r="C1163" s="63"/>
      <c r="D1163" s="64"/>
      <c r="E1163" s="66"/>
      <c r="F1163" s="98" t="str">
        <f>HYPERLINK("https://pbs.twimg.com/profile_images/1613596968961409024/Q8_6m19P_normal.jpg")</f>
        <v>https://pbs.twimg.com/profile_images/1613596968961409024/Q8_6m19P_normal.jpg</v>
      </c>
      <c r="G1163" s="63"/>
      <c r="H1163" s="67"/>
      <c r="I1163" s="68"/>
      <c r="J1163" s="68"/>
      <c r="K1163" s="67" t="s">
        <v>9635</v>
      </c>
      <c r="L1163" s="71"/>
      <c r="M1163" s="72"/>
      <c r="N1163" s="72"/>
      <c r="O1163" s="73"/>
      <c r="P1163" s="74"/>
      <c r="Q1163" s="74"/>
      <c r="R1163" s="81"/>
      <c r="S1163" s="81"/>
      <c r="T1163" s="81"/>
      <c r="U1163" s="81"/>
      <c r="V1163" s="48"/>
      <c r="W1163" s="48"/>
      <c r="X1163" s="48"/>
      <c r="Y1163" s="48"/>
      <c r="Z1163" s="47"/>
      <c r="AA1163" s="69"/>
      <c r="AB1163" s="69"/>
      <c r="AC1163" s="70"/>
      <c r="AD1163" t="s">
        <v>5328</v>
      </c>
      <c r="AE1163" s="78" t="s">
        <v>6603</v>
      </c>
      <c r="AF1163">
        <v>178</v>
      </c>
      <c r="AG1163">
        <v>42</v>
      </c>
      <c r="AH1163">
        <v>357</v>
      </c>
      <c r="AI1163">
        <v>515</v>
      </c>
      <c r="AK1163" t="s">
        <v>7781</v>
      </c>
      <c r="AL1163" t="s">
        <v>8850</v>
      </c>
      <c r="AO1163" s="76">
        <v>44846.560324074075</v>
      </c>
      <c r="AP1163" s="79" t="str">
        <f>HYPERLINK("https://pbs.twimg.com/profile_banners/1580188163326320641/1673139627")</f>
        <v>https://pbs.twimg.com/profile_banners/1580188163326320641/1673139627</v>
      </c>
      <c r="AQ1163" t="b">
        <v>1</v>
      </c>
      <c r="AR1163" t="b">
        <v>0</v>
      </c>
      <c r="AS1163" t="b">
        <v>0</v>
      </c>
      <c r="AU1163">
        <v>0</v>
      </c>
      <c r="AW1163" t="b">
        <v>0</v>
      </c>
      <c r="AX1163" t="s">
        <v>9303</v>
      </c>
      <c r="AY1163" s="79" t="str">
        <f>HYPERLINK("https://twitter.com/mcgoldengstring")</f>
        <v>https://twitter.com/mcgoldengstring</v>
      </c>
      <c r="AZ1163" t="s">
        <v>66</v>
      </c>
      <c r="BA1163" s="2"/>
    </row>
    <row r="1164" spans="1:53" x14ac:dyDescent="0.45">
      <c r="A1164" s="62" t="s">
        <v>1086</v>
      </c>
      <c r="B1164" s="63"/>
      <c r="C1164" s="63"/>
      <c r="D1164" s="64"/>
      <c r="E1164" s="66"/>
      <c r="F1164" s="98" t="str">
        <f>HYPERLINK("https://pbs.twimg.com/profile_images/1599551077166338048/Ckqjmvo5_normal.jpg")</f>
        <v>https://pbs.twimg.com/profile_images/1599551077166338048/Ckqjmvo5_normal.jpg</v>
      </c>
      <c r="G1164" s="63"/>
      <c r="H1164" s="67"/>
      <c r="I1164" s="68"/>
      <c r="J1164" s="68"/>
      <c r="K1164" s="67" t="s">
        <v>10628</v>
      </c>
      <c r="L1164" s="71"/>
      <c r="M1164" s="72"/>
      <c r="N1164" s="72"/>
      <c r="O1164" s="73"/>
      <c r="P1164" s="74"/>
      <c r="Q1164" s="74"/>
      <c r="R1164" s="81"/>
      <c r="S1164" s="81"/>
      <c r="T1164" s="81"/>
      <c r="U1164" s="81"/>
      <c r="V1164" s="48"/>
      <c r="W1164" s="48"/>
      <c r="X1164" s="48"/>
      <c r="Y1164" s="48"/>
      <c r="Z1164" s="47"/>
      <c r="AA1164" s="69"/>
      <c r="AB1164" s="69"/>
      <c r="AC1164" s="70"/>
      <c r="AD1164" t="s">
        <v>6304</v>
      </c>
      <c r="AE1164" s="78" t="s">
        <v>7468</v>
      </c>
      <c r="AF1164">
        <v>225</v>
      </c>
      <c r="AG1164">
        <v>42</v>
      </c>
      <c r="AH1164">
        <v>258</v>
      </c>
      <c r="AI1164">
        <v>624</v>
      </c>
      <c r="AK1164" t="s">
        <v>8649</v>
      </c>
      <c r="AO1164" s="76">
        <v>44857.643993055557</v>
      </c>
      <c r="AP1164" s="79" t="str">
        <f>HYPERLINK("https://pbs.twimg.com/profile_banners/1584204814644400129/1666541440")</f>
        <v>https://pbs.twimg.com/profile_banners/1584204814644400129/1666541440</v>
      </c>
      <c r="AQ1164" t="b">
        <v>1</v>
      </c>
      <c r="AR1164" t="b">
        <v>0</v>
      </c>
      <c r="AS1164" t="b">
        <v>0</v>
      </c>
      <c r="AU1164">
        <v>0</v>
      </c>
      <c r="AW1164" t="b">
        <v>0</v>
      </c>
      <c r="AX1164" t="s">
        <v>9303</v>
      </c>
      <c r="AY1164" s="79" t="str">
        <f>HYPERLINK("https://twitter.com/garzanil")</f>
        <v>https://twitter.com/garzanil</v>
      </c>
      <c r="AZ1164" t="s">
        <v>66</v>
      </c>
      <c r="BA1164" s="2"/>
    </row>
    <row r="1165" spans="1:53" x14ac:dyDescent="0.45">
      <c r="A1165" s="62" t="s">
        <v>944</v>
      </c>
      <c r="B1165" s="63"/>
      <c r="C1165" s="63"/>
      <c r="D1165" s="64"/>
      <c r="E1165" s="66"/>
      <c r="F1165" s="98" t="str">
        <f>HYPERLINK("https://pbs.twimg.com/profile_images/1600461186994143233/XCfOg8BW_normal.jpg")</f>
        <v>https://pbs.twimg.com/profile_images/1600461186994143233/XCfOg8BW_normal.jpg</v>
      </c>
      <c r="G1165" s="63"/>
      <c r="H1165" s="67"/>
      <c r="I1165" s="68"/>
      <c r="J1165" s="68"/>
      <c r="K1165" s="67" t="s">
        <v>10384</v>
      </c>
      <c r="L1165" s="71"/>
      <c r="M1165" s="72"/>
      <c r="N1165" s="72"/>
      <c r="O1165" s="73"/>
      <c r="P1165" s="74"/>
      <c r="Q1165" s="74"/>
      <c r="R1165" s="81"/>
      <c r="S1165" s="81"/>
      <c r="T1165" s="81"/>
      <c r="U1165" s="81"/>
      <c r="V1165" s="48"/>
      <c r="W1165" s="48"/>
      <c r="X1165" s="48"/>
      <c r="Y1165" s="48"/>
      <c r="Z1165" s="47"/>
      <c r="AA1165" s="69"/>
      <c r="AB1165" s="69"/>
      <c r="AC1165" s="70"/>
      <c r="AD1165" t="s">
        <v>6066</v>
      </c>
      <c r="AE1165" s="78" t="s">
        <v>7268</v>
      </c>
      <c r="AF1165">
        <v>57</v>
      </c>
      <c r="AG1165">
        <v>40</v>
      </c>
      <c r="AH1165">
        <v>2376</v>
      </c>
      <c r="AI1165">
        <v>8907</v>
      </c>
      <c r="AO1165" s="76">
        <v>44854.812800925924</v>
      </c>
      <c r="AQ1165" t="b">
        <v>1</v>
      </c>
      <c r="AR1165" t="b">
        <v>0</v>
      </c>
      <c r="AS1165" t="b">
        <v>0</v>
      </c>
      <c r="AU1165">
        <v>0</v>
      </c>
      <c r="AW1165" t="b">
        <v>0</v>
      </c>
      <c r="AX1165" t="s">
        <v>9303</v>
      </c>
      <c r="AY1165" s="79" t="str">
        <f>HYPERLINK("https://twitter.com/arteinoz")</f>
        <v>https://twitter.com/arteinoz</v>
      </c>
      <c r="AZ1165" t="s">
        <v>66</v>
      </c>
      <c r="BA1165" s="2"/>
    </row>
    <row r="1166" spans="1:53" x14ac:dyDescent="0.45">
      <c r="A1166" s="62" t="s">
        <v>826</v>
      </c>
      <c r="B1166" s="63"/>
      <c r="C1166" s="63"/>
      <c r="D1166" s="64"/>
      <c r="E1166" s="66"/>
      <c r="F1166" s="98" t="str">
        <f>HYPERLINK("https://pbs.twimg.com/profile_images/1609667826188537856/aOJSLmaj_normal.jpg")</f>
        <v>https://pbs.twimg.com/profile_images/1609667826188537856/aOJSLmaj_normal.jpg</v>
      </c>
      <c r="G1166" s="63"/>
      <c r="H1166" s="67"/>
      <c r="I1166" s="68"/>
      <c r="J1166" s="68"/>
      <c r="K1166" s="67" t="s">
        <v>10213</v>
      </c>
      <c r="L1166" s="71"/>
      <c r="M1166" s="72"/>
      <c r="N1166" s="72"/>
      <c r="O1166" s="73"/>
      <c r="P1166" s="74"/>
      <c r="Q1166" s="74"/>
      <c r="R1166" s="81"/>
      <c r="S1166" s="81"/>
      <c r="T1166" s="81"/>
      <c r="U1166" s="81"/>
      <c r="V1166" s="48"/>
      <c r="W1166" s="48"/>
      <c r="X1166" s="48"/>
      <c r="Y1166" s="48"/>
      <c r="Z1166" s="47"/>
      <c r="AA1166" s="69"/>
      <c r="AB1166" s="69"/>
      <c r="AC1166" s="70"/>
      <c r="AD1166" t="s">
        <v>5897</v>
      </c>
      <c r="AE1166" s="78" t="s">
        <v>7116</v>
      </c>
      <c r="AF1166">
        <v>82</v>
      </c>
      <c r="AG1166">
        <v>39</v>
      </c>
      <c r="AH1166">
        <v>131</v>
      </c>
      <c r="AI1166">
        <v>0</v>
      </c>
      <c r="AK1166" t="s">
        <v>8281</v>
      </c>
      <c r="AL1166" t="s">
        <v>8750</v>
      </c>
      <c r="AO1166" s="76">
        <v>41800.893321759257</v>
      </c>
      <c r="AP1166" s="79" t="str">
        <f>HYPERLINK("https://pbs.twimg.com/profile_banners/2559946634/1672609728")</f>
        <v>https://pbs.twimg.com/profile_banners/2559946634/1672609728</v>
      </c>
      <c r="AQ1166" t="b">
        <v>1</v>
      </c>
      <c r="AR1166" t="b">
        <v>0</v>
      </c>
      <c r="AS1166" t="b">
        <v>1</v>
      </c>
      <c r="AU1166">
        <v>1</v>
      </c>
      <c r="AV1166" s="79" t="str">
        <f>HYPERLINK("https://abs.twimg.com/images/themes/theme1/bg.png")</f>
        <v>https://abs.twimg.com/images/themes/theme1/bg.png</v>
      </c>
      <c r="AW1166" t="b">
        <v>0</v>
      </c>
      <c r="AX1166" t="s">
        <v>9303</v>
      </c>
      <c r="AY1166" s="79" t="str">
        <f>HYPERLINK("https://twitter.com/ericatxrealtor")</f>
        <v>https://twitter.com/ericatxrealtor</v>
      </c>
      <c r="AZ1166" t="s">
        <v>66</v>
      </c>
      <c r="BA1166" s="2"/>
    </row>
    <row r="1167" spans="1:53" x14ac:dyDescent="0.45">
      <c r="A1167" s="62" t="s">
        <v>375</v>
      </c>
      <c r="B1167" s="63"/>
      <c r="C1167" s="63"/>
      <c r="D1167" s="64"/>
      <c r="E1167" s="66"/>
      <c r="F1167" s="98" t="str">
        <f>HYPERLINK("https://pbs.twimg.com/profile_images/1571953962269409284/BVXHNbN-_normal.jpg")</f>
        <v>https://pbs.twimg.com/profile_images/1571953962269409284/BVXHNbN-_normal.jpg</v>
      </c>
      <c r="G1167" s="63"/>
      <c r="H1167" s="67"/>
      <c r="I1167" s="68"/>
      <c r="J1167" s="68"/>
      <c r="K1167" s="67" t="s">
        <v>9617</v>
      </c>
      <c r="L1167" s="71"/>
      <c r="M1167" s="72"/>
      <c r="N1167" s="72"/>
      <c r="O1167" s="73"/>
      <c r="P1167" s="74"/>
      <c r="Q1167" s="74"/>
      <c r="R1167" s="81"/>
      <c r="S1167" s="81"/>
      <c r="T1167" s="81"/>
      <c r="U1167" s="81"/>
      <c r="V1167" s="48"/>
      <c r="W1167" s="48"/>
      <c r="X1167" s="48"/>
      <c r="Y1167" s="48"/>
      <c r="Z1167" s="47"/>
      <c r="AA1167" s="69"/>
      <c r="AB1167" s="69"/>
      <c r="AC1167" s="70"/>
      <c r="AD1167" t="s">
        <v>5310</v>
      </c>
      <c r="AE1167" s="78" t="s">
        <v>6587</v>
      </c>
      <c r="AF1167">
        <v>87</v>
      </c>
      <c r="AG1167">
        <v>38</v>
      </c>
      <c r="AH1167">
        <v>176</v>
      </c>
      <c r="AI1167">
        <v>994</v>
      </c>
      <c r="AL1167" t="s">
        <v>8840</v>
      </c>
      <c r="AO1167" s="76">
        <v>43440.912708333337</v>
      </c>
      <c r="AP1167" s="79" t="str">
        <f>HYPERLINK("https://pbs.twimg.com/profile_banners/1070798611137478656/1544133994")</f>
        <v>https://pbs.twimg.com/profile_banners/1070798611137478656/1544133994</v>
      </c>
      <c r="AQ1167" t="b">
        <v>0</v>
      </c>
      <c r="AR1167" t="b">
        <v>0</v>
      </c>
      <c r="AS1167" t="b">
        <v>1</v>
      </c>
      <c r="AU1167">
        <v>0</v>
      </c>
      <c r="AV1167" s="79" t="str">
        <f>HYPERLINK("https://abs.twimg.com/images/themes/theme1/bg.png")</f>
        <v>https://abs.twimg.com/images/themes/theme1/bg.png</v>
      </c>
      <c r="AW1167" t="b">
        <v>0</v>
      </c>
      <c r="AX1167" t="s">
        <v>9303</v>
      </c>
      <c r="AY1167" s="79" t="str">
        <f>HYPERLINK("https://twitter.com/sedilloclarissa")</f>
        <v>https://twitter.com/sedilloclarissa</v>
      </c>
      <c r="AZ1167" t="s">
        <v>66</v>
      </c>
      <c r="BA1167" s="2"/>
    </row>
    <row r="1168" spans="1:53" x14ac:dyDescent="0.45">
      <c r="A1168" s="62" t="s">
        <v>893</v>
      </c>
      <c r="B1168" s="63"/>
      <c r="C1168" s="63"/>
      <c r="D1168" s="64"/>
      <c r="E1168" s="66"/>
      <c r="F1168" s="98" t="str">
        <f>HYPERLINK("https://pbs.twimg.com/profile_images/1354557343892033537/TGX-ImIz_normal.jpg")</f>
        <v>https://pbs.twimg.com/profile_images/1354557343892033537/TGX-ImIz_normal.jpg</v>
      </c>
      <c r="G1168" s="63"/>
      <c r="H1168" s="67"/>
      <c r="I1168" s="68"/>
      <c r="J1168" s="68"/>
      <c r="K1168" s="67" t="s">
        <v>10307</v>
      </c>
      <c r="L1168" s="71"/>
      <c r="M1168" s="72"/>
      <c r="N1168" s="72"/>
      <c r="O1168" s="73"/>
      <c r="P1168" s="74"/>
      <c r="Q1168" s="74"/>
      <c r="R1168" s="81"/>
      <c r="S1168" s="81"/>
      <c r="T1168" s="81"/>
      <c r="U1168" s="81"/>
      <c r="V1168" s="48"/>
      <c r="W1168" s="48"/>
      <c r="X1168" s="48"/>
      <c r="Y1168" s="48"/>
      <c r="Z1168" s="47"/>
      <c r="AA1168" s="69"/>
      <c r="AB1168" s="69"/>
      <c r="AC1168" s="70"/>
      <c r="AD1168" t="s">
        <v>5990</v>
      </c>
      <c r="AE1168" s="78" t="s">
        <v>7200</v>
      </c>
      <c r="AF1168">
        <v>580</v>
      </c>
      <c r="AG1168">
        <v>36</v>
      </c>
      <c r="AH1168">
        <v>1372</v>
      </c>
      <c r="AI1168">
        <v>1335</v>
      </c>
      <c r="AK1168" t="s">
        <v>8364</v>
      </c>
      <c r="AL1168" t="s">
        <v>9165</v>
      </c>
      <c r="AM1168" s="79" t="str">
        <f>HYPERLINK("https://t.co/uSM1IcARH8")</f>
        <v>https://t.co/uSM1IcARH8</v>
      </c>
      <c r="AO1168" s="76">
        <v>40590.18545138889</v>
      </c>
      <c r="AQ1168" t="b">
        <v>0</v>
      </c>
      <c r="AR1168" t="b">
        <v>0</v>
      </c>
      <c r="AS1168" t="b">
        <v>1</v>
      </c>
      <c r="AU1168">
        <v>0</v>
      </c>
      <c r="AV1168" s="79" t="str">
        <f>HYPERLINK("https://abs.twimg.com/images/themes/theme10/bg.gif")</f>
        <v>https://abs.twimg.com/images/themes/theme10/bg.gif</v>
      </c>
      <c r="AW1168" t="b">
        <v>0</v>
      </c>
      <c r="AX1168" t="s">
        <v>9303</v>
      </c>
      <c r="AY1168" s="79" t="str">
        <f>HYPERLINK("https://twitter.com/cornichie")</f>
        <v>https://twitter.com/cornichie</v>
      </c>
      <c r="AZ1168" t="s">
        <v>66</v>
      </c>
      <c r="BA1168" s="2"/>
    </row>
    <row r="1169" spans="1:53" x14ac:dyDescent="0.45">
      <c r="A1169" s="62" t="s">
        <v>1033</v>
      </c>
      <c r="B1169" s="63"/>
      <c r="C1169" s="63"/>
      <c r="D1169" s="64"/>
      <c r="E1169" s="66"/>
      <c r="F1169" s="98" t="str">
        <f>HYPERLINK("https://pbs.twimg.com/profile_images/1476392114074238978/_mBfkJs6_normal.jpg")</f>
        <v>https://pbs.twimg.com/profile_images/1476392114074238978/_mBfkJs6_normal.jpg</v>
      </c>
      <c r="G1169" s="63"/>
      <c r="H1169" s="67"/>
      <c r="I1169" s="68"/>
      <c r="J1169" s="68"/>
      <c r="K1169" s="67" t="s">
        <v>10526</v>
      </c>
      <c r="L1169" s="71"/>
      <c r="M1169" s="72"/>
      <c r="N1169" s="72"/>
      <c r="O1169" s="73"/>
      <c r="P1169" s="74"/>
      <c r="Q1169" s="74"/>
      <c r="R1169" s="81"/>
      <c r="S1169" s="81"/>
      <c r="T1169" s="81"/>
      <c r="U1169" s="81"/>
      <c r="V1169" s="48"/>
      <c r="W1169" s="48"/>
      <c r="X1169" s="48"/>
      <c r="Y1169" s="48"/>
      <c r="Z1169" s="47"/>
      <c r="AA1169" s="69"/>
      <c r="AB1169" s="69"/>
      <c r="AC1169" s="70"/>
      <c r="AD1169" t="s">
        <v>6204</v>
      </c>
      <c r="AE1169" s="78" t="s">
        <v>7385</v>
      </c>
      <c r="AF1169">
        <v>90</v>
      </c>
      <c r="AG1169">
        <v>36</v>
      </c>
      <c r="AH1169">
        <v>150</v>
      </c>
      <c r="AI1169">
        <v>3</v>
      </c>
      <c r="AL1169" t="s">
        <v>9250</v>
      </c>
      <c r="AO1169" s="76">
        <v>40508.817164351851</v>
      </c>
      <c r="AP1169" s="79" t="str">
        <f>HYPERLINK("https://pbs.twimg.com/profile_banners/220096873/1640834286")</f>
        <v>https://pbs.twimg.com/profile_banners/220096873/1640834286</v>
      </c>
      <c r="AQ1169" t="b">
        <v>0</v>
      </c>
      <c r="AR1169" t="b">
        <v>0</v>
      </c>
      <c r="AS1169" t="b">
        <v>0</v>
      </c>
      <c r="AU1169">
        <v>0</v>
      </c>
      <c r="AV1169" s="79" t="str">
        <f>HYPERLINK("https://abs.twimg.com/images/themes/theme1/bg.png")</f>
        <v>https://abs.twimg.com/images/themes/theme1/bg.png</v>
      </c>
      <c r="AW1169" t="b">
        <v>0</v>
      </c>
      <c r="AX1169" t="s">
        <v>9303</v>
      </c>
      <c r="AY1169" s="79" t="str">
        <f>HYPERLINK("https://twitter.com/aagupta88")</f>
        <v>https://twitter.com/aagupta88</v>
      </c>
      <c r="AZ1169" t="s">
        <v>66</v>
      </c>
      <c r="BA1169" s="2"/>
    </row>
    <row r="1170" spans="1:53" x14ac:dyDescent="0.45">
      <c r="A1170" s="62" t="s">
        <v>1258</v>
      </c>
      <c r="B1170" s="63"/>
      <c r="C1170" s="63"/>
      <c r="D1170" s="64"/>
      <c r="E1170" s="66"/>
      <c r="F1170" s="98" t="str">
        <f>HYPERLINK("https://pbs.twimg.com/profile_images/1612163082976911360/9ZraIQCY_normal.jpg")</f>
        <v>https://pbs.twimg.com/profile_images/1612163082976911360/9ZraIQCY_normal.jpg</v>
      </c>
      <c r="G1170" s="63"/>
      <c r="H1170" s="67"/>
      <c r="I1170" s="68"/>
      <c r="J1170" s="68"/>
      <c r="K1170" s="67" t="s">
        <v>9688</v>
      </c>
      <c r="L1170" s="71"/>
      <c r="M1170" s="72"/>
      <c r="N1170" s="72"/>
      <c r="O1170" s="73"/>
      <c r="P1170" s="74"/>
      <c r="Q1170" s="74"/>
      <c r="R1170" s="81"/>
      <c r="S1170" s="81"/>
      <c r="T1170" s="81"/>
      <c r="U1170" s="81"/>
      <c r="V1170" s="48"/>
      <c r="W1170" s="48"/>
      <c r="X1170" s="48"/>
      <c r="Y1170" s="48"/>
      <c r="Z1170" s="47"/>
      <c r="AA1170" s="69"/>
      <c r="AB1170" s="69"/>
      <c r="AC1170" s="70"/>
      <c r="AD1170" t="s">
        <v>5381</v>
      </c>
      <c r="AE1170" s="78" t="s">
        <v>6654</v>
      </c>
      <c r="AF1170">
        <v>74</v>
      </c>
      <c r="AG1170">
        <v>35</v>
      </c>
      <c r="AH1170">
        <v>89</v>
      </c>
      <c r="AI1170">
        <v>254</v>
      </c>
      <c r="AK1170" t="s">
        <v>7827</v>
      </c>
      <c r="AO1170" s="76">
        <v>44733.17690972222</v>
      </c>
      <c r="AP1170" s="79" t="str">
        <f>HYPERLINK("https://pbs.twimg.com/profile_banners/1539099399741231104/1673315093")</f>
        <v>https://pbs.twimg.com/profile_banners/1539099399741231104/1673315093</v>
      </c>
      <c r="AQ1170" t="b">
        <v>1</v>
      </c>
      <c r="AR1170" t="b">
        <v>0</v>
      </c>
      <c r="AS1170" t="b">
        <v>1</v>
      </c>
      <c r="AU1170">
        <v>0</v>
      </c>
      <c r="AW1170" t="b">
        <v>0</v>
      </c>
      <c r="AX1170" t="s">
        <v>9303</v>
      </c>
      <c r="AY1170" s="79" t="str">
        <f>HYPERLINK("https://twitter.com/__makeupbysel__")</f>
        <v>https://twitter.com/__makeupbysel__</v>
      </c>
      <c r="AZ1170" t="s">
        <v>65</v>
      </c>
      <c r="BA1170" s="2"/>
    </row>
    <row r="1171" spans="1:53" x14ac:dyDescent="0.45">
      <c r="A1171" s="62" t="s">
        <v>747</v>
      </c>
      <c r="B1171" s="63"/>
      <c r="C1171" s="63"/>
      <c r="D1171" s="64"/>
      <c r="E1171" s="66"/>
      <c r="F1171" s="98" t="str">
        <f>HYPERLINK("https://pbs.twimg.com/profile_images/1443755903942021123/T7IKOCSH_normal.jpg")</f>
        <v>https://pbs.twimg.com/profile_images/1443755903942021123/T7IKOCSH_normal.jpg</v>
      </c>
      <c r="G1171" s="63"/>
      <c r="H1171" s="67"/>
      <c r="I1171" s="68"/>
      <c r="J1171" s="68"/>
      <c r="K1171" s="67" t="s">
        <v>10098</v>
      </c>
      <c r="L1171" s="71"/>
      <c r="M1171" s="72"/>
      <c r="N1171" s="72"/>
      <c r="O1171" s="73"/>
      <c r="P1171" s="74"/>
      <c r="Q1171" s="74"/>
      <c r="R1171" s="81"/>
      <c r="S1171" s="81"/>
      <c r="T1171" s="81"/>
      <c r="U1171" s="81"/>
      <c r="V1171" s="48"/>
      <c r="W1171" s="48"/>
      <c r="X1171" s="48"/>
      <c r="Y1171" s="48"/>
      <c r="Z1171" s="47"/>
      <c r="AA1171" s="69"/>
      <c r="AB1171" s="69"/>
      <c r="AC1171" s="70"/>
      <c r="AD1171" t="s">
        <v>5786</v>
      </c>
      <c r="AE1171" s="78" t="s">
        <v>7018</v>
      </c>
      <c r="AF1171">
        <v>270</v>
      </c>
      <c r="AG1171">
        <v>35</v>
      </c>
      <c r="AH1171">
        <v>2304</v>
      </c>
      <c r="AI1171">
        <v>12169</v>
      </c>
      <c r="AK1171" t="s">
        <v>8181</v>
      </c>
      <c r="AL1171" t="s">
        <v>4899</v>
      </c>
      <c r="AO1171" s="76">
        <v>43253.80877314815</v>
      </c>
      <c r="AP1171" s="79" t="str">
        <f>HYPERLINK("https://pbs.twimg.com/profile_banners/1002994418901815296/1637210780")</f>
        <v>https://pbs.twimg.com/profile_banners/1002994418901815296/1637210780</v>
      </c>
      <c r="AQ1171" t="b">
        <v>1</v>
      </c>
      <c r="AR1171" t="b">
        <v>0</v>
      </c>
      <c r="AS1171" t="b">
        <v>0</v>
      </c>
      <c r="AU1171">
        <v>0</v>
      </c>
      <c r="AW1171" t="b">
        <v>0</v>
      </c>
      <c r="AX1171" t="s">
        <v>9303</v>
      </c>
      <c r="AY1171" s="79" t="str">
        <f>HYPERLINK("https://twitter.com/dnomyer1234")</f>
        <v>https://twitter.com/dnomyer1234</v>
      </c>
      <c r="AZ1171" t="s">
        <v>66</v>
      </c>
      <c r="BA1171" s="2"/>
    </row>
    <row r="1172" spans="1:53" x14ac:dyDescent="0.45">
      <c r="A1172" s="62" t="s">
        <v>1093</v>
      </c>
      <c r="B1172" s="63"/>
      <c r="C1172" s="63"/>
      <c r="D1172" s="64"/>
      <c r="E1172" s="66"/>
      <c r="F1172" s="98" t="str">
        <f>HYPERLINK("https://pbs.twimg.com/profile_images/1200451845036089344/qEb9yMU1_normal.jpg")</f>
        <v>https://pbs.twimg.com/profile_images/1200451845036089344/qEb9yMU1_normal.jpg</v>
      </c>
      <c r="G1172" s="63"/>
      <c r="H1172" s="67"/>
      <c r="I1172" s="68"/>
      <c r="J1172" s="68"/>
      <c r="K1172" s="67" t="s">
        <v>10640</v>
      </c>
      <c r="L1172" s="71"/>
      <c r="M1172" s="72"/>
      <c r="N1172" s="72"/>
      <c r="O1172" s="73"/>
      <c r="P1172" s="74"/>
      <c r="Q1172" s="74"/>
      <c r="R1172" s="81"/>
      <c r="S1172" s="81"/>
      <c r="T1172" s="81"/>
      <c r="U1172" s="81"/>
      <c r="V1172" s="48"/>
      <c r="W1172" s="48"/>
      <c r="X1172" s="48"/>
      <c r="Y1172" s="48"/>
      <c r="Z1172" s="47"/>
      <c r="AA1172" s="69"/>
      <c r="AB1172" s="69"/>
      <c r="AC1172" s="70"/>
      <c r="AD1172" t="s">
        <v>1093</v>
      </c>
      <c r="AE1172" s="78" t="s">
        <v>4825</v>
      </c>
      <c r="AF1172">
        <v>273</v>
      </c>
      <c r="AG1172">
        <v>35</v>
      </c>
      <c r="AH1172">
        <v>2481</v>
      </c>
      <c r="AI1172">
        <v>3647</v>
      </c>
      <c r="AK1172" t="s">
        <v>8660</v>
      </c>
      <c r="AL1172" t="s">
        <v>8719</v>
      </c>
      <c r="AO1172" s="76">
        <v>42498.148148148146</v>
      </c>
      <c r="AP1172" s="79" t="str">
        <f>HYPERLINK("https://pbs.twimg.com/profile_banners/729152176891830272/1575045115")</f>
        <v>https://pbs.twimg.com/profile_banners/729152176891830272/1575045115</v>
      </c>
      <c r="AQ1172" t="b">
        <v>1</v>
      </c>
      <c r="AR1172" t="b">
        <v>0</v>
      </c>
      <c r="AS1172" t="b">
        <v>0</v>
      </c>
      <c r="AU1172">
        <v>0</v>
      </c>
      <c r="AW1172" t="b">
        <v>0</v>
      </c>
      <c r="AX1172" t="s">
        <v>9303</v>
      </c>
      <c r="AY1172" s="79" t="str">
        <f>HYPERLINK("https://twitter.com/francbenphoto")</f>
        <v>https://twitter.com/francbenphoto</v>
      </c>
      <c r="AZ1172" t="s">
        <v>66</v>
      </c>
      <c r="BA1172" s="2"/>
    </row>
    <row r="1173" spans="1:53" x14ac:dyDescent="0.45">
      <c r="A1173" s="62" t="s">
        <v>513</v>
      </c>
      <c r="B1173" s="63"/>
      <c r="C1173" s="63"/>
      <c r="D1173" s="64"/>
      <c r="E1173" s="66"/>
      <c r="F1173" s="98" t="str">
        <f>HYPERLINK("https://pbs.twimg.com/profile_images/1222627750470656000/b7_pJKh7_normal.jpg")</f>
        <v>https://pbs.twimg.com/profile_images/1222627750470656000/b7_pJKh7_normal.jpg</v>
      </c>
      <c r="G1173" s="63"/>
      <c r="H1173" s="67"/>
      <c r="I1173" s="68"/>
      <c r="J1173" s="68"/>
      <c r="K1173" s="67" t="s">
        <v>9796</v>
      </c>
      <c r="L1173" s="71"/>
      <c r="M1173" s="72"/>
      <c r="N1173" s="72"/>
      <c r="O1173" s="73"/>
      <c r="P1173" s="74"/>
      <c r="Q1173" s="74"/>
      <c r="R1173" s="81"/>
      <c r="S1173" s="81"/>
      <c r="T1173" s="81"/>
      <c r="U1173" s="81"/>
      <c r="V1173" s="48"/>
      <c r="W1173" s="48"/>
      <c r="X1173" s="48"/>
      <c r="Y1173" s="48"/>
      <c r="Z1173" s="47"/>
      <c r="AA1173" s="69"/>
      <c r="AB1173" s="69"/>
      <c r="AC1173" s="70"/>
      <c r="AD1173" t="s">
        <v>513</v>
      </c>
      <c r="AE1173" s="78" t="s">
        <v>6745</v>
      </c>
      <c r="AF1173">
        <v>64</v>
      </c>
      <c r="AG1173">
        <v>34</v>
      </c>
      <c r="AH1173">
        <v>5815</v>
      </c>
      <c r="AI1173">
        <v>47</v>
      </c>
      <c r="AK1173" t="s">
        <v>7917</v>
      </c>
      <c r="AL1173" t="s">
        <v>8923</v>
      </c>
      <c r="AO1173" s="76">
        <v>40184.927557870367</v>
      </c>
      <c r="AP1173" s="79" t="str">
        <f>HYPERLINK("https://pbs.twimg.com/profile_banners/102495854/1410960404")</f>
        <v>https://pbs.twimg.com/profile_banners/102495854/1410960404</v>
      </c>
      <c r="AQ1173" t="b">
        <v>0</v>
      </c>
      <c r="AR1173" t="b">
        <v>0</v>
      </c>
      <c r="AS1173" t="b">
        <v>1</v>
      </c>
      <c r="AU1173">
        <v>5</v>
      </c>
      <c r="AV1173" s="79" t="str">
        <f>HYPERLINK("https://abs.twimg.com/images/themes/theme1/bg.png")</f>
        <v>https://abs.twimg.com/images/themes/theme1/bg.png</v>
      </c>
      <c r="AW1173" t="b">
        <v>0</v>
      </c>
      <c r="AX1173" t="s">
        <v>9303</v>
      </c>
      <c r="AY1173" s="79" t="str">
        <f>HYPERLINK("https://twitter.com/mutinymanx")</f>
        <v>https://twitter.com/mutinymanx</v>
      </c>
      <c r="AZ1173" t="s">
        <v>66</v>
      </c>
      <c r="BA1173" s="2"/>
    </row>
    <row r="1174" spans="1:53" x14ac:dyDescent="0.45">
      <c r="A1174" s="62" t="s">
        <v>751</v>
      </c>
      <c r="B1174" s="63"/>
      <c r="C1174" s="63"/>
      <c r="D1174" s="64"/>
      <c r="E1174" s="66"/>
      <c r="F1174" s="98" t="str">
        <f>HYPERLINK("https://pbs.twimg.com/profile_images/762346737264685056/1lSQu9bV_normal.jpg")</f>
        <v>https://pbs.twimg.com/profile_images/762346737264685056/1lSQu9bV_normal.jpg</v>
      </c>
      <c r="G1174" s="63"/>
      <c r="H1174" s="67"/>
      <c r="I1174" s="68"/>
      <c r="J1174" s="68"/>
      <c r="K1174" s="67" t="s">
        <v>10102</v>
      </c>
      <c r="L1174" s="71"/>
      <c r="M1174" s="72"/>
      <c r="N1174" s="72"/>
      <c r="O1174" s="73"/>
      <c r="P1174" s="74"/>
      <c r="Q1174" s="74"/>
      <c r="R1174" s="81"/>
      <c r="S1174" s="81"/>
      <c r="T1174" s="81"/>
      <c r="U1174" s="81"/>
      <c r="V1174" s="48"/>
      <c r="W1174" s="48"/>
      <c r="X1174" s="48"/>
      <c r="Y1174" s="48"/>
      <c r="Z1174" s="47"/>
      <c r="AA1174" s="69"/>
      <c r="AB1174" s="69"/>
      <c r="AC1174" s="70"/>
      <c r="AD1174" t="s">
        <v>5790</v>
      </c>
      <c r="AE1174" s="78" t="s">
        <v>7022</v>
      </c>
      <c r="AF1174">
        <v>56</v>
      </c>
      <c r="AG1174">
        <v>34</v>
      </c>
      <c r="AH1174">
        <v>130</v>
      </c>
      <c r="AI1174">
        <v>20</v>
      </c>
      <c r="AK1174" t="s">
        <v>8185</v>
      </c>
      <c r="AO1174" s="76">
        <v>42039.934988425928</v>
      </c>
      <c r="AQ1174" t="b">
        <v>1</v>
      </c>
      <c r="AR1174" t="b">
        <v>0</v>
      </c>
      <c r="AS1174" t="b">
        <v>0</v>
      </c>
      <c r="AU1174">
        <v>1</v>
      </c>
      <c r="AV1174" s="79" t="str">
        <f>HYPERLINK("https://abs.twimg.com/images/themes/theme1/bg.png")</f>
        <v>https://abs.twimg.com/images/themes/theme1/bg.png</v>
      </c>
      <c r="AW1174" t="b">
        <v>0</v>
      </c>
      <c r="AX1174" t="s">
        <v>9303</v>
      </c>
      <c r="AY1174" s="79" t="str">
        <f>HYPERLINK("https://twitter.com/nfranklin3d")</f>
        <v>https://twitter.com/nfranklin3d</v>
      </c>
      <c r="AZ1174" t="s">
        <v>66</v>
      </c>
      <c r="BA1174" s="2"/>
    </row>
    <row r="1175" spans="1:53" x14ac:dyDescent="0.45">
      <c r="A1175" s="62" t="s">
        <v>546</v>
      </c>
      <c r="B1175" s="63"/>
      <c r="C1175" s="63"/>
      <c r="D1175" s="64"/>
      <c r="E1175" s="66"/>
      <c r="F1175" s="98" t="str">
        <f>HYPERLINK("https://pbs.twimg.com/profile_images/1601359830140293122/cdjE2HR4_normal.jpg")</f>
        <v>https://pbs.twimg.com/profile_images/1601359830140293122/cdjE2HR4_normal.jpg</v>
      </c>
      <c r="G1175" s="63"/>
      <c r="H1175" s="67"/>
      <c r="I1175" s="68"/>
      <c r="J1175" s="68"/>
      <c r="K1175" s="67" t="s">
        <v>9839</v>
      </c>
      <c r="L1175" s="71"/>
      <c r="M1175" s="72"/>
      <c r="N1175" s="72"/>
      <c r="O1175" s="73"/>
      <c r="P1175" s="74"/>
      <c r="Q1175" s="74"/>
      <c r="R1175" s="81"/>
      <c r="S1175" s="81"/>
      <c r="T1175" s="81"/>
      <c r="U1175" s="81"/>
      <c r="V1175" s="48"/>
      <c r="W1175" s="48"/>
      <c r="X1175" s="48"/>
      <c r="Y1175" s="48"/>
      <c r="Z1175" s="47"/>
      <c r="AA1175" s="69"/>
      <c r="AB1175" s="69"/>
      <c r="AC1175" s="70"/>
      <c r="AD1175" t="s">
        <v>5530</v>
      </c>
      <c r="AE1175" s="78" t="s">
        <v>6780</v>
      </c>
      <c r="AF1175">
        <v>194</v>
      </c>
      <c r="AG1175">
        <v>34</v>
      </c>
      <c r="AH1175">
        <v>2232</v>
      </c>
      <c r="AI1175">
        <v>7663</v>
      </c>
      <c r="AO1175" s="76">
        <v>44652.874247685184</v>
      </c>
      <c r="AQ1175" t="b">
        <v>1</v>
      </c>
      <c r="AR1175" t="b">
        <v>0</v>
      </c>
      <c r="AS1175" t="b">
        <v>1</v>
      </c>
      <c r="AU1175">
        <v>0</v>
      </c>
      <c r="AW1175" t="b">
        <v>0</v>
      </c>
      <c r="AX1175" t="s">
        <v>9303</v>
      </c>
      <c r="AY1175" s="79" t="str">
        <f>HYPERLINK("https://twitter.com/taty_marc_blank")</f>
        <v>https://twitter.com/taty_marc_blank</v>
      </c>
      <c r="AZ1175" t="s">
        <v>66</v>
      </c>
      <c r="BA1175" s="2"/>
    </row>
    <row r="1176" spans="1:53" x14ac:dyDescent="0.45">
      <c r="A1176" s="62" t="s">
        <v>1059</v>
      </c>
      <c r="B1176" s="63"/>
      <c r="C1176" s="63"/>
      <c r="D1176" s="64"/>
      <c r="E1176" s="66"/>
      <c r="F1176" s="98" t="str">
        <f>HYPERLINK("https://pbs.twimg.com/profile_images/3260150374/5324587f7a1df18826d7dd9b18371685_normal.jpeg")</f>
        <v>https://pbs.twimg.com/profile_images/3260150374/5324587f7a1df18826d7dd9b18371685_normal.jpeg</v>
      </c>
      <c r="G1176" s="63"/>
      <c r="H1176" s="67"/>
      <c r="I1176" s="68"/>
      <c r="J1176" s="68"/>
      <c r="K1176" s="67" t="s">
        <v>10580</v>
      </c>
      <c r="L1176" s="71"/>
      <c r="M1176" s="72"/>
      <c r="N1176" s="72"/>
      <c r="O1176" s="73"/>
      <c r="P1176" s="74"/>
      <c r="Q1176" s="74"/>
      <c r="R1176" s="81"/>
      <c r="S1176" s="81"/>
      <c r="T1176" s="81"/>
      <c r="U1176" s="81"/>
      <c r="V1176" s="48"/>
      <c r="W1176" s="48"/>
      <c r="X1176" s="48"/>
      <c r="Y1176" s="48"/>
      <c r="Z1176" s="47"/>
      <c r="AA1176" s="69"/>
      <c r="AB1176" s="69"/>
      <c r="AC1176" s="70"/>
      <c r="AD1176" t="s">
        <v>6258</v>
      </c>
      <c r="AE1176" s="78" t="s">
        <v>7431</v>
      </c>
      <c r="AF1176">
        <v>1037</v>
      </c>
      <c r="AG1176">
        <v>34</v>
      </c>
      <c r="AH1176">
        <v>726</v>
      </c>
      <c r="AI1176">
        <v>38233</v>
      </c>
      <c r="AL1176" t="s">
        <v>9270</v>
      </c>
      <c r="AO1176" s="76">
        <v>39567.748229166667</v>
      </c>
      <c r="AQ1176" t="b">
        <v>0</v>
      </c>
      <c r="AR1176" t="b">
        <v>0</v>
      </c>
      <c r="AS1176" t="b">
        <v>0</v>
      </c>
      <c r="AU1176">
        <v>0</v>
      </c>
      <c r="AV1176" s="79" t="str">
        <f>HYPERLINK("https://abs.twimg.com/images/themes/theme1/bg.png")</f>
        <v>https://abs.twimg.com/images/themes/theme1/bg.png</v>
      </c>
      <c r="AW1176" t="b">
        <v>0</v>
      </c>
      <c r="AX1176" t="s">
        <v>9303</v>
      </c>
      <c r="AY1176" s="79" t="str">
        <f>HYPERLINK("https://twitter.com/iainms")</f>
        <v>https://twitter.com/iainms</v>
      </c>
      <c r="AZ1176" t="s">
        <v>66</v>
      </c>
      <c r="BA1176" s="2"/>
    </row>
    <row r="1177" spans="1:53" x14ac:dyDescent="0.45">
      <c r="A1177" s="62" t="s">
        <v>396</v>
      </c>
      <c r="B1177" s="63"/>
      <c r="C1177" s="63"/>
      <c r="D1177" s="64"/>
      <c r="E1177" s="66"/>
      <c r="F1177" s="98" t="str">
        <f>HYPERLINK("https://pbs.twimg.com/profile_images/3358886052/446a39bcd01b343a9efa1e4a1cf65970_normal.jpeg")</f>
        <v>https://pbs.twimg.com/profile_images/3358886052/446a39bcd01b343a9efa1e4a1cf65970_normal.jpeg</v>
      </c>
      <c r="G1177" s="63"/>
      <c r="H1177" s="67"/>
      <c r="I1177" s="68"/>
      <c r="J1177" s="68"/>
      <c r="K1177" s="67" t="s">
        <v>9646</v>
      </c>
      <c r="L1177" s="71"/>
      <c r="M1177" s="72"/>
      <c r="N1177" s="72"/>
      <c r="O1177" s="73"/>
      <c r="P1177" s="74"/>
      <c r="Q1177" s="74"/>
      <c r="R1177" s="81"/>
      <c r="S1177" s="81"/>
      <c r="T1177" s="81"/>
      <c r="U1177" s="81"/>
      <c r="V1177" s="48"/>
      <c r="W1177" s="48"/>
      <c r="X1177" s="48"/>
      <c r="Y1177" s="48"/>
      <c r="Z1177" s="47"/>
      <c r="AA1177" s="69"/>
      <c r="AB1177" s="69"/>
      <c r="AC1177" s="70"/>
      <c r="AD1177" t="s">
        <v>5339</v>
      </c>
      <c r="AE1177" s="78" t="s">
        <v>6614</v>
      </c>
      <c r="AF1177">
        <v>165</v>
      </c>
      <c r="AG1177">
        <v>32</v>
      </c>
      <c r="AH1177">
        <v>591</v>
      </c>
      <c r="AI1177">
        <v>283</v>
      </c>
      <c r="AO1177" s="76">
        <v>40970.733553240738</v>
      </c>
      <c r="AQ1177" t="b">
        <v>1</v>
      </c>
      <c r="AR1177" t="b">
        <v>0</v>
      </c>
      <c r="AS1177" t="b">
        <v>0</v>
      </c>
      <c r="AU1177">
        <v>0</v>
      </c>
      <c r="AV1177" s="79" t="str">
        <f>HYPERLINK("https://abs.twimg.com/images/themes/theme1/bg.png")</f>
        <v>https://abs.twimg.com/images/themes/theme1/bg.png</v>
      </c>
      <c r="AW1177" t="b">
        <v>0</v>
      </c>
      <c r="AX1177" t="s">
        <v>9303</v>
      </c>
      <c r="AY1177" s="79" t="str">
        <f>HYPERLINK("https://twitter.com/kimfamuliner")</f>
        <v>https://twitter.com/kimfamuliner</v>
      </c>
      <c r="AZ1177" t="s">
        <v>66</v>
      </c>
      <c r="BA1177" s="2"/>
    </row>
    <row r="1178" spans="1:53" x14ac:dyDescent="0.45">
      <c r="A1178" s="62" t="s">
        <v>305</v>
      </c>
      <c r="B1178" s="63"/>
      <c r="C1178" s="63"/>
      <c r="D1178" s="64"/>
      <c r="E1178" s="66"/>
      <c r="F1178" s="98" t="str">
        <f>HYPERLINK("https://pbs.twimg.com/profile_images/1615003489838448642/3lwrVgwV_normal.jpg")</f>
        <v>https://pbs.twimg.com/profile_images/1615003489838448642/3lwrVgwV_normal.jpg</v>
      </c>
      <c r="G1178" s="63"/>
      <c r="H1178" s="67"/>
      <c r="I1178" s="68"/>
      <c r="J1178" s="68"/>
      <c r="K1178" s="67" t="s">
        <v>9495</v>
      </c>
      <c r="L1178" s="71"/>
      <c r="M1178" s="72"/>
      <c r="N1178" s="72"/>
      <c r="O1178" s="73"/>
      <c r="P1178" s="74"/>
      <c r="Q1178" s="74"/>
      <c r="R1178" s="81"/>
      <c r="S1178" s="81"/>
      <c r="T1178" s="81"/>
      <c r="U1178" s="81"/>
      <c r="V1178" s="48"/>
      <c r="W1178" s="48"/>
      <c r="X1178" s="48"/>
      <c r="Y1178" s="48"/>
      <c r="Z1178" s="47"/>
      <c r="AA1178" s="69"/>
      <c r="AB1178" s="69"/>
      <c r="AC1178" s="70"/>
      <c r="AD1178" t="s">
        <v>5189</v>
      </c>
      <c r="AE1178" s="78" t="s">
        <v>6484</v>
      </c>
      <c r="AF1178">
        <v>216</v>
      </c>
      <c r="AG1178">
        <v>31</v>
      </c>
      <c r="AH1178">
        <v>3524</v>
      </c>
      <c r="AI1178">
        <v>2664</v>
      </c>
      <c r="AK1178" t="s">
        <v>7660</v>
      </c>
      <c r="AL1178" t="s">
        <v>8782</v>
      </c>
      <c r="AO1178" s="76">
        <v>43755.005590277775</v>
      </c>
      <c r="AP1178" s="79" t="str">
        <f>HYPERLINK("https://pbs.twimg.com/profile_banners/1184622009919135744/1571272116")</f>
        <v>https://pbs.twimg.com/profile_banners/1184622009919135744/1571272116</v>
      </c>
      <c r="AQ1178" t="b">
        <v>1</v>
      </c>
      <c r="AR1178" t="b">
        <v>0</v>
      </c>
      <c r="AS1178" t="b">
        <v>1</v>
      </c>
      <c r="AU1178">
        <v>1</v>
      </c>
      <c r="AW1178" t="b">
        <v>0</v>
      </c>
      <c r="AX1178" t="s">
        <v>9303</v>
      </c>
      <c r="AY1178" s="79" t="str">
        <f>HYPERLINK("https://twitter.com/jsalt3028")</f>
        <v>https://twitter.com/jsalt3028</v>
      </c>
      <c r="AZ1178" t="s">
        <v>66</v>
      </c>
      <c r="BA1178" s="2"/>
    </row>
    <row r="1179" spans="1:53" x14ac:dyDescent="0.45">
      <c r="A1179" s="62" t="s">
        <v>815</v>
      </c>
      <c r="B1179" s="63"/>
      <c r="C1179" s="63"/>
      <c r="D1179" s="64"/>
      <c r="E1179" s="66"/>
      <c r="F1179" s="98" t="str">
        <f>HYPERLINK("https://pbs.twimg.com/profile_images/665297202651099136/JbAQtEwR_normal.jpg")</f>
        <v>https://pbs.twimg.com/profile_images/665297202651099136/JbAQtEwR_normal.jpg</v>
      </c>
      <c r="G1179" s="63"/>
      <c r="H1179" s="67"/>
      <c r="I1179" s="68"/>
      <c r="J1179" s="68"/>
      <c r="K1179" s="67" t="s">
        <v>10199</v>
      </c>
      <c r="L1179" s="71"/>
      <c r="M1179" s="72"/>
      <c r="N1179" s="72"/>
      <c r="O1179" s="73"/>
      <c r="P1179" s="74"/>
      <c r="Q1179" s="74"/>
      <c r="R1179" s="81"/>
      <c r="S1179" s="81"/>
      <c r="T1179" s="81"/>
      <c r="U1179" s="81"/>
      <c r="V1179" s="48"/>
      <c r="W1179" s="48"/>
      <c r="X1179" s="48"/>
      <c r="Y1179" s="48"/>
      <c r="Z1179" s="47"/>
      <c r="AA1179" s="69"/>
      <c r="AB1179" s="69"/>
      <c r="AC1179" s="70"/>
      <c r="AD1179" t="s">
        <v>5883</v>
      </c>
      <c r="AE1179" s="78" t="s">
        <v>7104</v>
      </c>
      <c r="AF1179">
        <v>78</v>
      </c>
      <c r="AG1179">
        <v>31</v>
      </c>
      <c r="AH1179">
        <v>1474</v>
      </c>
      <c r="AI1179">
        <v>236</v>
      </c>
      <c r="AK1179" t="s">
        <v>8269</v>
      </c>
      <c r="AL1179" t="s">
        <v>9118</v>
      </c>
      <c r="AO1179" s="76">
        <v>40409.942199074074</v>
      </c>
      <c r="AP1179" s="79" t="str">
        <f>HYPERLINK("https://pbs.twimg.com/profile_banners/180551697/1447454467")</f>
        <v>https://pbs.twimg.com/profile_banners/180551697/1447454467</v>
      </c>
      <c r="AQ1179" t="b">
        <v>1</v>
      </c>
      <c r="AR1179" t="b">
        <v>0</v>
      </c>
      <c r="AS1179" t="b">
        <v>1</v>
      </c>
      <c r="AU1179">
        <v>1</v>
      </c>
      <c r="AV1179" s="79" t="str">
        <f>HYPERLINK("https://abs.twimg.com/images/themes/theme1/bg.png")</f>
        <v>https://abs.twimg.com/images/themes/theme1/bg.png</v>
      </c>
      <c r="AW1179" t="b">
        <v>0</v>
      </c>
      <c r="AX1179" t="s">
        <v>9303</v>
      </c>
      <c r="AY1179" s="79" t="str">
        <f>HYPERLINK("https://twitter.com/jcrawfordfsu")</f>
        <v>https://twitter.com/jcrawfordfsu</v>
      </c>
      <c r="AZ1179" t="s">
        <v>66</v>
      </c>
      <c r="BA1179" s="2"/>
    </row>
    <row r="1180" spans="1:53" x14ac:dyDescent="0.45">
      <c r="A1180" s="62" t="s">
        <v>343</v>
      </c>
      <c r="B1180" s="63"/>
      <c r="C1180" s="63"/>
      <c r="D1180" s="64"/>
      <c r="E1180" s="66"/>
      <c r="F1180" s="98" t="str">
        <f>HYPERLINK("https://pbs.twimg.com/profile_images/1407081297445543942/0slpKaNV_normal.jpg")</f>
        <v>https://pbs.twimg.com/profile_images/1407081297445543942/0slpKaNV_normal.jpg</v>
      </c>
      <c r="G1180" s="63"/>
      <c r="H1180" s="67"/>
      <c r="I1180" s="68"/>
      <c r="J1180" s="68"/>
      <c r="K1180" s="67" t="s">
        <v>9565</v>
      </c>
      <c r="L1180" s="71"/>
      <c r="M1180" s="72"/>
      <c r="N1180" s="72"/>
      <c r="O1180" s="73"/>
      <c r="P1180" s="74"/>
      <c r="Q1180" s="74"/>
      <c r="R1180" s="81"/>
      <c r="S1180" s="81"/>
      <c r="T1180" s="81"/>
      <c r="U1180" s="81"/>
      <c r="V1180" s="48"/>
      <c r="W1180" s="48"/>
      <c r="X1180" s="48"/>
      <c r="Y1180" s="48"/>
      <c r="Z1180" s="47"/>
      <c r="AA1180" s="69"/>
      <c r="AB1180" s="69"/>
      <c r="AC1180" s="70"/>
      <c r="AD1180" t="s">
        <v>5258</v>
      </c>
      <c r="AE1180" s="78" t="s">
        <v>6538</v>
      </c>
      <c r="AF1180">
        <v>96</v>
      </c>
      <c r="AG1180">
        <v>30</v>
      </c>
      <c r="AH1180">
        <v>698</v>
      </c>
      <c r="AI1180">
        <v>3926</v>
      </c>
      <c r="AK1180" t="s">
        <v>7722</v>
      </c>
      <c r="AO1180" s="76">
        <v>44360.994675925926</v>
      </c>
      <c r="AQ1180" t="b">
        <v>1</v>
      </c>
      <c r="AR1180" t="b">
        <v>0</v>
      </c>
      <c r="AS1180" t="b">
        <v>0</v>
      </c>
      <c r="AU1180">
        <v>0</v>
      </c>
      <c r="AW1180" t="b">
        <v>0</v>
      </c>
      <c r="AX1180" t="s">
        <v>9303</v>
      </c>
      <c r="AY1180" s="79" t="str">
        <f>HYPERLINK("https://twitter.com/hexx81735504")</f>
        <v>https://twitter.com/hexx81735504</v>
      </c>
      <c r="AZ1180" t="s">
        <v>66</v>
      </c>
      <c r="BA1180" s="2"/>
    </row>
    <row r="1181" spans="1:53" x14ac:dyDescent="0.45">
      <c r="A1181" s="62" t="s">
        <v>524</v>
      </c>
      <c r="B1181" s="63"/>
      <c r="C1181" s="63"/>
      <c r="D1181" s="64"/>
      <c r="E1181" s="66"/>
      <c r="F1181" s="98" t="str">
        <f>HYPERLINK("https://pbs.twimg.com/profile_images/1400134954210578435/IP9jxkfm_normal.jpg")</f>
        <v>https://pbs.twimg.com/profile_images/1400134954210578435/IP9jxkfm_normal.jpg</v>
      </c>
      <c r="G1181" s="63"/>
      <c r="H1181" s="67"/>
      <c r="I1181" s="68"/>
      <c r="J1181" s="68"/>
      <c r="K1181" s="67" t="s">
        <v>9815</v>
      </c>
      <c r="L1181" s="71"/>
      <c r="M1181" s="72"/>
      <c r="N1181" s="72"/>
      <c r="O1181" s="73"/>
      <c r="P1181" s="74"/>
      <c r="Q1181" s="74"/>
      <c r="R1181" s="81"/>
      <c r="S1181" s="81"/>
      <c r="T1181" s="81"/>
      <c r="U1181" s="81"/>
      <c r="V1181" s="48"/>
      <c r="W1181" s="48"/>
      <c r="X1181" s="48"/>
      <c r="Y1181" s="48"/>
      <c r="Z1181" s="47"/>
      <c r="AA1181" s="69"/>
      <c r="AB1181" s="69"/>
      <c r="AC1181" s="70"/>
      <c r="AD1181" t="s">
        <v>5506</v>
      </c>
      <c r="AE1181" s="78" t="s">
        <v>4712</v>
      </c>
      <c r="AF1181">
        <v>59</v>
      </c>
      <c r="AG1181">
        <v>30</v>
      </c>
      <c r="AH1181">
        <v>730</v>
      </c>
      <c r="AI1181">
        <v>468</v>
      </c>
      <c r="AK1181" t="s">
        <v>7934</v>
      </c>
      <c r="AL1181" t="s">
        <v>4899</v>
      </c>
      <c r="AM1181" s="79" t="str">
        <f>HYPERLINK("https://t.co/m0FKU01pAj")</f>
        <v>https://t.co/m0FKU01pAj</v>
      </c>
      <c r="AO1181" s="76">
        <v>44342.859513888892</v>
      </c>
      <c r="AP1181" s="79" t="str">
        <f>HYPERLINK("https://pbs.twimg.com/profile_banners/1397653121988370436/1622654946")</f>
        <v>https://pbs.twimg.com/profile_banners/1397653121988370436/1622654946</v>
      </c>
      <c r="AQ1181" t="b">
        <v>1</v>
      </c>
      <c r="AR1181" t="b">
        <v>0</v>
      </c>
      <c r="AS1181" t="b">
        <v>0</v>
      </c>
      <c r="AU1181">
        <v>0</v>
      </c>
      <c r="AW1181" t="b">
        <v>0</v>
      </c>
      <c r="AX1181" t="s">
        <v>9303</v>
      </c>
      <c r="AY1181" s="79" t="str">
        <f>HYPERLINK("https://twitter.com/dirtybyrdgames")</f>
        <v>https://twitter.com/dirtybyrdgames</v>
      </c>
      <c r="AZ1181" t="s">
        <v>66</v>
      </c>
      <c r="BA1181" s="2"/>
    </row>
    <row r="1182" spans="1:53" x14ac:dyDescent="0.45">
      <c r="A1182" s="62" t="s">
        <v>828</v>
      </c>
      <c r="B1182" s="63"/>
      <c r="C1182" s="63"/>
      <c r="D1182" s="64"/>
      <c r="E1182" s="66"/>
      <c r="F1182" s="98" t="str">
        <f>HYPERLINK("https://pbs.twimg.com/profile_images/604752610986369024/g5oUXRxk_normal.jpg")</f>
        <v>https://pbs.twimg.com/profile_images/604752610986369024/g5oUXRxk_normal.jpg</v>
      </c>
      <c r="G1182" s="63"/>
      <c r="H1182" s="67"/>
      <c r="I1182" s="68"/>
      <c r="J1182" s="68"/>
      <c r="K1182" s="67" t="s">
        <v>10221</v>
      </c>
      <c r="L1182" s="71"/>
      <c r="M1182" s="72"/>
      <c r="N1182" s="72"/>
      <c r="O1182" s="73"/>
      <c r="P1182" s="74"/>
      <c r="Q1182" s="74"/>
      <c r="R1182" s="81"/>
      <c r="S1182" s="81"/>
      <c r="T1182" s="81"/>
      <c r="U1182" s="81"/>
      <c r="V1182" s="48"/>
      <c r="W1182" s="48"/>
      <c r="X1182" s="48"/>
      <c r="Y1182" s="48"/>
      <c r="Z1182" s="47"/>
      <c r="AA1182" s="69"/>
      <c r="AB1182" s="69"/>
      <c r="AC1182" s="70"/>
      <c r="AD1182" t="s">
        <v>5905</v>
      </c>
      <c r="AE1182" s="78" t="s">
        <v>7123</v>
      </c>
      <c r="AF1182">
        <v>73</v>
      </c>
      <c r="AG1182">
        <v>29</v>
      </c>
      <c r="AH1182">
        <v>372</v>
      </c>
      <c r="AI1182">
        <v>70</v>
      </c>
      <c r="AK1182" t="s">
        <v>8288</v>
      </c>
      <c r="AO1182" s="76">
        <v>42153.164363425924</v>
      </c>
      <c r="AQ1182" t="b">
        <v>1</v>
      </c>
      <c r="AR1182" t="b">
        <v>0</v>
      </c>
      <c r="AS1182" t="b">
        <v>0</v>
      </c>
      <c r="AU1182">
        <v>3</v>
      </c>
      <c r="AV1182" s="79" t="str">
        <f>HYPERLINK("https://abs.twimg.com/images/themes/theme1/bg.png")</f>
        <v>https://abs.twimg.com/images/themes/theme1/bg.png</v>
      </c>
      <c r="AW1182" t="b">
        <v>0</v>
      </c>
      <c r="AX1182" t="s">
        <v>9303</v>
      </c>
      <c r="AY1182" s="79" t="str">
        <f>HYPERLINK("https://twitter.com/billatq")</f>
        <v>https://twitter.com/billatq</v>
      </c>
      <c r="AZ1182" t="s">
        <v>66</v>
      </c>
      <c r="BA1182" s="2"/>
    </row>
    <row r="1183" spans="1:53" x14ac:dyDescent="0.45">
      <c r="A1183" s="62" t="s">
        <v>279</v>
      </c>
      <c r="B1183" s="63"/>
      <c r="C1183" s="63"/>
      <c r="D1183" s="64"/>
      <c r="E1183" s="66"/>
      <c r="F1183" s="98" t="str">
        <f>HYPERLINK("https://pbs.twimg.com/profile_images/443041986564472833/-EqI0yO8_normal.jpeg")</f>
        <v>https://pbs.twimg.com/profile_images/443041986564472833/-EqI0yO8_normal.jpeg</v>
      </c>
      <c r="G1183" s="63"/>
      <c r="H1183" s="67"/>
      <c r="I1183" s="68"/>
      <c r="J1183" s="68"/>
      <c r="K1183" s="67" t="s">
        <v>9432</v>
      </c>
      <c r="L1183" s="71"/>
      <c r="M1183" s="72"/>
      <c r="N1183" s="72"/>
      <c r="O1183" s="73"/>
      <c r="P1183" s="74"/>
      <c r="Q1183" s="74"/>
      <c r="R1183" s="81"/>
      <c r="S1183" s="81"/>
      <c r="T1183" s="81"/>
      <c r="U1183" s="81"/>
      <c r="V1183" s="48"/>
      <c r="W1183" s="48"/>
      <c r="X1183" s="48"/>
      <c r="Y1183" s="48"/>
      <c r="Z1183" s="47"/>
      <c r="AA1183" s="69"/>
      <c r="AB1183" s="69"/>
      <c r="AC1183" s="70"/>
      <c r="AD1183" t="s">
        <v>5126</v>
      </c>
      <c r="AE1183" s="78" t="s">
        <v>6433</v>
      </c>
      <c r="AF1183">
        <v>115</v>
      </c>
      <c r="AG1183">
        <v>29</v>
      </c>
      <c r="AH1183">
        <v>6371</v>
      </c>
      <c r="AI1183">
        <v>389</v>
      </c>
      <c r="AL1183" t="s">
        <v>8749</v>
      </c>
      <c r="AO1183" s="76">
        <v>41684.973634259259</v>
      </c>
      <c r="AQ1183" t="b">
        <v>1</v>
      </c>
      <c r="AR1183" t="b">
        <v>0</v>
      </c>
      <c r="AS1183" t="b">
        <v>1</v>
      </c>
      <c r="AU1183">
        <v>0</v>
      </c>
      <c r="AV1183" s="79" t="str">
        <f>HYPERLINK("https://abs.twimg.com/images/themes/theme1/bg.png")</f>
        <v>https://abs.twimg.com/images/themes/theme1/bg.png</v>
      </c>
      <c r="AW1183" t="b">
        <v>0</v>
      </c>
      <c r="AX1183" t="s">
        <v>9303</v>
      </c>
      <c r="AY1183" s="79" t="str">
        <f>HYPERLINK("https://twitter.com/4ever0range")</f>
        <v>https://twitter.com/4ever0range</v>
      </c>
      <c r="AZ1183" t="s">
        <v>66</v>
      </c>
      <c r="BA1183" s="2"/>
    </row>
    <row r="1184" spans="1:53" x14ac:dyDescent="0.45">
      <c r="A1184" s="62" t="s">
        <v>869</v>
      </c>
      <c r="B1184" s="63"/>
      <c r="C1184" s="63"/>
      <c r="D1184" s="64"/>
      <c r="E1184" s="66"/>
      <c r="F1184" s="98" t="str">
        <f>HYPERLINK("https://pbs.twimg.com/profile_images/1539333301541871616/xS8BQf3V_normal.jpg")</f>
        <v>https://pbs.twimg.com/profile_images/1539333301541871616/xS8BQf3V_normal.jpg</v>
      </c>
      <c r="G1184" s="63"/>
      <c r="H1184" s="67"/>
      <c r="I1184" s="68"/>
      <c r="J1184" s="68"/>
      <c r="K1184" s="67" t="s">
        <v>10272</v>
      </c>
      <c r="L1184" s="71"/>
      <c r="M1184" s="72"/>
      <c r="N1184" s="72"/>
      <c r="O1184" s="73"/>
      <c r="P1184" s="74"/>
      <c r="Q1184" s="74"/>
      <c r="R1184" s="81"/>
      <c r="S1184" s="81"/>
      <c r="T1184" s="81"/>
      <c r="U1184" s="81"/>
      <c r="V1184" s="48"/>
      <c r="W1184" s="48"/>
      <c r="X1184" s="48"/>
      <c r="Y1184" s="48"/>
      <c r="Z1184" s="47"/>
      <c r="AA1184" s="69"/>
      <c r="AB1184" s="69"/>
      <c r="AC1184" s="70"/>
      <c r="AD1184" t="s">
        <v>5955</v>
      </c>
      <c r="AE1184" s="78" t="s">
        <v>7167</v>
      </c>
      <c r="AF1184">
        <v>128</v>
      </c>
      <c r="AG1184">
        <v>29</v>
      </c>
      <c r="AH1184">
        <v>569</v>
      </c>
      <c r="AI1184">
        <v>210</v>
      </c>
      <c r="AK1184" t="s">
        <v>8333</v>
      </c>
      <c r="AO1184" s="76">
        <v>44733.687175925923</v>
      </c>
      <c r="AP1184" s="79" t="str">
        <f>HYPERLINK("https://pbs.twimg.com/profile_banners/1539284307759583233/1655840705")</f>
        <v>https://pbs.twimg.com/profile_banners/1539284307759583233/1655840705</v>
      </c>
      <c r="AQ1184" t="b">
        <v>1</v>
      </c>
      <c r="AR1184" t="b">
        <v>0</v>
      </c>
      <c r="AS1184" t="b">
        <v>0</v>
      </c>
      <c r="AU1184">
        <v>0</v>
      </c>
      <c r="AW1184" t="b">
        <v>0</v>
      </c>
      <c r="AX1184" t="s">
        <v>9303</v>
      </c>
      <c r="AY1184" s="79" t="str">
        <f>HYPERLINK("https://twitter.com/laurenscountych")</f>
        <v>https://twitter.com/laurenscountych</v>
      </c>
      <c r="AZ1184" t="s">
        <v>66</v>
      </c>
      <c r="BA1184" s="2"/>
    </row>
    <row r="1185" spans="1:53" x14ac:dyDescent="0.45">
      <c r="A1185" s="62" t="s">
        <v>919</v>
      </c>
      <c r="B1185" s="63"/>
      <c r="C1185" s="63"/>
      <c r="D1185" s="64"/>
      <c r="E1185" s="66"/>
      <c r="F1185" s="98" t="str">
        <f>HYPERLINK("https://pbs.twimg.com/profile_images/1612262230334099456/2TRdHQ4Q_normal.jpg")</f>
        <v>https://pbs.twimg.com/profile_images/1612262230334099456/2TRdHQ4Q_normal.jpg</v>
      </c>
      <c r="G1185" s="63"/>
      <c r="H1185" s="67"/>
      <c r="I1185" s="68"/>
      <c r="J1185" s="68"/>
      <c r="K1185" s="67" t="s">
        <v>10352</v>
      </c>
      <c r="L1185" s="71"/>
      <c r="M1185" s="72"/>
      <c r="N1185" s="72"/>
      <c r="O1185" s="73"/>
      <c r="P1185" s="74"/>
      <c r="Q1185" s="74"/>
      <c r="R1185" s="81"/>
      <c r="S1185" s="81"/>
      <c r="T1185" s="81"/>
      <c r="U1185" s="81"/>
      <c r="V1185" s="48"/>
      <c r="W1185" s="48"/>
      <c r="X1185" s="48"/>
      <c r="Y1185" s="48"/>
      <c r="Z1185" s="47"/>
      <c r="AA1185" s="69"/>
      <c r="AB1185" s="69"/>
      <c r="AC1185" s="70"/>
      <c r="AD1185" t="s">
        <v>6035</v>
      </c>
      <c r="AE1185" s="78" t="s">
        <v>7242</v>
      </c>
      <c r="AF1185">
        <v>349</v>
      </c>
      <c r="AG1185">
        <v>28</v>
      </c>
      <c r="AH1185">
        <v>15274</v>
      </c>
      <c r="AI1185">
        <v>18380</v>
      </c>
      <c r="AK1185" t="s">
        <v>8404</v>
      </c>
      <c r="AO1185" s="76">
        <v>40280.884050925924</v>
      </c>
      <c r="AP1185" s="79" t="str">
        <f>HYPERLINK("https://pbs.twimg.com/profile_banners/132296007/1369414297")</f>
        <v>https://pbs.twimg.com/profile_banners/132296007/1369414297</v>
      </c>
      <c r="AQ1185" t="b">
        <v>0</v>
      </c>
      <c r="AR1185" t="b">
        <v>0</v>
      </c>
      <c r="AS1185" t="b">
        <v>0</v>
      </c>
      <c r="AU1185">
        <v>1</v>
      </c>
      <c r="AV1185" s="79" t="str">
        <f>HYPERLINK("https://abs.twimg.com/images/themes/theme1/bg.png")</f>
        <v>https://abs.twimg.com/images/themes/theme1/bg.png</v>
      </c>
      <c r="AW1185" t="b">
        <v>0</v>
      </c>
      <c r="AX1185" t="s">
        <v>9303</v>
      </c>
      <c r="AY1185" s="79" t="str">
        <f>HYPERLINK("https://twitter.com/drhorrid")</f>
        <v>https://twitter.com/drhorrid</v>
      </c>
      <c r="AZ1185" t="s">
        <v>66</v>
      </c>
      <c r="BA1185" s="2"/>
    </row>
    <row r="1186" spans="1:53" x14ac:dyDescent="0.45">
      <c r="A1186" s="62" t="s">
        <v>446</v>
      </c>
      <c r="B1186" s="63"/>
      <c r="C1186" s="63"/>
      <c r="D1186" s="64"/>
      <c r="E1186" s="66"/>
      <c r="F1186" s="98" t="str">
        <f>HYPERLINK("https://pbs.twimg.com/profile_images/1555665985604042752/A6si9aHr_normal.png")</f>
        <v>https://pbs.twimg.com/profile_images/1555665985604042752/A6si9aHr_normal.png</v>
      </c>
      <c r="G1186" s="63"/>
      <c r="H1186" s="67"/>
      <c r="I1186" s="68"/>
      <c r="J1186" s="68"/>
      <c r="K1186" s="67" t="s">
        <v>9705</v>
      </c>
      <c r="L1186" s="71"/>
      <c r="M1186" s="72"/>
      <c r="N1186" s="72"/>
      <c r="O1186" s="73"/>
      <c r="P1186" s="74"/>
      <c r="Q1186" s="74"/>
      <c r="R1186" s="81"/>
      <c r="S1186" s="81"/>
      <c r="T1186" s="81"/>
      <c r="U1186" s="81"/>
      <c r="V1186" s="48"/>
      <c r="W1186" s="48"/>
      <c r="X1186" s="48"/>
      <c r="Y1186" s="48"/>
      <c r="Z1186" s="47"/>
      <c r="AA1186" s="69"/>
      <c r="AB1186" s="69"/>
      <c r="AC1186" s="70"/>
      <c r="AD1186" t="s">
        <v>5397</v>
      </c>
      <c r="AE1186" s="78" t="s">
        <v>6670</v>
      </c>
      <c r="AF1186">
        <v>76</v>
      </c>
      <c r="AG1186">
        <v>28</v>
      </c>
      <c r="AH1186">
        <v>5754</v>
      </c>
      <c r="AI1186">
        <v>19580</v>
      </c>
      <c r="AO1186" s="76">
        <v>44778.891759259262</v>
      </c>
      <c r="AQ1186" t="b">
        <v>1</v>
      </c>
      <c r="AR1186" t="b">
        <v>0</v>
      </c>
      <c r="AS1186" t="b">
        <v>0</v>
      </c>
      <c r="AU1186">
        <v>0</v>
      </c>
      <c r="AW1186" t="b">
        <v>0</v>
      </c>
      <c r="AX1186" t="s">
        <v>9303</v>
      </c>
      <c r="AY1186" s="79" t="str">
        <f>HYPERLINK("https://twitter.com/bella5900g")</f>
        <v>https://twitter.com/bella5900g</v>
      </c>
      <c r="AZ1186" t="s">
        <v>66</v>
      </c>
      <c r="BA1186" s="2"/>
    </row>
    <row r="1187" spans="1:53" x14ac:dyDescent="0.45">
      <c r="A1187" s="62" t="s">
        <v>715</v>
      </c>
      <c r="B1187" s="63"/>
      <c r="C1187" s="63"/>
      <c r="D1187" s="64"/>
      <c r="E1187" s="66"/>
      <c r="F1187" s="98" t="str">
        <f>HYPERLINK("https://pbs.twimg.com/profile_images/1556558294231257088/3gNXnD0k_normal.jpg")</f>
        <v>https://pbs.twimg.com/profile_images/1556558294231257088/3gNXnD0k_normal.jpg</v>
      </c>
      <c r="G1187" s="63"/>
      <c r="H1187" s="67"/>
      <c r="I1187" s="68"/>
      <c r="J1187" s="68"/>
      <c r="K1187" s="67" t="s">
        <v>10055</v>
      </c>
      <c r="L1187" s="71"/>
      <c r="M1187" s="72"/>
      <c r="N1187" s="72"/>
      <c r="O1187" s="73"/>
      <c r="P1187" s="74"/>
      <c r="Q1187" s="74"/>
      <c r="R1187" s="81"/>
      <c r="S1187" s="81"/>
      <c r="T1187" s="81"/>
      <c r="U1187" s="81"/>
      <c r="V1187" s="48"/>
      <c r="W1187" s="48"/>
      <c r="X1187" s="48"/>
      <c r="Y1187" s="48"/>
      <c r="Z1187" s="47"/>
      <c r="AA1187" s="69"/>
      <c r="AB1187" s="69"/>
      <c r="AC1187" s="70"/>
      <c r="AD1187" t="s">
        <v>5744</v>
      </c>
      <c r="AE1187" s="78" t="s">
        <v>6980</v>
      </c>
      <c r="AF1187">
        <v>337</v>
      </c>
      <c r="AG1187">
        <v>28</v>
      </c>
      <c r="AH1187">
        <v>3466</v>
      </c>
      <c r="AI1187">
        <v>13529</v>
      </c>
      <c r="AK1187" t="s">
        <v>8142</v>
      </c>
      <c r="AO1187" s="76">
        <v>43700.852337962962</v>
      </c>
      <c r="AP1187" s="79" t="str">
        <f>HYPERLINK("https://pbs.twimg.com/profile_banners/1164997531509637122/1566592859")</f>
        <v>https://pbs.twimg.com/profile_banners/1164997531509637122/1566592859</v>
      </c>
      <c r="AQ1187" t="b">
        <v>1</v>
      </c>
      <c r="AR1187" t="b">
        <v>0</v>
      </c>
      <c r="AS1187" t="b">
        <v>0</v>
      </c>
      <c r="AU1187">
        <v>0</v>
      </c>
      <c r="AW1187" t="b">
        <v>0</v>
      </c>
      <c r="AX1187" t="s">
        <v>9303</v>
      </c>
      <c r="AY1187" s="79" t="str">
        <f>HYPERLINK("https://twitter.com/beccalyn2002")</f>
        <v>https://twitter.com/beccalyn2002</v>
      </c>
      <c r="AZ1187" t="s">
        <v>66</v>
      </c>
      <c r="BA1187" s="2"/>
    </row>
    <row r="1188" spans="1:53" x14ac:dyDescent="0.45">
      <c r="A1188" s="62" t="s">
        <v>1022</v>
      </c>
      <c r="B1188" s="63"/>
      <c r="C1188" s="63"/>
      <c r="D1188" s="64"/>
      <c r="E1188" s="66"/>
      <c r="F1188" s="98" t="str">
        <f>HYPERLINK("https://pbs.twimg.com/profile_images/1398598507452420100/LBEFry0Y_normal.jpg")</f>
        <v>https://pbs.twimg.com/profile_images/1398598507452420100/LBEFry0Y_normal.jpg</v>
      </c>
      <c r="G1188" s="63"/>
      <c r="H1188" s="67"/>
      <c r="I1188" s="68"/>
      <c r="J1188" s="68"/>
      <c r="K1188" s="67" t="s">
        <v>10507</v>
      </c>
      <c r="L1188" s="71"/>
      <c r="M1188" s="72"/>
      <c r="N1188" s="72"/>
      <c r="O1188" s="73"/>
      <c r="P1188" s="74"/>
      <c r="Q1188" s="74"/>
      <c r="R1188" s="81"/>
      <c r="S1188" s="81"/>
      <c r="T1188" s="81"/>
      <c r="U1188" s="81"/>
      <c r="V1188" s="48"/>
      <c r="W1188" s="48"/>
      <c r="X1188" s="48"/>
      <c r="Y1188" s="48"/>
      <c r="Z1188" s="47"/>
      <c r="AA1188" s="69"/>
      <c r="AB1188" s="69"/>
      <c r="AC1188" s="70"/>
      <c r="AD1188" t="s">
        <v>6185</v>
      </c>
      <c r="AE1188" s="78" t="s">
        <v>7369</v>
      </c>
      <c r="AF1188">
        <v>252</v>
      </c>
      <c r="AG1188">
        <v>28</v>
      </c>
      <c r="AH1188">
        <v>97</v>
      </c>
      <c r="AI1188">
        <v>107</v>
      </c>
      <c r="AK1188" t="s">
        <v>8541</v>
      </c>
      <c r="AL1188" t="s">
        <v>9243</v>
      </c>
      <c r="AO1188" s="76">
        <v>44237.82608796296</v>
      </c>
      <c r="AP1188" s="79" t="str">
        <f>HYPERLINK("https://pbs.twimg.com/profile_banners/1359590290466693122/1612989592")</f>
        <v>https://pbs.twimg.com/profile_banners/1359590290466693122/1612989592</v>
      </c>
      <c r="AQ1188" t="b">
        <v>1</v>
      </c>
      <c r="AR1188" t="b">
        <v>0</v>
      </c>
      <c r="AS1188" t="b">
        <v>1</v>
      </c>
      <c r="AU1188">
        <v>0</v>
      </c>
      <c r="AW1188" t="b">
        <v>0</v>
      </c>
      <c r="AX1188" t="s">
        <v>9303</v>
      </c>
      <c r="AY1188" s="79" t="str">
        <f>HYPERLINK("https://twitter.com/fittobe100120")</f>
        <v>https://twitter.com/fittobe100120</v>
      </c>
      <c r="AZ1188" t="s">
        <v>66</v>
      </c>
      <c r="BA1188" s="2"/>
    </row>
    <row r="1189" spans="1:53" x14ac:dyDescent="0.45">
      <c r="A1189" s="62" t="s">
        <v>300</v>
      </c>
      <c r="B1189" s="63"/>
      <c r="C1189" s="63"/>
      <c r="D1189" s="64"/>
      <c r="E1189" s="66"/>
      <c r="F1189" s="98" t="str">
        <f>HYPERLINK("https://pbs.twimg.com/profile_images/1222910968285413376/wrk5FTom_normal.jpg")</f>
        <v>https://pbs.twimg.com/profile_images/1222910968285413376/wrk5FTom_normal.jpg</v>
      </c>
      <c r="G1189" s="63"/>
      <c r="H1189" s="67"/>
      <c r="I1189" s="68"/>
      <c r="J1189" s="68"/>
      <c r="K1189" s="67" t="s">
        <v>9476</v>
      </c>
      <c r="L1189" s="71"/>
      <c r="M1189" s="72"/>
      <c r="N1189" s="72"/>
      <c r="O1189" s="73"/>
      <c r="P1189" s="74"/>
      <c r="Q1189" s="74"/>
      <c r="R1189" s="81"/>
      <c r="S1189" s="81"/>
      <c r="T1189" s="81"/>
      <c r="U1189" s="81"/>
      <c r="V1189" s="48"/>
      <c r="W1189" s="48"/>
      <c r="X1189" s="48"/>
      <c r="Y1189" s="48"/>
      <c r="Z1189" s="47"/>
      <c r="AA1189" s="69"/>
      <c r="AB1189" s="69"/>
      <c r="AC1189" s="70"/>
      <c r="AD1189" t="s">
        <v>5170</v>
      </c>
      <c r="AE1189" s="78" t="s">
        <v>6467</v>
      </c>
      <c r="AF1189">
        <v>40</v>
      </c>
      <c r="AG1189">
        <v>27</v>
      </c>
      <c r="AH1189">
        <v>25</v>
      </c>
      <c r="AI1189">
        <v>74</v>
      </c>
      <c r="AK1189" t="s">
        <v>7641</v>
      </c>
      <c r="AL1189" t="s">
        <v>4924</v>
      </c>
      <c r="AO1189" s="76">
        <v>42873.636666666665</v>
      </c>
      <c r="AQ1189" t="b">
        <v>1</v>
      </c>
      <c r="AR1189" t="b">
        <v>0</v>
      </c>
      <c r="AS1189" t="b">
        <v>1</v>
      </c>
      <c r="AU1189">
        <v>1</v>
      </c>
      <c r="AW1189" t="b">
        <v>0</v>
      </c>
      <c r="AX1189" t="s">
        <v>9303</v>
      </c>
      <c r="AY1189" s="79" t="str">
        <f>HYPERLINK("https://twitter.com/15minutefoodie")</f>
        <v>https://twitter.com/15minutefoodie</v>
      </c>
      <c r="AZ1189" t="s">
        <v>66</v>
      </c>
      <c r="BA1189" s="2"/>
    </row>
    <row r="1190" spans="1:53" x14ac:dyDescent="0.45">
      <c r="A1190" s="62" t="s">
        <v>1305</v>
      </c>
      <c r="B1190" s="63"/>
      <c r="C1190" s="63"/>
      <c r="D1190" s="64"/>
      <c r="E1190" s="66"/>
      <c r="F1190" s="98" t="str">
        <f>HYPERLINK("https://pbs.twimg.com/profile_images/1575260231566856192/2pVgVtot_normal.jpg")</f>
        <v>https://pbs.twimg.com/profile_images/1575260231566856192/2pVgVtot_normal.jpg</v>
      </c>
      <c r="G1190" s="63"/>
      <c r="H1190" s="67"/>
      <c r="I1190" s="68"/>
      <c r="J1190" s="68"/>
      <c r="K1190" s="67" t="s">
        <v>9919</v>
      </c>
      <c r="L1190" s="71"/>
      <c r="M1190" s="72"/>
      <c r="N1190" s="72"/>
      <c r="O1190" s="73"/>
      <c r="P1190" s="74"/>
      <c r="Q1190" s="74"/>
      <c r="R1190" s="81"/>
      <c r="S1190" s="81"/>
      <c r="T1190" s="81"/>
      <c r="U1190" s="81"/>
      <c r="V1190" s="48"/>
      <c r="W1190" s="48"/>
      <c r="X1190" s="48"/>
      <c r="Y1190" s="48"/>
      <c r="Z1190" s="47"/>
      <c r="AA1190" s="69"/>
      <c r="AB1190" s="69"/>
      <c r="AC1190" s="70"/>
      <c r="AD1190" t="s">
        <v>5610</v>
      </c>
      <c r="AE1190" s="78" t="s">
        <v>4722</v>
      </c>
      <c r="AF1190">
        <v>52</v>
      </c>
      <c r="AG1190">
        <v>27</v>
      </c>
      <c r="AH1190">
        <v>1737</v>
      </c>
      <c r="AI1190">
        <v>1515</v>
      </c>
      <c r="AL1190" t="s">
        <v>8692</v>
      </c>
      <c r="AO1190" s="76">
        <v>44830.849768518521</v>
      </c>
      <c r="AQ1190" t="b">
        <v>1</v>
      </c>
      <c r="AR1190" t="b">
        <v>0</v>
      </c>
      <c r="AS1190" t="b">
        <v>1</v>
      </c>
      <c r="AU1190">
        <v>0</v>
      </c>
      <c r="AW1190" t="b">
        <v>0</v>
      </c>
      <c r="AX1190" t="s">
        <v>9303</v>
      </c>
      <c r="AY1190" s="79" t="str">
        <f>HYPERLINK("https://twitter.com/hotstreek718")</f>
        <v>https://twitter.com/hotstreek718</v>
      </c>
      <c r="AZ1190" t="s">
        <v>65</v>
      </c>
      <c r="BA1190" s="2"/>
    </row>
    <row r="1191" spans="1:53" x14ac:dyDescent="0.45">
      <c r="A1191" s="62" t="s">
        <v>749</v>
      </c>
      <c r="B1191" s="63"/>
      <c r="C1191" s="63"/>
      <c r="D1191" s="64"/>
      <c r="E1191" s="66"/>
      <c r="F1191" s="98" t="str">
        <f>HYPERLINK("https://pbs.twimg.com/profile_images/1551281398396362754/naip-gsV_normal.jpg")</f>
        <v>https://pbs.twimg.com/profile_images/1551281398396362754/naip-gsV_normal.jpg</v>
      </c>
      <c r="G1191" s="63"/>
      <c r="H1191" s="67"/>
      <c r="I1191" s="68"/>
      <c r="J1191" s="68"/>
      <c r="K1191" s="67" t="s">
        <v>10100</v>
      </c>
      <c r="L1191" s="71"/>
      <c r="M1191" s="72"/>
      <c r="N1191" s="72"/>
      <c r="O1191" s="73"/>
      <c r="P1191" s="74"/>
      <c r="Q1191" s="74"/>
      <c r="R1191" s="81"/>
      <c r="S1191" s="81"/>
      <c r="T1191" s="81"/>
      <c r="U1191" s="81"/>
      <c r="V1191" s="48"/>
      <c r="W1191" s="48"/>
      <c r="X1191" s="48"/>
      <c r="Y1191" s="48"/>
      <c r="Z1191" s="47"/>
      <c r="AA1191" s="69"/>
      <c r="AB1191" s="69"/>
      <c r="AC1191" s="70"/>
      <c r="AD1191" t="s">
        <v>5788</v>
      </c>
      <c r="AE1191" s="78" t="s">
        <v>7020</v>
      </c>
      <c r="AF1191">
        <v>103</v>
      </c>
      <c r="AG1191">
        <v>27</v>
      </c>
      <c r="AH1191">
        <v>467</v>
      </c>
      <c r="AI1191">
        <v>681</v>
      </c>
      <c r="AK1191" t="s">
        <v>8183</v>
      </c>
      <c r="AL1191" t="s">
        <v>9080</v>
      </c>
      <c r="AO1191" s="76">
        <v>42534.292685185188</v>
      </c>
      <c r="AP1191" s="79" t="str">
        <f>HYPERLINK("https://pbs.twimg.com/profile_banners/742250514700632064/1658689292")</f>
        <v>https://pbs.twimg.com/profile_banners/742250514700632064/1658689292</v>
      </c>
      <c r="AQ1191" t="b">
        <v>1</v>
      </c>
      <c r="AR1191" t="b">
        <v>0</v>
      </c>
      <c r="AS1191" t="b">
        <v>0</v>
      </c>
      <c r="AU1191">
        <v>0</v>
      </c>
      <c r="AW1191" t="b">
        <v>0</v>
      </c>
      <c r="AX1191" t="s">
        <v>9303</v>
      </c>
      <c r="AY1191" s="79" t="str">
        <f>HYPERLINK("https://twitter.com/danlong31416940")</f>
        <v>https://twitter.com/danlong31416940</v>
      </c>
      <c r="AZ1191" t="s">
        <v>66</v>
      </c>
      <c r="BA1191" s="2"/>
    </row>
    <row r="1192" spans="1:53" x14ac:dyDescent="0.45">
      <c r="A1192" s="62" t="s">
        <v>939</v>
      </c>
      <c r="B1192" s="63"/>
      <c r="C1192" s="63"/>
      <c r="D1192" s="64"/>
      <c r="E1192" s="66"/>
      <c r="F1192" s="98" t="str">
        <f>HYPERLINK("https://pbs.twimg.com/profile_images/1339701444363112454/5MdVwXja_normal.jpg")</f>
        <v>https://pbs.twimg.com/profile_images/1339701444363112454/5MdVwXja_normal.jpg</v>
      </c>
      <c r="G1192" s="63"/>
      <c r="H1192" s="67"/>
      <c r="I1192" s="68"/>
      <c r="J1192" s="68"/>
      <c r="K1192" s="67" t="s">
        <v>10378</v>
      </c>
      <c r="L1192" s="71"/>
      <c r="M1192" s="72"/>
      <c r="N1192" s="72"/>
      <c r="O1192" s="73"/>
      <c r="P1192" s="74"/>
      <c r="Q1192" s="74"/>
      <c r="R1192" s="81"/>
      <c r="S1192" s="81"/>
      <c r="T1192" s="81"/>
      <c r="U1192" s="81"/>
      <c r="V1192" s="48"/>
      <c r="W1192" s="48"/>
      <c r="X1192" s="48"/>
      <c r="Y1192" s="48"/>
      <c r="Z1192" s="47"/>
      <c r="AA1192" s="69"/>
      <c r="AB1192" s="69"/>
      <c r="AC1192" s="70"/>
      <c r="AD1192" t="s">
        <v>6061</v>
      </c>
      <c r="AE1192" s="78" t="s">
        <v>7263</v>
      </c>
      <c r="AF1192">
        <v>299</v>
      </c>
      <c r="AG1192">
        <v>27</v>
      </c>
      <c r="AH1192">
        <v>2845</v>
      </c>
      <c r="AI1192">
        <v>1986</v>
      </c>
      <c r="AK1192" t="s">
        <v>8426</v>
      </c>
      <c r="AO1192" s="76">
        <v>43912.687488425923</v>
      </c>
      <c r="AQ1192" t="b">
        <v>1</v>
      </c>
      <c r="AR1192" t="b">
        <v>0</v>
      </c>
      <c r="AS1192" t="b">
        <v>0</v>
      </c>
      <c r="AU1192">
        <v>0</v>
      </c>
      <c r="AW1192" t="b">
        <v>0</v>
      </c>
      <c r="AX1192" t="s">
        <v>9303</v>
      </c>
      <c r="AY1192" s="79" t="str">
        <f>HYPERLINK("https://twitter.com/laura22123010")</f>
        <v>https://twitter.com/laura22123010</v>
      </c>
      <c r="AZ1192" t="s">
        <v>66</v>
      </c>
      <c r="BA1192" s="2"/>
    </row>
    <row r="1193" spans="1:53" x14ac:dyDescent="0.45">
      <c r="A1193" s="62" t="s">
        <v>986</v>
      </c>
      <c r="B1193" s="63"/>
      <c r="C1193" s="63"/>
      <c r="D1193" s="64"/>
      <c r="E1193" s="66"/>
      <c r="F1193" s="98" t="str">
        <f>HYPERLINK("https://pbs.twimg.com/profile_images/1183839132692303873/sq6QxihQ_normal.jpg")</f>
        <v>https://pbs.twimg.com/profile_images/1183839132692303873/sq6QxihQ_normal.jpg</v>
      </c>
      <c r="G1193" s="63"/>
      <c r="H1193" s="67"/>
      <c r="I1193" s="68"/>
      <c r="J1193" s="68"/>
      <c r="K1193" s="67" t="s">
        <v>10451</v>
      </c>
      <c r="L1193" s="71"/>
      <c r="M1193" s="72"/>
      <c r="N1193" s="72"/>
      <c r="O1193" s="73"/>
      <c r="P1193" s="74"/>
      <c r="Q1193" s="74"/>
      <c r="R1193" s="81"/>
      <c r="S1193" s="81"/>
      <c r="T1193" s="81"/>
      <c r="U1193" s="81"/>
      <c r="V1193" s="48"/>
      <c r="W1193" s="48"/>
      <c r="X1193" s="48"/>
      <c r="Y1193" s="48"/>
      <c r="Z1193" s="47"/>
      <c r="AA1193" s="69"/>
      <c r="AB1193" s="69"/>
      <c r="AC1193" s="70"/>
      <c r="AD1193" t="s">
        <v>6132</v>
      </c>
      <c r="AE1193" s="78" t="s">
        <v>7324</v>
      </c>
      <c r="AF1193">
        <v>264</v>
      </c>
      <c r="AG1193">
        <v>27</v>
      </c>
      <c r="AH1193">
        <v>1026</v>
      </c>
      <c r="AI1193">
        <v>113</v>
      </c>
      <c r="AK1193" t="s">
        <v>8491</v>
      </c>
      <c r="AL1193" t="s">
        <v>8742</v>
      </c>
      <c r="AO1193" s="76">
        <v>41812.847696759258</v>
      </c>
      <c r="AP1193" s="79" t="str">
        <f>HYPERLINK("https://pbs.twimg.com/profile_banners/2632325633/1565303179")</f>
        <v>https://pbs.twimg.com/profile_banners/2632325633/1565303179</v>
      </c>
      <c r="AQ1193" t="b">
        <v>0</v>
      </c>
      <c r="AR1193" t="b">
        <v>0</v>
      </c>
      <c r="AS1193" t="b">
        <v>0</v>
      </c>
      <c r="AU1193">
        <v>0</v>
      </c>
      <c r="AV1193" s="79" t="str">
        <f>HYPERLINK("https://abs.twimg.com/images/themes/theme1/bg.png")</f>
        <v>https://abs.twimg.com/images/themes/theme1/bg.png</v>
      </c>
      <c r="AW1193" t="b">
        <v>0</v>
      </c>
      <c r="AX1193" t="s">
        <v>9303</v>
      </c>
      <c r="AY1193" s="79" t="str">
        <f>HYPERLINK("https://twitter.com/arock52")</f>
        <v>https://twitter.com/arock52</v>
      </c>
      <c r="AZ1193" t="s">
        <v>66</v>
      </c>
      <c r="BA1193" s="2"/>
    </row>
    <row r="1194" spans="1:53" x14ac:dyDescent="0.45">
      <c r="A1194" s="62" t="s">
        <v>989</v>
      </c>
      <c r="B1194" s="63"/>
      <c r="C1194" s="63"/>
      <c r="D1194" s="64"/>
      <c r="E1194" s="66"/>
      <c r="F1194" s="98" t="str">
        <f>HYPERLINK("https://pbs.twimg.com/profile_images/1583969249621671936/2HQIUwh4_normal.png")</f>
        <v>https://pbs.twimg.com/profile_images/1583969249621671936/2HQIUwh4_normal.png</v>
      </c>
      <c r="G1194" s="63"/>
      <c r="H1194" s="67"/>
      <c r="I1194" s="68"/>
      <c r="J1194" s="68"/>
      <c r="K1194" s="67" t="s">
        <v>10454</v>
      </c>
      <c r="L1194" s="71"/>
      <c r="M1194" s="72"/>
      <c r="N1194" s="72"/>
      <c r="O1194" s="73"/>
      <c r="P1194" s="74"/>
      <c r="Q1194" s="74"/>
      <c r="R1194" s="81"/>
      <c r="S1194" s="81"/>
      <c r="T1194" s="81"/>
      <c r="U1194" s="81"/>
      <c r="V1194" s="48"/>
      <c r="W1194" s="48"/>
      <c r="X1194" s="48"/>
      <c r="Y1194" s="48"/>
      <c r="Z1194" s="47"/>
      <c r="AA1194" s="69"/>
      <c r="AB1194" s="69"/>
      <c r="AC1194" s="70"/>
      <c r="AD1194" t="s">
        <v>6135</v>
      </c>
      <c r="AE1194" s="78" t="s">
        <v>7326</v>
      </c>
      <c r="AF1194">
        <v>95</v>
      </c>
      <c r="AG1194">
        <v>27</v>
      </c>
      <c r="AH1194">
        <v>398</v>
      </c>
      <c r="AI1194">
        <v>1834</v>
      </c>
      <c r="AK1194" t="s">
        <v>8494</v>
      </c>
      <c r="AL1194" t="s">
        <v>9222</v>
      </c>
      <c r="AO1194" s="76">
        <v>44856.993888888886</v>
      </c>
      <c r="AP1194" s="79" t="str">
        <f>HYPERLINK("https://pbs.twimg.com/profile_banners/1583969181363478528/1666485789")</f>
        <v>https://pbs.twimg.com/profile_banners/1583969181363478528/1666485789</v>
      </c>
      <c r="AQ1194" t="b">
        <v>1</v>
      </c>
      <c r="AR1194" t="b">
        <v>0</v>
      </c>
      <c r="AS1194" t="b">
        <v>0</v>
      </c>
      <c r="AU1194">
        <v>0</v>
      </c>
      <c r="AW1194" t="b">
        <v>0</v>
      </c>
      <c r="AX1194" t="s">
        <v>9303</v>
      </c>
      <c r="AY1194" s="79" t="str">
        <f>HYPERLINK("https://twitter.com/ellieburlton")</f>
        <v>https://twitter.com/ellieburlton</v>
      </c>
      <c r="AZ1194" t="s">
        <v>66</v>
      </c>
      <c r="BA1194" s="2"/>
    </row>
    <row r="1195" spans="1:53" x14ac:dyDescent="0.45">
      <c r="A1195" s="62" t="s">
        <v>680</v>
      </c>
      <c r="B1195" s="63"/>
      <c r="C1195" s="63"/>
      <c r="D1195" s="64"/>
      <c r="E1195" s="66"/>
      <c r="F1195" s="98" t="str">
        <f>HYPERLINK("https://pbs.twimg.com/profile_images/1604286969965592578/9lNSzwHV_normal.jpg")</f>
        <v>https://pbs.twimg.com/profile_images/1604286969965592578/9lNSzwHV_normal.jpg</v>
      </c>
      <c r="G1195" s="63"/>
      <c r="H1195" s="67"/>
      <c r="I1195" s="68"/>
      <c r="J1195" s="68"/>
      <c r="K1195" s="67" t="s">
        <v>10001</v>
      </c>
      <c r="L1195" s="71"/>
      <c r="M1195" s="72"/>
      <c r="N1195" s="72"/>
      <c r="O1195" s="73"/>
      <c r="P1195" s="74"/>
      <c r="Q1195" s="74"/>
      <c r="R1195" s="81"/>
      <c r="S1195" s="81"/>
      <c r="T1195" s="81"/>
      <c r="U1195" s="81"/>
      <c r="V1195" s="48"/>
      <c r="W1195" s="48"/>
      <c r="X1195" s="48"/>
      <c r="Y1195" s="48"/>
      <c r="Z1195" s="47"/>
      <c r="AA1195" s="69"/>
      <c r="AB1195" s="69"/>
      <c r="AC1195" s="70"/>
      <c r="AD1195" t="s">
        <v>5691</v>
      </c>
      <c r="AE1195" s="78" t="s">
        <v>4726</v>
      </c>
      <c r="AF1195">
        <v>147</v>
      </c>
      <c r="AG1195">
        <v>26</v>
      </c>
      <c r="AH1195">
        <v>407</v>
      </c>
      <c r="AI1195">
        <v>1099</v>
      </c>
      <c r="AO1195" s="76">
        <v>44789.063275462962</v>
      </c>
      <c r="AQ1195" t="b">
        <v>1</v>
      </c>
      <c r="AR1195" t="b">
        <v>0</v>
      </c>
      <c r="AS1195" t="b">
        <v>0</v>
      </c>
      <c r="AU1195">
        <v>0</v>
      </c>
      <c r="AW1195" t="b">
        <v>0</v>
      </c>
      <c r="AX1195" t="s">
        <v>9303</v>
      </c>
      <c r="AY1195" s="79" t="str">
        <f>HYPERLINK("https://twitter.com/ann14295260")</f>
        <v>https://twitter.com/ann14295260</v>
      </c>
      <c r="AZ1195" t="s">
        <v>66</v>
      </c>
      <c r="BA1195" s="2"/>
    </row>
    <row r="1196" spans="1:53" x14ac:dyDescent="0.45">
      <c r="A1196" s="62" t="s">
        <v>740</v>
      </c>
      <c r="B1196" s="63"/>
      <c r="C1196" s="63"/>
      <c r="D1196" s="64"/>
      <c r="E1196" s="66"/>
      <c r="F1196" s="98" t="str">
        <f>HYPERLINK("https://pbs.twimg.com/profile_images/1614501016426217472/GZ8XpKEb_normal.jpg")</f>
        <v>https://pbs.twimg.com/profile_images/1614501016426217472/GZ8XpKEb_normal.jpg</v>
      </c>
      <c r="G1196" s="63"/>
      <c r="H1196" s="67"/>
      <c r="I1196" s="68"/>
      <c r="J1196" s="68"/>
      <c r="K1196" s="67" t="s">
        <v>10089</v>
      </c>
      <c r="L1196" s="71"/>
      <c r="M1196" s="72"/>
      <c r="N1196" s="72"/>
      <c r="O1196" s="73"/>
      <c r="P1196" s="74"/>
      <c r="Q1196" s="74"/>
      <c r="R1196" s="81"/>
      <c r="S1196" s="81"/>
      <c r="T1196" s="81"/>
      <c r="U1196" s="81"/>
      <c r="V1196" s="48"/>
      <c r="W1196" s="48"/>
      <c r="X1196" s="48"/>
      <c r="Y1196" s="48"/>
      <c r="Z1196" s="47"/>
      <c r="AA1196" s="69"/>
      <c r="AB1196" s="69"/>
      <c r="AC1196" s="70"/>
      <c r="AD1196" t="s">
        <v>5778</v>
      </c>
      <c r="AE1196" s="78" t="s">
        <v>7010</v>
      </c>
      <c r="AF1196">
        <v>1296</v>
      </c>
      <c r="AG1196">
        <v>26</v>
      </c>
      <c r="AH1196">
        <v>41995</v>
      </c>
      <c r="AI1196">
        <v>43725</v>
      </c>
      <c r="AK1196" t="s">
        <v>8172</v>
      </c>
      <c r="AL1196" t="s">
        <v>9074</v>
      </c>
      <c r="AM1196" s="79" t="str">
        <f>HYPERLINK("https://t.co/yg4DgJG5e1")</f>
        <v>https://t.co/yg4DgJG5e1</v>
      </c>
      <c r="AO1196" s="76">
        <v>41521.054849537039</v>
      </c>
      <c r="AP1196" s="79" t="str">
        <f>HYPERLINK("https://pbs.twimg.com/profile_banners/1727127552/1638988206")</f>
        <v>https://pbs.twimg.com/profile_banners/1727127552/1638988206</v>
      </c>
      <c r="AQ1196" t="b">
        <v>1</v>
      </c>
      <c r="AR1196" t="b">
        <v>0</v>
      </c>
      <c r="AS1196" t="b">
        <v>1</v>
      </c>
      <c r="AU1196">
        <v>0</v>
      </c>
      <c r="AV1196" s="79" t="str">
        <f>HYPERLINK("https://abs.twimg.com/images/themes/theme1/bg.png")</f>
        <v>https://abs.twimg.com/images/themes/theme1/bg.png</v>
      </c>
      <c r="AW1196" t="b">
        <v>0</v>
      </c>
      <c r="AX1196" t="s">
        <v>9303</v>
      </c>
      <c r="AY1196" s="79" t="str">
        <f>HYPERLINK("https://twitter.com/matt_rojas24")</f>
        <v>https://twitter.com/matt_rojas24</v>
      </c>
      <c r="AZ1196" t="s">
        <v>66</v>
      </c>
      <c r="BA1196" s="2"/>
    </row>
    <row r="1197" spans="1:53" x14ac:dyDescent="0.45">
      <c r="A1197" s="62" t="s">
        <v>923</v>
      </c>
      <c r="B1197" s="63"/>
      <c r="C1197" s="63"/>
      <c r="D1197" s="64"/>
      <c r="E1197" s="66"/>
      <c r="F1197" s="98" t="str">
        <f>HYPERLINK("https://pbs.twimg.com/profile_images/1559156441780477952/3Y6VBogq_normal.jpg")</f>
        <v>https://pbs.twimg.com/profile_images/1559156441780477952/3Y6VBogq_normal.jpg</v>
      </c>
      <c r="G1197" s="63"/>
      <c r="H1197" s="67"/>
      <c r="I1197" s="68"/>
      <c r="J1197" s="68"/>
      <c r="K1197" s="67" t="s">
        <v>10356</v>
      </c>
      <c r="L1197" s="71"/>
      <c r="M1197" s="72"/>
      <c r="N1197" s="72"/>
      <c r="O1197" s="73"/>
      <c r="P1197" s="74"/>
      <c r="Q1197" s="74"/>
      <c r="R1197" s="81"/>
      <c r="S1197" s="81"/>
      <c r="T1197" s="81"/>
      <c r="U1197" s="81"/>
      <c r="V1197" s="48"/>
      <c r="W1197" s="48"/>
      <c r="X1197" s="48"/>
      <c r="Y1197" s="48"/>
      <c r="Z1197" s="47"/>
      <c r="AA1197" s="69"/>
      <c r="AB1197" s="69"/>
      <c r="AC1197" s="70"/>
      <c r="AD1197" t="s">
        <v>6039</v>
      </c>
      <c r="AE1197" s="78" t="s">
        <v>7244</v>
      </c>
      <c r="AF1197">
        <v>131</v>
      </c>
      <c r="AG1197">
        <v>25</v>
      </c>
      <c r="AH1197">
        <v>762</v>
      </c>
      <c r="AI1197">
        <v>535</v>
      </c>
      <c r="AK1197" t="s">
        <v>8407</v>
      </c>
      <c r="AL1197" t="s">
        <v>9186</v>
      </c>
      <c r="AM1197" s="79" t="str">
        <f>HYPERLINK("https://t.co/X6CILJshOE")</f>
        <v>https://t.co/X6CILJshOE</v>
      </c>
      <c r="AO1197" s="76">
        <v>44307.910833333335</v>
      </c>
      <c r="AP1197" s="79" t="str">
        <f>HYPERLINK("https://pbs.twimg.com/profile_banners/1384988147407261700/1650508483")</f>
        <v>https://pbs.twimg.com/profile_banners/1384988147407261700/1650508483</v>
      </c>
      <c r="AQ1197" t="b">
        <v>1</v>
      </c>
      <c r="AR1197" t="b">
        <v>0</v>
      </c>
      <c r="AS1197" t="b">
        <v>0</v>
      </c>
      <c r="AU1197">
        <v>1</v>
      </c>
      <c r="AW1197" t="b">
        <v>0</v>
      </c>
      <c r="AX1197" t="s">
        <v>9303</v>
      </c>
      <c r="AY1197" s="79" t="str">
        <f>HYPERLINK("https://twitter.com/gus37884863")</f>
        <v>https://twitter.com/gus37884863</v>
      </c>
      <c r="AZ1197" t="s">
        <v>66</v>
      </c>
      <c r="BA1197" s="2"/>
    </row>
    <row r="1198" spans="1:53" x14ac:dyDescent="0.45">
      <c r="A1198" s="62" t="s">
        <v>325</v>
      </c>
      <c r="B1198" s="63"/>
      <c r="C1198" s="63"/>
      <c r="D1198" s="64"/>
      <c r="E1198" s="66"/>
      <c r="F1198" s="98" t="str">
        <f>HYPERLINK("https://pbs.twimg.com/profile_images/1184490613619617794/jzOLn7rQ_normal.jpg")</f>
        <v>https://pbs.twimg.com/profile_images/1184490613619617794/jzOLn7rQ_normal.jpg</v>
      </c>
      <c r="G1198" s="63"/>
      <c r="H1198" s="67"/>
      <c r="I1198" s="68"/>
      <c r="J1198" s="68"/>
      <c r="K1198" s="67" t="s">
        <v>9529</v>
      </c>
      <c r="L1198" s="71"/>
      <c r="M1198" s="72"/>
      <c r="N1198" s="72"/>
      <c r="O1198" s="73"/>
      <c r="P1198" s="74"/>
      <c r="Q1198" s="74"/>
      <c r="R1198" s="81"/>
      <c r="S1198" s="81"/>
      <c r="T1198" s="81"/>
      <c r="U1198" s="81"/>
      <c r="V1198" s="48"/>
      <c r="W1198" s="48"/>
      <c r="X1198" s="48"/>
      <c r="Y1198" s="48"/>
      <c r="Z1198" s="47"/>
      <c r="AA1198" s="69"/>
      <c r="AB1198" s="69"/>
      <c r="AC1198" s="70"/>
      <c r="AD1198" t="s">
        <v>5223</v>
      </c>
      <c r="AE1198" s="78" t="s">
        <v>4678</v>
      </c>
      <c r="AF1198">
        <v>218</v>
      </c>
      <c r="AG1198">
        <v>25</v>
      </c>
      <c r="AH1198">
        <v>864</v>
      </c>
      <c r="AI1198">
        <v>1189</v>
      </c>
      <c r="AK1198" t="s">
        <v>7691</v>
      </c>
      <c r="AL1198" t="s">
        <v>8678</v>
      </c>
      <c r="AO1198" s="76">
        <v>43178.616828703707</v>
      </c>
      <c r="AQ1198" t="b">
        <v>1</v>
      </c>
      <c r="AR1198" t="b">
        <v>0</v>
      </c>
      <c r="AS1198" t="b">
        <v>0</v>
      </c>
      <c r="AU1198">
        <v>0</v>
      </c>
      <c r="AW1198" t="b">
        <v>0</v>
      </c>
      <c r="AX1198" t="s">
        <v>9303</v>
      </c>
      <c r="AY1198" s="79" t="str">
        <f>HYPERLINK("https://twitter.com/kr__rajesh")</f>
        <v>https://twitter.com/kr__rajesh</v>
      </c>
      <c r="AZ1198" t="s">
        <v>66</v>
      </c>
      <c r="BA1198" s="2"/>
    </row>
    <row r="1199" spans="1:53" x14ac:dyDescent="0.45">
      <c r="A1199" s="62" t="s">
        <v>233</v>
      </c>
      <c r="B1199" s="63"/>
      <c r="C1199" s="63"/>
      <c r="D1199" s="64"/>
      <c r="E1199" s="66"/>
      <c r="F1199" s="98" t="str">
        <f>HYPERLINK("https://pbs.twimg.com/profile_images/553960870154600448/KQ1cG2eq_normal.jpeg")</f>
        <v>https://pbs.twimg.com/profile_images/553960870154600448/KQ1cG2eq_normal.jpeg</v>
      </c>
      <c r="G1199" s="63"/>
      <c r="H1199" s="67"/>
      <c r="I1199" s="68"/>
      <c r="J1199" s="68"/>
      <c r="K1199" s="67" t="s">
        <v>9353</v>
      </c>
      <c r="L1199" s="71"/>
      <c r="M1199" s="72"/>
      <c r="N1199" s="72"/>
      <c r="O1199" s="73"/>
      <c r="P1199" s="74"/>
      <c r="Q1199" s="74"/>
      <c r="R1199" s="81"/>
      <c r="S1199" s="81"/>
      <c r="T1199" s="81"/>
      <c r="U1199" s="81"/>
      <c r="V1199" s="48"/>
      <c r="W1199" s="48"/>
      <c r="X1199" s="48"/>
      <c r="Y1199" s="48"/>
      <c r="Z1199" s="47"/>
      <c r="AA1199" s="69"/>
      <c r="AB1199" s="69"/>
      <c r="AC1199" s="70"/>
      <c r="AD1199" t="s">
        <v>5049</v>
      </c>
      <c r="AE1199" s="78" t="s">
        <v>6367</v>
      </c>
      <c r="AF1199">
        <v>74</v>
      </c>
      <c r="AG1199">
        <v>24</v>
      </c>
      <c r="AH1199">
        <v>1922</v>
      </c>
      <c r="AI1199">
        <v>4481</v>
      </c>
      <c r="AO1199" s="76">
        <v>39998.620520833334</v>
      </c>
      <c r="AP1199" s="79" t="str">
        <f>HYPERLINK("https://pbs.twimg.com/profile_banners/53684405/1420909560")</f>
        <v>https://pbs.twimg.com/profile_banners/53684405/1420909560</v>
      </c>
      <c r="AQ1199" t="b">
        <v>0</v>
      </c>
      <c r="AR1199" t="b">
        <v>0</v>
      </c>
      <c r="AS1199" t="b">
        <v>1</v>
      </c>
      <c r="AU1199">
        <v>0</v>
      </c>
      <c r="AV1199" s="79" t="str">
        <f>HYPERLINK("https://abs.twimg.com/images/themes/theme5/bg.gif")</f>
        <v>https://abs.twimg.com/images/themes/theme5/bg.gif</v>
      </c>
      <c r="AW1199" t="b">
        <v>0</v>
      </c>
      <c r="AX1199" t="s">
        <v>9303</v>
      </c>
      <c r="AY1199" s="79" t="str">
        <f>HYPERLINK("https://twitter.com/cindyaubrey")</f>
        <v>https://twitter.com/cindyaubrey</v>
      </c>
      <c r="AZ1199" t="s">
        <v>66</v>
      </c>
      <c r="BA1199" s="2"/>
    </row>
    <row r="1200" spans="1:53" x14ac:dyDescent="0.45">
      <c r="A1200" s="62" t="s">
        <v>727</v>
      </c>
      <c r="B1200" s="63"/>
      <c r="C1200" s="63"/>
      <c r="D1200" s="64"/>
      <c r="E1200" s="66"/>
      <c r="F1200" s="98" t="str">
        <f>HYPERLINK("https://pbs.twimg.com/profile_images/1620906004748566534/uFyDT7Y1_normal.png")</f>
        <v>https://pbs.twimg.com/profile_images/1620906004748566534/uFyDT7Y1_normal.png</v>
      </c>
      <c r="G1200" s="63"/>
      <c r="H1200" s="67"/>
      <c r="I1200" s="68"/>
      <c r="J1200" s="68"/>
      <c r="K1200" s="67" t="s">
        <v>10073</v>
      </c>
      <c r="L1200" s="71"/>
      <c r="M1200" s="72"/>
      <c r="N1200" s="72"/>
      <c r="O1200" s="73"/>
      <c r="P1200" s="74"/>
      <c r="Q1200" s="74"/>
      <c r="R1200" s="81"/>
      <c r="S1200" s="81"/>
      <c r="T1200" s="81"/>
      <c r="U1200" s="81"/>
      <c r="V1200" s="48"/>
      <c r="W1200" s="48"/>
      <c r="X1200" s="48"/>
      <c r="Y1200" s="48"/>
      <c r="Z1200" s="47"/>
      <c r="AA1200" s="69"/>
      <c r="AB1200" s="69"/>
      <c r="AC1200" s="70"/>
      <c r="AD1200" t="s">
        <v>5762</v>
      </c>
      <c r="AE1200" s="78" t="s">
        <v>6996</v>
      </c>
      <c r="AF1200">
        <v>303</v>
      </c>
      <c r="AG1200">
        <v>24</v>
      </c>
      <c r="AH1200">
        <v>32</v>
      </c>
      <c r="AI1200">
        <v>0</v>
      </c>
      <c r="AK1200" t="s">
        <v>8159</v>
      </c>
      <c r="AO1200" s="76">
        <v>42227.891979166663</v>
      </c>
      <c r="AP1200" s="79" t="str">
        <f>HYPERLINK("https://pbs.twimg.com/profile_banners/3312800437/1675289084")</f>
        <v>https://pbs.twimg.com/profile_banners/3312800437/1675289084</v>
      </c>
      <c r="AQ1200" t="b">
        <v>1</v>
      </c>
      <c r="AR1200" t="b">
        <v>0</v>
      </c>
      <c r="AS1200" t="b">
        <v>0</v>
      </c>
      <c r="AU1200">
        <v>0</v>
      </c>
      <c r="AV1200" s="79" t="str">
        <f>HYPERLINK("https://abs.twimg.com/images/themes/theme1/bg.png")</f>
        <v>https://abs.twimg.com/images/themes/theme1/bg.png</v>
      </c>
      <c r="AW1200" t="b">
        <v>0</v>
      </c>
      <c r="AX1200" t="s">
        <v>9303</v>
      </c>
      <c r="AY1200" s="79" t="str">
        <f>HYPERLINK("https://twitter.com/waleed51_1")</f>
        <v>https://twitter.com/waleed51_1</v>
      </c>
      <c r="AZ1200" t="s">
        <v>66</v>
      </c>
      <c r="BA1200" s="2"/>
    </row>
    <row r="1201" spans="1:53" x14ac:dyDescent="0.45">
      <c r="A1201" s="62" t="s">
        <v>1386</v>
      </c>
      <c r="B1201" s="63"/>
      <c r="C1201" s="63"/>
      <c r="D1201" s="64"/>
      <c r="E1201" s="66"/>
      <c r="F1201" s="98" t="str">
        <f>HYPERLINK("https://pbs.twimg.com/profile_images/1206056285029961728/f67c_-Xb_normal.jpg")</f>
        <v>https://pbs.twimg.com/profile_images/1206056285029961728/f67c_-Xb_normal.jpg</v>
      </c>
      <c r="G1201" s="63"/>
      <c r="H1201" s="67"/>
      <c r="I1201" s="68"/>
      <c r="J1201" s="68"/>
      <c r="K1201" s="67" t="s">
        <v>10188</v>
      </c>
      <c r="L1201" s="71"/>
      <c r="M1201" s="72"/>
      <c r="N1201" s="72"/>
      <c r="O1201" s="73"/>
      <c r="P1201" s="74"/>
      <c r="Q1201" s="74"/>
      <c r="R1201" s="81"/>
      <c r="S1201" s="81"/>
      <c r="T1201" s="81"/>
      <c r="U1201" s="81"/>
      <c r="V1201" s="48"/>
      <c r="W1201" s="48"/>
      <c r="X1201" s="48"/>
      <c r="Y1201" s="48"/>
      <c r="Z1201" s="47"/>
      <c r="AA1201" s="69"/>
      <c r="AB1201" s="69"/>
      <c r="AC1201" s="70"/>
      <c r="AD1201" t="s">
        <v>5872</v>
      </c>
      <c r="AE1201" s="78" t="s">
        <v>4752</v>
      </c>
      <c r="AF1201">
        <v>54</v>
      </c>
      <c r="AG1201">
        <v>24</v>
      </c>
      <c r="AH1201">
        <v>710</v>
      </c>
      <c r="AI1201">
        <v>8823</v>
      </c>
      <c r="AL1201" t="s">
        <v>9114</v>
      </c>
      <c r="AO1201" s="76">
        <v>40385.654178240744</v>
      </c>
      <c r="AP1201" s="79" t="str">
        <f>HYPERLINK("https://pbs.twimg.com/profile_banners/171108455/1576381202")</f>
        <v>https://pbs.twimg.com/profile_banners/171108455/1576381202</v>
      </c>
      <c r="AQ1201" t="b">
        <v>1</v>
      </c>
      <c r="AR1201" t="b">
        <v>0</v>
      </c>
      <c r="AS1201" t="b">
        <v>1</v>
      </c>
      <c r="AU1201">
        <v>0</v>
      </c>
      <c r="AV1201" s="79" t="str">
        <f>HYPERLINK("https://abs.twimg.com/images/themes/theme1/bg.png")</f>
        <v>https://abs.twimg.com/images/themes/theme1/bg.png</v>
      </c>
      <c r="AW1201" t="b">
        <v>0</v>
      </c>
      <c r="AX1201" t="s">
        <v>9303</v>
      </c>
      <c r="AY1201" s="79" t="str">
        <f>HYPERLINK("https://twitter.com/mikhannahsmom")</f>
        <v>https://twitter.com/mikhannahsmom</v>
      </c>
      <c r="AZ1201" t="s">
        <v>65</v>
      </c>
      <c r="BA1201" s="2"/>
    </row>
    <row r="1202" spans="1:53" x14ac:dyDescent="0.45">
      <c r="A1202" s="62" t="s">
        <v>933</v>
      </c>
      <c r="B1202" s="63"/>
      <c r="C1202" s="63"/>
      <c r="D1202" s="64"/>
      <c r="E1202" s="66"/>
      <c r="F1202" s="98" t="str">
        <f>HYPERLINK("https://pbs.twimg.com/profile_images/1555054156540428288/W1OtUil1_normal.jpg")</f>
        <v>https://pbs.twimg.com/profile_images/1555054156540428288/W1OtUil1_normal.jpg</v>
      </c>
      <c r="G1202" s="63"/>
      <c r="H1202" s="67"/>
      <c r="I1202" s="68"/>
      <c r="J1202" s="68"/>
      <c r="K1202" s="67" t="s">
        <v>10367</v>
      </c>
      <c r="L1202" s="71"/>
      <c r="M1202" s="72"/>
      <c r="N1202" s="72"/>
      <c r="O1202" s="73"/>
      <c r="P1202" s="74"/>
      <c r="Q1202" s="74"/>
      <c r="R1202" s="81"/>
      <c r="S1202" s="81"/>
      <c r="T1202" s="81"/>
      <c r="U1202" s="81"/>
      <c r="V1202" s="48"/>
      <c r="W1202" s="48"/>
      <c r="X1202" s="48"/>
      <c r="Y1202" s="48"/>
      <c r="Z1202" s="47"/>
      <c r="AA1202" s="69"/>
      <c r="AB1202" s="69"/>
      <c r="AC1202" s="70"/>
      <c r="AD1202" t="s">
        <v>6050</v>
      </c>
      <c r="AE1202" s="78" t="s">
        <v>7255</v>
      </c>
      <c r="AF1202">
        <v>51</v>
      </c>
      <c r="AG1202">
        <v>23</v>
      </c>
      <c r="AH1202">
        <v>942</v>
      </c>
      <c r="AI1202">
        <v>830</v>
      </c>
      <c r="AK1202" t="s">
        <v>8416</v>
      </c>
      <c r="AL1202" t="s">
        <v>9191</v>
      </c>
      <c r="AM1202" s="79" t="str">
        <f>HYPERLINK("https://t.co/EpOgBoaQ3p")</f>
        <v>https://t.co/EpOgBoaQ3p</v>
      </c>
      <c r="AO1202" s="76">
        <v>44767.207800925928</v>
      </c>
      <c r="AP1202" s="79" t="str">
        <f>HYPERLINK("https://pbs.twimg.com/profile_banners/1551431775275978754/1659588393")</f>
        <v>https://pbs.twimg.com/profile_banners/1551431775275978754/1659588393</v>
      </c>
      <c r="AQ1202" t="b">
        <v>1</v>
      </c>
      <c r="AR1202" t="b">
        <v>0</v>
      </c>
      <c r="AS1202" t="b">
        <v>1</v>
      </c>
      <c r="AU1202">
        <v>0</v>
      </c>
      <c r="AW1202" t="b">
        <v>0</v>
      </c>
      <c r="AX1202" t="s">
        <v>9303</v>
      </c>
      <c r="AY1202" s="79" t="str">
        <f>HYPERLINK("https://twitter.com/luisfgalicia")</f>
        <v>https://twitter.com/luisfgalicia</v>
      </c>
      <c r="AZ1202" t="s">
        <v>66</v>
      </c>
      <c r="BA1202" s="2"/>
    </row>
    <row r="1203" spans="1:53" x14ac:dyDescent="0.45">
      <c r="A1203" s="62" t="s">
        <v>946</v>
      </c>
      <c r="B1203" s="63"/>
      <c r="C1203" s="63"/>
      <c r="D1203" s="64"/>
      <c r="E1203" s="66"/>
      <c r="F1203" s="98" t="str">
        <f>HYPERLINK("https://pbs.twimg.com/profile_images/1621001263616868354/7XySq_5z_normal.jpg")</f>
        <v>https://pbs.twimg.com/profile_images/1621001263616868354/7XySq_5z_normal.jpg</v>
      </c>
      <c r="G1203" s="63"/>
      <c r="H1203" s="67"/>
      <c r="I1203" s="68"/>
      <c r="J1203" s="68"/>
      <c r="K1203" s="67" t="s">
        <v>10386</v>
      </c>
      <c r="L1203" s="71"/>
      <c r="M1203" s="72"/>
      <c r="N1203" s="72"/>
      <c r="O1203" s="73"/>
      <c r="P1203" s="74"/>
      <c r="Q1203" s="74"/>
      <c r="R1203" s="81"/>
      <c r="S1203" s="81"/>
      <c r="T1203" s="81"/>
      <c r="U1203" s="81"/>
      <c r="V1203" s="48"/>
      <c r="W1203" s="48"/>
      <c r="X1203" s="48"/>
      <c r="Y1203" s="48"/>
      <c r="Z1203" s="47"/>
      <c r="AA1203" s="69"/>
      <c r="AB1203" s="69"/>
      <c r="AC1203" s="70"/>
      <c r="AD1203" t="s">
        <v>6068</v>
      </c>
      <c r="AE1203" s="78" t="s">
        <v>7270</v>
      </c>
      <c r="AF1203">
        <v>281</v>
      </c>
      <c r="AG1203">
        <v>23</v>
      </c>
      <c r="AH1203">
        <v>21</v>
      </c>
      <c r="AI1203">
        <v>3</v>
      </c>
      <c r="AK1203" t="s">
        <v>8432</v>
      </c>
      <c r="AL1203" t="s">
        <v>8692</v>
      </c>
      <c r="AO1203" s="76">
        <v>44938.723194444443</v>
      </c>
      <c r="AP1203" s="79" t="str">
        <f>HYPERLINK("https://pbs.twimg.com/profile_banners/1613586828094836739/1675311793")</f>
        <v>https://pbs.twimg.com/profile_banners/1613586828094836739/1675311793</v>
      </c>
      <c r="AQ1203" t="b">
        <v>1</v>
      </c>
      <c r="AR1203" t="b">
        <v>0</v>
      </c>
      <c r="AS1203" t="b">
        <v>0</v>
      </c>
      <c r="AU1203">
        <v>0</v>
      </c>
      <c r="AW1203" t="b">
        <v>0</v>
      </c>
      <c r="AX1203" t="s">
        <v>9303</v>
      </c>
      <c r="AY1203" s="79" t="str">
        <f>HYPERLINK("https://twitter.com/ny_youth_sports")</f>
        <v>https://twitter.com/ny_youth_sports</v>
      </c>
      <c r="AZ1203" t="s">
        <v>66</v>
      </c>
      <c r="BA1203" s="2"/>
    </row>
    <row r="1204" spans="1:53" x14ac:dyDescent="0.45">
      <c r="A1204" s="62" t="s">
        <v>350</v>
      </c>
      <c r="B1204" s="63"/>
      <c r="C1204" s="63"/>
      <c r="D1204" s="64"/>
      <c r="E1204" s="66"/>
      <c r="F1204" s="98" t="str">
        <f>HYPERLINK("https://pbs.twimg.com/profile_images/1559632910856200192/Bjoequoy_normal.jpg")</f>
        <v>https://pbs.twimg.com/profile_images/1559632910856200192/Bjoequoy_normal.jpg</v>
      </c>
      <c r="G1204" s="63"/>
      <c r="H1204" s="67"/>
      <c r="I1204" s="68"/>
      <c r="J1204" s="68"/>
      <c r="K1204" s="67" t="s">
        <v>9575</v>
      </c>
      <c r="L1204" s="71"/>
      <c r="M1204" s="72"/>
      <c r="N1204" s="72"/>
      <c r="O1204" s="73"/>
      <c r="P1204" s="74"/>
      <c r="Q1204" s="74"/>
      <c r="R1204" s="81"/>
      <c r="S1204" s="81"/>
      <c r="T1204" s="81"/>
      <c r="U1204" s="81"/>
      <c r="V1204" s="48"/>
      <c r="W1204" s="48"/>
      <c r="X1204" s="48"/>
      <c r="Y1204" s="48"/>
      <c r="Z1204" s="47"/>
      <c r="AA1204" s="69"/>
      <c r="AB1204" s="69"/>
      <c r="AC1204" s="70"/>
      <c r="AD1204" t="s">
        <v>5268</v>
      </c>
      <c r="AE1204" s="78" t="s">
        <v>6546</v>
      </c>
      <c r="AF1204">
        <v>824</v>
      </c>
      <c r="AG1204">
        <v>22</v>
      </c>
      <c r="AH1204">
        <v>4332</v>
      </c>
      <c r="AI1204">
        <v>4205</v>
      </c>
      <c r="AL1204" t="s">
        <v>8820</v>
      </c>
      <c r="AO1204" s="76">
        <v>42290.931030092594</v>
      </c>
      <c r="AQ1204" t="b">
        <v>1</v>
      </c>
      <c r="AR1204" t="b">
        <v>0</v>
      </c>
      <c r="AS1204" t="b">
        <v>0</v>
      </c>
      <c r="AU1204">
        <v>0</v>
      </c>
      <c r="AV1204" s="79" t="str">
        <f>HYPERLINK("https://abs.twimg.com/images/themes/theme1/bg.png")</f>
        <v>https://abs.twimg.com/images/themes/theme1/bg.png</v>
      </c>
      <c r="AW1204" t="b">
        <v>0</v>
      </c>
      <c r="AX1204" t="s">
        <v>9303</v>
      </c>
      <c r="AY1204" s="79" t="str">
        <f>HYPERLINK("https://twitter.com/yvonneevans411")</f>
        <v>https://twitter.com/yvonneevans411</v>
      </c>
      <c r="AZ1204" t="s">
        <v>66</v>
      </c>
      <c r="BA1204" s="2"/>
    </row>
    <row r="1205" spans="1:53" x14ac:dyDescent="0.45">
      <c r="A1205" s="62" t="s">
        <v>515</v>
      </c>
      <c r="B1205" s="63"/>
      <c r="C1205" s="63"/>
      <c r="D1205" s="64"/>
      <c r="E1205" s="66"/>
      <c r="F1205" s="98" t="str">
        <f>HYPERLINK("https://pbs.twimg.com/profile_images/917479569904545792/0f9JUUKc_normal.jpg")</f>
        <v>https://pbs.twimg.com/profile_images/917479569904545792/0f9JUUKc_normal.jpg</v>
      </c>
      <c r="G1205" s="63"/>
      <c r="H1205" s="67"/>
      <c r="I1205" s="68"/>
      <c r="J1205" s="68"/>
      <c r="K1205" s="67" t="s">
        <v>9802</v>
      </c>
      <c r="L1205" s="71"/>
      <c r="M1205" s="72"/>
      <c r="N1205" s="72"/>
      <c r="O1205" s="73"/>
      <c r="P1205" s="74"/>
      <c r="Q1205" s="74"/>
      <c r="R1205" s="81"/>
      <c r="S1205" s="81"/>
      <c r="T1205" s="81"/>
      <c r="U1205" s="81"/>
      <c r="V1205" s="48"/>
      <c r="W1205" s="48"/>
      <c r="X1205" s="48"/>
      <c r="Y1205" s="48"/>
      <c r="Z1205" s="47"/>
      <c r="AA1205" s="69"/>
      <c r="AB1205" s="69"/>
      <c r="AC1205" s="70"/>
      <c r="AD1205" t="s">
        <v>5493</v>
      </c>
      <c r="AE1205" s="78" t="s">
        <v>6749</v>
      </c>
      <c r="AF1205">
        <v>210</v>
      </c>
      <c r="AG1205">
        <v>22</v>
      </c>
      <c r="AH1205">
        <v>689</v>
      </c>
      <c r="AI1205">
        <v>2287</v>
      </c>
      <c r="AL1205" t="s">
        <v>8921</v>
      </c>
      <c r="AO1205" s="76">
        <v>40943.644745370373</v>
      </c>
      <c r="AP1205" s="79" t="str">
        <f>HYPERLINK("https://pbs.twimg.com/profile_banners/483029712/1491403180")</f>
        <v>https://pbs.twimg.com/profile_banners/483029712/1491403180</v>
      </c>
      <c r="AQ1205" t="b">
        <v>1</v>
      </c>
      <c r="AR1205" t="b">
        <v>0</v>
      </c>
      <c r="AS1205" t="b">
        <v>0</v>
      </c>
      <c r="AU1205">
        <v>0</v>
      </c>
      <c r="AV1205" s="79" t="str">
        <f>HYPERLINK("https://abs.twimg.com/images/themes/theme1/bg.png")</f>
        <v>https://abs.twimg.com/images/themes/theme1/bg.png</v>
      </c>
      <c r="AW1205" t="b">
        <v>0</v>
      </c>
      <c r="AX1205" t="s">
        <v>9303</v>
      </c>
      <c r="AY1205" s="79" t="str">
        <f>HYPERLINK("https://twitter.com/thesportsbubba")</f>
        <v>https://twitter.com/thesportsbubba</v>
      </c>
      <c r="AZ1205" t="s">
        <v>66</v>
      </c>
      <c r="BA1205" s="2"/>
    </row>
    <row r="1206" spans="1:53" x14ac:dyDescent="0.45">
      <c r="A1206" s="62" t="s">
        <v>618</v>
      </c>
      <c r="B1206" s="63"/>
      <c r="C1206" s="63"/>
      <c r="D1206" s="64"/>
      <c r="E1206" s="66"/>
      <c r="F1206" s="98" t="str">
        <f>HYPERLINK("https://pbs.twimg.com/profile_images/1608221007877230601/nSALKhPX_normal.jpg")</f>
        <v>https://pbs.twimg.com/profile_images/1608221007877230601/nSALKhPX_normal.jpg</v>
      </c>
      <c r="G1206" s="63"/>
      <c r="H1206" s="67"/>
      <c r="I1206" s="68"/>
      <c r="J1206" s="68"/>
      <c r="K1206" s="67" t="s">
        <v>9918</v>
      </c>
      <c r="L1206" s="71"/>
      <c r="M1206" s="72"/>
      <c r="N1206" s="72"/>
      <c r="O1206" s="73"/>
      <c r="P1206" s="74"/>
      <c r="Q1206" s="74"/>
      <c r="R1206" s="81"/>
      <c r="S1206" s="81"/>
      <c r="T1206" s="81"/>
      <c r="U1206" s="81"/>
      <c r="V1206" s="48"/>
      <c r="W1206" s="48"/>
      <c r="X1206" s="48"/>
      <c r="Y1206" s="48"/>
      <c r="Z1206" s="47"/>
      <c r="AA1206" s="69"/>
      <c r="AB1206" s="69"/>
      <c r="AC1206" s="70"/>
      <c r="AD1206" t="s">
        <v>5609</v>
      </c>
      <c r="AE1206" s="78" t="s">
        <v>6854</v>
      </c>
      <c r="AF1206">
        <v>224</v>
      </c>
      <c r="AG1206">
        <v>22</v>
      </c>
      <c r="AH1206">
        <v>2542</v>
      </c>
      <c r="AI1206">
        <v>4294</v>
      </c>
      <c r="AK1206" t="s">
        <v>8030</v>
      </c>
      <c r="AL1206" t="s">
        <v>8797</v>
      </c>
      <c r="AO1206" s="76">
        <v>41099.77447916667</v>
      </c>
      <c r="AP1206" s="79" t="str">
        <f>HYPERLINK("https://pbs.twimg.com/profile_banners/631314605/1672685834")</f>
        <v>https://pbs.twimg.com/profile_banners/631314605/1672685834</v>
      </c>
      <c r="AQ1206" t="b">
        <v>0</v>
      </c>
      <c r="AR1206" t="b">
        <v>0</v>
      </c>
      <c r="AS1206" t="b">
        <v>0</v>
      </c>
      <c r="AU1206">
        <v>0</v>
      </c>
      <c r="AV1206" s="79" t="str">
        <f>HYPERLINK("https://abs.twimg.com/images/themes/theme15/bg.png")</f>
        <v>https://abs.twimg.com/images/themes/theme15/bg.png</v>
      </c>
      <c r="AW1206" t="b">
        <v>0</v>
      </c>
      <c r="AX1206" t="s">
        <v>9303</v>
      </c>
      <c r="AY1206" s="79" t="str">
        <f>HYPERLINK("https://twitter.com/thesmithdeep")</f>
        <v>https://twitter.com/thesmithdeep</v>
      </c>
      <c r="AZ1206" t="s">
        <v>66</v>
      </c>
      <c r="BA1206" s="2"/>
    </row>
    <row r="1207" spans="1:53" x14ac:dyDescent="0.45">
      <c r="A1207" s="62" t="s">
        <v>290</v>
      </c>
      <c r="B1207" s="63"/>
      <c r="C1207" s="63"/>
      <c r="D1207" s="64"/>
      <c r="E1207" s="66"/>
      <c r="F1207" s="98" t="str">
        <f>HYPERLINK("https://pbs.twimg.com/profile_images/775499585569615872/smZu851E_normal.jpg")</f>
        <v>https://pbs.twimg.com/profile_images/775499585569615872/smZu851E_normal.jpg</v>
      </c>
      <c r="G1207" s="63"/>
      <c r="H1207" s="67"/>
      <c r="I1207" s="68"/>
      <c r="J1207" s="68"/>
      <c r="K1207" s="67" t="s">
        <v>9455</v>
      </c>
      <c r="L1207" s="71"/>
      <c r="M1207" s="72"/>
      <c r="N1207" s="72"/>
      <c r="O1207" s="73"/>
      <c r="P1207" s="74"/>
      <c r="Q1207" s="74"/>
      <c r="R1207" s="81"/>
      <c r="S1207" s="81"/>
      <c r="T1207" s="81"/>
      <c r="U1207" s="81"/>
      <c r="V1207" s="48"/>
      <c r="W1207" s="48"/>
      <c r="X1207" s="48"/>
      <c r="Y1207" s="48"/>
      <c r="Z1207" s="47"/>
      <c r="AA1207" s="69"/>
      <c r="AB1207" s="69"/>
      <c r="AC1207" s="70"/>
      <c r="AD1207" t="s">
        <v>5149</v>
      </c>
      <c r="AE1207" s="78" t="s">
        <v>6451</v>
      </c>
      <c r="AF1207">
        <v>91</v>
      </c>
      <c r="AG1207">
        <v>21</v>
      </c>
      <c r="AH1207">
        <v>6435</v>
      </c>
      <c r="AI1207">
        <v>964</v>
      </c>
      <c r="AO1207" s="76">
        <v>40830.010312500002</v>
      </c>
      <c r="AP1207" s="79" t="str">
        <f>HYPERLINK("https://pbs.twimg.com/profile_banners/390442251/1473728435")</f>
        <v>https://pbs.twimg.com/profile_banners/390442251/1473728435</v>
      </c>
      <c r="AQ1207" t="b">
        <v>1</v>
      </c>
      <c r="AR1207" t="b">
        <v>0</v>
      </c>
      <c r="AS1207" t="b">
        <v>0</v>
      </c>
      <c r="AU1207">
        <v>0</v>
      </c>
      <c r="AV1207" s="79" t="str">
        <f>HYPERLINK("https://abs.twimg.com/images/themes/theme1/bg.png")</f>
        <v>https://abs.twimg.com/images/themes/theme1/bg.png</v>
      </c>
      <c r="AW1207" t="b">
        <v>0</v>
      </c>
      <c r="AX1207" t="s">
        <v>9303</v>
      </c>
      <c r="AY1207" s="79" t="str">
        <f>HYPERLINK("https://twitter.com/19matt73")</f>
        <v>https://twitter.com/19matt73</v>
      </c>
      <c r="AZ1207" t="s">
        <v>66</v>
      </c>
      <c r="BA1207" s="2"/>
    </row>
    <row r="1208" spans="1:53" x14ac:dyDescent="0.45">
      <c r="A1208" s="62" t="s">
        <v>311</v>
      </c>
      <c r="B1208" s="63"/>
      <c r="C1208" s="63"/>
      <c r="D1208" s="64"/>
      <c r="E1208" s="66"/>
      <c r="F1208" s="98" t="str">
        <f>HYPERLINK("https://pbs.twimg.com/profile_images/1584668735079579648/YZw3Ogxc_normal.jpg")</f>
        <v>https://pbs.twimg.com/profile_images/1584668735079579648/YZw3Ogxc_normal.jpg</v>
      </c>
      <c r="G1208" s="63"/>
      <c r="H1208" s="67"/>
      <c r="I1208" s="68"/>
      <c r="J1208" s="68"/>
      <c r="K1208" s="67" t="s">
        <v>9507</v>
      </c>
      <c r="L1208" s="71"/>
      <c r="M1208" s="72"/>
      <c r="N1208" s="72"/>
      <c r="O1208" s="73"/>
      <c r="P1208" s="74"/>
      <c r="Q1208" s="74"/>
      <c r="R1208" s="81"/>
      <c r="S1208" s="81"/>
      <c r="T1208" s="81"/>
      <c r="U1208" s="81"/>
      <c r="V1208" s="48"/>
      <c r="W1208" s="48"/>
      <c r="X1208" s="48"/>
      <c r="Y1208" s="48"/>
      <c r="Z1208" s="47"/>
      <c r="AA1208" s="69"/>
      <c r="AB1208" s="69"/>
      <c r="AC1208" s="70"/>
      <c r="AD1208" t="s">
        <v>5201</v>
      </c>
      <c r="AE1208" s="78" t="s">
        <v>6492</v>
      </c>
      <c r="AF1208">
        <v>98</v>
      </c>
      <c r="AG1208">
        <v>21</v>
      </c>
      <c r="AH1208">
        <v>41</v>
      </c>
      <c r="AI1208">
        <v>93</v>
      </c>
      <c r="AK1208" t="s">
        <v>7671</v>
      </c>
      <c r="AL1208" t="s">
        <v>8676</v>
      </c>
      <c r="AM1208" s="79" t="str">
        <f>HYPERLINK("https://t.co/r4zbH3200B")</f>
        <v>https://t.co/r4zbH3200B</v>
      </c>
      <c r="AO1208" s="76">
        <v>44511.762499999997</v>
      </c>
      <c r="AP1208" s="79" t="str">
        <f>HYPERLINK("https://pbs.twimg.com/profile_banners/1458861518838190085/1666649454")</f>
        <v>https://pbs.twimg.com/profile_banners/1458861518838190085/1666649454</v>
      </c>
      <c r="AQ1208" t="b">
        <v>1</v>
      </c>
      <c r="AR1208" t="b">
        <v>0</v>
      </c>
      <c r="AS1208" t="b">
        <v>0</v>
      </c>
      <c r="AU1208">
        <v>0</v>
      </c>
      <c r="AW1208" t="b">
        <v>0</v>
      </c>
      <c r="AX1208" t="s">
        <v>9303</v>
      </c>
      <c r="AY1208" s="79" t="str">
        <f>HYPERLINK("https://twitter.com/sidneygrepke")</f>
        <v>https://twitter.com/sidneygrepke</v>
      </c>
      <c r="AZ1208" t="s">
        <v>66</v>
      </c>
      <c r="BA1208" s="2"/>
    </row>
    <row r="1209" spans="1:53" x14ac:dyDescent="0.45">
      <c r="A1209" s="62" t="s">
        <v>323</v>
      </c>
      <c r="B1209" s="63"/>
      <c r="C1209" s="63"/>
      <c r="D1209" s="64"/>
      <c r="E1209" s="66"/>
      <c r="F1209" s="98" t="str">
        <f>HYPERLINK("https://pbs.twimg.com/profile_images/1535846678309310467/LOUD5aVq_normal.jpg")</f>
        <v>https://pbs.twimg.com/profile_images/1535846678309310467/LOUD5aVq_normal.jpg</v>
      </c>
      <c r="G1209" s="63"/>
      <c r="H1209" s="67"/>
      <c r="I1209" s="68"/>
      <c r="J1209" s="68"/>
      <c r="K1209" s="67" t="s">
        <v>9525</v>
      </c>
      <c r="L1209" s="71"/>
      <c r="M1209" s="72"/>
      <c r="N1209" s="72"/>
      <c r="O1209" s="73"/>
      <c r="P1209" s="74"/>
      <c r="Q1209" s="74"/>
      <c r="R1209" s="81"/>
      <c r="S1209" s="81"/>
      <c r="T1209" s="81"/>
      <c r="U1209" s="81"/>
      <c r="V1209" s="48"/>
      <c r="W1209" s="48"/>
      <c r="X1209" s="48"/>
      <c r="Y1209" s="48"/>
      <c r="Z1209" s="47"/>
      <c r="AA1209" s="69"/>
      <c r="AB1209" s="69"/>
      <c r="AC1209" s="70"/>
      <c r="AD1209" t="s">
        <v>5219</v>
      </c>
      <c r="AE1209" s="78" t="s">
        <v>6506</v>
      </c>
      <c r="AF1209">
        <v>133</v>
      </c>
      <c r="AG1209">
        <v>21</v>
      </c>
      <c r="AH1209">
        <v>2755</v>
      </c>
      <c r="AI1209">
        <v>1030</v>
      </c>
      <c r="AK1209" t="s">
        <v>7687</v>
      </c>
      <c r="AO1209" s="76">
        <v>43779.701249999998</v>
      </c>
      <c r="AP1209" s="79" t="str">
        <f>HYPERLINK("https://pbs.twimg.com/profile_banners/1193571418048532480/1668232636")</f>
        <v>https://pbs.twimg.com/profile_banners/1193571418048532480/1668232636</v>
      </c>
      <c r="AQ1209" t="b">
        <v>1</v>
      </c>
      <c r="AR1209" t="b">
        <v>0</v>
      </c>
      <c r="AS1209" t="b">
        <v>0</v>
      </c>
      <c r="AU1209">
        <v>0</v>
      </c>
      <c r="AW1209" t="b">
        <v>0</v>
      </c>
      <c r="AX1209" t="s">
        <v>9303</v>
      </c>
      <c r="AY1209" s="79" t="str">
        <f>HYPERLINK("https://twitter.com/jordimariec")</f>
        <v>https://twitter.com/jordimariec</v>
      </c>
      <c r="AZ1209" t="s">
        <v>66</v>
      </c>
      <c r="BA1209" s="2"/>
    </row>
    <row r="1210" spans="1:53" x14ac:dyDescent="0.45">
      <c r="A1210" s="62" t="s">
        <v>1021</v>
      </c>
      <c r="B1210" s="63"/>
      <c r="C1210" s="63"/>
      <c r="D1210" s="64"/>
      <c r="E1210" s="66"/>
      <c r="F1210" s="98" t="str">
        <f>HYPERLINK("https://pbs.twimg.com/profile_images/1614284051392921601/_9pEIusn_normal.jpg")</f>
        <v>https://pbs.twimg.com/profile_images/1614284051392921601/_9pEIusn_normal.jpg</v>
      </c>
      <c r="G1210" s="63"/>
      <c r="H1210" s="67"/>
      <c r="I1210" s="68"/>
      <c r="J1210" s="68"/>
      <c r="K1210" s="67" t="s">
        <v>10503</v>
      </c>
      <c r="L1210" s="71"/>
      <c r="M1210" s="72"/>
      <c r="N1210" s="72"/>
      <c r="O1210" s="73"/>
      <c r="P1210" s="74"/>
      <c r="Q1210" s="74"/>
      <c r="R1210" s="81"/>
      <c r="S1210" s="81"/>
      <c r="T1210" s="81"/>
      <c r="U1210" s="81"/>
      <c r="V1210" s="48"/>
      <c r="W1210" s="48"/>
      <c r="X1210" s="48"/>
      <c r="Y1210" s="48"/>
      <c r="Z1210" s="47"/>
      <c r="AA1210" s="69"/>
      <c r="AB1210" s="69"/>
      <c r="AC1210" s="70"/>
      <c r="AD1210" t="s">
        <v>6181</v>
      </c>
      <c r="AE1210" s="78" t="s">
        <v>7365</v>
      </c>
      <c r="AF1210">
        <v>187</v>
      </c>
      <c r="AG1210">
        <v>21</v>
      </c>
      <c r="AH1210">
        <v>23</v>
      </c>
      <c r="AI1210">
        <v>0</v>
      </c>
      <c r="AK1210" t="s">
        <v>8537</v>
      </c>
      <c r="AL1210" t="s">
        <v>4899</v>
      </c>
      <c r="AM1210" s="79" t="str">
        <f>HYPERLINK("https://t.co/sJUuW74cuK")</f>
        <v>https://t.co/sJUuW74cuK</v>
      </c>
      <c r="AO1210" s="76">
        <v>44940.640150462961</v>
      </c>
      <c r="AP1210" s="79" t="str">
        <f>HYPERLINK("https://pbs.twimg.com/profile_banners/1614281412903047171/1673710298")</f>
        <v>https://pbs.twimg.com/profile_banners/1614281412903047171/1673710298</v>
      </c>
      <c r="AQ1210" t="b">
        <v>1</v>
      </c>
      <c r="AR1210" t="b">
        <v>0</v>
      </c>
      <c r="AS1210" t="b">
        <v>0</v>
      </c>
      <c r="AU1210">
        <v>0</v>
      </c>
      <c r="AW1210" t="b">
        <v>0</v>
      </c>
      <c r="AX1210" t="s">
        <v>9303</v>
      </c>
      <c r="AY1210" s="79" t="str">
        <f>HYPERLINK("https://twitter.com/bestmoneyworld")</f>
        <v>https://twitter.com/bestmoneyworld</v>
      </c>
      <c r="AZ1210" t="s">
        <v>66</v>
      </c>
      <c r="BA1210" s="2"/>
    </row>
    <row r="1211" spans="1:53" x14ac:dyDescent="0.45">
      <c r="A1211" s="62" t="s">
        <v>471</v>
      </c>
      <c r="B1211" s="63"/>
      <c r="C1211" s="63"/>
      <c r="D1211" s="64"/>
      <c r="E1211" s="66"/>
      <c r="F1211" s="98" t="str">
        <f>HYPERLINK("https://pbs.twimg.com/profile_images/1583628015178862592/ZwjEaqnU_normal.jpg")</f>
        <v>https://pbs.twimg.com/profile_images/1583628015178862592/ZwjEaqnU_normal.jpg</v>
      </c>
      <c r="G1211" s="63"/>
      <c r="H1211" s="67"/>
      <c r="I1211" s="68"/>
      <c r="J1211" s="68"/>
      <c r="K1211" s="67" t="s">
        <v>9742</v>
      </c>
      <c r="L1211" s="71"/>
      <c r="M1211" s="72"/>
      <c r="N1211" s="72"/>
      <c r="O1211" s="73"/>
      <c r="P1211" s="74"/>
      <c r="Q1211" s="74"/>
      <c r="R1211" s="81"/>
      <c r="S1211" s="81"/>
      <c r="T1211" s="81"/>
      <c r="U1211" s="81"/>
      <c r="V1211" s="48"/>
      <c r="W1211" s="48"/>
      <c r="X1211" s="48"/>
      <c r="Y1211" s="48"/>
      <c r="Z1211" s="47"/>
      <c r="AA1211" s="69"/>
      <c r="AB1211" s="69"/>
      <c r="AC1211" s="70"/>
      <c r="AD1211" t="s">
        <v>5434</v>
      </c>
      <c r="AE1211" s="78" t="s">
        <v>4699</v>
      </c>
      <c r="AF1211">
        <v>59</v>
      </c>
      <c r="AG1211">
        <v>20</v>
      </c>
      <c r="AH1211">
        <v>932</v>
      </c>
      <c r="AI1211">
        <v>159</v>
      </c>
      <c r="AK1211" t="s">
        <v>7872</v>
      </c>
      <c r="AO1211" s="76">
        <v>44843.773344907408</v>
      </c>
      <c r="AP1211" s="79" t="str">
        <f>HYPERLINK("https://pbs.twimg.com/profile_banners/1579178240694013954/1666490224")</f>
        <v>https://pbs.twimg.com/profile_banners/1579178240694013954/1666490224</v>
      </c>
      <c r="AQ1211" t="b">
        <v>1</v>
      </c>
      <c r="AR1211" t="b">
        <v>0</v>
      </c>
      <c r="AS1211" t="b">
        <v>0</v>
      </c>
      <c r="AU1211">
        <v>0</v>
      </c>
      <c r="AW1211" t="b">
        <v>0</v>
      </c>
      <c r="AX1211" t="s">
        <v>9303</v>
      </c>
      <c r="AY1211" s="79" t="str">
        <f>HYPERLINK("https://twitter.com/joeaddict4")</f>
        <v>https://twitter.com/joeaddict4</v>
      </c>
      <c r="AZ1211" t="s">
        <v>66</v>
      </c>
      <c r="BA1211" s="2"/>
    </row>
    <row r="1212" spans="1:53" x14ac:dyDescent="0.45">
      <c r="A1212" s="62" t="s">
        <v>863</v>
      </c>
      <c r="B1212" s="63"/>
      <c r="C1212" s="63"/>
      <c r="D1212" s="64"/>
      <c r="E1212" s="66"/>
      <c r="F1212" s="98" t="str">
        <f>HYPERLINK("https://pbs.twimg.com/profile_images/1506027638518820865/cEYo2BxL_normal.jpg")</f>
        <v>https://pbs.twimg.com/profile_images/1506027638518820865/cEYo2BxL_normal.jpg</v>
      </c>
      <c r="G1212" s="63"/>
      <c r="H1212" s="67"/>
      <c r="I1212" s="68"/>
      <c r="J1212" s="68"/>
      <c r="K1212" s="67" t="s">
        <v>10263</v>
      </c>
      <c r="L1212" s="71"/>
      <c r="M1212" s="72"/>
      <c r="N1212" s="72"/>
      <c r="O1212" s="73"/>
      <c r="P1212" s="74"/>
      <c r="Q1212" s="74"/>
      <c r="R1212" s="81"/>
      <c r="S1212" s="81"/>
      <c r="T1212" s="81"/>
      <c r="U1212" s="81"/>
      <c r="V1212" s="48"/>
      <c r="W1212" s="48"/>
      <c r="X1212" s="48"/>
      <c r="Y1212" s="48"/>
      <c r="Z1212" s="47"/>
      <c r="AA1212" s="69"/>
      <c r="AB1212" s="69"/>
      <c r="AC1212" s="70"/>
      <c r="AD1212" t="s">
        <v>5946</v>
      </c>
      <c r="AE1212" s="78" t="s">
        <v>7159</v>
      </c>
      <c r="AF1212">
        <v>114</v>
      </c>
      <c r="AG1212">
        <v>20</v>
      </c>
      <c r="AH1212">
        <v>4759</v>
      </c>
      <c r="AI1212">
        <v>20615</v>
      </c>
      <c r="AK1212" t="s">
        <v>8324</v>
      </c>
      <c r="AO1212" s="76">
        <v>44628.13554398148</v>
      </c>
      <c r="AP1212" s="79" t="str">
        <f>HYPERLINK("https://pbs.twimg.com/profile_banners/1501033703039909888/1647899965")</f>
        <v>https://pbs.twimg.com/profile_banners/1501033703039909888/1647899965</v>
      </c>
      <c r="AQ1212" t="b">
        <v>1</v>
      </c>
      <c r="AR1212" t="b">
        <v>0</v>
      </c>
      <c r="AS1212" t="b">
        <v>0</v>
      </c>
      <c r="AU1212">
        <v>0</v>
      </c>
      <c r="AW1212" t="b">
        <v>0</v>
      </c>
      <c r="AX1212" t="s">
        <v>9303</v>
      </c>
      <c r="AY1212" s="79" t="str">
        <f>HYPERLINK("https://twitter.com/bigassakmoose")</f>
        <v>https://twitter.com/bigassakmoose</v>
      </c>
      <c r="AZ1212" t="s">
        <v>66</v>
      </c>
      <c r="BA1212" s="2"/>
    </row>
    <row r="1213" spans="1:53" x14ac:dyDescent="0.45">
      <c r="A1213" s="62" t="s">
        <v>362</v>
      </c>
      <c r="B1213" s="63"/>
      <c r="C1213" s="63"/>
      <c r="D1213" s="64"/>
      <c r="E1213" s="66"/>
      <c r="F1213" s="98" t="str">
        <f>HYPERLINK("https://pbs.twimg.com/profile_images/1473835698746712064/tZAaKmf7_normal.jpg")</f>
        <v>https://pbs.twimg.com/profile_images/1473835698746712064/tZAaKmf7_normal.jpg</v>
      </c>
      <c r="G1213" s="63"/>
      <c r="H1213" s="67"/>
      <c r="I1213" s="68"/>
      <c r="J1213" s="68"/>
      <c r="K1213" s="67" t="s">
        <v>9603</v>
      </c>
      <c r="L1213" s="71"/>
      <c r="M1213" s="72"/>
      <c r="N1213" s="72"/>
      <c r="O1213" s="73"/>
      <c r="P1213" s="74"/>
      <c r="Q1213" s="74"/>
      <c r="R1213" s="81"/>
      <c r="S1213" s="81"/>
      <c r="T1213" s="81"/>
      <c r="U1213" s="81"/>
      <c r="V1213" s="48"/>
      <c r="W1213" s="48"/>
      <c r="X1213" s="48"/>
      <c r="Y1213" s="48"/>
      <c r="Z1213" s="47"/>
      <c r="AA1213" s="69"/>
      <c r="AB1213" s="69"/>
      <c r="AC1213" s="70"/>
      <c r="AD1213" t="s">
        <v>5296</v>
      </c>
      <c r="AE1213" s="78" t="s">
        <v>6574</v>
      </c>
      <c r="AF1213">
        <v>45</v>
      </c>
      <c r="AG1213">
        <v>19</v>
      </c>
      <c r="AH1213">
        <v>230</v>
      </c>
      <c r="AI1213">
        <v>383</v>
      </c>
      <c r="AK1213" t="s">
        <v>7753</v>
      </c>
      <c r="AL1213" t="s">
        <v>4899</v>
      </c>
      <c r="AO1213" s="76">
        <v>44553.080104166664</v>
      </c>
      <c r="AQ1213" t="b">
        <v>1</v>
      </c>
      <c r="AR1213" t="b">
        <v>0</v>
      </c>
      <c r="AS1213" t="b">
        <v>0</v>
      </c>
      <c r="AU1213">
        <v>1</v>
      </c>
      <c r="AW1213" t="b">
        <v>0</v>
      </c>
      <c r="AX1213" t="s">
        <v>9303</v>
      </c>
      <c r="AY1213" s="79" t="str">
        <f>HYPERLINK("https://twitter.com/itzbrittanybih")</f>
        <v>https://twitter.com/itzbrittanybih</v>
      </c>
      <c r="AZ1213" t="s">
        <v>66</v>
      </c>
      <c r="BA1213" s="2"/>
    </row>
    <row r="1214" spans="1:53" x14ac:dyDescent="0.45">
      <c r="A1214" s="62" t="s">
        <v>917</v>
      </c>
      <c r="B1214" s="63"/>
      <c r="C1214" s="63"/>
      <c r="D1214" s="64"/>
      <c r="E1214" s="66"/>
      <c r="F1214" s="98" t="str">
        <f>HYPERLINK("https://pbs.twimg.com/profile_images/1620469648612261888/5772h42s_normal.jpg")</f>
        <v>https://pbs.twimg.com/profile_images/1620469648612261888/5772h42s_normal.jpg</v>
      </c>
      <c r="G1214" s="63"/>
      <c r="H1214" s="67"/>
      <c r="I1214" s="68"/>
      <c r="J1214" s="68"/>
      <c r="K1214" s="67" t="s">
        <v>10350</v>
      </c>
      <c r="L1214" s="71"/>
      <c r="M1214" s="72"/>
      <c r="N1214" s="72"/>
      <c r="O1214" s="73"/>
      <c r="P1214" s="74"/>
      <c r="Q1214" s="74"/>
      <c r="R1214" s="81"/>
      <c r="S1214" s="81"/>
      <c r="T1214" s="81"/>
      <c r="U1214" s="81"/>
      <c r="V1214" s="48"/>
      <c r="W1214" s="48"/>
      <c r="X1214" s="48"/>
      <c r="Y1214" s="48"/>
      <c r="Z1214" s="47"/>
      <c r="AA1214" s="69"/>
      <c r="AB1214" s="69"/>
      <c r="AC1214" s="70"/>
      <c r="AD1214" t="s">
        <v>6033</v>
      </c>
      <c r="AE1214" s="78" t="s">
        <v>7240</v>
      </c>
      <c r="AF1214">
        <v>128</v>
      </c>
      <c r="AG1214">
        <v>19</v>
      </c>
      <c r="AH1214">
        <v>1487</v>
      </c>
      <c r="AI1214">
        <v>201</v>
      </c>
      <c r="AK1214" t="s">
        <v>8402</v>
      </c>
      <c r="AL1214" t="s">
        <v>9185</v>
      </c>
      <c r="AM1214" s="79" t="str">
        <f>HYPERLINK("https://t.co/nUAAfeVqzV")</f>
        <v>https://t.co/nUAAfeVqzV</v>
      </c>
      <c r="AO1214" s="76">
        <v>40355.305150462962</v>
      </c>
      <c r="AP1214" s="79" t="str">
        <f>HYPERLINK("https://pbs.twimg.com/profile_banners/159754749/1544059841")</f>
        <v>https://pbs.twimg.com/profile_banners/159754749/1544059841</v>
      </c>
      <c r="AQ1214" t="b">
        <v>1</v>
      </c>
      <c r="AR1214" t="b">
        <v>0</v>
      </c>
      <c r="AS1214" t="b">
        <v>1</v>
      </c>
      <c r="AU1214">
        <v>1</v>
      </c>
      <c r="AV1214" s="79" t="str">
        <f>HYPERLINK("https://abs.twimg.com/images/themes/theme1/bg.png")</f>
        <v>https://abs.twimg.com/images/themes/theme1/bg.png</v>
      </c>
      <c r="AW1214" t="b">
        <v>0</v>
      </c>
      <c r="AX1214" t="s">
        <v>9303</v>
      </c>
      <c r="AY1214" s="79" t="str">
        <f>HYPERLINK("https://twitter.com/beardboss20")</f>
        <v>https://twitter.com/beardboss20</v>
      </c>
      <c r="AZ1214" t="s">
        <v>66</v>
      </c>
      <c r="BA1214" s="2"/>
    </row>
    <row r="1215" spans="1:53" x14ac:dyDescent="0.45">
      <c r="A1215" s="62" t="s">
        <v>528</v>
      </c>
      <c r="B1215" s="63"/>
      <c r="C1215" s="63"/>
      <c r="D1215" s="64"/>
      <c r="E1215" s="66"/>
      <c r="F1215" s="98" t="str">
        <f>HYPERLINK("https://pbs.twimg.com/profile_images/1317855485098340354/XfOQouhK_normal.jpg")</f>
        <v>https://pbs.twimg.com/profile_images/1317855485098340354/XfOQouhK_normal.jpg</v>
      </c>
      <c r="G1215" s="63"/>
      <c r="H1215" s="67"/>
      <c r="I1215" s="68"/>
      <c r="J1215" s="68"/>
      <c r="K1215" s="67" t="s">
        <v>9819</v>
      </c>
      <c r="L1215" s="71"/>
      <c r="M1215" s="72"/>
      <c r="N1215" s="72"/>
      <c r="O1215" s="73"/>
      <c r="P1215" s="74"/>
      <c r="Q1215" s="74"/>
      <c r="R1215" s="81"/>
      <c r="S1215" s="81"/>
      <c r="T1215" s="81"/>
      <c r="U1215" s="81"/>
      <c r="V1215" s="48"/>
      <c r="W1215" s="48"/>
      <c r="X1215" s="48"/>
      <c r="Y1215" s="48"/>
      <c r="Z1215" s="47"/>
      <c r="AA1215" s="69"/>
      <c r="AB1215" s="69"/>
      <c r="AC1215" s="70"/>
      <c r="AD1215" t="s">
        <v>5510</v>
      </c>
      <c r="AE1215" s="78" t="s">
        <v>4714</v>
      </c>
      <c r="AF1215">
        <v>213</v>
      </c>
      <c r="AG1215">
        <v>19</v>
      </c>
      <c r="AH1215">
        <v>3793</v>
      </c>
      <c r="AI1215">
        <v>6479</v>
      </c>
      <c r="AO1215" s="76">
        <v>44122.6559375</v>
      </c>
      <c r="AP1215" s="79" t="str">
        <f>HYPERLINK("https://pbs.twimg.com/profile_banners/1317853907679383564/1611210870")</f>
        <v>https://pbs.twimg.com/profile_banners/1317853907679383564/1611210870</v>
      </c>
      <c r="AQ1215" t="b">
        <v>1</v>
      </c>
      <c r="AR1215" t="b">
        <v>0</v>
      </c>
      <c r="AS1215" t="b">
        <v>0</v>
      </c>
      <c r="AU1215">
        <v>0</v>
      </c>
      <c r="AW1215" t="b">
        <v>0</v>
      </c>
      <c r="AX1215" t="s">
        <v>9303</v>
      </c>
      <c r="AY1215" s="79" t="str">
        <f>HYPERLINK("https://twitter.com/bb_legs")</f>
        <v>https://twitter.com/bb_legs</v>
      </c>
      <c r="AZ1215" t="s">
        <v>66</v>
      </c>
      <c r="BA1215" s="2"/>
    </row>
    <row r="1216" spans="1:53" x14ac:dyDescent="0.45">
      <c r="A1216" s="62" t="s">
        <v>1332</v>
      </c>
      <c r="B1216" s="63"/>
      <c r="C1216" s="63"/>
      <c r="D1216" s="64"/>
      <c r="E1216" s="66"/>
      <c r="F1216" s="98" t="str">
        <f>HYPERLINK("https://pbs.twimg.com/profile_images/724620034363035649/wTvPKqpt_normal.jpg")</f>
        <v>https://pbs.twimg.com/profile_images/724620034363035649/wTvPKqpt_normal.jpg</v>
      </c>
      <c r="G1216" s="63"/>
      <c r="H1216" s="67"/>
      <c r="I1216" s="68"/>
      <c r="J1216" s="68"/>
      <c r="K1216" s="67" t="s">
        <v>10012</v>
      </c>
      <c r="L1216" s="71"/>
      <c r="M1216" s="72"/>
      <c r="N1216" s="72"/>
      <c r="O1216" s="73"/>
      <c r="P1216" s="74"/>
      <c r="Q1216" s="74"/>
      <c r="R1216" s="81"/>
      <c r="S1216" s="81"/>
      <c r="T1216" s="81"/>
      <c r="U1216" s="81"/>
      <c r="V1216" s="48"/>
      <c r="W1216" s="48"/>
      <c r="X1216" s="48"/>
      <c r="Y1216" s="48"/>
      <c r="Z1216" s="47"/>
      <c r="AA1216" s="69"/>
      <c r="AB1216" s="69"/>
      <c r="AC1216" s="70"/>
      <c r="AD1216" t="s">
        <v>5702</v>
      </c>
      <c r="AE1216" s="78" t="s">
        <v>6943</v>
      </c>
      <c r="AF1216">
        <v>32</v>
      </c>
      <c r="AG1216">
        <v>19</v>
      </c>
      <c r="AH1216">
        <v>3</v>
      </c>
      <c r="AI1216">
        <v>0</v>
      </c>
      <c r="AK1216" t="s">
        <v>8106</v>
      </c>
      <c r="AL1216" t="s">
        <v>9039</v>
      </c>
      <c r="AO1216" s="76">
        <v>42485.638229166667</v>
      </c>
      <c r="AP1216" s="79" t="str">
        <f>HYPERLINK("https://pbs.twimg.com/profile_banners/724618734774685696/1461598366")</f>
        <v>https://pbs.twimg.com/profile_banners/724618734774685696/1461598366</v>
      </c>
      <c r="AQ1216" t="b">
        <v>1</v>
      </c>
      <c r="AR1216" t="b">
        <v>0</v>
      </c>
      <c r="AS1216" t="b">
        <v>0</v>
      </c>
      <c r="AU1216">
        <v>0</v>
      </c>
      <c r="AW1216" t="b">
        <v>0</v>
      </c>
      <c r="AX1216" t="s">
        <v>9303</v>
      </c>
      <c r="AY1216" s="79" t="str">
        <f>HYPERLINK("https://twitter.com/bwwakron")</f>
        <v>https://twitter.com/bwwakron</v>
      </c>
      <c r="AZ1216" t="s">
        <v>65</v>
      </c>
      <c r="BA1216" s="2"/>
    </row>
    <row r="1217" spans="1:53" x14ac:dyDescent="0.45">
      <c r="A1217" s="62" t="s">
        <v>1507</v>
      </c>
      <c r="B1217" s="63"/>
      <c r="C1217" s="63"/>
      <c r="D1217" s="64"/>
      <c r="E1217" s="66"/>
      <c r="F1217" s="98" t="str">
        <f>HYPERLINK("https://pbs.twimg.com/profile_images/1607287420504141827/JKUGSUXI_normal.jpg")</f>
        <v>https://pbs.twimg.com/profile_images/1607287420504141827/JKUGSUXI_normal.jpg</v>
      </c>
      <c r="G1217" s="63"/>
      <c r="H1217" s="67"/>
      <c r="I1217" s="68"/>
      <c r="J1217" s="68"/>
      <c r="K1217" s="67" t="s">
        <v>10525</v>
      </c>
      <c r="L1217" s="71"/>
      <c r="M1217" s="72"/>
      <c r="N1217" s="72"/>
      <c r="O1217" s="73"/>
      <c r="P1217" s="74"/>
      <c r="Q1217" s="74"/>
      <c r="R1217" s="81"/>
      <c r="S1217" s="81"/>
      <c r="T1217" s="81"/>
      <c r="U1217" s="81"/>
      <c r="V1217" s="48"/>
      <c r="W1217" s="48"/>
      <c r="X1217" s="48"/>
      <c r="Y1217" s="48"/>
      <c r="Z1217" s="47"/>
      <c r="AA1217" s="69"/>
      <c r="AB1217" s="69"/>
      <c r="AC1217" s="70"/>
      <c r="AD1217" t="s">
        <v>6203</v>
      </c>
      <c r="AE1217" s="78" t="s">
        <v>7384</v>
      </c>
      <c r="AF1217">
        <v>7</v>
      </c>
      <c r="AG1217">
        <v>19</v>
      </c>
      <c r="AH1217">
        <v>5752</v>
      </c>
      <c r="AI1217">
        <v>30</v>
      </c>
      <c r="AK1217" t="s">
        <v>8556</v>
      </c>
      <c r="AL1217" t="s">
        <v>9249</v>
      </c>
      <c r="AO1217" s="76">
        <v>44921.335844907408</v>
      </c>
      <c r="AP1217" s="79" t="str">
        <f>HYPERLINK("https://pbs.twimg.com/profile_banners/1607285813838221313/1672042156")</f>
        <v>https://pbs.twimg.com/profile_banners/1607285813838221313/1672042156</v>
      </c>
      <c r="AQ1217" t="b">
        <v>1</v>
      </c>
      <c r="AR1217" t="b">
        <v>0</v>
      </c>
      <c r="AS1217" t="b">
        <v>0</v>
      </c>
      <c r="AU1217">
        <v>0</v>
      </c>
      <c r="AW1217" t="b">
        <v>0</v>
      </c>
      <c r="AX1217" t="s">
        <v>9303</v>
      </c>
      <c r="AY1217" s="79" t="str">
        <f>HYPERLINK("https://twitter.com/flipkar93321588")</f>
        <v>https://twitter.com/flipkar93321588</v>
      </c>
      <c r="AZ1217" t="s">
        <v>65</v>
      </c>
      <c r="BA1217" s="2"/>
    </row>
    <row r="1218" spans="1:53" x14ac:dyDescent="0.45">
      <c r="A1218" s="62" t="s">
        <v>1208</v>
      </c>
      <c r="B1218" s="63"/>
      <c r="C1218" s="63"/>
      <c r="D1218" s="64"/>
      <c r="E1218" s="66"/>
      <c r="F1218" s="98" t="str">
        <f>HYPERLINK("https://pbs.twimg.com/profile_images/1620406419403980800/HxQ21E2I_normal.png")</f>
        <v>https://pbs.twimg.com/profile_images/1620406419403980800/HxQ21E2I_normal.png</v>
      </c>
      <c r="G1218" s="63"/>
      <c r="H1218" s="67"/>
      <c r="I1218" s="68"/>
      <c r="J1218" s="68"/>
      <c r="K1218" s="67" t="s">
        <v>9515</v>
      </c>
      <c r="L1218" s="71"/>
      <c r="M1218" s="72"/>
      <c r="N1218" s="72"/>
      <c r="O1218" s="73"/>
      <c r="P1218" s="74"/>
      <c r="Q1218" s="74"/>
      <c r="R1218" s="81"/>
      <c r="S1218" s="81"/>
      <c r="T1218" s="81"/>
      <c r="U1218" s="81"/>
      <c r="V1218" s="48"/>
      <c r="W1218" s="48"/>
      <c r="X1218" s="48"/>
      <c r="Y1218" s="48"/>
      <c r="Z1218" s="47"/>
      <c r="AA1218" s="69"/>
      <c r="AB1218" s="69"/>
      <c r="AC1218" s="70"/>
      <c r="AD1218" t="s">
        <v>5209</v>
      </c>
      <c r="AE1218" s="78" t="s">
        <v>4674</v>
      </c>
      <c r="AF1218">
        <v>0</v>
      </c>
      <c r="AG1218">
        <v>18</v>
      </c>
      <c r="AH1218">
        <v>1350</v>
      </c>
      <c r="AI1218">
        <v>0</v>
      </c>
      <c r="AK1218" t="s">
        <v>7679</v>
      </c>
      <c r="AL1218" t="s">
        <v>8792</v>
      </c>
      <c r="AO1218" s="76">
        <v>41489.342928240738</v>
      </c>
      <c r="AQ1218" t="b">
        <v>1</v>
      </c>
      <c r="AR1218" t="b">
        <v>0</v>
      </c>
      <c r="AS1218" t="b">
        <v>0</v>
      </c>
      <c r="AU1218">
        <v>0</v>
      </c>
      <c r="AV1218" s="79" t="str">
        <f>HYPERLINK("https://abs.twimg.com/images/themes/theme1/bg.png")</f>
        <v>https://abs.twimg.com/images/themes/theme1/bg.png</v>
      </c>
      <c r="AW1218" t="b">
        <v>0</v>
      </c>
      <c r="AX1218" t="s">
        <v>9303</v>
      </c>
      <c r="AY1218" s="79" t="str">
        <f>HYPERLINK("https://twitter.com/berliyanr")</f>
        <v>https://twitter.com/berliyanr</v>
      </c>
      <c r="AZ1218" t="s">
        <v>65</v>
      </c>
      <c r="BA1218" s="2"/>
    </row>
    <row r="1219" spans="1:53" x14ac:dyDescent="0.45">
      <c r="A1219" s="62" t="s">
        <v>361</v>
      </c>
      <c r="B1219" s="63"/>
      <c r="C1219" s="63"/>
      <c r="D1219" s="64"/>
      <c r="E1219" s="66"/>
      <c r="F1219" s="98" t="str">
        <f>HYPERLINK("https://pbs.twimg.com/profile_images/1595982003433873408/3vHI80Sc_normal.jpg")</f>
        <v>https://pbs.twimg.com/profile_images/1595982003433873408/3vHI80Sc_normal.jpg</v>
      </c>
      <c r="G1219" s="63"/>
      <c r="H1219" s="67"/>
      <c r="I1219" s="68"/>
      <c r="J1219" s="68"/>
      <c r="K1219" s="67" t="s">
        <v>9602</v>
      </c>
      <c r="L1219" s="71"/>
      <c r="M1219" s="72"/>
      <c r="N1219" s="72"/>
      <c r="O1219" s="73"/>
      <c r="P1219" s="74"/>
      <c r="Q1219" s="74"/>
      <c r="R1219" s="81"/>
      <c r="S1219" s="81"/>
      <c r="T1219" s="81"/>
      <c r="U1219" s="81"/>
      <c r="V1219" s="48"/>
      <c r="W1219" s="48"/>
      <c r="X1219" s="48"/>
      <c r="Y1219" s="48"/>
      <c r="Z1219" s="47"/>
      <c r="AA1219" s="69"/>
      <c r="AB1219" s="69"/>
      <c r="AC1219" s="70"/>
      <c r="AD1219" t="s">
        <v>5295</v>
      </c>
      <c r="AE1219" s="78" t="s">
        <v>6573</v>
      </c>
      <c r="AF1219">
        <v>125</v>
      </c>
      <c r="AG1219">
        <v>18</v>
      </c>
      <c r="AH1219">
        <v>423</v>
      </c>
      <c r="AI1219">
        <v>789</v>
      </c>
      <c r="AK1219" t="s">
        <v>7752</v>
      </c>
      <c r="AO1219" s="76">
        <v>43648.156018518515</v>
      </c>
      <c r="AP1219" s="79" t="str">
        <f>HYPERLINK("https://pbs.twimg.com/profile_banners/1145901073292546050/1638059058")</f>
        <v>https://pbs.twimg.com/profile_banners/1145901073292546050/1638059058</v>
      </c>
      <c r="AQ1219" t="b">
        <v>1</v>
      </c>
      <c r="AR1219" t="b">
        <v>0</v>
      </c>
      <c r="AS1219" t="b">
        <v>0</v>
      </c>
      <c r="AU1219">
        <v>0</v>
      </c>
      <c r="AW1219" t="b">
        <v>0</v>
      </c>
      <c r="AX1219" t="s">
        <v>9303</v>
      </c>
      <c r="AY1219" s="79" t="str">
        <f>HYPERLINK("https://twitter.com/brianasheppar13")</f>
        <v>https://twitter.com/brianasheppar13</v>
      </c>
      <c r="AZ1219" t="s">
        <v>66</v>
      </c>
      <c r="BA1219" s="2"/>
    </row>
    <row r="1220" spans="1:53" x14ac:dyDescent="0.45">
      <c r="A1220" s="62" t="s">
        <v>1515</v>
      </c>
      <c r="B1220" s="63"/>
      <c r="C1220" s="63"/>
      <c r="D1220" s="64"/>
      <c r="E1220" s="66"/>
      <c r="F1220" s="98" t="str">
        <f>HYPERLINK("https://abs.twimg.com/sticky/default_profile_images/default_profile_normal.png")</f>
        <v>https://abs.twimg.com/sticky/default_profile_images/default_profile_normal.png</v>
      </c>
      <c r="G1220" s="63"/>
      <c r="H1220" s="67"/>
      <c r="I1220" s="68"/>
      <c r="J1220" s="68"/>
      <c r="K1220" s="67" t="s">
        <v>10534</v>
      </c>
      <c r="L1220" s="71"/>
      <c r="M1220" s="72"/>
      <c r="N1220" s="72"/>
      <c r="O1220" s="73"/>
      <c r="P1220" s="74"/>
      <c r="Q1220" s="74"/>
      <c r="R1220" s="81"/>
      <c r="S1220" s="81"/>
      <c r="T1220" s="81"/>
      <c r="U1220" s="81"/>
      <c r="V1220" s="48"/>
      <c r="W1220" s="48"/>
      <c r="X1220" s="48"/>
      <c r="Y1220" s="48"/>
      <c r="Z1220" s="47"/>
      <c r="AA1220" s="69"/>
      <c r="AB1220" s="69"/>
      <c r="AC1220" s="70"/>
      <c r="AD1220" t="s">
        <v>6212</v>
      </c>
      <c r="AE1220" s="78" t="s">
        <v>4802</v>
      </c>
      <c r="AF1220">
        <v>43</v>
      </c>
      <c r="AG1220">
        <v>18</v>
      </c>
      <c r="AH1220">
        <v>0</v>
      </c>
      <c r="AI1220">
        <v>4</v>
      </c>
      <c r="AO1220" s="76">
        <v>41597.616655092592</v>
      </c>
      <c r="AQ1220" t="b">
        <v>1</v>
      </c>
      <c r="AR1220" t="b">
        <v>1</v>
      </c>
      <c r="AS1220" t="b">
        <v>0</v>
      </c>
      <c r="AU1220">
        <v>0</v>
      </c>
      <c r="AV1220" s="79" t="str">
        <f>HYPERLINK("https://abs.twimg.com/images/themes/theme1/bg.png")</f>
        <v>https://abs.twimg.com/images/themes/theme1/bg.png</v>
      </c>
      <c r="AW1220" t="b">
        <v>0</v>
      </c>
      <c r="AX1220" t="s">
        <v>9303</v>
      </c>
      <c r="AY1220" s="79" t="str">
        <f>HYPERLINK("https://twitter.com/prashantjhaveri")</f>
        <v>https://twitter.com/prashantjhaveri</v>
      </c>
      <c r="AZ1220" t="s">
        <v>65</v>
      </c>
      <c r="BA1220" s="2"/>
    </row>
    <row r="1221" spans="1:53" x14ac:dyDescent="0.45">
      <c r="A1221" s="62" t="s">
        <v>394</v>
      </c>
      <c r="B1221" s="63"/>
      <c r="C1221" s="63"/>
      <c r="D1221" s="64"/>
      <c r="E1221" s="66"/>
      <c r="F1221" s="98" t="str">
        <f>HYPERLINK("https://abs.twimg.com/sticky/default_profile_images/default_profile_normal.png")</f>
        <v>https://abs.twimg.com/sticky/default_profile_images/default_profile_normal.png</v>
      </c>
      <c r="G1221" s="63"/>
      <c r="H1221" s="67"/>
      <c r="I1221" s="68"/>
      <c r="J1221" s="68"/>
      <c r="K1221" s="67" t="s">
        <v>9642</v>
      </c>
      <c r="L1221" s="71"/>
      <c r="M1221" s="72"/>
      <c r="N1221" s="72"/>
      <c r="O1221" s="73"/>
      <c r="P1221" s="74"/>
      <c r="Q1221" s="74"/>
      <c r="R1221" s="81"/>
      <c r="S1221" s="81"/>
      <c r="T1221" s="81"/>
      <c r="U1221" s="81"/>
      <c r="V1221" s="48"/>
      <c r="W1221" s="48"/>
      <c r="X1221" s="48"/>
      <c r="Y1221" s="48"/>
      <c r="Z1221" s="47"/>
      <c r="AA1221" s="69"/>
      <c r="AB1221" s="69"/>
      <c r="AC1221" s="70"/>
      <c r="AD1221" t="s">
        <v>5335</v>
      </c>
      <c r="AE1221" s="78" t="s">
        <v>6610</v>
      </c>
      <c r="AF1221">
        <v>54</v>
      </c>
      <c r="AG1221">
        <v>17</v>
      </c>
      <c r="AH1221">
        <v>353</v>
      </c>
      <c r="AI1221">
        <v>1271</v>
      </c>
      <c r="AK1221" t="s">
        <v>7787</v>
      </c>
      <c r="AO1221" s="76">
        <v>44238.858865740738</v>
      </c>
      <c r="AQ1221" t="b">
        <v>1</v>
      </c>
      <c r="AR1221" t="b">
        <v>1</v>
      </c>
      <c r="AS1221" t="b">
        <v>0</v>
      </c>
      <c r="AU1221">
        <v>0</v>
      </c>
      <c r="AW1221" t="b">
        <v>0</v>
      </c>
      <c r="AX1221" t="s">
        <v>9303</v>
      </c>
      <c r="AY1221" s="79" t="str">
        <f>HYPERLINK("https://twitter.com/nk76202283")</f>
        <v>https://twitter.com/nk76202283</v>
      </c>
      <c r="AZ1221" t="s">
        <v>66</v>
      </c>
      <c r="BA1221" s="2"/>
    </row>
    <row r="1222" spans="1:53" x14ac:dyDescent="0.45">
      <c r="A1222" s="62" t="s">
        <v>798</v>
      </c>
      <c r="B1222" s="63"/>
      <c r="C1222" s="63"/>
      <c r="D1222" s="64"/>
      <c r="E1222" s="66"/>
      <c r="F1222" s="98" t="str">
        <f>HYPERLINK("https://pbs.twimg.com/profile_images/1613022584831971328/YU9O8hUY_normal.jpg")</f>
        <v>https://pbs.twimg.com/profile_images/1613022584831971328/YU9O8hUY_normal.jpg</v>
      </c>
      <c r="G1222" s="63"/>
      <c r="H1222" s="67"/>
      <c r="I1222" s="68"/>
      <c r="J1222" s="68"/>
      <c r="K1222" s="67" t="s">
        <v>10169</v>
      </c>
      <c r="L1222" s="71"/>
      <c r="M1222" s="72"/>
      <c r="N1222" s="72"/>
      <c r="O1222" s="73"/>
      <c r="P1222" s="74"/>
      <c r="Q1222" s="74"/>
      <c r="R1222" s="81"/>
      <c r="S1222" s="81"/>
      <c r="T1222" s="81"/>
      <c r="U1222" s="81"/>
      <c r="V1222" s="48"/>
      <c r="W1222" s="48"/>
      <c r="X1222" s="48"/>
      <c r="Y1222" s="48"/>
      <c r="Z1222" s="47"/>
      <c r="AA1222" s="69"/>
      <c r="AB1222" s="69"/>
      <c r="AC1222" s="70"/>
      <c r="AD1222" t="s">
        <v>5855</v>
      </c>
      <c r="AE1222" s="78" t="s">
        <v>4749</v>
      </c>
      <c r="AF1222">
        <v>64</v>
      </c>
      <c r="AG1222">
        <v>17</v>
      </c>
      <c r="AH1222">
        <v>4612</v>
      </c>
      <c r="AI1222">
        <v>3010</v>
      </c>
      <c r="AO1222" s="76">
        <v>44828.047962962963</v>
      </c>
      <c r="AP1222" s="79" t="str">
        <f>HYPERLINK("https://pbs.twimg.com/profile_banners/1573479520174219274/1672565241")</f>
        <v>https://pbs.twimg.com/profile_banners/1573479520174219274/1672565241</v>
      </c>
      <c r="AQ1222" t="b">
        <v>1</v>
      </c>
      <c r="AR1222" t="b">
        <v>0</v>
      </c>
      <c r="AS1222" t="b">
        <v>1</v>
      </c>
      <c r="AU1222">
        <v>0</v>
      </c>
      <c r="AW1222" t="b">
        <v>0</v>
      </c>
      <c r="AX1222" t="s">
        <v>9303</v>
      </c>
      <c r="AY1222" s="79" t="str">
        <f>HYPERLINK("https://twitter.com/ecclesi41663287")</f>
        <v>https://twitter.com/ecclesi41663287</v>
      </c>
      <c r="AZ1222" t="s">
        <v>66</v>
      </c>
      <c r="BA1222" s="2"/>
    </row>
    <row r="1223" spans="1:53" x14ac:dyDescent="0.45">
      <c r="A1223" s="62" t="s">
        <v>956</v>
      </c>
      <c r="B1223" s="63"/>
      <c r="C1223" s="63"/>
      <c r="D1223" s="64"/>
      <c r="E1223" s="66"/>
      <c r="F1223" s="98" t="str">
        <f>HYPERLINK("https://pbs.twimg.com/profile_images/1620026713756385282/qqine8-s_normal.jpg")</f>
        <v>https://pbs.twimg.com/profile_images/1620026713756385282/qqine8-s_normal.jpg</v>
      </c>
      <c r="G1223" s="63"/>
      <c r="H1223" s="67"/>
      <c r="I1223" s="68"/>
      <c r="J1223" s="68"/>
      <c r="K1223" s="67" t="s">
        <v>10411</v>
      </c>
      <c r="L1223" s="71"/>
      <c r="M1223" s="72"/>
      <c r="N1223" s="72"/>
      <c r="O1223" s="73"/>
      <c r="P1223" s="74"/>
      <c r="Q1223" s="74"/>
      <c r="R1223" s="81"/>
      <c r="S1223" s="81"/>
      <c r="T1223" s="81"/>
      <c r="U1223" s="81"/>
      <c r="V1223" s="48"/>
      <c r="W1223" s="48"/>
      <c r="X1223" s="48"/>
      <c r="Y1223" s="48"/>
      <c r="Z1223" s="47"/>
      <c r="AA1223" s="69"/>
      <c r="AB1223" s="69"/>
      <c r="AC1223" s="70"/>
      <c r="AD1223" t="s">
        <v>6093</v>
      </c>
      <c r="AE1223" s="78" t="s">
        <v>7292</v>
      </c>
      <c r="AF1223">
        <v>239</v>
      </c>
      <c r="AG1223">
        <v>17</v>
      </c>
      <c r="AH1223">
        <v>145</v>
      </c>
      <c r="AI1223">
        <v>253</v>
      </c>
      <c r="AK1223" t="s">
        <v>8455</v>
      </c>
      <c r="AO1223" s="76">
        <v>44949.563703703701</v>
      </c>
      <c r="AQ1223" t="b">
        <v>1</v>
      </c>
      <c r="AR1223" t="b">
        <v>0</v>
      </c>
      <c r="AS1223" t="b">
        <v>0</v>
      </c>
      <c r="AU1223">
        <v>0</v>
      </c>
      <c r="AW1223" t="b">
        <v>0</v>
      </c>
      <c r="AX1223" t="s">
        <v>9303</v>
      </c>
      <c r="AY1223" s="79" t="str">
        <f>HYPERLINK("https://twitter.com/joyce5775linda")</f>
        <v>https://twitter.com/joyce5775linda</v>
      </c>
      <c r="AZ1223" t="s">
        <v>66</v>
      </c>
      <c r="BA1223" s="2"/>
    </row>
    <row r="1224" spans="1:53" x14ac:dyDescent="0.45">
      <c r="A1224" s="62" t="s">
        <v>502</v>
      </c>
      <c r="B1224" s="63"/>
      <c r="C1224" s="63"/>
      <c r="D1224" s="64"/>
      <c r="E1224" s="66"/>
      <c r="F1224" s="98" t="str">
        <f>HYPERLINK("https://pbs.twimg.com/profile_images/1592582034152902656/tUZdXBh3_normal.jpg")</f>
        <v>https://pbs.twimg.com/profile_images/1592582034152902656/tUZdXBh3_normal.jpg</v>
      </c>
      <c r="G1224" s="63"/>
      <c r="H1224" s="67"/>
      <c r="I1224" s="68"/>
      <c r="J1224" s="68"/>
      <c r="K1224" s="67" t="s">
        <v>9778</v>
      </c>
      <c r="L1224" s="71"/>
      <c r="M1224" s="72"/>
      <c r="N1224" s="72"/>
      <c r="O1224" s="73"/>
      <c r="P1224" s="74"/>
      <c r="Q1224" s="74"/>
      <c r="R1224" s="81"/>
      <c r="S1224" s="81"/>
      <c r="T1224" s="81"/>
      <c r="U1224" s="81"/>
      <c r="V1224" s="48"/>
      <c r="W1224" s="48"/>
      <c r="X1224" s="48"/>
      <c r="Y1224" s="48"/>
      <c r="Z1224" s="47"/>
      <c r="AA1224" s="69"/>
      <c r="AB1224" s="69"/>
      <c r="AC1224" s="70"/>
      <c r="AD1224" t="s">
        <v>5470</v>
      </c>
      <c r="AE1224" s="78" t="s">
        <v>4707</v>
      </c>
      <c r="AF1224">
        <v>21</v>
      </c>
      <c r="AG1224">
        <v>16</v>
      </c>
      <c r="AH1224">
        <v>802</v>
      </c>
      <c r="AI1224">
        <v>9</v>
      </c>
      <c r="AL1224" t="s">
        <v>8913</v>
      </c>
      <c r="AO1224" s="76">
        <v>40412.852662037039</v>
      </c>
      <c r="AQ1224" t="b">
        <v>1</v>
      </c>
      <c r="AR1224" t="b">
        <v>0</v>
      </c>
      <c r="AS1224" t="b">
        <v>1</v>
      </c>
      <c r="AU1224">
        <v>1</v>
      </c>
      <c r="AV1224" s="79" t="str">
        <f>HYPERLINK("https://abs.twimg.com/images/themes/theme1/bg.png")</f>
        <v>https://abs.twimg.com/images/themes/theme1/bg.png</v>
      </c>
      <c r="AW1224" t="b">
        <v>0</v>
      </c>
      <c r="AX1224" t="s">
        <v>9303</v>
      </c>
      <c r="AY1224" s="79" t="str">
        <f>HYPERLINK("https://twitter.com/rohit_ochani")</f>
        <v>https://twitter.com/rohit_ochani</v>
      </c>
      <c r="AZ1224" t="s">
        <v>66</v>
      </c>
      <c r="BA1224" s="2"/>
    </row>
    <row r="1225" spans="1:53" x14ac:dyDescent="0.45">
      <c r="A1225" s="62" t="s">
        <v>687</v>
      </c>
      <c r="B1225" s="63"/>
      <c r="C1225" s="63"/>
      <c r="D1225" s="64"/>
      <c r="E1225" s="66"/>
      <c r="F1225" s="98" t="str">
        <f>HYPERLINK("https://pbs.twimg.com/profile_images/1620638500457521152/6K5-Qrps_normal.jpg")</f>
        <v>https://pbs.twimg.com/profile_images/1620638500457521152/6K5-Qrps_normal.jpg</v>
      </c>
      <c r="G1225" s="63"/>
      <c r="H1225" s="67"/>
      <c r="I1225" s="68"/>
      <c r="J1225" s="68"/>
      <c r="K1225" s="67" t="s">
        <v>10017</v>
      </c>
      <c r="L1225" s="71"/>
      <c r="M1225" s="72"/>
      <c r="N1225" s="72"/>
      <c r="O1225" s="73"/>
      <c r="P1225" s="74"/>
      <c r="Q1225" s="74"/>
      <c r="R1225" s="81"/>
      <c r="S1225" s="81"/>
      <c r="T1225" s="81"/>
      <c r="U1225" s="81"/>
      <c r="V1225" s="48"/>
      <c r="W1225" s="48"/>
      <c r="X1225" s="48"/>
      <c r="Y1225" s="48"/>
      <c r="Z1225" s="47"/>
      <c r="AA1225" s="69"/>
      <c r="AB1225" s="69"/>
      <c r="AC1225" s="70"/>
      <c r="AD1225" t="s">
        <v>5707</v>
      </c>
      <c r="AE1225" s="78" t="s">
        <v>6947</v>
      </c>
      <c r="AF1225">
        <v>76</v>
      </c>
      <c r="AG1225">
        <v>15</v>
      </c>
      <c r="AH1225">
        <v>292</v>
      </c>
      <c r="AI1225">
        <v>3913</v>
      </c>
      <c r="AK1225" t="s">
        <v>8110</v>
      </c>
      <c r="AL1225" t="s">
        <v>9041</v>
      </c>
      <c r="AO1225" s="76">
        <v>44808.089988425927</v>
      </c>
      <c r="AP1225" s="79" t="str">
        <f>HYPERLINK("https://pbs.twimg.com/profile_banners/1566246998054952961/1675225314")</f>
        <v>https://pbs.twimg.com/profile_banners/1566246998054952961/1675225314</v>
      </c>
      <c r="AQ1225" t="b">
        <v>1</v>
      </c>
      <c r="AR1225" t="b">
        <v>0</v>
      </c>
      <c r="AS1225" t="b">
        <v>0</v>
      </c>
      <c r="AU1225">
        <v>0</v>
      </c>
      <c r="AW1225" t="b">
        <v>0</v>
      </c>
      <c r="AX1225" t="s">
        <v>9303</v>
      </c>
      <c r="AY1225" s="79" t="str">
        <f>HYPERLINK("https://twitter.com/gregggggggggg4")</f>
        <v>https://twitter.com/gregggggggggg4</v>
      </c>
      <c r="AZ1225" t="s">
        <v>66</v>
      </c>
      <c r="BA1225" s="2"/>
    </row>
    <row r="1226" spans="1:53" x14ac:dyDescent="0.45">
      <c r="A1226" s="62" t="s">
        <v>641</v>
      </c>
      <c r="B1226" s="63"/>
      <c r="C1226" s="63"/>
      <c r="D1226" s="64"/>
      <c r="E1226" s="66"/>
      <c r="F1226" s="98" t="str">
        <f>HYPERLINK("https://pbs.twimg.com/profile_images/1390673932232105985/b8V0utJO_normal.jpg")</f>
        <v>https://pbs.twimg.com/profile_images/1390673932232105985/b8V0utJO_normal.jpg</v>
      </c>
      <c r="G1226" s="63"/>
      <c r="H1226" s="67"/>
      <c r="I1226" s="68"/>
      <c r="J1226" s="68"/>
      <c r="K1226" s="67" t="s">
        <v>9951</v>
      </c>
      <c r="L1226" s="71"/>
      <c r="M1226" s="72"/>
      <c r="N1226" s="72"/>
      <c r="O1226" s="73"/>
      <c r="P1226" s="74"/>
      <c r="Q1226" s="74"/>
      <c r="R1226" s="81"/>
      <c r="S1226" s="81"/>
      <c r="T1226" s="81"/>
      <c r="U1226" s="81"/>
      <c r="V1226" s="48"/>
      <c r="W1226" s="48"/>
      <c r="X1226" s="48"/>
      <c r="Y1226" s="48"/>
      <c r="Z1226" s="47"/>
      <c r="AA1226" s="69"/>
      <c r="AB1226" s="69"/>
      <c r="AC1226" s="70"/>
      <c r="AD1226" t="s">
        <v>5642</v>
      </c>
      <c r="AE1226" s="78" t="s">
        <v>6884</v>
      </c>
      <c r="AF1226">
        <v>41</v>
      </c>
      <c r="AG1226">
        <v>14</v>
      </c>
      <c r="AH1226">
        <v>409</v>
      </c>
      <c r="AI1226">
        <v>1295</v>
      </c>
      <c r="AL1226" t="s">
        <v>9012</v>
      </c>
      <c r="AO1226" s="76">
        <v>44240.632523148146</v>
      </c>
      <c r="AQ1226" t="b">
        <v>1</v>
      </c>
      <c r="AR1226" t="b">
        <v>0</v>
      </c>
      <c r="AS1226" t="b">
        <v>0</v>
      </c>
      <c r="AU1226">
        <v>2</v>
      </c>
      <c r="AW1226" t="b">
        <v>0</v>
      </c>
      <c r="AX1226" t="s">
        <v>9303</v>
      </c>
      <c r="AY1226" s="79" t="str">
        <f>HYPERLINK("https://twitter.com/itsmrmingtoyou")</f>
        <v>https://twitter.com/itsmrmingtoyou</v>
      </c>
      <c r="AZ1226" t="s">
        <v>66</v>
      </c>
      <c r="BA1226" s="2"/>
    </row>
    <row r="1227" spans="1:53" x14ac:dyDescent="0.45">
      <c r="A1227" s="62" t="s">
        <v>997</v>
      </c>
      <c r="B1227" s="63"/>
      <c r="C1227" s="63"/>
      <c r="D1227" s="64"/>
      <c r="E1227" s="66"/>
      <c r="F1227" s="98" t="str">
        <f>HYPERLINK("https://pbs.twimg.com/profile_images/1567196608160464896/ly5Bc7iW_normal.jpg")</f>
        <v>https://pbs.twimg.com/profile_images/1567196608160464896/ly5Bc7iW_normal.jpg</v>
      </c>
      <c r="G1227" s="63"/>
      <c r="H1227" s="67"/>
      <c r="I1227" s="68"/>
      <c r="J1227" s="68"/>
      <c r="K1227" s="67" t="s">
        <v>10471</v>
      </c>
      <c r="L1227" s="71"/>
      <c r="M1227" s="72"/>
      <c r="N1227" s="72"/>
      <c r="O1227" s="73"/>
      <c r="P1227" s="74"/>
      <c r="Q1227" s="74"/>
      <c r="R1227" s="81"/>
      <c r="S1227" s="81"/>
      <c r="T1227" s="81"/>
      <c r="U1227" s="81"/>
      <c r="V1227" s="48"/>
      <c r="W1227" s="48"/>
      <c r="X1227" s="48"/>
      <c r="Y1227" s="48"/>
      <c r="Z1227" s="47"/>
      <c r="AA1227" s="69"/>
      <c r="AB1227" s="69"/>
      <c r="AC1227" s="70"/>
      <c r="AD1227" t="s">
        <v>6061</v>
      </c>
      <c r="AE1227" s="78" t="s">
        <v>7339</v>
      </c>
      <c r="AF1227">
        <v>55</v>
      </c>
      <c r="AG1227">
        <v>14</v>
      </c>
      <c r="AH1227">
        <v>1578</v>
      </c>
      <c r="AI1227">
        <v>1242</v>
      </c>
      <c r="AK1227" t="s">
        <v>8510</v>
      </c>
      <c r="AO1227" s="76">
        <v>44810.709722222222</v>
      </c>
      <c r="AQ1227" t="b">
        <v>1</v>
      </c>
      <c r="AR1227" t="b">
        <v>0</v>
      </c>
      <c r="AS1227" t="b">
        <v>0</v>
      </c>
      <c r="AU1227">
        <v>1</v>
      </c>
      <c r="AW1227" t="b">
        <v>0</v>
      </c>
      <c r="AX1227" t="s">
        <v>9303</v>
      </c>
      <c r="AY1227" s="79" t="str">
        <f>HYPERLINK("https://twitter.com/laura121953")</f>
        <v>https://twitter.com/laura121953</v>
      </c>
      <c r="AZ1227" t="s">
        <v>66</v>
      </c>
      <c r="BA1227" s="2"/>
    </row>
    <row r="1228" spans="1:53" x14ac:dyDescent="0.45">
      <c r="A1228" s="62" t="s">
        <v>328</v>
      </c>
      <c r="B1228" s="63"/>
      <c r="C1228" s="63"/>
      <c r="D1228" s="64"/>
      <c r="E1228" s="66"/>
      <c r="F1228" s="98" t="str">
        <f>HYPERLINK("https://pbs.twimg.com/profile_images/1620786658856542226/I_toFt4h_normal.jpg")</f>
        <v>https://pbs.twimg.com/profile_images/1620786658856542226/I_toFt4h_normal.jpg</v>
      </c>
      <c r="G1228" s="63"/>
      <c r="H1228" s="67"/>
      <c r="I1228" s="68"/>
      <c r="J1228" s="68"/>
      <c r="K1228" s="67" t="s">
        <v>9536</v>
      </c>
      <c r="L1228" s="71"/>
      <c r="M1228" s="72"/>
      <c r="N1228" s="72"/>
      <c r="O1228" s="73"/>
      <c r="P1228" s="74"/>
      <c r="Q1228" s="74"/>
      <c r="R1228" s="81"/>
      <c r="S1228" s="81"/>
      <c r="T1228" s="81"/>
      <c r="U1228" s="81"/>
      <c r="V1228" s="48"/>
      <c r="W1228" s="48"/>
      <c r="X1228" s="48"/>
      <c r="Y1228" s="48"/>
      <c r="Z1228" s="47"/>
      <c r="AA1228" s="69"/>
      <c r="AB1228" s="69"/>
      <c r="AC1228" s="70"/>
      <c r="AD1228" t="s">
        <v>5229</v>
      </c>
      <c r="AE1228" s="78" t="s">
        <v>6514</v>
      </c>
      <c r="AF1228">
        <v>0</v>
      </c>
      <c r="AG1228">
        <v>14</v>
      </c>
      <c r="AH1228">
        <v>78</v>
      </c>
      <c r="AI1228">
        <v>1</v>
      </c>
      <c r="AK1228" t="s">
        <v>7697</v>
      </c>
      <c r="AL1228" t="s">
        <v>8683</v>
      </c>
      <c r="AM1228" s="79" t="str">
        <f>HYPERLINK("https://t.co/Q2ld84o3CI")</f>
        <v>https://t.co/Q2ld84o3CI</v>
      </c>
      <c r="AO1228" s="76">
        <v>41049.190659722219</v>
      </c>
      <c r="AP1228" s="79" t="str">
        <f>HYPERLINK("https://pbs.twimg.com/profile_banners/585441543/1675260583")</f>
        <v>https://pbs.twimg.com/profile_banners/585441543/1675260583</v>
      </c>
      <c r="AQ1228" t="b">
        <v>1</v>
      </c>
      <c r="AR1228" t="b">
        <v>0</v>
      </c>
      <c r="AS1228" t="b">
        <v>0</v>
      </c>
      <c r="AU1228">
        <v>0</v>
      </c>
      <c r="AV1228" s="79" t="str">
        <f>HYPERLINK("https://abs.twimg.com/images/themes/theme1/bg.png")</f>
        <v>https://abs.twimg.com/images/themes/theme1/bg.png</v>
      </c>
      <c r="AW1228" t="b">
        <v>0</v>
      </c>
      <c r="AX1228" t="s">
        <v>9303</v>
      </c>
      <c r="AY1228" s="79" t="str">
        <f>HYPERLINK("https://twitter.com/tententen1990")</f>
        <v>https://twitter.com/tententen1990</v>
      </c>
      <c r="AZ1228" t="s">
        <v>66</v>
      </c>
      <c r="BA1228" s="2"/>
    </row>
    <row r="1229" spans="1:53" x14ac:dyDescent="0.45">
      <c r="A1229" s="62" t="s">
        <v>367</v>
      </c>
      <c r="B1229" s="63"/>
      <c r="C1229" s="63"/>
      <c r="D1229" s="64"/>
      <c r="E1229" s="66"/>
      <c r="F1229" s="98" t="str">
        <f>HYPERLINK("https://pbs.twimg.com/profile_images/1621031058954395649/46kyItkd_normal.jpg")</f>
        <v>https://pbs.twimg.com/profile_images/1621031058954395649/46kyItkd_normal.jpg</v>
      </c>
      <c r="G1229" s="63"/>
      <c r="H1229" s="67"/>
      <c r="I1229" s="68"/>
      <c r="J1229" s="68"/>
      <c r="K1229" s="67" t="s">
        <v>9610</v>
      </c>
      <c r="L1229" s="71"/>
      <c r="M1229" s="72"/>
      <c r="N1229" s="72"/>
      <c r="O1229" s="73"/>
      <c r="P1229" s="74"/>
      <c r="Q1229" s="74"/>
      <c r="R1229" s="81"/>
      <c r="S1229" s="81"/>
      <c r="T1229" s="81"/>
      <c r="U1229" s="81"/>
      <c r="V1229" s="48"/>
      <c r="W1229" s="48"/>
      <c r="X1229" s="48"/>
      <c r="Y1229" s="48"/>
      <c r="Z1229" s="47"/>
      <c r="AA1229" s="69"/>
      <c r="AB1229" s="69"/>
      <c r="AC1229" s="70"/>
      <c r="AD1229" t="s">
        <v>5303</v>
      </c>
      <c r="AE1229" s="78" t="s">
        <v>6581</v>
      </c>
      <c r="AF1229">
        <v>134</v>
      </c>
      <c r="AG1229">
        <v>14</v>
      </c>
      <c r="AH1229">
        <v>72</v>
      </c>
      <c r="AI1229">
        <v>34</v>
      </c>
      <c r="AO1229" s="76">
        <v>44918.575972222221</v>
      </c>
      <c r="AP1229" s="79" t="str">
        <f>HYPERLINK("https://pbs.twimg.com/profile_banners/1606285637547888645/1674486240")</f>
        <v>https://pbs.twimg.com/profile_banners/1606285637547888645/1674486240</v>
      </c>
      <c r="AQ1229" t="b">
        <v>1</v>
      </c>
      <c r="AR1229" t="b">
        <v>0</v>
      </c>
      <c r="AS1229" t="b">
        <v>0</v>
      </c>
      <c r="AU1229">
        <v>0</v>
      </c>
      <c r="AW1229" t="b">
        <v>0</v>
      </c>
      <c r="AX1229" t="s">
        <v>9303</v>
      </c>
      <c r="AY1229" s="79" t="str">
        <f>HYPERLINK("https://twitter.com/mirajwin23")</f>
        <v>https://twitter.com/mirajwin23</v>
      </c>
      <c r="AZ1229" t="s">
        <v>66</v>
      </c>
      <c r="BA1229" s="2"/>
    </row>
    <row r="1230" spans="1:53" x14ac:dyDescent="0.45">
      <c r="A1230" s="62" t="s">
        <v>494</v>
      </c>
      <c r="B1230" s="63"/>
      <c r="C1230" s="63"/>
      <c r="D1230" s="64"/>
      <c r="E1230" s="66"/>
      <c r="F1230" s="98" t="str">
        <f>HYPERLINK("https://pbs.twimg.com/profile_images/1620849130103767053/NZkpaIi8_normal.jpg")</f>
        <v>https://pbs.twimg.com/profile_images/1620849130103767053/NZkpaIi8_normal.jpg</v>
      </c>
      <c r="G1230" s="63"/>
      <c r="H1230" s="67"/>
      <c r="I1230" s="68"/>
      <c r="J1230" s="68"/>
      <c r="K1230" s="67" t="s">
        <v>9766</v>
      </c>
      <c r="L1230" s="71"/>
      <c r="M1230" s="72"/>
      <c r="N1230" s="72"/>
      <c r="O1230" s="73"/>
      <c r="P1230" s="74"/>
      <c r="Q1230" s="74"/>
      <c r="R1230" s="81"/>
      <c r="S1230" s="81"/>
      <c r="T1230" s="81"/>
      <c r="U1230" s="81"/>
      <c r="V1230" s="48"/>
      <c r="W1230" s="48"/>
      <c r="X1230" s="48"/>
      <c r="Y1230" s="48"/>
      <c r="Z1230" s="47"/>
      <c r="AA1230" s="69"/>
      <c r="AB1230" s="69"/>
      <c r="AC1230" s="70"/>
      <c r="AD1230" t="s">
        <v>5458</v>
      </c>
      <c r="AE1230" s="78" t="s">
        <v>6720</v>
      </c>
      <c r="AF1230">
        <v>162</v>
      </c>
      <c r="AG1230">
        <v>14</v>
      </c>
      <c r="AH1230">
        <v>65</v>
      </c>
      <c r="AI1230">
        <v>147</v>
      </c>
      <c r="AK1230" t="s">
        <v>7890</v>
      </c>
      <c r="AO1230" s="76">
        <v>44706.108229166668</v>
      </c>
      <c r="AP1230" s="79" t="str">
        <f>HYPERLINK("https://pbs.twimg.com/profile_banners/1529289932648357888/1675275521")</f>
        <v>https://pbs.twimg.com/profile_banners/1529289932648357888/1675275521</v>
      </c>
      <c r="AQ1230" t="b">
        <v>1</v>
      </c>
      <c r="AR1230" t="b">
        <v>0</v>
      </c>
      <c r="AS1230" t="b">
        <v>0</v>
      </c>
      <c r="AU1230">
        <v>0</v>
      </c>
      <c r="AW1230" t="b">
        <v>0</v>
      </c>
      <c r="AX1230" t="s">
        <v>9303</v>
      </c>
      <c r="AY1230" s="79" t="str">
        <f>HYPERLINK("https://twitter.com/labordayworx")</f>
        <v>https://twitter.com/labordayworx</v>
      </c>
      <c r="AZ1230" t="s">
        <v>66</v>
      </c>
      <c r="BA1230" s="2"/>
    </row>
    <row r="1231" spans="1:53" x14ac:dyDescent="0.45">
      <c r="A1231" s="62" t="s">
        <v>611</v>
      </c>
      <c r="B1231" s="63"/>
      <c r="C1231" s="63"/>
      <c r="D1231" s="64"/>
      <c r="E1231" s="66"/>
      <c r="F1231" s="98" t="str">
        <f>HYPERLINK("https://pbs.twimg.com/profile_images/1430624164394721289/SzS-Y_92_normal.jpg")</f>
        <v>https://pbs.twimg.com/profile_images/1430624164394721289/SzS-Y_92_normal.jpg</v>
      </c>
      <c r="G1231" s="63"/>
      <c r="H1231" s="67"/>
      <c r="I1231" s="68"/>
      <c r="J1231" s="68"/>
      <c r="K1231" s="67" t="s">
        <v>9911</v>
      </c>
      <c r="L1231" s="71"/>
      <c r="M1231" s="72"/>
      <c r="N1231" s="72"/>
      <c r="O1231" s="73"/>
      <c r="P1231" s="74"/>
      <c r="Q1231" s="74"/>
      <c r="R1231" s="81"/>
      <c r="S1231" s="81"/>
      <c r="T1231" s="81"/>
      <c r="U1231" s="81"/>
      <c r="V1231" s="48"/>
      <c r="W1231" s="48"/>
      <c r="X1231" s="48"/>
      <c r="Y1231" s="48"/>
      <c r="Z1231" s="47"/>
      <c r="AA1231" s="69"/>
      <c r="AB1231" s="69"/>
      <c r="AC1231" s="70"/>
      <c r="AD1231" t="s">
        <v>5602</v>
      </c>
      <c r="AE1231" s="78" t="s">
        <v>6847</v>
      </c>
      <c r="AF1231">
        <v>212</v>
      </c>
      <c r="AG1231">
        <v>14</v>
      </c>
      <c r="AH1231">
        <v>426</v>
      </c>
      <c r="AI1231">
        <v>3882</v>
      </c>
      <c r="AL1231" t="s">
        <v>8994</v>
      </c>
      <c r="AO1231" s="76">
        <v>44142.003483796296</v>
      </c>
      <c r="AQ1231" t="b">
        <v>1</v>
      </c>
      <c r="AR1231" t="b">
        <v>0</v>
      </c>
      <c r="AS1231" t="b">
        <v>0</v>
      </c>
      <c r="AU1231">
        <v>0</v>
      </c>
      <c r="AW1231" t="b">
        <v>0</v>
      </c>
      <c r="AX1231" t="s">
        <v>9303</v>
      </c>
      <c r="AY1231" s="79" t="str">
        <f>HYPERLINK("https://twitter.com/gaygardner420")</f>
        <v>https://twitter.com/gaygardner420</v>
      </c>
      <c r="AZ1231" t="s">
        <v>66</v>
      </c>
      <c r="BA1231" s="2"/>
    </row>
    <row r="1232" spans="1:53" x14ac:dyDescent="0.45">
      <c r="A1232" s="62" t="s">
        <v>882</v>
      </c>
      <c r="B1232" s="63"/>
      <c r="C1232" s="63"/>
      <c r="D1232" s="64"/>
      <c r="E1232" s="66"/>
      <c r="F1232" s="98" t="str">
        <f>HYPERLINK("https://pbs.twimg.com/profile_images/862418785931866113/7w7nUBef_normal.jpg")</f>
        <v>https://pbs.twimg.com/profile_images/862418785931866113/7w7nUBef_normal.jpg</v>
      </c>
      <c r="G1232" s="63"/>
      <c r="H1232" s="67"/>
      <c r="I1232" s="68"/>
      <c r="J1232" s="68"/>
      <c r="K1232" s="67" t="s">
        <v>10286</v>
      </c>
      <c r="L1232" s="71"/>
      <c r="M1232" s="72"/>
      <c r="N1232" s="72"/>
      <c r="O1232" s="73"/>
      <c r="P1232" s="74"/>
      <c r="Q1232" s="74"/>
      <c r="R1232" s="81"/>
      <c r="S1232" s="81"/>
      <c r="T1232" s="81"/>
      <c r="U1232" s="81"/>
      <c r="V1232" s="48"/>
      <c r="W1232" s="48"/>
      <c r="X1232" s="48"/>
      <c r="Y1232" s="48"/>
      <c r="Z1232" s="47"/>
      <c r="AA1232" s="69"/>
      <c r="AB1232" s="69"/>
      <c r="AC1232" s="70"/>
      <c r="AD1232" t="s">
        <v>5969</v>
      </c>
      <c r="AE1232" s="78" t="s">
        <v>7181</v>
      </c>
      <c r="AF1232">
        <v>71</v>
      </c>
      <c r="AG1232">
        <v>14</v>
      </c>
      <c r="AH1232">
        <v>2844</v>
      </c>
      <c r="AI1232">
        <v>2250</v>
      </c>
      <c r="AK1232" t="s">
        <v>8346</v>
      </c>
      <c r="AL1232" t="s">
        <v>4917</v>
      </c>
      <c r="AO1232" s="76">
        <v>40982.570405092592</v>
      </c>
      <c r="AQ1232" t="b">
        <v>1</v>
      </c>
      <c r="AR1232" t="b">
        <v>0</v>
      </c>
      <c r="AS1232" t="b">
        <v>1</v>
      </c>
      <c r="AU1232">
        <v>0</v>
      </c>
      <c r="AV1232" s="79" t="str">
        <f>HYPERLINK("https://abs.twimg.com/images/themes/theme1/bg.png")</f>
        <v>https://abs.twimg.com/images/themes/theme1/bg.png</v>
      </c>
      <c r="AW1232" t="b">
        <v>0</v>
      </c>
      <c r="AX1232" t="s">
        <v>9303</v>
      </c>
      <c r="AY1232" s="79" t="str">
        <f>HYPERLINK("https://twitter.com/margaran2")</f>
        <v>https://twitter.com/margaran2</v>
      </c>
      <c r="AZ1232" t="s">
        <v>66</v>
      </c>
      <c r="BA1232" s="2"/>
    </row>
    <row r="1233" spans="1:53" x14ac:dyDescent="0.45">
      <c r="A1233" s="62" t="s">
        <v>926</v>
      </c>
      <c r="B1233" s="63"/>
      <c r="C1233" s="63"/>
      <c r="D1233" s="64"/>
      <c r="E1233" s="66"/>
      <c r="F1233" s="98" t="str">
        <f>HYPERLINK("https://pbs.twimg.com/profile_images/1498450109679419396/yjVJoPKC_normal.jpg")</f>
        <v>https://pbs.twimg.com/profile_images/1498450109679419396/yjVJoPKC_normal.jpg</v>
      </c>
      <c r="G1233" s="63"/>
      <c r="H1233" s="67"/>
      <c r="I1233" s="68"/>
      <c r="J1233" s="68"/>
      <c r="K1233" s="67" t="s">
        <v>10359</v>
      </c>
      <c r="L1233" s="71"/>
      <c r="M1233" s="72"/>
      <c r="N1233" s="72"/>
      <c r="O1233" s="73"/>
      <c r="P1233" s="74"/>
      <c r="Q1233" s="74"/>
      <c r="R1233" s="81"/>
      <c r="S1233" s="81"/>
      <c r="T1233" s="81"/>
      <c r="U1233" s="81"/>
      <c r="V1233" s="48"/>
      <c r="W1233" s="48"/>
      <c r="X1233" s="48"/>
      <c r="Y1233" s="48"/>
      <c r="Z1233" s="47"/>
      <c r="AA1233" s="69"/>
      <c r="AB1233" s="69"/>
      <c r="AC1233" s="70"/>
      <c r="AD1233" t="s">
        <v>6042</v>
      </c>
      <c r="AE1233" s="78" t="s">
        <v>7247</v>
      </c>
      <c r="AF1233">
        <v>249</v>
      </c>
      <c r="AG1233">
        <v>14</v>
      </c>
      <c r="AH1233">
        <v>729</v>
      </c>
      <c r="AI1233">
        <v>2345</v>
      </c>
      <c r="AK1233" t="s">
        <v>8409</v>
      </c>
      <c r="AO1233" s="76">
        <v>43985.60769675926</v>
      </c>
      <c r="AQ1233" t="b">
        <v>1</v>
      </c>
      <c r="AR1233" t="b">
        <v>0</v>
      </c>
      <c r="AS1233" t="b">
        <v>0</v>
      </c>
      <c r="AU1233">
        <v>0</v>
      </c>
      <c r="AW1233" t="b">
        <v>0</v>
      </c>
      <c r="AX1233" t="s">
        <v>9303</v>
      </c>
      <c r="AY1233" s="79" t="str">
        <f>HYPERLINK("https://twitter.com/clarkinfamous")</f>
        <v>https://twitter.com/clarkinfamous</v>
      </c>
      <c r="AZ1233" t="s">
        <v>66</v>
      </c>
      <c r="BA1233" s="2"/>
    </row>
    <row r="1234" spans="1:53" x14ac:dyDescent="0.45">
      <c r="A1234" s="62" t="s">
        <v>1257</v>
      </c>
      <c r="B1234" s="63"/>
      <c r="C1234" s="63"/>
      <c r="D1234" s="64"/>
      <c r="E1234" s="66"/>
      <c r="F1234" s="98" t="str">
        <f>HYPERLINK("https://pbs.twimg.com/profile_images/1056170925/blaa1_normal.jpg")</f>
        <v>https://pbs.twimg.com/profile_images/1056170925/blaa1_normal.jpg</v>
      </c>
      <c r="G1234" s="63"/>
      <c r="H1234" s="67"/>
      <c r="I1234" s="68"/>
      <c r="J1234" s="68"/>
      <c r="K1234" s="67" t="s">
        <v>9686</v>
      </c>
      <c r="L1234" s="71"/>
      <c r="M1234" s="72"/>
      <c r="N1234" s="72"/>
      <c r="O1234" s="73"/>
      <c r="P1234" s="74"/>
      <c r="Q1234" s="74"/>
      <c r="R1234" s="81"/>
      <c r="S1234" s="81"/>
      <c r="T1234" s="81"/>
      <c r="U1234" s="81"/>
      <c r="V1234" s="48"/>
      <c r="W1234" s="48"/>
      <c r="X1234" s="48"/>
      <c r="Y1234" s="48"/>
      <c r="Z1234" s="47"/>
      <c r="AA1234" s="69"/>
      <c r="AB1234" s="69"/>
      <c r="AC1234" s="70"/>
      <c r="AD1234" t="s">
        <v>5379</v>
      </c>
      <c r="AE1234" s="78" t="s">
        <v>6652</v>
      </c>
      <c r="AF1234">
        <v>17</v>
      </c>
      <c r="AG1234">
        <v>13</v>
      </c>
      <c r="AH1234">
        <v>14</v>
      </c>
      <c r="AI1234">
        <v>0</v>
      </c>
      <c r="AL1234" t="s">
        <v>8871</v>
      </c>
      <c r="AM1234" s="79" t="str">
        <f>HYPERLINK("http://t.co/QKTuFLWkuo")</f>
        <v>http://t.co/QKTuFLWkuo</v>
      </c>
      <c r="AO1234" s="76">
        <v>40332.769236111111</v>
      </c>
      <c r="AQ1234" t="b">
        <v>0</v>
      </c>
      <c r="AR1234" t="b">
        <v>0</v>
      </c>
      <c r="AS1234" t="b">
        <v>0</v>
      </c>
      <c r="AU1234">
        <v>1</v>
      </c>
      <c r="AV1234" s="79" t="str">
        <f>HYPERLINK("https://abs.twimg.com/images/themes/theme13/bg.gif")</f>
        <v>https://abs.twimg.com/images/themes/theme13/bg.gif</v>
      </c>
      <c r="AW1234" t="b">
        <v>0</v>
      </c>
      <c r="AX1234" t="s">
        <v>9303</v>
      </c>
      <c r="AY1234" s="79" t="str">
        <f>HYPERLINK("https://twitter.com/welcome2iceland")</f>
        <v>https://twitter.com/welcome2iceland</v>
      </c>
      <c r="AZ1234" t="s">
        <v>65</v>
      </c>
      <c r="BA1234" s="2"/>
    </row>
    <row r="1235" spans="1:53" x14ac:dyDescent="0.45">
      <c r="A1235" s="62" t="s">
        <v>448</v>
      </c>
      <c r="B1235" s="63"/>
      <c r="C1235" s="63"/>
      <c r="D1235" s="64"/>
      <c r="E1235" s="66"/>
      <c r="F1235" s="98" t="str">
        <f>HYPERLINK("https://pbs.twimg.com/profile_images/1228200485397516289/Xi4Knveu_normal.jpg")</f>
        <v>https://pbs.twimg.com/profile_images/1228200485397516289/Xi4Knveu_normal.jpg</v>
      </c>
      <c r="G1235" s="63"/>
      <c r="H1235" s="67"/>
      <c r="I1235" s="68"/>
      <c r="J1235" s="68"/>
      <c r="K1235" s="67" t="s">
        <v>9709</v>
      </c>
      <c r="L1235" s="71"/>
      <c r="M1235" s="72"/>
      <c r="N1235" s="72"/>
      <c r="O1235" s="73"/>
      <c r="P1235" s="74"/>
      <c r="Q1235" s="74"/>
      <c r="R1235" s="81"/>
      <c r="S1235" s="81"/>
      <c r="T1235" s="81"/>
      <c r="U1235" s="81"/>
      <c r="V1235" s="48"/>
      <c r="W1235" s="48"/>
      <c r="X1235" s="48"/>
      <c r="Y1235" s="48"/>
      <c r="Z1235" s="47"/>
      <c r="AA1235" s="69"/>
      <c r="AB1235" s="69"/>
      <c r="AC1235" s="70"/>
      <c r="AD1235" t="s">
        <v>5401</v>
      </c>
      <c r="AE1235" s="78" t="s">
        <v>6674</v>
      </c>
      <c r="AF1235">
        <v>115</v>
      </c>
      <c r="AG1235">
        <v>13</v>
      </c>
      <c r="AH1235">
        <v>120</v>
      </c>
      <c r="AI1235">
        <v>2255</v>
      </c>
      <c r="AO1235" s="76">
        <v>43192.840185185189</v>
      </c>
      <c r="AP1235" s="79" t="str">
        <f>HYPERLINK("https://pbs.twimg.com/profile_banners/980900141967257602/1522809187")</f>
        <v>https://pbs.twimg.com/profile_banners/980900141967257602/1522809187</v>
      </c>
      <c r="AQ1235" t="b">
        <v>1</v>
      </c>
      <c r="AR1235" t="b">
        <v>0</v>
      </c>
      <c r="AS1235" t="b">
        <v>0</v>
      </c>
      <c r="AU1235">
        <v>0</v>
      </c>
      <c r="AW1235" t="b">
        <v>0</v>
      </c>
      <c r="AX1235" t="s">
        <v>9303</v>
      </c>
      <c r="AY1235" s="79" t="str">
        <f>HYPERLINK("https://twitter.com/citasix")</f>
        <v>https://twitter.com/citasix</v>
      </c>
      <c r="AZ1235" t="s">
        <v>66</v>
      </c>
      <c r="BA1235" s="2"/>
    </row>
    <row r="1236" spans="1:53" x14ac:dyDescent="0.45">
      <c r="A1236" s="62" t="s">
        <v>625</v>
      </c>
      <c r="B1236" s="63"/>
      <c r="C1236" s="63"/>
      <c r="D1236" s="64"/>
      <c r="E1236" s="66"/>
      <c r="F1236" s="98" t="str">
        <f>HYPERLINK("https://pbs.twimg.com/profile_images/1058013204205449216/cH-kziIq_normal.jpg")</f>
        <v>https://pbs.twimg.com/profile_images/1058013204205449216/cH-kziIq_normal.jpg</v>
      </c>
      <c r="G1236" s="63"/>
      <c r="H1236" s="67"/>
      <c r="I1236" s="68"/>
      <c r="J1236" s="68"/>
      <c r="K1236" s="67" t="s">
        <v>9932</v>
      </c>
      <c r="L1236" s="71"/>
      <c r="M1236" s="72"/>
      <c r="N1236" s="72"/>
      <c r="O1236" s="73"/>
      <c r="P1236" s="74"/>
      <c r="Q1236" s="74"/>
      <c r="R1236" s="81"/>
      <c r="S1236" s="81"/>
      <c r="T1236" s="81"/>
      <c r="U1236" s="81"/>
      <c r="V1236" s="48"/>
      <c r="W1236" s="48"/>
      <c r="X1236" s="48"/>
      <c r="Y1236" s="48"/>
      <c r="Z1236" s="47"/>
      <c r="AA1236" s="69"/>
      <c r="AB1236" s="69"/>
      <c r="AC1236" s="70"/>
      <c r="AD1236" t="s">
        <v>5623</v>
      </c>
      <c r="AE1236" s="78" t="s">
        <v>6867</v>
      </c>
      <c r="AF1236">
        <v>78</v>
      </c>
      <c r="AG1236">
        <v>13</v>
      </c>
      <c r="AH1236">
        <v>829</v>
      </c>
      <c r="AI1236">
        <v>721</v>
      </c>
      <c r="AO1236" s="76">
        <v>43405.625891203701</v>
      </c>
      <c r="AQ1236" t="b">
        <v>1</v>
      </c>
      <c r="AR1236" t="b">
        <v>0</v>
      </c>
      <c r="AS1236" t="b">
        <v>0</v>
      </c>
      <c r="AU1236">
        <v>0</v>
      </c>
      <c r="AW1236" t="b">
        <v>0</v>
      </c>
      <c r="AX1236" t="s">
        <v>9303</v>
      </c>
      <c r="AY1236" s="79" t="str">
        <f>HYPERLINK("https://twitter.com/dolce11312940")</f>
        <v>https://twitter.com/dolce11312940</v>
      </c>
      <c r="AZ1236" t="s">
        <v>66</v>
      </c>
      <c r="BA1236" s="2"/>
    </row>
    <row r="1237" spans="1:53" x14ac:dyDescent="0.45">
      <c r="A1237" s="62" t="s">
        <v>698</v>
      </c>
      <c r="B1237" s="63"/>
      <c r="C1237" s="63"/>
      <c r="D1237" s="64"/>
      <c r="E1237" s="66"/>
      <c r="F1237" s="98" t="str">
        <f>HYPERLINK("https://pbs.twimg.com/profile_images/1620895918680641537/zJ1uEWTO_normal.png")</f>
        <v>https://pbs.twimg.com/profile_images/1620895918680641537/zJ1uEWTO_normal.png</v>
      </c>
      <c r="G1237" s="63"/>
      <c r="H1237" s="67"/>
      <c r="I1237" s="68"/>
      <c r="J1237" s="68"/>
      <c r="K1237" s="67" t="s">
        <v>10032</v>
      </c>
      <c r="L1237" s="71"/>
      <c r="M1237" s="72"/>
      <c r="N1237" s="72"/>
      <c r="O1237" s="73"/>
      <c r="P1237" s="74"/>
      <c r="Q1237" s="74"/>
      <c r="R1237" s="81"/>
      <c r="S1237" s="81"/>
      <c r="T1237" s="81"/>
      <c r="U1237" s="81"/>
      <c r="V1237" s="48"/>
      <c r="W1237" s="48"/>
      <c r="X1237" s="48"/>
      <c r="Y1237" s="48"/>
      <c r="Z1237" s="47"/>
      <c r="AA1237" s="69"/>
      <c r="AB1237" s="69"/>
      <c r="AC1237" s="70"/>
      <c r="AD1237" t="s">
        <v>5722</v>
      </c>
      <c r="AE1237" s="78" t="s">
        <v>6959</v>
      </c>
      <c r="AF1237">
        <v>10</v>
      </c>
      <c r="AG1237">
        <v>13</v>
      </c>
      <c r="AH1237">
        <v>36</v>
      </c>
      <c r="AI1237">
        <v>0</v>
      </c>
      <c r="AK1237" t="s">
        <v>8123</v>
      </c>
      <c r="AO1237" s="76">
        <v>42059.112870370373</v>
      </c>
      <c r="AP1237" s="79" t="str">
        <f>HYPERLINK("https://pbs.twimg.com/profile_banners/3057917303/1675286678")</f>
        <v>https://pbs.twimg.com/profile_banners/3057917303/1675286678</v>
      </c>
      <c r="AQ1237" t="b">
        <v>0</v>
      </c>
      <c r="AR1237" t="b">
        <v>0</v>
      </c>
      <c r="AS1237" t="b">
        <v>0</v>
      </c>
      <c r="AU1237">
        <v>0</v>
      </c>
      <c r="AV1237" s="79" t="str">
        <f>HYPERLINK("https://abs.twimg.com/images/themes/theme1/bg.png")</f>
        <v>https://abs.twimg.com/images/themes/theme1/bg.png</v>
      </c>
      <c r="AW1237" t="b">
        <v>0</v>
      </c>
      <c r="AX1237" t="s">
        <v>9303</v>
      </c>
      <c r="AY1237" s="79" t="str">
        <f>HYPERLINK("https://twitter.com/oyster_bay_golf")</f>
        <v>https://twitter.com/oyster_bay_golf</v>
      </c>
      <c r="AZ1237" t="s">
        <v>66</v>
      </c>
      <c r="BA1237" s="2"/>
    </row>
    <row r="1238" spans="1:53" x14ac:dyDescent="0.45">
      <c r="A1238" s="62" t="s">
        <v>1023</v>
      </c>
      <c r="B1238" s="63"/>
      <c r="C1238" s="63"/>
      <c r="D1238" s="64"/>
      <c r="E1238" s="66"/>
      <c r="F1238" s="98" t="str">
        <f>HYPERLINK("https://pbs.twimg.com/profile_images/1611427593450029057/BY8DrcXS_normal.jpg")</f>
        <v>https://pbs.twimg.com/profile_images/1611427593450029057/BY8DrcXS_normal.jpg</v>
      </c>
      <c r="G1238" s="63"/>
      <c r="H1238" s="67"/>
      <c r="I1238" s="68"/>
      <c r="J1238" s="68"/>
      <c r="K1238" s="67" t="s">
        <v>10508</v>
      </c>
      <c r="L1238" s="71"/>
      <c r="M1238" s="72"/>
      <c r="N1238" s="72"/>
      <c r="O1238" s="73"/>
      <c r="P1238" s="74"/>
      <c r="Q1238" s="74"/>
      <c r="R1238" s="81"/>
      <c r="S1238" s="81"/>
      <c r="T1238" s="81"/>
      <c r="U1238" s="81"/>
      <c r="V1238" s="48"/>
      <c r="W1238" s="48"/>
      <c r="X1238" s="48"/>
      <c r="Y1238" s="48"/>
      <c r="Z1238" s="47"/>
      <c r="AA1238" s="69"/>
      <c r="AB1238" s="69"/>
      <c r="AC1238" s="70"/>
      <c r="AD1238" t="s">
        <v>6186</v>
      </c>
      <c r="AE1238" s="78" t="s">
        <v>7370</v>
      </c>
      <c r="AF1238">
        <v>61</v>
      </c>
      <c r="AG1238">
        <v>13</v>
      </c>
      <c r="AH1238">
        <v>618</v>
      </c>
      <c r="AI1238">
        <v>371</v>
      </c>
      <c r="AL1238" t="s">
        <v>9244</v>
      </c>
      <c r="AO1238" s="76">
        <v>43309.261041666665</v>
      </c>
      <c r="AP1238" s="79" t="str">
        <f>HYPERLINK("https://pbs.twimg.com/profile_banners/1023089647335796736/1533371914")</f>
        <v>https://pbs.twimg.com/profile_banners/1023089647335796736/1533371914</v>
      </c>
      <c r="AQ1238" t="b">
        <v>1</v>
      </c>
      <c r="AR1238" t="b">
        <v>0</v>
      </c>
      <c r="AS1238" t="b">
        <v>0</v>
      </c>
      <c r="AU1238">
        <v>0</v>
      </c>
      <c r="AW1238" t="b">
        <v>0</v>
      </c>
      <c r="AX1238" t="s">
        <v>9303</v>
      </c>
      <c r="AY1238" s="79" t="str">
        <f>HYPERLINK("https://twitter.com/chris68946672")</f>
        <v>https://twitter.com/chris68946672</v>
      </c>
      <c r="AZ1238" t="s">
        <v>66</v>
      </c>
      <c r="BA1238" s="2"/>
    </row>
    <row r="1239" spans="1:53" x14ac:dyDescent="0.45">
      <c r="A1239" s="62" t="s">
        <v>326</v>
      </c>
      <c r="B1239" s="63"/>
      <c r="C1239" s="63"/>
      <c r="D1239" s="64"/>
      <c r="E1239" s="66"/>
      <c r="F1239" s="98" t="str">
        <f>HYPERLINK("https://pbs.twimg.com/profile_images/1617658270281244672/AwkzO5n8_normal.jpg")</f>
        <v>https://pbs.twimg.com/profile_images/1617658270281244672/AwkzO5n8_normal.jpg</v>
      </c>
      <c r="G1239" s="63"/>
      <c r="H1239" s="67"/>
      <c r="I1239" s="68"/>
      <c r="J1239" s="68"/>
      <c r="K1239" s="67" t="s">
        <v>9530</v>
      </c>
      <c r="L1239" s="71"/>
      <c r="M1239" s="72"/>
      <c r="N1239" s="72"/>
      <c r="O1239" s="73"/>
      <c r="P1239" s="74"/>
      <c r="Q1239" s="74"/>
      <c r="R1239" s="81"/>
      <c r="S1239" s="81"/>
      <c r="T1239" s="81"/>
      <c r="U1239" s="81"/>
      <c r="V1239" s="48"/>
      <c r="W1239" s="48"/>
      <c r="X1239" s="48"/>
      <c r="Y1239" s="48"/>
      <c r="Z1239" s="47"/>
      <c r="AA1239" s="69"/>
      <c r="AB1239" s="69"/>
      <c r="AC1239" s="70"/>
      <c r="AD1239" t="s">
        <v>5224</v>
      </c>
      <c r="AE1239" s="78" t="s">
        <v>6508</v>
      </c>
      <c r="AF1239">
        <v>138</v>
      </c>
      <c r="AG1239">
        <v>12</v>
      </c>
      <c r="AH1239">
        <v>739</v>
      </c>
      <c r="AI1239">
        <v>618</v>
      </c>
      <c r="AK1239" t="s">
        <v>7692</v>
      </c>
      <c r="AO1239" s="76">
        <v>44758.546226851853</v>
      </c>
      <c r="AP1239" s="79" t="str">
        <f>HYPERLINK("https://pbs.twimg.com/profile_banners/1548292949045153796/1667438980")</f>
        <v>https://pbs.twimg.com/profile_banners/1548292949045153796/1667438980</v>
      </c>
      <c r="AQ1239" t="b">
        <v>1</v>
      </c>
      <c r="AR1239" t="b">
        <v>0</v>
      </c>
      <c r="AS1239" t="b">
        <v>0</v>
      </c>
      <c r="AU1239">
        <v>4</v>
      </c>
      <c r="AW1239" t="b">
        <v>0</v>
      </c>
      <c r="AX1239" t="s">
        <v>9303</v>
      </c>
      <c r="AY1239" s="79" t="str">
        <f>HYPERLINK("https://twitter.com/merr2385")</f>
        <v>https://twitter.com/merr2385</v>
      </c>
      <c r="AZ1239" t="s">
        <v>66</v>
      </c>
      <c r="BA1239" s="2"/>
    </row>
    <row r="1240" spans="1:53" x14ac:dyDescent="0.45">
      <c r="A1240" s="62" t="s">
        <v>232</v>
      </c>
      <c r="B1240" s="63"/>
      <c r="C1240" s="63"/>
      <c r="D1240" s="64"/>
      <c r="E1240" s="66"/>
      <c r="F1240" s="98" t="str">
        <f>HYPERLINK("https://pbs.twimg.com/profile_images/1536543138/knoppix_normal.jpg")</f>
        <v>https://pbs.twimg.com/profile_images/1536543138/knoppix_normal.jpg</v>
      </c>
      <c r="G1240" s="63"/>
      <c r="H1240" s="67"/>
      <c r="I1240" s="68"/>
      <c r="J1240" s="68"/>
      <c r="K1240" s="67" t="s">
        <v>9352</v>
      </c>
      <c r="L1240" s="71"/>
      <c r="M1240" s="72"/>
      <c r="N1240" s="72"/>
      <c r="O1240" s="73"/>
      <c r="P1240" s="74"/>
      <c r="Q1240" s="74"/>
      <c r="R1240" s="81"/>
      <c r="S1240" s="81"/>
      <c r="T1240" s="81"/>
      <c r="U1240" s="81"/>
      <c r="V1240" s="48"/>
      <c r="W1240" s="48"/>
      <c r="X1240" s="48"/>
      <c r="Y1240" s="48"/>
      <c r="Z1240" s="47"/>
      <c r="AA1240" s="69"/>
      <c r="AB1240" s="69"/>
      <c r="AC1240" s="70"/>
      <c r="AD1240" t="s">
        <v>5048</v>
      </c>
      <c r="AE1240" s="78" t="s">
        <v>6366</v>
      </c>
      <c r="AF1240">
        <v>208</v>
      </c>
      <c r="AG1240">
        <v>12</v>
      </c>
      <c r="AH1240">
        <v>727</v>
      </c>
      <c r="AI1240">
        <v>265</v>
      </c>
      <c r="AL1240" t="s">
        <v>8708</v>
      </c>
      <c r="AO1240" s="76">
        <v>40467.664444444446</v>
      </c>
      <c r="AQ1240" t="b">
        <v>1</v>
      </c>
      <c r="AR1240" t="b">
        <v>0</v>
      </c>
      <c r="AS1240" t="b">
        <v>0</v>
      </c>
      <c r="AU1240">
        <v>0</v>
      </c>
      <c r="AV1240" s="79" t="str">
        <f>HYPERLINK("https://abs.twimg.com/images/themes/theme1/bg.png")</f>
        <v>https://abs.twimg.com/images/themes/theme1/bg.png</v>
      </c>
      <c r="AW1240" t="b">
        <v>0</v>
      </c>
      <c r="AX1240" t="s">
        <v>9303</v>
      </c>
      <c r="AY1240" s="79" t="str">
        <f>HYPERLINK("https://twitter.com/acrolisx")</f>
        <v>https://twitter.com/acrolisx</v>
      </c>
      <c r="AZ1240" t="s">
        <v>66</v>
      </c>
      <c r="BA1240" s="2"/>
    </row>
    <row r="1241" spans="1:53" x14ac:dyDescent="0.45">
      <c r="A1241" s="62" t="s">
        <v>794</v>
      </c>
      <c r="B1241" s="63"/>
      <c r="C1241" s="63"/>
      <c r="D1241" s="64"/>
      <c r="E1241" s="66"/>
      <c r="F1241" s="98" t="str">
        <f>HYPERLINK("https://pbs.twimg.com/profile_images/1497077482754691074/cj3foqfA_normal.jpg")</f>
        <v>https://pbs.twimg.com/profile_images/1497077482754691074/cj3foqfA_normal.jpg</v>
      </c>
      <c r="G1241" s="63"/>
      <c r="H1241" s="67"/>
      <c r="I1241" s="68"/>
      <c r="J1241" s="68"/>
      <c r="K1241" s="67" t="s">
        <v>10164</v>
      </c>
      <c r="L1241" s="71"/>
      <c r="M1241" s="72"/>
      <c r="N1241" s="72"/>
      <c r="O1241" s="73"/>
      <c r="P1241" s="74"/>
      <c r="Q1241" s="74"/>
      <c r="R1241" s="81"/>
      <c r="S1241" s="81"/>
      <c r="T1241" s="81"/>
      <c r="U1241" s="81"/>
      <c r="V1241" s="48"/>
      <c r="W1241" s="48"/>
      <c r="X1241" s="48"/>
      <c r="Y1241" s="48"/>
      <c r="Z1241" s="47"/>
      <c r="AA1241" s="69"/>
      <c r="AB1241" s="69"/>
      <c r="AC1241" s="70"/>
      <c r="AD1241" t="s">
        <v>5850</v>
      </c>
      <c r="AE1241" s="78" t="s">
        <v>7075</v>
      </c>
      <c r="AF1241">
        <v>61</v>
      </c>
      <c r="AG1241">
        <v>12</v>
      </c>
      <c r="AH1241">
        <v>100</v>
      </c>
      <c r="AI1241">
        <v>0</v>
      </c>
      <c r="AK1241" t="s">
        <v>8240</v>
      </c>
      <c r="AM1241" s="79" t="str">
        <f>HYPERLINK("https://t.co/nCOwZNgn8b")</f>
        <v>https://t.co/nCOwZNgn8b</v>
      </c>
      <c r="AO1241" s="76">
        <v>44601.159062500003</v>
      </c>
      <c r="AQ1241" t="b">
        <v>1</v>
      </c>
      <c r="AR1241" t="b">
        <v>0</v>
      </c>
      <c r="AS1241" t="b">
        <v>0</v>
      </c>
      <c r="AU1241">
        <v>0</v>
      </c>
      <c r="AW1241" t="b">
        <v>0</v>
      </c>
      <c r="AX1241" t="s">
        <v>9303</v>
      </c>
      <c r="AY1241" s="79" t="str">
        <f>HYPERLINK("https://twitter.com/king_voudon")</f>
        <v>https://twitter.com/king_voudon</v>
      </c>
      <c r="AZ1241" t="s">
        <v>66</v>
      </c>
      <c r="BA1241" s="2"/>
    </row>
    <row r="1242" spans="1:53" x14ac:dyDescent="0.45">
      <c r="A1242" s="62" t="s">
        <v>289</v>
      </c>
      <c r="B1242" s="63"/>
      <c r="C1242" s="63"/>
      <c r="D1242" s="64"/>
      <c r="E1242" s="66"/>
      <c r="F1242" s="98" t="str">
        <f>HYPERLINK("https://pbs.twimg.com/profile_images/1600462027645820930/HCoNfwIh_normal.png")</f>
        <v>https://pbs.twimg.com/profile_images/1600462027645820930/HCoNfwIh_normal.png</v>
      </c>
      <c r="G1242" s="63"/>
      <c r="H1242" s="67"/>
      <c r="I1242" s="68"/>
      <c r="J1242" s="68"/>
      <c r="K1242" s="67" t="s">
        <v>9448</v>
      </c>
      <c r="L1242" s="71"/>
      <c r="M1242" s="72"/>
      <c r="N1242" s="72"/>
      <c r="O1242" s="73"/>
      <c r="P1242" s="74"/>
      <c r="Q1242" s="74"/>
      <c r="R1242" s="81"/>
      <c r="S1242" s="81"/>
      <c r="T1242" s="81"/>
      <c r="U1242" s="81"/>
      <c r="V1242" s="48"/>
      <c r="W1242" s="48"/>
      <c r="X1242" s="48"/>
      <c r="Y1242" s="48"/>
      <c r="Z1242" s="47"/>
      <c r="AA1242" s="69"/>
      <c r="AB1242" s="69"/>
      <c r="AC1242" s="70"/>
      <c r="AD1242" t="s">
        <v>5142</v>
      </c>
      <c r="AE1242" s="78" t="s">
        <v>6445</v>
      </c>
      <c r="AF1242">
        <v>57</v>
      </c>
      <c r="AG1242">
        <v>11</v>
      </c>
      <c r="AH1242">
        <v>96</v>
      </c>
      <c r="AI1242">
        <v>47</v>
      </c>
      <c r="AO1242" s="76">
        <v>44902.505289351851</v>
      </c>
      <c r="AQ1242" t="b">
        <v>1</v>
      </c>
      <c r="AR1242" t="b">
        <v>0</v>
      </c>
      <c r="AS1242" t="b">
        <v>0</v>
      </c>
      <c r="AU1242">
        <v>0</v>
      </c>
      <c r="AW1242" t="b">
        <v>0</v>
      </c>
      <c r="AX1242" t="s">
        <v>9303</v>
      </c>
      <c r="AY1242" s="79" t="str">
        <f>HYPERLINK("https://twitter.com/sazzadk13691034")</f>
        <v>https://twitter.com/sazzadk13691034</v>
      </c>
      <c r="AZ1242" t="s">
        <v>66</v>
      </c>
      <c r="BA1242" s="2"/>
    </row>
    <row r="1243" spans="1:53" x14ac:dyDescent="0.45">
      <c r="A1243" s="62" t="s">
        <v>684</v>
      </c>
      <c r="B1243" s="63"/>
      <c r="C1243" s="63"/>
      <c r="D1243" s="64"/>
      <c r="E1243" s="66"/>
      <c r="F1243" s="98" t="str">
        <f>HYPERLINK("https://pbs.twimg.com/profile_images/1603829117320822792/IEA7cm1y_normal.png")</f>
        <v>https://pbs.twimg.com/profile_images/1603829117320822792/IEA7cm1y_normal.png</v>
      </c>
      <c r="G1243" s="63"/>
      <c r="H1243" s="67"/>
      <c r="I1243" s="68"/>
      <c r="J1243" s="68"/>
      <c r="K1243" s="67" t="s">
        <v>10007</v>
      </c>
      <c r="L1243" s="71"/>
      <c r="M1243" s="72"/>
      <c r="N1243" s="72"/>
      <c r="O1243" s="73"/>
      <c r="P1243" s="74"/>
      <c r="Q1243" s="74"/>
      <c r="R1243" s="81"/>
      <c r="S1243" s="81"/>
      <c r="T1243" s="81"/>
      <c r="U1243" s="81"/>
      <c r="V1243" s="48"/>
      <c r="W1243" s="48"/>
      <c r="X1243" s="48"/>
      <c r="Y1243" s="48"/>
      <c r="Z1243" s="47"/>
      <c r="AA1243" s="69"/>
      <c r="AB1243" s="69"/>
      <c r="AC1243" s="70"/>
      <c r="AD1243" t="s">
        <v>5697</v>
      </c>
      <c r="AE1243" s="78" t="s">
        <v>6938</v>
      </c>
      <c r="AF1243">
        <v>24</v>
      </c>
      <c r="AG1243">
        <v>11</v>
      </c>
      <c r="AH1243">
        <v>250</v>
      </c>
      <c r="AI1243">
        <v>2310</v>
      </c>
      <c r="AK1243" t="s">
        <v>8103</v>
      </c>
      <c r="AL1243" t="s">
        <v>8879</v>
      </c>
      <c r="AO1243" s="76">
        <v>44911.796678240738</v>
      </c>
      <c r="AQ1243" t="b">
        <v>1</v>
      </c>
      <c r="AR1243" t="b">
        <v>0</v>
      </c>
      <c r="AS1243" t="b">
        <v>0</v>
      </c>
      <c r="AU1243">
        <v>0</v>
      </c>
      <c r="AW1243" t="b">
        <v>0</v>
      </c>
      <c r="AX1243" t="s">
        <v>9303</v>
      </c>
      <c r="AY1243" s="79" t="str">
        <f>HYPERLINK("https://twitter.com/mmarsh222")</f>
        <v>https://twitter.com/mmarsh222</v>
      </c>
      <c r="AZ1243" t="s">
        <v>66</v>
      </c>
      <c r="BA1243" s="2"/>
    </row>
    <row r="1244" spans="1:53" x14ac:dyDescent="0.45">
      <c r="A1244" s="62" t="s">
        <v>690</v>
      </c>
      <c r="B1244" s="63"/>
      <c r="C1244" s="63"/>
      <c r="D1244" s="64"/>
      <c r="E1244" s="66"/>
      <c r="F1244" s="98" t="str">
        <f>HYPERLINK("https://pbs.twimg.com/profile_images/1528749495772762113/jcuCl62I_normal.jpg")</f>
        <v>https://pbs.twimg.com/profile_images/1528749495772762113/jcuCl62I_normal.jpg</v>
      </c>
      <c r="G1244" s="63"/>
      <c r="H1244" s="67"/>
      <c r="I1244" s="68"/>
      <c r="J1244" s="68"/>
      <c r="K1244" s="67" t="s">
        <v>10021</v>
      </c>
      <c r="L1244" s="71"/>
      <c r="M1244" s="72"/>
      <c r="N1244" s="72"/>
      <c r="O1244" s="73"/>
      <c r="P1244" s="74"/>
      <c r="Q1244" s="74"/>
      <c r="R1244" s="81"/>
      <c r="S1244" s="81"/>
      <c r="T1244" s="81"/>
      <c r="U1244" s="81"/>
      <c r="V1244" s="48"/>
      <c r="W1244" s="48"/>
      <c r="X1244" s="48"/>
      <c r="Y1244" s="48"/>
      <c r="Z1244" s="47"/>
      <c r="AA1244" s="69"/>
      <c r="AB1244" s="69"/>
      <c r="AC1244" s="70"/>
      <c r="AD1244" t="s">
        <v>5711</v>
      </c>
      <c r="AE1244" s="78" t="s">
        <v>6950</v>
      </c>
      <c r="AF1244">
        <v>118</v>
      </c>
      <c r="AG1244">
        <v>11</v>
      </c>
      <c r="AH1244">
        <v>480</v>
      </c>
      <c r="AI1244">
        <v>1179</v>
      </c>
      <c r="AK1244" t="s">
        <v>8114</v>
      </c>
      <c r="AL1244" t="s">
        <v>9042</v>
      </c>
      <c r="AO1244" s="76">
        <v>41635.257696759261</v>
      </c>
      <c r="AP1244" s="79" t="str">
        <f>HYPERLINK("https://pbs.twimg.com/profile_banners/2263881368/1542372410")</f>
        <v>https://pbs.twimg.com/profile_banners/2263881368/1542372410</v>
      </c>
      <c r="AQ1244" t="b">
        <v>1</v>
      </c>
      <c r="AR1244" t="b">
        <v>0</v>
      </c>
      <c r="AS1244" t="b">
        <v>0</v>
      </c>
      <c r="AU1244">
        <v>0</v>
      </c>
      <c r="AV1244" s="79" t="str">
        <f>HYPERLINK("https://abs.twimg.com/images/themes/theme1/bg.png")</f>
        <v>https://abs.twimg.com/images/themes/theme1/bg.png</v>
      </c>
      <c r="AW1244" t="b">
        <v>0</v>
      </c>
      <c r="AX1244" t="s">
        <v>9303</v>
      </c>
      <c r="AY1244" s="79" t="str">
        <f>HYPERLINK("https://twitter.com/mcbudman")</f>
        <v>https://twitter.com/mcbudman</v>
      </c>
      <c r="AZ1244" t="s">
        <v>66</v>
      </c>
      <c r="BA1244" s="2"/>
    </row>
    <row r="1245" spans="1:53" x14ac:dyDescent="0.45">
      <c r="A1245" s="62" t="s">
        <v>975</v>
      </c>
      <c r="B1245" s="63"/>
      <c r="C1245" s="63"/>
      <c r="D1245" s="64"/>
      <c r="E1245" s="66"/>
      <c r="F1245" s="98" t="str">
        <f>HYPERLINK("https://pbs.twimg.com/profile_images/1559207589153480706/lgmRvNim_normal.jpg")</f>
        <v>https://pbs.twimg.com/profile_images/1559207589153480706/lgmRvNim_normal.jpg</v>
      </c>
      <c r="G1245" s="63"/>
      <c r="H1245" s="67"/>
      <c r="I1245" s="68"/>
      <c r="J1245" s="68"/>
      <c r="K1245" s="67" t="s">
        <v>10438</v>
      </c>
      <c r="L1245" s="71"/>
      <c r="M1245" s="72"/>
      <c r="N1245" s="72"/>
      <c r="O1245" s="73"/>
      <c r="P1245" s="74"/>
      <c r="Q1245" s="74"/>
      <c r="R1245" s="81"/>
      <c r="S1245" s="81"/>
      <c r="T1245" s="81"/>
      <c r="U1245" s="81"/>
      <c r="V1245" s="48"/>
      <c r="W1245" s="48"/>
      <c r="X1245" s="48"/>
      <c r="Y1245" s="48"/>
      <c r="Z1245" s="47"/>
      <c r="AA1245" s="69"/>
      <c r="AB1245" s="69"/>
      <c r="AC1245" s="70"/>
      <c r="AD1245" t="s">
        <v>6119</v>
      </c>
      <c r="AE1245" s="78" t="s">
        <v>7314</v>
      </c>
      <c r="AF1245">
        <v>11</v>
      </c>
      <c r="AG1245">
        <v>11</v>
      </c>
      <c r="AH1245">
        <v>193</v>
      </c>
      <c r="AI1245">
        <v>33</v>
      </c>
      <c r="AK1245" t="s">
        <v>8480</v>
      </c>
      <c r="AL1245" t="s">
        <v>9032</v>
      </c>
      <c r="AO1245" s="76">
        <v>44256.185277777775</v>
      </c>
      <c r="AP1245" s="79" t="str">
        <f>HYPERLINK("https://pbs.twimg.com/profile_banners/1366243443295543298/1660579058")</f>
        <v>https://pbs.twimg.com/profile_banners/1366243443295543298/1660579058</v>
      </c>
      <c r="AQ1245" t="b">
        <v>1</v>
      </c>
      <c r="AR1245" t="b">
        <v>0</v>
      </c>
      <c r="AS1245" t="b">
        <v>0</v>
      </c>
      <c r="AU1245">
        <v>0</v>
      </c>
      <c r="AW1245" t="b">
        <v>0</v>
      </c>
      <c r="AX1245" t="s">
        <v>9303</v>
      </c>
      <c r="AY1245" s="79" t="str">
        <f>HYPERLINK("https://twitter.com/mrcreager")</f>
        <v>https://twitter.com/mrcreager</v>
      </c>
      <c r="AZ1245" t="s">
        <v>66</v>
      </c>
      <c r="BA1245" s="2"/>
    </row>
    <row r="1246" spans="1:53" x14ac:dyDescent="0.45">
      <c r="A1246" s="62" t="s">
        <v>1038</v>
      </c>
      <c r="B1246" s="63"/>
      <c r="C1246" s="63"/>
      <c r="D1246" s="64"/>
      <c r="E1246" s="66"/>
      <c r="F1246" s="98" t="str">
        <f>HYPERLINK("https://abs.twimg.com/sticky/default_profile_images/default_profile_normal.png")</f>
        <v>https://abs.twimg.com/sticky/default_profile_images/default_profile_normal.png</v>
      </c>
      <c r="G1246" s="63"/>
      <c r="H1246" s="67"/>
      <c r="I1246" s="68"/>
      <c r="J1246" s="68"/>
      <c r="K1246" s="67" t="s">
        <v>10540</v>
      </c>
      <c r="L1246" s="71"/>
      <c r="M1246" s="72"/>
      <c r="N1246" s="72"/>
      <c r="O1246" s="73"/>
      <c r="P1246" s="74"/>
      <c r="Q1246" s="74"/>
      <c r="R1246" s="81"/>
      <c r="S1246" s="81"/>
      <c r="T1246" s="81"/>
      <c r="U1246" s="81"/>
      <c r="V1246" s="48"/>
      <c r="W1246" s="48"/>
      <c r="X1246" s="48"/>
      <c r="Y1246" s="48"/>
      <c r="Z1246" s="47"/>
      <c r="AA1246" s="69"/>
      <c r="AB1246" s="69"/>
      <c r="AC1246" s="70"/>
      <c r="AD1246" t="s">
        <v>6218</v>
      </c>
      <c r="AE1246" s="78" t="s">
        <v>7397</v>
      </c>
      <c r="AF1246">
        <v>27</v>
      </c>
      <c r="AG1246">
        <v>11</v>
      </c>
      <c r="AH1246">
        <v>2719</v>
      </c>
      <c r="AI1246">
        <v>3447</v>
      </c>
      <c r="AK1246" t="s">
        <v>8567</v>
      </c>
      <c r="AO1246" s="76">
        <v>44201.119050925925</v>
      </c>
      <c r="AQ1246" t="b">
        <v>1</v>
      </c>
      <c r="AR1246" t="b">
        <v>1</v>
      </c>
      <c r="AS1246" t="b">
        <v>0</v>
      </c>
      <c r="AU1246">
        <v>0</v>
      </c>
      <c r="AW1246" t="b">
        <v>0</v>
      </c>
      <c r="AX1246" t="s">
        <v>9303</v>
      </c>
      <c r="AY1246" s="79" t="str">
        <f>HYPERLINK("https://twitter.com/twitfbonlyallr1")</f>
        <v>https://twitter.com/twitfbonlyallr1</v>
      </c>
      <c r="AZ1246" t="s">
        <v>66</v>
      </c>
      <c r="BA1246" s="2"/>
    </row>
    <row r="1247" spans="1:53" x14ac:dyDescent="0.45">
      <c r="A1247" s="62" t="s">
        <v>1056</v>
      </c>
      <c r="B1247" s="63"/>
      <c r="C1247" s="63"/>
      <c r="D1247" s="64"/>
      <c r="E1247" s="66"/>
      <c r="F1247" s="98" t="str">
        <f>HYPERLINK("https://pbs.twimg.com/profile_images/1480784788113944578/-Mky7TLv_normal.jpg")</f>
        <v>https://pbs.twimg.com/profile_images/1480784788113944578/-Mky7TLv_normal.jpg</v>
      </c>
      <c r="G1247" s="63"/>
      <c r="H1247" s="67"/>
      <c r="I1247" s="68"/>
      <c r="J1247" s="68"/>
      <c r="K1247" s="67" t="s">
        <v>10572</v>
      </c>
      <c r="L1247" s="71"/>
      <c r="M1247" s="72"/>
      <c r="N1247" s="72"/>
      <c r="O1247" s="73"/>
      <c r="P1247" s="74"/>
      <c r="Q1247" s="74"/>
      <c r="R1247" s="81"/>
      <c r="S1247" s="81"/>
      <c r="T1247" s="81"/>
      <c r="U1247" s="81"/>
      <c r="V1247" s="48"/>
      <c r="W1247" s="48"/>
      <c r="X1247" s="48"/>
      <c r="Y1247" s="48"/>
      <c r="Z1247" s="47"/>
      <c r="AA1247" s="69"/>
      <c r="AB1247" s="69"/>
      <c r="AC1247" s="70"/>
      <c r="AD1247" t="s">
        <v>6250</v>
      </c>
      <c r="AE1247" s="78" t="s">
        <v>7423</v>
      </c>
      <c r="AF1247">
        <v>54</v>
      </c>
      <c r="AG1247">
        <v>11</v>
      </c>
      <c r="AH1247">
        <v>196</v>
      </c>
      <c r="AI1247">
        <v>1198</v>
      </c>
      <c r="AK1247" t="s">
        <v>8597</v>
      </c>
      <c r="AO1247" s="76">
        <v>44572.185787037037</v>
      </c>
      <c r="AP1247" s="79" t="str">
        <f>HYPERLINK("https://pbs.twimg.com/profile_banners/1480758198181183490/1641923349")</f>
        <v>https://pbs.twimg.com/profile_banners/1480758198181183490/1641923349</v>
      </c>
      <c r="AQ1247" t="b">
        <v>1</v>
      </c>
      <c r="AR1247" t="b">
        <v>0</v>
      </c>
      <c r="AS1247" t="b">
        <v>0</v>
      </c>
      <c r="AU1247">
        <v>0</v>
      </c>
      <c r="AW1247" t="b">
        <v>0</v>
      </c>
      <c r="AX1247" t="s">
        <v>9303</v>
      </c>
      <c r="AY1247" s="79" t="str">
        <f>HYPERLINK("https://twitter.com/butterflybby333")</f>
        <v>https://twitter.com/butterflybby333</v>
      </c>
      <c r="AZ1247" t="s">
        <v>66</v>
      </c>
      <c r="BA1247" s="2"/>
    </row>
    <row r="1248" spans="1:53" x14ac:dyDescent="0.45">
      <c r="A1248" s="62" t="s">
        <v>1089</v>
      </c>
      <c r="B1248" s="63"/>
      <c r="C1248" s="63"/>
      <c r="D1248" s="64"/>
      <c r="E1248" s="66"/>
      <c r="F1248" s="98" t="str">
        <f>HYPERLINK("https://pbs.twimg.com/profile_images/1511102908133085187/lNmpTfIK_normal.jpg")</f>
        <v>https://pbs.twimg.com/profile_images/1511102908133085187/lNmpTfIK_normal.jpg</v>
      </c>
      <c r="G1248" s="63"/>
      <c r="H1248" s="67"/>
      <c r="I1248" s="68"/>
      <c r="J1248" s="68"/>
      <c r="K1248" s="67" t="s">
        <v>10634</v>
      </c>
      <c r="L1248" s="71"/>
      <c r="M1248" s="72"/>
      <c r="N1248" s="72"/>
      <c r="O1248" s="73"/>
      <c r="P1248" s="74"/>
      <c r="Q1248" s="74"/>
      <c r="R1248" s="81"/>
      <c r="S1248" s="81"/>
      <c r="T1248" s="81"/>
      <c r="U1248" s="81"/>
      <c r="V1248" s="48"/>
      <c r="W1248" s="48"/>
      <c r="X1248" s="48"/>
      <c r="Y1248" s="48"/>
      <c r="Z1248" s="47"/>
      <c r="AA1248" s="69"/>
      <c r="AB1248" s="69"/>
      <c r="AC1248" s="70"/>
      <c r="AD1248" t="s">
        <v>6310</v>
      </c>
      <c r="AE1248" s="78" t="s">
        <v>7473</v>
      </c>
      <c r="AF1248">
        <v>26</v>
      </c>
      <c r="AG1248">
        <v>11</v>
      </c>
      <c r="AH1248">
        <v>447</v>
      </c>
      <c r="AI1248">
        <v>11</v>
      </c>
      <c r="AK1248" t="s">
        <v>8655</v>
      </c>
      <c r="AL1248" t="s">
        <v>4968</v>
      </c>
      <c r="AM1248" s="79" t="str">
        <f>HYPERLINK("http://t.co/i4QYMsL7PF")</f>
        <v>http://t.co/i4QYMsL7PF</v>
      </c>
      <c r="AO1248" s="76">
        <v>40001.976064814815</v>
      </c>
      <c r="AP1248" s="79" t="str">
        <f>HYPERLINK("https://pbs.twimg.com/profile_banners/54718822/1361187900")</f>
        <v>https://pbs.twimg.com/profile_banners/54718822/1361187900</v>
      </c>
      <c r="AQ1248" t="b">
        <v>0</v>
      </c>
      <c r="AR1248" t="b">
        <v>0</v>
      </c>
      <c r="AS1248" t="b">
        <v>0</v>
      </c>
      <c r="AU1248">
        <v>0</v>
      </c>
      <c r="AV1248" s="79" t="str">
        <f>HYPERLINK("https://abs.twimg.com/images/themes/theme1/bg.png")</f>
        <v>https://abs.twimg.com/images/themes/theme1/bg.png</v>
      </c>
      <c r="AW1248" t="b">
        <v>0</v>
      </c>
      <c r="AX1248" t="s">
        <v>9303</v>
      </c>
      <c r="AY1248" s="79" t="str">
        <f>HYPERLINK("https://twitter.com/bluegone")</f>
        <v>https://twitter.com/bluegone</v>
      </c>
      <c r="AZ1248" t="s">
        <v>66</v>
      </c>
      <c r="BA1248" s="2"/>
    </row>
    <row r="1249" spans="1:53" x14ac:dyDescent="0.45">
      <c r="A1249" s="62" t="s">
        <v>1094</v>
      </c>
      <c r="B1249" s="63"/>
      <c r="C1249" s="63"/>
      <c r="D1249" s="64"/>
      <c r="E1249" s="66"/>
      <c r="F1249" s="98" t="str">
        <f>HYPERLINK("https://pbs.twimg.com/profile_images/1615443789920755723/NGPWOOJz_normal.jpg")</f>
        <v>https://pbs.twimg.com/profile_images/1615443789920755723/NGPWOOJz_normal.jpg</v>
      </c>
      <c r="G1249" s="63"/>
      <c r="H1249" s="67"/>
      <c r="I1249" s="68"/>
      <c r="J1249" s="68"/>
      <c r="K1249" s="67" t="s">
        <v>10641</v>
      </c>
      <c r="L1249" s="71"/>
      <c r="M1249" s="72"/>
      <c r="N1249" s="72"/>
      <c r="O1249" s="73"/>
      <c r="P1249" s="74"/>
      <c r="Q1249" s="74"/>
      <c r="R1249" s="81"/>
      <c r="S1249" s="81"/>
      <c r="T1249" s="81"/>
      <c r="U1249" s="81"/>
      <c r="V1249" s="48"/>
      <c r="W1249" s="48"/>
      <c r="X1249" s="48"/>
      <c r="Y1249" s="48"/>
      <c r="Z1249" s="47"/>
      <c r="AA1249" s="69"/>
      <c r="AB1249" s="69"/>
      <c r="AC1249" s="70"/>
      <c r="AD1249" t="s">
        <v>6316</v>
      </c>
      <c r="AE1249" s="78" t="s">
        <v>7479</v>
      </c>
      <c r="AF1249">
        <v>270</v>
      </c>
      <c r="AG1249">
        <v>11</v>
      </c>
      <c r="AH1249">
        <v>27</v>
      </c>
      <c r="AI1249">
        <v>70</v>
      </c>
      <c r="AK1249" t="s">
        <v>8661</v>
      </c>
      <c r="AO1249" s="76">
        <v>44943.772175925929</v>
      </c>
      <c r="AP1249" s="79" t="str">
        <f>HYPERLINK("https://pbs.twimg.com/profile_banners/1615416582993285128/1675284807")</f>
        <v>https://pbs.twimg.com/profile_banners/1615416582993285128/1675284807</v>
      </c>
      <c r="AQ1249" t="b">
        <v>1</v>
      </c>
      <c r="AR1249" t="b">
        <v>0</v>
      </c>
      <c r="AS1249" t="b">
        <v>0</v>
      </c>
      <c r="AU1249">
        <v>0</v>
      </c>
      <c r="AW1249" t="b">
        <v>0</v>
      </c>
      <c r="AX1249" t="s">
        <v>9303</v>
      </c>
      <c r="AY1249" s="79" t="str">
        <f>HYPERLINK("https://twitter.com/artiedraws")</f>
        <v>https://twitter.com/artiedraws</v>
      </c>
      <c r="AZ1249" t="s">
        <v>66</v>
      </c>
      <c r="BA1249" s="2"/>
    </row>
    <row r="1250" spans="1:53" x14ac:dyDescent="0.45">
      <c r="A1250" s="62" t="s">
        <v>248</v>
      </c>
      <c r="B1250" s="63"/>
      <c r="C1250" s="63"/>
      <c r="D1250" s="64"/>
      <c r="E1250" s="66"/>
      <c r="F1250" s="98" t="str">
        <f>HYPERLINK("https://pbs.twimg.com/profile_images/1535234580206206978/U7GIqn2D_normal.jpg")</f>
        <v>https://pbs.twimg.com/profile_images/1535234580206206978/U7GIqn2D_normal.jpg</v>
      </c>
      <c r="G1250" s="63"/>
      <c r="H1250" s="67"/>
      <c r="I1250" s="68"/>
      <c r="J1250" s="68"/>
      <c r="K1250" s="67" t="s">
        <v>9387</v>
      </c>
      <c r="L1250" s="71"/>
      <c r="M1250" s="72"/>
      <c r="N1250" s="72"/>
      <c r="O1250" s="73"/>
      <c r="P1250" s="74"/>
      <c r="Q1250" s="74"/>
      <c r="R1250" s="81"/>
      <c r="S1250" s="81"/>
      <c r="T1250" s="81"/>
      <c r="U1250" s="81"/>
      <c r="V1250" s="48"/>
      <c r="W1250" s="48"/>
      <c r="X1250" s="48"/>
      <c r="Y1250" s="48"/>
      <c r="Z1250" s="47"/>
      <c r="AA1250" s="69"/>
      <c r="AB1250" s="69"/>
      <c r="AC1250" s="70"/>
      <c r="AD1250" t="s">
        <v>5082</v>
      </c>
      <c r="AE1250" s="78" t="s">
        <v>6394</v>
      </c>
      <c r="AF1250">
        <v>142</v>
      </c>
      <c r="AG1250">
        <v>10</v>
      </c>
      <c r="AH1250">
        <v>27</v>
      </c>
      <c r="AI1250">
        <v>264</v>
      </c>
      <c r="AO1250" s="76">
        <v>44711.692280092589</v>
      </c>
      <c r="AP1250" s="79" t="str">
        <f>HYPERLINK("https://pbs.twimg.com/profile_banners/1531313628875481098/1660229565")</f>
        <v>https://pbs.twimg.com/profile_banners/1531313628875481098/1660229565</v>
      </c>
      <c r="AQ1250" t="b">
        <v>1</v>
      </c>
      <c r="AR1250" t="b">
        <v>0</v>
      </c>
      <c r="AS1250" t="b">
        <v>0</v>
      </c>
      <c r="AU1250">
        <v>1</v>
      </c>
      <c r="AW1250" t="b">
        <v>0</v>
      </c>
      <c r="AX1250" t="s">
        <v>9303</v>
      </c>
      <c r="AY1250" s="79" t="str">
        <f>HYPERLINK("https://twitter.com/alexiah14468441")</f>
        <v>https://twitter.com/alexiah14468441</v>
      </c>
      <c r="AZ1250" t="s">
        <v>66</v>
      </c>
      <c r="BA1250" s="2"/>
    </row>
    <row r="1251" spans="1:53" x14ac:dyDescent="0.45">
      <c r="A1251" s="62" t="s">
        <v>336</v>
      </c>
      <c r="B1251" s="63"/>
      <c r="C1251" s="63"/>
      <c r="D1251" s="64"/>
      <c r="E1251" s="66"/>
      <c r="F1251" s="98" t="str">
        <f>HYPERLINK("https://pbs.twimg.com/profile_images/1607786480931409923/v__tGH22_normal.jpg")</f>
        <v>https://pbs.twimg.com/profile_images/1607786480931409923/v__tGH22_normal.jpg</v>
      </c>
      <c r="G1251" s="63"/>
      <c r="H1251" s="67"/>
      <c r="I1251" s="68"/>
      <c r="J1251" s="68"/>
      <c r="K1251" s="67" t="s">
        <v>9555</v>
      </c>
      <c r="L1251" s="71"/>
      <c r="M1251" s="72"/>
      <c r="N1251" s="72"/>
      <c r="O1251" s="73"/>
      <c r="P1251" s="74"/>
      <c r="Q1251" s="74"/>
      <c r="R1251" s="81"/>
      <c r="S1251" s="81"/>
      <c r="T1251" s="81"/>
      <c r="U1251" s="81"/>
      <c r="V1251" s="48"/>
      <c r="W1251" s="48"/>
      <c r="X1251" s="48"/>
      <c r="Y1251" s="48"/>
      <c r="Z1251" s="47"/>
      <c r="AA1251" s="69"/>
      <c r="AB1251" s="69"/>
      <c r="AC1251" s="70"/>
      <c r="AD1251" t="s">
        <v>5248</v>
      </c>
      <c r="AE1251" s="78" t="s">
        <v>6530</v>
      </c>
      <c r="AF1251">
        <v>118</v>
      </c>
      <c r="AG1251">
        <v>10</v>
      </c>
      <c r="AH1251">
        <v>4</v>
      </c>
      <c r="AI1251">
        <v>31</v>
      </c>
      <c r="AO1251" s="76">
        <v>44922.716354166667</v>
      </c>
      <c r="AQ1251" t="b">
        <v>1</v>
      </c>
      <c r="AR1251" t="b">
        <v>0</v>
      </c>
      <c r="AS1251" t="b">
        <v>0</v>
      </c>
      <c r="AU1251">
        <v>0</v>
      </c>
      <c r="AW1251" t="b">
        <v>0</v>
      </c>
      <c r="AX1251" t="s">
        <v>9303</v>
      </c>
      <c r="AY1251" s="79" t="str">
        <f>HYPERLINK("https://twitter.com/afqirmourad")</f>
        <v>https://twitter.com/afqirmourad</v>
      </c>
      <c r="AZ1251" t="s">
        <v>66</v>
      </c>
      <c r="BA1251" s="2"/>
    </row>
    <row r="1252" spans="1:53" x14ac:dyDescent="0.45">
      <c r="A1252" s="62" t="s">
        <v>461</v>
      </c>
      <c r="B1252" s="63"/>
      <c r="C1252" s="63"/>
      <c r="D1252" s="64"/>
      <c r="E1252" s="66"/>
      <c r="F1252" s="98" t="str">
        <f>HYPERLINK("https://pbs.twimg.com/profile_images/1489931179021242368/UhErb08S_normal.jpg")</f>
        <v>https://pbs.twimg.com/profile_images/1489931179021242368/UhErb08S_normal.jpg</v>
      </c>
      <c r="G1252" s="63"/>
      <c r="H1252" s="67"/>
      <c r="I1252" s="68"/>
      <c r="J1252" s="68"/>
      <c r="K1252" s="67" t="s">
        <v>9726</v>
      </c>
      <c r="L1252" s="71"/>
      <c r="M1252" s="72"/>
      <c r="N1252" s="72"/>
      <c r="O1252" s="73"/>
      <c r="P1252" s="74"/>
      <c r="Q1252" s="74"/>
      <c r="R1252" s="81"/>
      <c r="S1252" s="81"/>
      <c r="T1252" s="81"/>
      <c r="U1252" s="81"/>
      <c r="V1252" s="48"/>
      <c r="W1252" s="48"/>
      <c r="X1252" s="48"/>
      <c r="Y1252" s="48"/>
      <c r="Z1252" s="47"/>
      <c r="AA1252" s="69"/>
      <c r="AB1252" s="69"/>
      <c r="AC1252" s="70"/>
      <c r="AD1252" t="s">
        <v>5418</v>
      </c>
      <c r="AE1252" s="78" t="s">
        <v>6690</v>
      </c>
      <c r="AF1252">
        <v>34</v>
      </c>
      <c r="AG1252">
        <v>10</v>
      </c>
      <c r="AH1252">
        <v>359</v>
      </c>
      <c r="AI1252">
        <v>455</v>
      </c>
      <c r="AK1252" t="s">
        <v>7858</v>
      </c>
      <c r="AO1252" s="76">
        <v>44578.046620370369</v>
      </c>
      <c r="AP1252" s="79" t="str">
        <f>HYPERLINK("https://pbs.twimg.com/profile_banners/1482881970233352193/1644077690")</f>
        <v>https://pbs.twimg.com/profile_banners/1482881970233352193/1644077690</v>
      </c>
      <c r="AQ1252" t="b">
        <v>1</v>
      </c>
      <c r="AR1252" t="b">
        <v>0</v>
      </c>
      <c r="AS1252" t="b">
        <v>1</v>
      </c>
      <c r="AU1252">
        <v>0</v>
      </c>
      <c r="AW1252" t="b">
        <v>0</v>
      </c>
      <c r="AX1252" t="s">
        <v>9303</v>
      </c>
      <c r="AY1252" s="79" t="str">
        <f>HYPERLINK("https://twitter.com/katzirgaya")</f>
        <v>https://twitter.com/katzirgaya</v>
      </c>
      <c r="AZ1252" t="s">
        <v>66</v>
      </c>
      <c r="BA1252" s="2"/>
    </row>
    <row r="1253" spans="1:53" x14ac:dyDescent="0.45">
      <c r="A1253" s="62" t="s">
        <v>503</v>
      </c>
      <c r="B1253" s="63"/>
      <c r="C1253" s="63"/>
      <c r="D1253" s="64"/>
      <c r="E1253" s="66"/>
      <c r="F1253" s="98" t="str">
        <f>HYPERLINK("https://pbs.twimg.com/profile_images/1611011058151325697/YBX76Bcu_normal.jpg")</f>
        <v>https://pbs.twimg.com/profile_images/1611011058151325697/YBX76Bcu_normal.jpg</v>
      </c>
      <c r="G1253" s="63"/>
      <c r="H1253" s="67"/>
      <c r="I1253" s="68"/>
      <c r="J1253" s="68"/>
      <c r="K1253" s="67" t="s">
        <v>9780</v>
      </c>
      <c r="L1253" s="71"/>
      <c r="M1253" s="72"/>
      <c r="N1253" s="72"/>
      <c r="O1253" s="73"/>
      <c r="P1253" s="74"/>
      <c r="Q1253" s="74"/>
      <c r="R1253" s="81"/>
      <c r="S1253" s="81"/>
      <c r="T1253" s="81"/>
      <c r="U1253" s="81"/>
      <c r="V1253" s="48"/>
      <c r="W1253" s="48"/>
      <c r="X1253" s="48"/>
      <c r="Y1253" s="48"/>
      <c r="Z1253" s="47"/>
      <c r="AA1253" s="69"/>
      <c r="AB1253" s="69"/>
      <c r="AC1253" s="70"/>
      <c r="AD1253" t="s">
        <v>5472</v>
      </c>
      <c r="AE1253" s="78" t="s">
        <v>6729</v>
      </c>
      <c r="AF1253">
        <v>116</v>
      </c>
      <c r="AG1253">
        <v>10</v>
      </c>
      <c r="AH1253">
        <v>448</v>
      </c>
      <c r="AI1253">
        <v>2260</v>
      </c>
      <c r="AO1253" s="76">
        <v>44627.018379629626</v>
      </c>
      <c r="AQ1253" t="b">
        <v>1</v>
      </c>
      <c r="AR1253" t="b">
        <v>0</v>
      </c>
      <c r="AS1253" t="b">
        <v>0</v>
      </c>
      <c r="AU1253">
        <v>0</v>
      </c>
      <c r="AW1253" t="b">
        <v>0</v>
      </c>
      <c r="AX1253" t="s">
        <v>9303</v>
      </c>
      <c r="AY1253" s="79" t="str">
        <f>HYPERLINK("https://twitter.com/ska_karolina")</f>
        <v>https://twitter.com/ska_karolina</v>
      </c>
      <c r="AZ1253" t="s">
        <v>66</v>
      </c>
      <c r="BA1253" s="2"/>
    </row>
    <row r="1254" spans="1:53" x14ac:dyDescent="0.45">
      <c r="A1254" s="62" t="s">
        <v>666</v>
      </c>
      <c r="B1254" s="63"/>
      <c r="C1254" s="63"/>
      <c r="D1254" s="64"/>
      <c r="E1254" s="66"/>
      <c r="F1254" s="98" t="str">
        <f>HYPERLINK("https://pbs.twimg.com/profile_images/1490405318785835011/pIJuXSeG_normal.jpg")</f>
        <v>https://pbs.twimg.com/profile_images/1490405318785835011/pIJuXSeG_normal.jpg</v>
      </c>
      <c r="G1254" s="63"/>
      <c r="H1254" s="67"/>
      <c r="I1254" s="68"/>
      <c r="J1254" s="68"/>
      <c r="K1254" s="67" t="s">
        <v>9986</v>
      </c>
      <c r="L1254" s="71"/>
      <c r="M1254" s="72"/>
      <c r="N1254" s="72"/>
      <c r="O1254" s="73"/>
      <c r="P1254" s="74"/>
      <c r="Q1254" s="74"/>
      <c r="R1254" s="81"/>
      <c r="S1254" s="81"/>
      <c r="T1254" s="81"/>
      <c r="U1254" s="81"/>
      <c r="V1254" s="48"/>
      <c r="W1254" s="48"/>
      <c r="X1254" s="48"/>
      <c r="Y1254" s="48"/>
      <c r="Z1254" s="47"/>
      <c r="AA1254" s="69"/>
      <c r="AB1254" s="69"/>
      <c r="AC1254" s="70"/>
      <c r="AD1254" t="s">
        <v>5676</v>
      </c>
      <c r="AE1254" s="78" t="s">
        <v>6919</v>
      </c>
      <c r="AF1254">
        <v>278</v>
      </c>
      <c r="AG1254">
        <v>10</v>
      </c>
      <c r="AH1254">
        <v>193</v>
      </c>
      <c r="AI1254">
        <v>322</v>
      </c>
      <c r="AK1254" t="s">
        <v>8085</v>
      </c>
      <c r="AO1254" s="76">
        <v>44598.806064814817</v>
      </c>
      <c r="AP1254" s="79" t="str">
        <f>HYPERLINK("https://pbs.twimg.com/profile_banners/1490404955974295555/1669568983")</f>
        <v>https://pbs.twimg.com/profile_banners/1490404955974295555/1669568983</v>
      </c>
      <c r="AQ1254" t="b">
        <v>1</v>
      </c>
      <c r="AR1254" t="b">
        <v>0</v>
      </c>
      <c r="AS1254" t="b">
        <v>1</v>
      </c>
      <c r="AU1254">
        <v>0</v>
      </c>
      <c r="AW1254" t="b">
        <v>0</v>
      </c>
      <c r="AX1254" t="s">
        <v>9303</v>
      </c>
      <c r="AY1254" s="79" t="str">
        <f>HYPERLINK("https://twitter.com/danniwoohoo")</f>
        <v>https://twitter.com/danniwoohoo</v>
      </c>
      <c r="AZ1254" t="s">
        <v>66</v>
      </c>
      <c r="BA1254" s="2"/>
    </row>
    <row r="1255" spans="1:53" x14ac:dyDescent="0.45">
      <c r="A1255" s="62" t="s">
        <v>763</v>
      </c>
      <c r="B1255" s="63"/>
      <c r="C1255" s="63"/>
      <c r="D1255" s="64"/>
      <c r="E1255" s="66"/>
      <c r="F1255" s="98" t="str">
        <f>HYPERLINK("https://pbs.twimg.com/profile_images/1512184140745035783/gaUOHArA_normal.jpg")</f>
        <v>https://pbs.twimg.com/profile_images/1512184140745035783/gaUOHArA_normal.jpg</v>
      </c>
      <c r="G1255" s="63"/>
      <c r="H1255" s="67"/>
      <c r="I1255" s="68"/>
      <c r="J1255" s="68"/>
      <c r="K1255" s="67" t="s">
        <v>10118</v>
      </c>
      <c r="L1255" s="71"/>
      <c r="M1255" s="72"/>
      <c r="N1255" s="72"/>
      <c r="O1255" s="73"/>
      <c r="P1255" s="74"/>
      <c r="Q1255" s="74"/>
      <c r="R1255" s="81"/>
      <c r="S1255" s="81"/>
      <c r="T1255" s="81"/>
      <c r="U1255" s="81"/>
      <c r="V1255" s="48"/>
      <c r="W1255" s="48"/>
      <c r="X1255" s="48"/>
      <c r="Y1255" s="48"/>
      <c r="Z1255" s="47"/>
      <c r="AA1255" s="69"/>
      <c r="AB1255" s="69"/>
      <c r="AC1255" s="70"/>
      <c r="AD1255" t="s">
        <v>5806</v>
      </c>
      <c r="AE1255" s="78" t="s">
        <v>7036</v>
      </c>
      <c r="AF1255">
        <v>35</v>
      </c>
      <c r="AG1255">
        <v>10</v>
      </c>
      <c r="AH1255">
        <v>245</v>
      </c>
      <c r="AI1255">
        <v>74</v>
      </c>
      <c r="AK1255" t="s">
        <v>8201</v>
      </c>
      <c r="AO1255" s="76">
        <v>44658.904722222222</v>
      </c>
      <c r="AQ1255" t="b">
        <v>1</v>
      </c>
      <c r="AR1255" t="b">
        <v>0</v>
      </c>
      <c r="AS1255" t="b">
        <v>0</v>
      </c>
      <c r="AU1255">
        <v>0</v>
      </c>
      <c r="AW1255" t="b">
        <v>0</v>
      </c>
      <c r="AX1255" t="s">
        <v>9303</v>
      </c>
      <c r="AY1255" s="79" t="str">
        <f>HYPERLINK("https://twitter.com/lashartim")</f>
        <v>https://twitter.com/lashartim</v>
      </c>
      <c r="AZ1255" t="s">
        <v>66</v>
      </c>
      <c r="BA1255" s="2"/>
    </row>
    <row r="1256" spans="1:53" x14ac:dyDescent="0.45">
      <c r="A1256" s="62" t="s">
        <v>812</v>
      </c>
      <c r="B1256" s="63"/>
      <c r="C1256" s="63"/>
      <c r="D1256" s="64"/>
      <c r="E1256" s="66"/>
      <c r="F1256" s="98" t="str">
        <f>HYPERLINK("https://pbs.twimg.com/profile_images/1558459891416793089/4XnDboO3_normal.jpg")</f>
        <v>https://pbs.twimg.com/profile_images/1558459891416793089/4XnDboO3_normal.jpg</v>
      </c>
      <c r="G1256" s="63"/>
      <c r="H1256" s="67"/>
      <c r="I1256" s="68"/>
      <c r="J1256" s="68"/>
      <c r="K1256" s="67" t="s">
        <v>10196</v>
      </c>
      <c r="L1256" s="71"/>
      <c r="M1256" s="72"/>
      <c r="N1256" s="72"/>
      <c r="O1256" s="73"/>
      <c r="P1256" s="74"/>
      <c r="Q1256" s="74"/>
      <c r="R1256" s="81"/>
      <c r="S1256" s="81"/>
      <c r="T1256" s="81"/>
      <c r="U1256" s="81"/>
      <c r="V1256" s="48"/>
      <c r="W1256" s="48"/>
      <c r="X1256" s="48"/>
      <c r="Y1256" s="48"/>
      <c r="Z1256" s="47"/>
      <c r="AA1256" s="69"/>
      <c r="AB1256" s="69"/>
      <c r="AC1256" s="70"/>
      <c r="AD1256" t="s">
        <v>5880</v>
      </c>
      <c r="AE1256" s="78" t="s">
        <v>7101</v>
      </c>
      <c r="AF1256">
        <v>13</v>
      </c>
      <c r="AG1256">
        <v>10</v>
      </c>
      <c r="AH1256">
        <v>214</v>
      </c>
      <c r="AI1256">
        <v>1801</v>
      </c>
      <c r="AO1256" s="76">
        <v>44583.657407407409</v>
      </c>
      <c r="AQ1256" t="b">
        <v>1</v>
      </c>
      <c r="AR1256" t="b">
        <v>0</v>
      </c>
      <c r="AS1256" t="b">
        <v>0</v>
      </c>
      <c r="AU1256">
        <v>0</v>
      </c>
      <c r="AW1256" t="b">
        <v>0</v>
      </c>
      <c r="AX1256" t="s">
        <v>9303</v>
      </c>
      <c r="AY1256" s="79" t="str">
        <f>HYPERLINK("https://twitter.com/daddy_eh30")</f>
        <v>https://twitter.com/daddy_eh30</v>
      </c>
      <c r="AZ1256" t="s">
        <v>66</v>
      </c>
      <c r="BA1256" s="2"/>
    </row>
    <row r="1257" spans="1:53" x14ac:dyDescent="0.45">
      <c r="A1257" s="62" t="s">
        <v>1003</v>
      </c>
      <c r="B1257" s="63"/>
      <c r="C1257" s="63"/>
      <c r="D1257" s="64"/>
      <c r="E1257" s="66"/>
      <c r="F1257" s="98" t="str">
        <f>HYPERLINK("https://pbs.twimg.com/profile_images/1596254714550796295/timh0kSd_normal.jpg")</f>
        <v>https://pbs.twimg.com/profile_images/1596254714550796295/timh0kSd_normal.jpg</v>
      </c>
      <c r="G1257" s="63"/>
      <c r="H1257" s="67"/>
      <c r="I1257" s="68"/>
      <c r="J1257" s="68"/>
      <c r="K1257" s="67" t="s">
        <v>10477</v>
      </c>
      <c r="L1257" s="71"/>
      <c r="M1257" s="72"/>
      <c r="N1257" s="72"/>
      <c r="O1257" s="73"/>
      <c r="P1257" s="74"/>
      <c r="Q1257" s="74"/>
      <c r="R1257" s="81"/>
      <c r="S1257" s="81"/>
      <c r="T1257" s="81"/>
      <c r="U1257" s="81"/>
      <c r="V1257" s="48"/>
      <c r="W1257" s="48"/>
      <c r="X1257" s="48"/>
      <c r="Y1257" s="48"/>
      <c r="Z1257" s="47"/>
      <c r="AA1257" s="69"/>
      <c r="AB1257" s="69"/>
      <c r="AC1257" s="70"/>
      <c r="AD1257" t="s">
        <v>6157</v>
      </c>
      <c r="AE1257" s="78" t="s">
        <v>7343</v>
      </c>
      <c r="AF1257">
        <v>96</v>
      </c>
      <c r="AG1257">
        <v>10</v>
      </c>
      <c r="AH1257">
        <v>762</v>
      </c>
      <c r="AI1257">
        <v>17</v>
      </c>
      <c r="AO1257" s="76">
        <v>43692.81590277778</v>
      </c>
      <c r="AQ1257" t="b">
        <v>1</v>
      </c>
      <c r="AR1257" t="b">
        <v>0</v>
      </c>
      <c r="AS1257" t="b">
        <v>0</v>
      </c>
      <c r="AU1257">
        <v>0</v>
      </c>
      <c r="AW1257" t="b">
        <v>0</v>
      </c>
      <c r="AX1257" t="s">
        <v>9303</v>
      </c>
      <c r="AY1257" s="79" t="str">
        <f>HYPERLINK("https://twitter.com/metalashell26")</f>
        <v>https://twitter.com/metalashell26</v>
      </c>
      <c r="AZ1257" t="s">
        <v>66</v>
      </c>
      <c r="BA1257" s="2"/>
    </row>
    <row r="1258" spans="1:53" x14ac:dyDescent="0.45">
      <c r="A1258" s="62" t="s">
        <v>653</v>
      </c>
      <c r="B1258" s="63"/>
      <c r="C1258" s="63"/>
      <c r="D1258" s="64"/>
      <c r="E1258" s="66"/>
      <c r="F1258" s="98" t="str">
        <f>HYPERLINK("https://pbs.twimg.com/profile_images/1366086375544664064/utunJCK0_normal.jpg")</f>
        <v>https://pbs.twimg.com/profile_images/1366086375544664064/utunJCK0_normal.jpg</v>
      </c>
      <c r="G1258" s="63"/>
      <c r="H1258" s="67"/>
      <c r="I1258" s="68"/>
      <c r="J1258" s="68"/>
      <c r="K1258" s="67" t="s">
        <v>9964</v>
      </c>
      <c r="L1258" s="71"/>
      <c r="M1258" s="72"/>
      <c r="N1258" s="72"/>
      <c r="O1258" s="73"/>
      <c r="P1258" s="74"/>
      <c r="Q1258" s="74"/>
      <c r="R1258" s="81"/>
      <c r="S1258" s="81"/>
      <c r="T1258" s="81"/>
      <c r="U1258" s="81"/>
      <c r="V1258" s="48"/>
      <c r="W1258" s="48"/>
      <c r="X1258" s="48"/>
      <c r="Y1258" s="48"/>
      <c r="Z1258" s="47"/>
      <c r="AA1258" s="69"/>
      <c r="AB1258" s="69"/>
      <c r="AC1258" s="70"/>
      <c r="AD1258" t="s">
        <v>5655</v>
      </c>
      <c r="AE1258" s="78" t="s">
        <v>6897</v>
      </c>
      <c r="AF1258">
        <v>239</v>
      </c>
      <c r="AG1258">
        <v>9</v>
      </c>
      <c r="AH1258">
        <v>797</v>
      </c>
      <c r="AI1258">
        <v>756</v>
      </c>
      <c r="AL1258" t="s">
        <v>9008</v>
      </c>
      <c r="AO1258" s="76">
        <v>40909.287685185183</v>
      </c>
      <c r="AQ1258" t="b">
        <v>1</v>
      </c>
      <c r="AR1258" t="b">
        <v>0</v>
      </c>
      <c r="AS1258" t="b">
        <v>1</v>
      </c>
      <c r="AU1258">
        <v>0</v>
      </c>
      <c r="AV1258" s="79" t="str">
        <f>HYPERLINK("https://abs.twimg.com/images/themes/theme1/bg.png")</f>
        <v>https://abs.twimg.com/images/themes/theme1/bg.png</v>
      </c>
      <c r="AW1258" t="b">
        <v>0</v>
      </c>
      <c r="AX1258" t="s">
        <v>9303</v>
      </c>
      <c r="AY1258" s="79" t="str">
        <f>HYPERLINK("https://twitter.com/dbrooks2012")</f>
        <v>https://twitter.com/dbrooks2012</v>
      </c>
      <c r="AZ1258" t="s">
        <v>66</v>
      </c>
      <c r="BA1258" s="2"/>
    </row>
    <row r="1259" spans="1:53" x14ac:dyDescent="0.45">
      <c r="A1259" s="62" t="s">
        <v>282</v>
      </c>
      <c r="B1259" s="63"/>
      <c r="C1259" s="63"/>
      <c r="D1259" s="64"/>
      <c r="E1259" s="66"/>
      <c r="F1259" s="98" t="str">
        <f>HYPERLINK("https://pbs.twimg.com/profile_images/1564911947169992706/MByj3xyW_normal.jpg")</f>
        <v>https://pbs.twimg.com/profile_images/1564911947169992706/MByj3xyW_normal.jpg</v>
      </c>
      <c r="G1259" s="63"/>
      <c r="H1259" s="67"/>
      <c r="I1259" s="68"/>
      <c r="J1259" s="68"/>
      <c r="K1259" s="67" t="s">
        <v>9437</v>
      </c>
      <c r="L1259" s="71"/>
      <c r="M1259" s="72"/>
      <c r="N1259" s="72"/>
      <c r="O1259" s="73"/>
      <c r="P1259" s="74"/>
      <c r="Q1259" s="74"/>
      <c r="R1259" s="81"/>
      <c r="S1259" s="81"/>
      <c r="T1259" s="81"/>
      <c r="U1259" s="81"/>
      <c r="V1259" s="48"/>
      <c r="W1259" s="48"/>
      <c r="X1259" s="48"/>
      <c r="Y1259" s="48"/>
      <c r="Z1259" s="47"/>
      <c r="AA1259" s="69"/>
      <c r="AB1259" s="69"/>
      <c r="AC1259" s="70"/>
      <c r="AD1259" t="s">
        <v>5131</v>
      </c>
      <c r="AE1259" s="78" t="s">
        <v>6437</v>
      </c>
      <c r="AF1259">
        <v>96</v>
      </c>
      <c r="AG1259">
        <v>8</v>
      </c>
      <c r="AH1259">
        <v>28</v>
      </c>
      <c r="AI1259">
        <v>203</v>
      </c>
      <c r="AO1259" s="76">
        <v>44804.405370370368</v>
      </c>
      <c r="AP1259" s="79" t="str">
        <f>HYPERLINK("https://pbs.twimg.com/profile_banners/1564911650943053824/1662172159")</f>
        <v>https://pbs.twimg.com/profile_banners/1564911650943053824/1662172159</v>
      </c>
      <c r="AQ1259" t="b">
        <v>1</v>
      </c>
      <c r="AR1259" t="b">
        <v>0</v>
      </c>
      <c r="AS1259" t="b">
        <v>0</v>
      </c>
      <c r="AU1259">
        <v>0</v>
      </c>
      <c r="AW1259" t="b">
        <v>0</v>
      </c>
      <c r="AX1259" t="s">
        <v>9303</v>
      </c>
      <c r="AY1259" s="79" t="str">
        <f>HYPERLINK("https://twitter.com/jngshngmih1")</f>
        <v>https://twitter.com/jngshngmih1</v>
      </c>
      <c r="AZ1259" t="s">
        <v>66</v>
      </c>
      <c r="BA1259" s="2"/>
    </row>
    <row r="1260" spans="1:53" x14ac:dyDescent="0.45">
      <c r="A1260" s="62" t="s">
        <v>283</v>
      </c>
      <c r="B1260" s="63"/>
      <c r="C1260" s="63"/>
      <c r="D1260" s="64"/>
      <c r="E1260" s="66"/>
      <c r="F1260" s="98" t="str">
        <f>HYPERLINK("https://pbs.twimg.com/profile_images/1572588206696108033/lMv8PwqX_normal.jpg")</f>
        <v>https://pbs.twimg.com/profile_images/1572588206696108033/lMv8PwqX_normal.jpg</v>
      </c>
      <c r="G1260" s="63"/>
      <c r="H1260" s="67"/>
      <c r="I1260" s="68"/>
      <c r="J1260" s="68"/>
      <c r="K1260" s="67" t="s">
        <v>9438</v>
      </c>
      <c r="L1260" s="71"/>
      <c r="M1260" s="72"/>
      <c r="N1260" s="72"/>
      <c r="O1260" s="73"/>
      <c r="P1260" s="74"/>
      <c r="Q1260" s="74"/>
      <c r="R1260" s="81"/>
      <c r="S1260" s="81"/>
      <c r="T1260" s="81"/>
      <c r="U1260" s="81"/>
      <c r="V1260" s="48"/>
      <c r="W1260" s="48"/>
      <c r="X1260" s="48"/>
      <c r="Y1260" s="48"/>
      <c r="Z1260" s="47"/>
      <c r="AA1260" s="69"/>
      <c r="AB1260" s="69"/>
      <c r="AC1260" s="70"/>
      <c r="AD1260" t="s">
        <v>5132</v>
      </c>
      <c r="AE1260" s="78" t="s">
        <v>6438</v>
      </c>
      <c r="AF1260">
        <v>17</v>
      </c>
      <c r="AG1260">
        <v>8</v>
      </c>
      <c r="AH1260">
        <v>77</v>
      </c>
      <c r="AI1260">
        <v>10</v>
      </c>
      <c r="AK1260" t="s">
        <v>7607</v>
      </c>
      <c r="AL1260" t="s">
        <v>8752</v>
      </c>
      <c r="AO1260" s="76">
        <v>44825.583749999998</v>
      </c>
      <c r="AP1260" s="79" t="str">
        <f>HYPERLINK("https://pbs.twimg.com/profile_banners/1572586393112641539/1663769246")</f>
        <v>https://pbs.twimg.com/profile_banners/1572586393112641539/1663769246</v>
      </c>
      <c r="AQ1260" t="b">
        <v>1</v>
      </c>
      <c r="AR1260" t="b">
        <v>0</v>
      </c>
      <c r="AS1260" t="b">
        <v>0</v>
      </c>
      <c r="AU1260">
        <v>0</v>
      </c>
      <c r="AW1260" t="b">
        <v>0</v>
      </c>
      <c r="AX1260" t="s">
        <v>9303</v>
      </c>
      <c r="AY1260" s="79" t="str">
        <f>HYPERLINK("https://twitter.com/salvationarmleb")</f>
        <v>https://twitter.com/salvationarmleb</v>
      </c>
      <c r="AZ1260" t="s">
        <v>66</v>
      </c>
      <c r="BA1260" s="2"/>
    </row>
    <row r="1261" spans="1:53" x14ac:dyDescent="0.45">
      <c r="A1261" s="62" t="s">
        <v>315</v>
      </c>
      <c r="B1261" s="63"/>
      <c r="C1261" s="63"/>
      <c r="D1261" s="64"/>
      <c r="E1261" s="66"/>
      <c r="F1261" s="98" t="str">
        <f>HYPERLINK("https://pbs.twimg.com/profile_images/1620778103562817540/Y6lj20KN_normal.png")</f>
        <v>https://pbs.twimg.com/profile_images/1620778103562817540/Y6lj20KN_normal.png</v>
      </c>
      <c r="G1261" s="63"/>
      <c r="H1261" s="67"/>
      <c r="I1261" s="68"/>
      <c r="J1261" s="68"/>
      <c r="K1261" s="67" t="s">
        <v>9512</v>
      </c>
      <c r="L1261" s="71"/>
      <c r="M1261" s="72"/>
      <c r="N1261" s="72"/>
      <c r="O1261" s="73"/>
      <c r="P1261" s="74"/>
      <c r="Q1261" s="74"/>
      <c r="R1261" s="81"/>
      <c r="S1261" s="81"/>
      <c r="T1261" s="81"/>
      <c r="U1261" s="81"/>
      <c r="V1261" s="48"/>
      <c r="W1261" s="48"/>
      <c r="X1261" s="48"/>
      <c r="Y1261" s="48"/>
      <c r="Z1261" s="47"/>
      <c r="AA1261" s="69"/>
      <c r="AB1261" s="69"/>
      <c r="AC1261" s="70"/>
      <c r="AD1261" t="s">
        <v>5206</v>
      </c>
      <c r="AE1261" s="78" t="s">
        <v>6497</v>
      </c>
      <c r="AF1261">
        <v>9</v>
      </c>
      <c r="AG1261">
        <v>8</v>
      </c>
      <c r="AH1261">
        <v>1688</v>
      </c>
      <c r="AI1261">
        <v>226</v>
      </c>
      <c r="AK1261" t="s">
        <v>7676</v>
      </c>
      <c r="AO1261" s="76">
        <v>41721.490046296298</v>
      </c>
      <c r="AP1261" s="79" t="str">
        <f>HYPERLINK("https://pbs.twimg.com/profile_banners/2406839101/1675258592")</f>
        <v>https://pbs.twimg.com/profile_banners/2406839101/1675258592</v>
      </c>
      <c r="AQ1261" t="b">
        <v>1</v>
      </c>
      <c r="AR1261" t="b">
        <v>0</v>
      </c>
      <c r="AS1261" t="b">
        <v>0</v>
      </c>
      <c r="AU1261">
        <v>0</v>
      </c>
      <c r="AV1261" s="79" t="str">
        <f>HYPERLINK("https://abs.twimg.com/images/themes/theme1/bg.png")</f>
        <v>https://abs.twimg.com/images/themes/theme1/bg.png</v>
      </c>
      <c r="AW1261" t="b">
        <v>0</v>
      </c>
      <c r="AX1261" t="s">
        <v>9303</v>
      </c>
      <c r="AY1261" s="79" t="str">
        <f>HYPERLINK("https://twitter.com/john_nenasai")</f>
        <v>https://twitter.com/john_nenasai</v>
      </c>
      <c r="AZ1261" t="s">
        <v>66</v>
      </c>
      <c r="BA1261" s="2"/>
    </row>
    <row r="1262" spans="1:53" x14ac:dyDescent="0.45">
      <c r="A1262" s="62" t="s">
        <v>1077</v>
      </c>
      <c r="B1262" s="63"/>
      <c r="C1262" s="63"/>
      <c r="D1262" s="64"/>
      <c r="E1262" s="66"/>
      <c r="F1262" s="98" t="str">
        <f>HYPERLINK("https://pbs.twimg.com/profile_images/1394096812349280262/x0rU45qD_normal.jpg")</f>
        <v>https://pbs.twimg.com/profile_images/1394096812349280262/x0rU45qD_normal.jpg</v>
      </c>
      <c r="G1262" s="63"/>
      <c r="H1262" s="67"/>
      <c r="I1262" s="68"/>
      <c r="J1262" s="68"/>
      <c r="K1262" s="67" t="s">
        <v>10609</v>
      </c>
      <c r="L1262" s="71"/>
      <c r="M1262" s="72"/>
      <c r="N1262" s="72"/>
      <c r="O1262" s="73"/>
      <c r="P1262" s="74"/>
      <c r="Q1262" s="74"/>
      <c r="R1262" s="81"/>
      <c r="S1262" s="81"/>
      <c r="T1262" s="81"/>
      <c r="U1262" s="81"/>
      <c r="V1262" s="48"/>
      <c r="W1262" s="48"/>
      <c r="X1262" s="48"/>
      <c r="Y1262" s="48"/>
      <c r="Z1262" s="47"/>
      <c r="AA1262" s="69"/>
      <c r="AB1262" s="69"/>
      <c r="AC1262" s="70"/>
      <c r="AD1262" t="s">
        <v>6285</v>
      </c>
      <c r="AE1262" s="78" t="s">
        <v>7450</v>
      </c>
      <c r="AF1262">
        <v>55</v>
      </c>
      <c r="AG1262">
        <v>8</v>
      </c>
      <c r="AH1262">
        <v>18</v>
      </c>
      <c r="AI1262">
        <v>22</v>
      </c>
      <c r="AL1262" t="s">
        <v>9287</v>
      </c>
      <c r="AO1262" s="76">
        <v>42172.178900462961</v>
      </c>
      <c r="AQ1262" t="b">
        <v>0</v>
      </c>
      <c r="AR1262" t="b">
        <v>0</v>
      </c>
      <c r="AS1262" t="b">
        <v>0</v>
      </c>
      <c r="AU1262">
        <v>0</v>
      </c>
      <c r="AV1262" s="79" t="str">
        <f>HYPERLINK("https://abs.twimg.com/images/themes/theme1/bg.png")</f>
        <v>https://abs.twimg.com/images/themes/theme1/bg.png</v>
      </c>
      <c r="AW1262" t="b">
        <v>0</v>
      </c>
      <c r="AX1262" t="s">
        <v>9303</v>
      </c>
      <c r="AY1262" s="79" t="str">
        <f>HYPERLINK("https://twitter.com/imrajat1")</f>
        <v>https://twitter.com/imrajat1</v>
      </c>
      <c r="AZ1262" t="s">
        <v>66</v>
      </c>
      <c r="BA1262" s="2"/>
    </row>
    <row r="1263" spans="1:53" x14ac:dyDescent="0.45">
      <c r="A1263" s="62" t="s">
        <v>723</v>
      </c>
      <c r="B1263" s="63"/>
      <c r="C1263" s="63"/>
      <c r="D1263" s="64"/>
      <c r="E1263" s="66"/>
      <c r="F1263" s="98" t="str">
        <f>HYPERLINK("https://pbs.twimg.com/profile_images/1564262792349237250/g102ce0S_normal.jpg")</f>
        <v>https://pbs.twimg.com/profile_images/1564262792349237250/g102ce0S_normal.jpg</v>
      </c>
      <c r="G1263" s="63"/>
      <c r="H1263" s="67"/>
      <c r="I1263" s="68"/>
      <c r="J1263" s="68"/>
      <c r="K1263" s="67" t="s">
        <v>10069</v>
      </c>
      <c r="L1263" s="71"/>
      <c r="M1263" s="72"/>
      <c r="N1263" s="72"/>
      <c r="O1263" s="73"/>
      <c r="P1263" s="74"/>
      <c r="Q1263" s="74"/>
      <c r="R1263" s="81"/>
      <c r="S1263" s="81"/>
      <c r="T1263" s="81"/>
      <c r="U1263" s="81"/>
      <c r="V1263" s="48"/>
      <c r="W1263" s="48"/>
      <c r="X1263" s="48"/>
      <c r="Y1263" s="48"/>
      <c r="Z1263" s="47"/>
      <c r="AA1263" s="69"/>
      <c r="AB1263" s="69"/>
      <c r="AC1263" s="70"/>
      <c r="AD1263" t="s">
        <v>5758</v>
      </c>
      <c r="AE1263" s="78" t="s">
        <v>6993</v>
      </c>
      <c r="AF1263">
        <v>1</v>
      </c>
      <c r="AG1263">
        <v>7</v>
      </c>
      <c r="AH1263">
        <v>577</v>
      </c>
      <c r="AI1263">
        <v>27</v>
      </c>
      <c r="AK1263" t="s">
        <v>8155</v>
      </c>
      <c r="AL1263" t="s">
        <v>9064</v>
      </c>
      <c r="AO1263" s="76">
        <v>44689.003541666665</v>
      </c>
      <c r="AP1263" s="79" t="str">
        <f>HYPERLINK("https://pbs.twimg.com/profile_banners/1523091473067032576/1664611121")</f>
        <v>https://pbs.twimg.com/profile_banners/1523091473067032576/1664611121</v>
      </c>
      <c r="AQ1263" t="b">
        <v>1</v>
      </c>
      <c r="AR1263" t="b">
        <v>0</v>
      </c>
      <c r="AS1263" t="b">
        <v>0</v>
      </c>
      <c r="AU1263">
        <v>2</v>
      </c>
      <c r="AW1263" t="b">
        <v>0</v>
      </c>
      <c r="AX1263" t="s">
        <v>9303</v>
      </c>
      <c r="AY1263" s="79" t="str">
        <f>HYPERLINK("https://twitter.com/93_babybatch")</f>
        <v>https://twitter.com/93_babybatch</v>
      </c>
      <c r="AZ1263" t="s">
        <v>66</v>
      </c>
      <c r="BA1263" s="2"/>
    </row>
    <row r="1264" spans="1:53" x14ac:dyDescent="0.45">
      <c r="A1264" s="62" t="s">
        <v>301</v>
      </c>
      <c r="B1264" s="63"/>
      <c r="C1264" s="63"/>
      <c r="D1264" s="64"/>
      <c r="E1264" s="66"/>
      <c r="F1264" s="98" t="str">
        <f>HYPERLINK("https://pbs.twimg.com/profile_images/1620568162776358913/hSiyPwOr_normal.jpg")</f>
        <v>https://pbs.twimg.com/profile_images/1620568162776358913/hSiyPwOr_normal.jpg</v>
      </c>
      <c r="G1264" s="63"/>
      <c r="H1264" s="67"/>
      <c r="I1264" s="68"/>
      <c r="J1264" s="68"/>
      <c r="K1264" s="67" t="s">
        <v>9477</v>
      </c>
      <c r="L1264" s="71"/>
      <c r="M1264" s="72"/>
      <c r="N1264" s="72"/>
      <c r="O1264" s="73"/>
      <c r="P1264" s="74"/>
      <c r="Q1264" s="74"/>
      <c r="R1264" s="81"/>
      <c r="S1264" s="81"/>
      <c r="T1264" s="81"/>
      <c r="U1264" s="81"/>
      <c r="V1264" s="48"/>
      <c r="W1264" s="48"/>
      <c r="X1264" s="48"/>
      <c r="Y1264" s="48"/>
      <c r="Z1264" s="47"/>
      <c r="AA1264" s="69"/>
      <c r="AB1264" s="69"/>
      <c r="AC1264" s="70"/>
      <c r="AD1264" t="s">
        <v>5171</v>
      </c>
      <c r="AE1264" s="78" t="s">
        <v>4670</v>
      </c>
      <c r="AF1264">
        <v>1</v>
      </c>
      <c r="AG1264">
        <v>7</v>
      </c>
      <c r="AH1264">
        <v>3</v>
      </c>
      <c r="AI1264">
        <v>0</v>
      </c>
      <c r="AK1264" t="s">
        <v>7642</v>
      </c>
      <c r="AL1264" t="s">
        <v>8770</v>
      </c>
      <c r="AM1264" s="79" t="str">
        <f>HYPERLINK("https://t.co/jgMV1lq7cC")</f>
        <v>https://t.co/jgMV1lq7cC</v>
      </c>
      <c r="AO1264" s="76">
        <v>44244.682199074072</v>
      </c>
      <c r="AP1264" s="79" t="str">
        <f>HYPERLINK("https://pbs.twimg.com/profile_banners/1362074680115351552/1675209018")</f>
        <v>https://pbs.twimg.com/profile_banners/1362074680115351552/1675209018</v>
      </c>
      <c r="AQ1264" t="b">
        <v>1</v>
      </c>
      <c r="AR1264" t="b">
        <v>0</v>
      </c>
      <c r="AS1264" t="b">
        <v>0</v>
      </c>
      <c r="AU1264">
        <v>0</v>
      </c>
      <c r="AW1264" t="b">
        <v>0</v>
      </c>
      <c r="AX1264" t="s">
        <v>9303</v>
      </c>
      <c r="AY1264" s="79" t="str">
        <f>HYPERLINK("https://twitter.com/arielalts")</f>
        <v>https://twitter.com/arielalts</v>
      </c>
      <c r="AZ1264" t="s">
        <v>66</v>
      </c>
      <c r="BA1264" s="2"/>
    </row>
    <row r="1265" spans="1:53" x14ac:dyDescent="0.45">
      <c r="A1265" s="62" t="s">
        <v>667</v>
      </c>
      <c r="B1265" s="63"/>
      <c r="C1265" s="63"/>
      <c r="D1265" s="64"/>
      <c r="E1265" s="66"/>
      <c r="F1265" s="98" t="str">
        <f>HYPERLINK("https://pbs.twimg.com/profile_images/1614259345172140032/kWhrGWEx_normal.jpg")</f>
        <v>https://pbs.twimg.com/profile_images/1614259345172140032/kWhrGWEx_normal.jpg</v>
      </c>
      <c r="G1265" s="63"/>
      <c r="H1265" s="67"/>
      <c r="I1265" s="68"/>
      <c r="J1265" s="68"/>
      <c r="K1265" s="67" t="s">
        <v>9988</v>
      </c>
      <c r="L1265" s="71"/>
      <c r="M1265" s="72"/>
      <c r="N1265" s="72"/>
      <c r="O1265" s="73"/>
      <c r="P1265" s="74"/>
      <c r="Q1265" s="74"/>
      <c r="R1265" s="81"/>
      <c r="S1265" s="81"/>
      <c r="T1265" s="81"/>
      <c r="U1265" s="81"/>
      <c r="V1265" s="48"/>
      <c r="W1265" s="48"/>
      <c r="X1265" s="48"/>
      <c r="Y1265" s="48"/>
      <c r="Z1265" s="47"/>
      <c r="AA1265" s="69"/>
      <c r="AB1265" s="69"/>
      <c r="AC1265" s="70"/>
      <c r="AD1265" t="s">
        <v>5678</v>
      </c>
      <c r="AE1265" s="78" t="s">
        <v>6921</v>
      </c>
      <c r="AF1265">
        <v>84</v>
      </c>
      <c r="AG1265">
        <v>7</v>
      </c>
      <c r="AH1265">
        <v>131</v>
      </c>
      <c r="AI1265">
        <v>392</v>
      </c>
      <c r="AK1265" t="s">
        <v>8087</v>
      </c>
      <c r="AL1265" t="s">
        <v>9029</v>
      </c>
      <c r="AO1265" s="76">
        <v>44901.130474537036</v>
      </c>
      <c r="AP1265" s="79" t="str">
        <f>HYPERLINK("https://pbs.twimg.com/profile_banners/1599963632573480960/1673704405")</f>
        <v>https://pbs.twimg.com/profile_banners/1599963632573480960/1673704405</v>
      </c>
      <c r="AQ1265" t="b">
        <v>1</v>
      </c>
      <c r="AR1265" t="b">
        <v>0</v>
      </c>
      <c r="AS1265" t="b">
        <v>0</v>
      </c>
      <c r="AU1265">
        <v>0</v>
      </c>
      <c r="AW1265" t="b">
        <v>0</v>
      </c>
      <c r="AX1265" t="s">
        <v>9303</v>
      </c>
      <c r="AY1265" s="79" t="str">
        <f>HYPERLINK("https://twitter.com/carrie_oh99")</f>
        <v>https://twitter.com/carrie_oh99</v>
      </c>
      <c r="AZ1265" t="s">
        <v>66</v>
      </c>
      <c r="BA1265" s="2"/>
    </row>
    <row r="1266" spans="1:53" x14ac:dyDescent="0.45">
      <c r="A1266" s="62" t="s">
        <v>721</v>
      </c>
      <c r="B1266" s="63"/>
      <c r="C1266" s="63"/>
      <c r="D1266" s="64"/>
      <c r="E1266" s="66"/>
      <c r="F1266" s="98" t="str">
        <f>HYPERLINK("https://pbs.twimg.com/profile_images/1613552507355119617/ZyOIb2Rc_normal.jpg")</f>
        <v>https://pbs.twimg.com/profile_images/1613552507355119617/ZyOIb2Rc_normal.jpg</v>
      </c>
      <c r="G1266" s="63"/>
      <c r="H1266" s="67"/>
      <c r="I1266" s="68"/>
      <c r="J1266" s="68"/>
      <c r="K1266" s="67" t="s">
        <v>10066</v>
      </c>
      <c r="L1266" s="71"/>
      <c r="M1266" s="72"/>
      <c r="N1266" s="72"/>
      <c r="O1266" s="73"/>
      <c r="P1266" s="74"/>
      <c r="Q1266" s="74"/>
      <c r="R1266" s="81"/>
      <c r="S1266" s="81"/>
      <c r="T1266" s="81"/>
      <c r="U1266" s="81"/>
      <c r="V1266" s="48"/>
      <c r="W1266" s="48"/>
      <c r="X1266" s="48"/>
      <c r="Y1266" s="48"/>
      <c r="Z1266" s="47"/>
      <c r="AA1266" s="69"/>
      <c r="AB1266" s="69"/>
      <c r="AC1266" s="70"/>
      <c r="AD1266" t="s">
        <v>5755</v>
      </c>
      <c r="AE1266" s="78" t="s">
        <v>6990</v>
      </c>
      <c r="AF1266">
        <v>89</v>
      </c>
      <c r="AG1266">
        <v>7</v>
      </c>
      <c r="AH1266">
        <v>146</v>
      </c>
      <c r="AI1266">
        <v>2011</v>
      </c>
      <c r="AK1266" t="s">
        <v>8152</v>
      </c>
      <c r="AL1266" t="s">
        <v>9061</v>
      </c>
      <c r="AO1266" s="76">
        <v>44838.875451388885</v>
      </c>
      <c r="AP1266" s="79" t="str">
        <f>HYPERLINK("https://pbs.twimg.com/profile_banners/1577403289079058443/1673535871")</f>
        <v>https://pbs.twimg.com/profile_banners/1577403289079058443/1673535871</v>
      </c>
      <c r="AQ1266" t="b">
        <v>1</v>
      </c>
      <c r="AR1266" t="b">
        <v>0</v>
      </c>
      <c r="AS1266" t="b">
        <v>0</v>
      </c>
      <c r="AU1266">
        <v>0</v>
      </c>
      <c r="AW1266" t="b">
        <v>0</v>
      </c>
      <c r="AX1266" t="s">
        <v>9303</v>
      </c>
      <c r="AY1266" s="79" t="str">
        <f>HYPERLINK("https://twitter.com/falconhorny")</f>
        <v>https://twitter.com/falconhorny</v>
      </c>
      <c r="AZ1266" t="s">
        <v>66</v>
      </c>
      <c r="BA1266" s="2"/>
    </row>
    <row r="1267" spans="1:53" x14ac:dyDescent="0.45">
      <c r="A1267" s="62" t="s">
        <v>778</v>
      </c>
      <c r="B1267" s="63"/>
      <c r="C1267" s="63"/>
      <c r="D1267" s="64"/>
      <c r="E1267" s="66"/>
      <c r="F1267" s="98" t="str">
        <f>HYPERLINK("https://pbs.twimg.com/profile_images/1473399732903071748/c8g3lXmH_normal.jpg")</f>
        <v>https://pbs.twimg.com/profile_images/1473399732903071748/c8g3lXmH_normal.jpg</v>
      </c>
      <c r="G1267" s="63"/>
      <c r="H1267" s="67"/>
      <c r="I1267" s="68"/>
      <c r="J1267" s="68"/>
      <c r="K1267" s="67" t="s">
        <v>10136</v>
      </c>
      <c r="L1267" s="71"/>
      <c r="M1267" s="72"/>
      <c r="N1267" s="72"/>
      <c r="O1267" s="73"/>
      <c r="P1267" s="74"/>
      <c r="Q1267" s="74"/>
      <c r="R1267" s="81"/>
      <c r="S1267" s="81"/>
      <c r="T1267" s="81"/>
      <c r="U1267" s="81"/>
      <c r="V1267" s="48"/>
      <c r="W1267" s="48"/>
      <c r="X1267" s="48"/>
      <c r="Y1267" s="48"/>
      <c r="Z1267" s="47"/>
      <c r="AA1267" s="69"/>
      <c r="AB1267" s="69"/>
      <c r="AC1267" s="70"/>
      <c r="AD1267" t="s">
        <v>5824</v>
      </c>
      <c r="AE1267" s="78" t="s">
        <v>7051</v>
      </c>
      <c r="AF1267">
        <v>6</v>
      </c>
      <c r="AG1267">
        <v>7</v>
      </c>
      <c r="AH1267">
        <v>719</v>
      </c>
      <c r="AI1267">
        <v>694</v>
      </c>
      <c r="AK1267" t="s">
        <v>8217</v>
      </c>
      <c r="AL1267" t="s">
        <v>8766</v>
      </c>
      <c r="AO1267" s="76">
        <v>44551.878298611111</v>
      </c>
      <c r="AP1267" s="79" t="str">
        <f>HYPERLINK("https://pbs.twimg.com/profile_banners/1473398995548581904/1652297858")</f>
        <v>https://pbs.twimg.com/profile_banners/1473398995548581904/1652297858</v>
      </c>
      <c r="AQ1267" t="b">
        <v>1</v>
      </c>
      <c r="AR1267" t="b">
        <v>0</v>
      </c>
      <c r="AS1267" t="b">
        <v>0</v>
      </c>
      <c r="AU1267">
        <v>0</v>
      </c>
      <c r="AW1267" t="b">
        <v>0</v>
      </c>
      <c r="AX1267" t="s">
        <v>9303</v>
      </c>
      <c r="AY1267" s="79" t="str">
        <f>HYPERLINK("https://twitter.com/dethdeelindale")</f>
        <v>https://twitter.com/dethdeelindale</v>
      </c>
      <c r="AZ1267" t="s">
        <v>66</v>
      </c>
      <c r="BA1267" s="2"/>
    </row>
    <row r="1268" spans="1:53" x14ac:dyDescent="0.45">
      <c r="A1268" s="62" t="s">
        <v>244</v>
      </c>
      <c r="B1268" s="63"/>
      <c r="C1268" s="63"/>
      <c r="D1268" s="64"/>
      <c r="E1268" s="66"/>
      <c r="F1268" s="98" t="str">
        <f>HYPERLINK("https://pbs.twimg.com/profile_images/1570995168643260416/Q9m-J5oH_normal.jpg")</f>
        <v>https://pbs.twimg.com/profile_images/1570995168643260416/Q9m-J5oH_normal.jpg</v>
      </c>
      <c r="G1268" s="63"/>
      <c r="H1268" s="67"/>
      <c r="I1268" s="68"/>
      <c r="J1268" s="68"/>
      <c r="K1268" s="67" t="s">
        <v>9380</v>
      </c>
      <c r="L1268" s="71"/>
      <c r="M1268" s="72"/>
      <c r="N1268" s="72"/>
      <c r="O1268" s="73"/>
      <c r="P1268" s="74"/>
      <c r="Q1268" s="74"/>
      <c r="R1268" s="81"/>
      <c r="S1268" s="81"/>
      <c r="T1268" s="81"/>
      <c r="U1268" s="81"/>
      <c r="V1268" s="48"/>
      <c r="W1268" s="48"/>
      <c r="X1268" s="48"/>
      <c r="Y1268" s="48"/>
      <c r="Z1268" s="47"/>
      <c r="AA1268" s="69"/>
      <c r="AB1268" s="69"/>
      <c r="AC1268" s="70"/>
      <c r="AD1268" t="s">
        <v>5076</v>
      </c>
      <c r="AE1268" s="78" t="s">
        <v>6388</v>
      </c>
      <c r="AF1268">
        <v>29</v>
      </c>
      <c r="AG1268">
        <v>6</v>
      </c>
      <c r="AH1268">
        <v>56</v>
      </c>
      <c r="AI1268">
        <v>24</v>
      </c>
      <c r="AO1268" s="76">
        <v>44821.191435185188</v>
      </c>
      <c r="AQ1268" t="b">
        <v>1</v>
      </c>
      <c r="AR1268" t="b">
        <v>0</v>
      </c>
      <c r="AS1268" t="b">
        <v>0</v>
      </c>
      <c r="AU1268">
        <v>0</v>
      </c>
      <c r="AW1268" t="b">
        <v>0</v>
      </c>
      <c r="AX1268" t="s">
        <v>9303</v>
      </c>
      <c r="AY1268" s="79" t="str">
        <f>HYPERLINK("https://twitter.com/cardcomicbeard")</f>
        <v>https://twitter.com/cardcomicbeard</v>
      </c>
      <c r="AZ1268" t="s">
        <v>66</v>
      </c>
      <c r="BA1268" s="2"/>
    </row>
    <row r="1269" spans="1:53" x14ac:dyDescent="0.45">
      <c r="A1269" s="62" t="s">
        <v>277</v>
      </c>
      <c r="B1269" s="63"/>
      <c r="C1269" s="63"/>
      <c r="D1269" s="64"/>
      <c r="E1269" s="66"/>
      <c r="F1269" s="98" t="str">
        <f>HYPERLINK("https://pbs.twimg.com/profile_images/1620762054360432640/rDC_5kAf_normal.png")</f>
        <v>https://pbs.twimg.com/profile_images/1620762054360432640/rDC_5kAf_normal.png</v>
      </c>
      <c r="G1269" s="63"/>
      <c r="H1269" s="67"/>
      <c r="I1269" s="68"/>
      <c r="J1269" s="68"/>
      <c r="K1269" s="67" t="s">
        <v>9429</v>
      </c>
      <c r="L1269" s="71"/>
      <c r="M1269" s="72"/>
      <c r="N1269" s="72"/>
      <c r="O1269" s="73"/>
      <c r="P1269" s="74"/>
      <c r="Q1269" s="74"/>
      <c r="R1269" s="81"/>
      <c r="S1269" s="81"/>
      <c r="T1269" s="81"/>
      <c r="U1269" s="81"/>
      <c r="V1269" s="48"/>
      <c r="W1269" s="48"/>
      <c r="X1269" s="48"/>
      <c r="Y1269" s="48"/>
      <c r="Z1269" s="47"/>
      <c r="AA1269" s="69"/>
      <c r="AB1269" s="69"/>
      <c r="AC1269" s="70"/>
      <c r="AD1269" t="s">
        <v>5123</v>
      </c>
      <c r="AE1269" s="78" t="s">
        <v>6430</v>
      </c>
      <c r="AF1269">
        <v>8</v>
      </c>
      <c r="AG1269">
        <v>6</v>
      </c>
      <c r="AH1269">
        <v>45</v>
      </c>
      <c r="AI1269">
        <v>0</v>
      </c>
      <c r="AK1269" t="s">
        <v>7602</v>
      </c>
      <c r="AO1269" s="76">
        <v>41906.009976851848</v>
      </c>
      <c r="AP1269" s="79" t="str">
        <f>HYPERLINK("https://pbs.twimg.com/profile_banners/2828973200/1675254767")</f>
        <v>https://pbs.twimg.com/profile_banners/2828973200/1675254767</v>
      </c>
      <c r="AQ1269" t="b">
        <v>1</v>
      </c>
      <c r="AR1269" t="b">
        <v>0</v>
      </c>
      <c r="AS1269" t="b">
        <v>0</v>
      </c>
      <c r="AU1269">
        <v>0</v>
      </c>
      <c r="AV1269" s="79" t="str">
        <f>HYPERLINK("https://abs.twimg.com/images/themes/theme1/bg.png")</f>
        <v>https://abs.twimg.com/images/themes/theme1/bg.png</v>
      </c>
      <c r="AW1269" t="b">
        <v>0</v>
      </c>
      <c r="AX1269" t="s">
        <v>9303</v>
      </c>
      <c r="AY1269" s="79" t="str">
        <f>HYPERLINK("https://twitter.com/ts_kiti")</f>
        <v>https://twitter.com/ts_kiti</v>
      </c>
      <c r="AZ1269" t="s">
        <v>66</v>
      </c>
      <c r="BA1269" s="2"/>
    </row>
    <row r="1270" spans="1:53" x14ac:dyDescent="0.45">
      <c r="A1270" s="62" t="s">
        <v>664</v>
      </c>
      <c r="B1270" s="63"/>
      <c r="C1270" s="63"/>
      <c r="D1270" s="64"/>
      <c r="E1270" s="66"/>
      <c r="F1270" s="98" t="str">
        <f>HYPERLINK("https://pbs.twimg.com/profile_images/1552141285716365312/yJLSkzqu_normal.jpg")</f>
        <v>https://pbs.twimg.com/profile_images/1552141285716365312/yJLSkzqu_normal.jpg</v>
      </c>
      <c r="G1270" s="63"/>
      <c r="H1270" s="67"/>
      <c r="I1270" s="68"/>
      <c r="J1270" s="68"/>
      <c r="K1270" s="67" t="s">
        <v>9984</v>
      </c>
      <c r="L1270" s="71"/>
      <c r="M1270" s="72"/>
      <c r="N1270" s="72"/>
      <c r="O1270" s="73"/>
      <c r="P1270" s="74"/>
      <c r="Q1270" s="74"/>
      <c r="R1270" s="81"/>
      <c r="S1270" s="81"/>
      <c r="T1270" s="81"/>
      <c r="U1270" s="81"/>
      <c r="V1270" s="48"/>
      <c r="W1270" s="48"/>
      <c r="X1270" s="48"/>
      <c r="Y1270" s="48"/>
      <c r="Z1270" s="47"/>
      <c r="AA1270" s="69"/>
      <c r="AB1270" s="69"/>
      <c r="AC1270" s="70"/>
      <c r="AD1270" t="s">
        <v>664</v>
      </c>
      <c r="AE1270" s="78" t="s">
        <v>6917</v>
      </c>
      <c r="AF1270">
        <v>105</v>
      </c>
      <c r="AG1270">
        <v>6</v>
      </c>
      <c r="AH1270">
        <v>193</v>
      </c>
      <c r="AI1270">
        <v>31</v>
      </c>
      <c r="AK1270" t="s">
        <v>8083</v>
      </c>
      <c r="AL1270" t="s">
        <v>9026</v>
      </c>
      <c r="AM1270" s="79" t="str">
        <f>HYPERLINK("https://t.co/vmwxzPPAYa")</f>
        <v>https://t.co/vmwxzPPAYa</v>
      </c>
      <c r="AO1270" s="76">
        <v>44769.164618055554</v>
      </c>
      <c r="AP1270" s="79" t="str">
        <f>HYPERLINK("https://pbs.twimg.com/profile_banners/1552140943171719168/1658896488")</f>
        <v>https://pbs.twimg.com/profile_banners/1552140943171719168/1658896488</v>
      </c>
      <c r="AQ1270" t="b">
        <v>1</v>
      </c>
      <c r="AR1270" t="b">
        <v>0</v>
      </c>
      <c r="AS1270" t="b">
        <v>0</v>
      </c>
      <c r="AU1270">
        <v>0</v>
      </c>
      <c r="AW1270" t="b">
        <v>0</v>
      </c>
      <c r="AX1270" t="s">
        <v>9303</v>
      </c>
      <c r="AY1270" s="79" t="str">
        <f>HYPERLINK("https://twitter.com/eightifact")</f>
        <v>https://twitter.com/eightifact</v>
      </c>
      <c r="AZ1270" t="s">
        <v>66</v>
      </c>
      <c r="BA1270" s="2"/>
    </row>
    <row r="1271" spans="1:53" x14ac:dyDescent="0.45">
      <c r="A1271" s="62" t="s">
        <v>669</v>
      </c>
      <c r="B1271" s="63"/>
      <c r="C1271" s="63"/>
      <c r="D1271" s="64"/>
      <c r="E1271" s="66"/>
      <c r="F1271" s="98" t="str">
        <f>HYPERLINK("https://pbs.twimg.com/profile_images/1192870964658352128/Fd0CtlCF_normal.jpg")</f>
        <v>https://pbs.twimg.com/profile_images/1192870964658352128/Fd0CtlCF_normal.jpg</v>
      </c>
      <c r="G1271" s="63"/>
      <c r="H1271" s="67"/>
      <c r="I1271" s="68"/>
      <c r="J1271" s="68"/>
      <c r="K1271" s="67" t="s">
        <v>9990</v>
      </c>
      <c r="L1271" s="71"/>
      <c r="M1271" s="72"/>
      <c r="N1271" s="72"/>
      <c r="O1271" s="73"/>
      <c r="P1271" s="74"/>
      <c r="Q1271" s="74"/>
      <c r="R1271" s="81"/>
      <c r="S1271" s="81"/>
      <c r="T1271" s="81"/>
      <c r="U1271" s="81"/>
      <c r="V1271" s="48"/>
      <c r="W1271" s="48"/>
      <c r="X1271" s="48"/>
      <c r="Y1271" s="48"/>
      <c r="Z1271" s="47"/>
      <c r="AA1271" s="69"/>
      <c r="AB1271" s="69"/>
      <c r="AC1271" s="70"/>
      <c r="AD1271" t="s">
        <v>5680</v>
      </c>
      <c r="AE1271" s="78" t="s">
        <v>6923</v>
      </c>
      <c r="AF1271">
        <v>101</v>
      </c>
      <c r="AG1271">
        <v>6</v>
      </c>
      <c r="AH1271">
        <v>678</v>
      </c>
      <c r="AI1271">
        <v>73</v>
      </c>
      <c r="AK1271" t="s">
        <v>8089</v>
      </c>
      <c r="AL1271" t="s">
        <v>9031</v>
      </c>
      <c r="AO1271" s="76">
        <v>42844.943460648145</v>
      </c>
      <c r="AQ1271" t="b">
        <v>1</v>
      </c>
      <c r="AR1271" t="b">
        <v>0</v>
      </c>
      <c r="AS1271" t="b">
        <v>0</v>
      </c>
      <c r="AU1271">
        <v>0</v>
      </c>
      <c r="AW1271" t="b">
        <v>0</v>
      </c>
      <c r="AX1271" t="s">
        <v>9303</v>
      </c>
      <c r="AY1271" s="79" t="str">
        <f>HYPERLINK("https://twitter.com/optimusgear")</f>
        <v>https://twitter.com/optimusgear</v>
      </c>
      <c r="AZ1271" t="s">
        <v>66</v>
      </c>
      <c r="BA1271" s="2"/>
    </row>
    <row r="1272" spans="1:53" x14ac:dyDescent="0.45">
      <c r="A1272" s="62" t="s">
        <v>704</v>
      </c>
      <c r="B1272" s="63"/>
      <c r="C1272" s="63"/>
      <c r="D1272" s="64"/>
      <c r="E1272" s="66"/>
      <c r="F1272" s="98" t="str">
        <f>HYPERLINK("https://pbs.twimg.com/profile_images/1587497771338178562/HO5HLkr5_normal.jpg")</f>
        <v>https://pbs.twimg.com/profile_images/1587497771338178562/HO5HLkr5_normal.jpg</v>
      </c>
      <c r="G1272" s="63"/>
      <c r="H1272" s="67"/>
      <c r="I1272" s="68"/>
      <c r="J1272" s="68"/>
      <c r="K1272" s="67" t="s">
        <v>10040</v>
      </c>
      <c r="L1272" s="71"/>
      <c r="M1272" s="72"/>
      <c r="N1272" s="72"/>
      <c r="O1272" s="73"/>
      <c r="P1272" s="74"/>
      <c r="Q1272" s="74"/>
      <c r="R1272" s="81"/>
      <c r="S1272" s="81"/>
      <c r="T1272" s="81"/>
      <c r="U1272" s="81"/>
      <c r="V1272" s="48"/>
      <c r="W1272" s="48"/>
      <c r="X1272" s="48"/>
      <c r="Y1272" s="48"/>
      <c r="Z1272" s="47"/>
      <c r="AA1272" s="69"/>
      <c r="AB1272" s="69"/>
      <c r="AC1272" s="70"/>
      <c r="AD1272" t="s">
        <v>5730</v>
      </c>
      <c r="AE1272" s="78" t="s">
        <v>6967</v>
      </c>
      <c r="AF1272">
        <v>14</v>
      </c>
      <c r="AG1272">
        <v>6</v>
      </c>
      <c r="AH1272">
        <v>35</v>
      </c>
      <c r="AI1272">
        <v>13</v>
      </c>
      <c r="AK1272" s="79" t="str">
        <f>HYPERLINK("https://t.co/jTIQg24e5o")</f>
        <v>https://t.co/jTIQg24e5o</v>
      </c>
      <c r="AM1272" s="79" t="str">
        <f>HYPERLINK("https://t.co/ahrARbm7lG")</f>
        <v>https://t.co/ahrARbm7lG</v>
      </c>
      <c r="AO1272" s="76">
        <v>44866.709849537037</v>
      </c>
      <c r="AP1272" s="79" t="str">
        <f>HYPERLINK("https://pbs.twimg.com/profile_banners/1587490082994413572/1674175655")</f>
        <v>https://pbs.twimg.com/profile_banners/1587490082994413572/1674175655</v>
      </c>
      <c r="AQ1272" t="b">
        <v>1</v>
      </c>
      <c r="AR1272" t="b">
        <v>0</v>
      </c>
      <c r="AS1272" t="b">
        <v>0</v>
      </c>
      <c r="AU1272">
        <v>0</v>
      </c>
      <c r="AW1272" t="b">
        <v>0</v>
      </c>
      <c r="AX1272" t="s">
        <v>9303</v>
      </c>
      <c r="AY1272" s="79" t="str">
        <f>HYPERLINK("https://twitter.com/lemongrass_farm")</f>
        <v>https://twitter.com/lemongrass_farm</v>
      </c>
      <c r="AZ1272" t="s">
        <v>66</v>
      </c>
      <c r="BA1272" s="2"/>
    </row>
    <row r="1273" spans="1:53" x14ac:dyDescent="0.45">
      <c r="A1273" s="62" t="s">
        <v>742</v>
      </c>
      <c r="B1273" s="63"/>
      <c r="C1273" s="63"/>
      <c r="D1273" s="64"/>
      <c r="E1273" s="66"/>
      <c r="F1273" s="98" t="str">
        <f>HYPERLINK("https://pbs.twimg.com/profile_images/1605545117007642624/J9Kt8UEf_normal.jpg")</f>
        <v>https://pbs.twimg.com/profile_images/1605545117007642624/J9Kt8UEf_normal.jpg</v>
      </c>
      <c r="G1273" s="63"/>
      <c r="H1273" s="67"/>
      <c r="I1273" s="68"/>
      <c r="J1273" s="68"/>
      <c r="K1273" s="67" t="s">
        <v>10091</v>
      </c>
      <c r="L1273" s="71"/>
      <c r="M1273" s="72"/>
      <c r="N1273" s="72"/>
      <c r="O1273" s="73"/>
      <c r="P1273" s="74"/>
      <c r="Q1273" s="74"/>
      <c r="R1273" s="81"/>
      <c r="S1273" s="81"/>
      <c r="T1273" s="81"/>
      <c r="U1273" s="81"/>
      <c r="V1273" s="48"/>
      <c r="W1273" s="48"/>
      <c r="X1273" s="48"/>
      <c r="Y1273" s="48"/>
      <c r="Z1273" s="47"/>
      <c r="AA1273" s="69"/>
      <c r="AB1273" s="69"/>
      <c r="AC1273" s="70"/>
      <c r="AD1273" t="s">
        <v>742</v>
      </c>
      <c r="AE1273" s="78" t="s">
        <v>7012</v>
      </c>
      <c r="AF1273">
        <v>20</v>
      </c>
      <c r="AG1273">
        <v>6</v>
      </c>
      <c r="AH1273">
        <v>905</v>
      </c>
      <c r="AI1273">
        <v>1060</v>
      </c>
      <c r="AK1273" t="s">
        <v>8174</v>
      </c>
      <c r="AO1273" s="76">
        <v>44911.952777777777</v>
      </c>
      <c r="AQ1273" t="b">
        <v>1</v>
      </c>
      <c r="AR1273" t="b">
        <v>0</v>
      </c>
      <c r="AS1273" t="b">
        <v>0</v>
      </c>
      <c r="AU1273">
        <v>0</v>
      </c>
      <c r="AW1273" t="b">
        <v>0</v>
      </c>
      <c r="AX1273" t="s">
        <v>9303</v>
      </c>
      <c r="AY1273" s="79" t="str">
        <f>HYPERLINK("https://twitter.com/elonscumstain")</f>
        <v>https://twitter.com/elonscumstain</v>
      </c>
      <c r="AZ1273" t="s">
        <v>66</v>
      </c>
      <c r="BA1273" s="2"/>
    </row>
    <row r="1274" spans="1:53" x14ac:dyDescent="0.45">
      <c r="A1274" s="62" t="s">
        <v>850</v>
      </c>
      <c r="B1274" s="63"/>
      <c r="C1274" s="63"/>
      <c r="D1274" s="64"/>
      <c r="E1274" s="66"/>
      <c r="F1274" s="98" t="str">
        <f>HYPERLINK("https://pbs.twimg.com/profile_images/1614402529806225409/TbnQjbKx_normal.jpg")</f>
        <v>https://pbs.twimg.com/profile_images/1614402529806225409/TbnQjbKx_normal.jpg</v>
      </c>
      <c r="G1274" s="63"/>
      <c r="H1274" s="67"/>
      <c r="I1274" s="68"/>
      <c r="J1274" s="68"/>
      <c r="K1274" s="67" t="s">
        <v>10247</v>
      </c>
      <c r="L1274" s="71"/>
      <c r="M1274" s="72"/>
      <c r="N1274" s="72"/>
      <c r="O1274" s="73"/>
      <c r="P1274" s="74"/>
      <c r="Q1274" s="74"/>
      <c r="R1274" s="81"/>
      <c r="S1274" s="81"/>
      <c r="T1274" s="81"/>
      <c r="U1274" s="81"/>
      <c r="V1274" s="48"/>
      <c r="W1274" s="48"/>
      <c r="X1274" s="48"/>
      <c r="Y1274" s="48"/>
      <c r="Z1274" s="47"/>
      <c r="AA1274" s="69"/>
      <c r="AB1274" s="69"/>
      <c r="AC1274" s="70"/>
      <c r="AD1274" t="s">
        <v>5930</v>
      </c>
      <c r="AE1274" s="78" t="s">
        <v>7145</v>
      </c>
      <c r="AF1274">
        <v>137</v>
      </c>
      <c r="AG1274">
        <v>6</v>
      </c>
      <c r="AH1274">
        <v>313</v>
      </c>
      <c r="AI1274">
        <v>411</v>
      </c>
      <c r="AK1274" t="s">
        <v>8309</v>
      </c>
      <c r="AL1274" t="s">
        <v>4906</v>
      </c>
      <c r="AO1274" s="76">
        <v>44895.232499999998</v>
      </c>
      <c r="AP1274" s="79" t="str">
        <f>HYPERLINK("https://pbs.twimg.com/profile_banners/1597826310264479746/1670030542")</f>
        <v>https://pbs.twimg.com/profile_banners/1597826310264479746/1670030542</v>
      </c>
      <c r="AQ1274" t="b">
        <v>1</v>
      </c>
      <c r="AR1274" t="b">
        <v>0</v>
      </c>
      <c r="AS1274" t="b">
        <v>0</v>
      </c>
      <c r="AU1274">
        <v>0</v>
      </c>
      <c r="AW1274" t="b">
        <v>0</v>
      </c>
      <c r="AX1274" t="s">
        <v>9303</v>
      </c>
      <c r="AY1274" s="79" t="str">
        <f>HYPERLINK("https://twitter.com/ohsnap17860397")</f>
        <v>https://twitter.com/ohsnap17860397</v>
      </c>
      <c r="AZ1274" t="s">
        <v>66</v>
      </c>
      <c r="BA1274" s="2"/>
    </row>
    <row r="1275" spans="1:53" x14ac:dyDescent="0.45">
      <c r="A1275" s="62" t="s">
        <v>873</v>
      </c>
      <c r="B1275" s="63"/>
      <c r="C1275" s="63"/>
      <c r="D1275" s="64"/>
      <c r="E1275" s="66"/>
      <c r="F1275" s="98" t="str">
        <f>HYPERLINK("https://pbs.twimg.com/profile_images/1586608615271825408/PE-Lf8zk_normal.png")</f>
        <v>https://pbs.twimg.com/profile_images/1586608615271825408/PE-Lf8zk_normal.png</v>
      </c>
      <c r="G1275" s="63"/>
      <c r="H1275" s="67"/>
      <c r="I1275" s="68"/>
      <c r="J1275" s="68"/>
      <c r="K1275" s="67" t="s">
        <v>10276</v>
      </c>
      <c r="L1275" s="71"/>
      <c r="M1275" s="72"/>
      <c r="N1275" s="72"/>
      <c r="O1275" s="73"/>
      <c r="P1275" s="74"/>
      <c r="Q1275" s="74"/>
      <c r="R1275" s="81"/>
      <c r="S1275" s="81"/>
      <c r="T1275" s="81"/>
      <c r="U1275" s="81"/>
      <c r="V1275" s="48"/>
      <c r="W1275" s="48"/>
      <c r="X1275" s="48"/>
      <c r="Y1275" s="48"/>
      <c r="Z1275" s="47"/>
      <c r="AA1275" s="69"/>
      <c r="AB1275" s="69"/>
      <c r="AC1275" s="70"/>
      <c r="AD1275" t="s">
        <v>5959</v>
      </c>
      <c r="AE1275" s="78" t="s">
        <v>7171</v>
      </c>
      <c r="AF1275">
        <v>29</v>
      </c>
      <c r="AG1275">
        <v>6</v>
      </c>
      <c r="AH1275">
        <v>70</v>
      </c>
      <c r="AI1275">
        <v>70</v>
      </c>
      <c r="AO1275" s="76">
        <v>44864.27715277778</v>
      </c>
      <c r="AQ1275" t="b">
        <v>1</v>
      </c>
      <c r="AR1275" t="b">
        <v>0</v>
      </c>
      <c r="AS1275" t="b">
        <v>0</v>
      </c>
      <c r="AU1275">
        <v>0</v>
      </c>
      <c r="AW1275" t="b">
        <v>0</v>
      </c>
      <c r="AX1275" t="s">
        <v>9303</v>
      </c>
      <c r="AY1275" s="79" t="str">
        <f>HYPERLINK("https://twitter.com/trinhnguynth18")</f>
        <v>https://twitter.com/trinhnguynth18</v>
      </c>
      <c r="AZ1275" t="s">
        <v>66</v>
      </c>
      <c r="BA1275" s="2"/>
    </row>
    <row r="1276" spans="1:53" x14ac:dyDescent="0.45">
      <c r="A1276" s="62" t="s">
        <v>1078</v>
      </c>
      <c r="B1276" s="63"/>
      <c r="C1276" s="63"/>
      <c r="D1276" s="64"/>
      <c r="E1276" s="66"/>
      <c r="F1276" s="98" t="str">
        <f>HYPERLINK("https://pbs.twimg.com/profile_images/1528972959171416064/unfax-h6_normal.jpg")</f>
        <v>https://pbs.twimg.com/profile_images/1528972959171416064/unfax-h6_normal.jpg</v>
      </c>
      <c r="G1276" s="63"/>
      <c r="H1276" s="67"/>
      <c r="I1276" s="68"/>
      <c r="J1276" s="68"/>
      <c r="K1276" s="67" t="s">
        <v>10610</v>
      </c>
      <c r="L1276" s="71"/>
      <c r="M1276" s="72"/>
      <c r="N1276" s="72"/>
      <c r="O1276" s="73"/>
      <c r="P1276" s="74"/>
      <c r="Q1276" s="74"/>
      <c r="R1276" s="81"/>
      <c r="S1276" s="81"/>
      <c r="T1276" s="81"/>
      <c r="U1276" s="81"/>
      <c r="V1276" s="48"/>
      <c r="W1276" s="48"/>
      <c r="X1276" s="48"/>
      <c r="Y1276" s="48"/>
      <c r="Z1276" s="47"/>
      <c r="AA1276" s="69"/>
      <c r="AB1276" s="69"/>
      <c r="AC1276" s="70"/>
      <c r="AD1276" t="s">
        <v>6286</v>
      </c>
      <c r="AE1276" s="78" t="s">
        <v>7451</v>
      </c>
      <c r="AF1276">
        <v>122</v>
      </c>
      <c r="AG1276">
        <v>6</v>
      </c>
      <c r="AH1276">
        <v>834</v>
      </c>
      <c r="AI1276">
        <v>360</v>
      </c>
      <c r="AK1276" t="s">
        <v>8633</v>
      </c>
      <c r="AO1276" s="76">
        <v>44705.230474537035</v>
      </c>
      <c r="AQ1276" t="b">
        <v>1</v>
      </c>
      <c r="AR1276" t="b">
        <v>0</v>
      </c>
      <c r="AS1276" t="b">
        <v>0</v>
      </c>
      <c r="AU1276">
        <v>0</v>
      </c>
      <c r="AW1276" t="b">
        <v>0</v>
      </c>
      <c r="AX1276" t="s">
        <v>9303</v>
      </c>
      <c r="AY1276" s="79" t="str">
        <f>HYPERLINK("https://twitter.com/whodo66712820")</f>
        <v>https://twitter.com/whodo66712820</v>
      </c>
      <c r="AZ1276" t="s">
        <v>66</v>
      </c>
      <c r="BA1276" s="2"/>
    </row>
    <row r="1277" spans="1:53" x14ac:dyDescent="0.45">
      <c r="A1277" s="62" t="s">
        <v>316</v>
      </c>
      <c r="B1277" s="63"/>
      <c r="C1277" s="63"/>
      <c r="D1277" s="64"/>
      <c r="E1277" s="66"/>
      <c r="F1277" s="98" t="str">
        <f>HYPERLINK("https://pbs.twimg.com/profile_images/1620406501893447682/HlwA435L_normal.png")</f>
        <v>https://pbs.twimg.com/profile_images/1620406501893447682/HlwA435L_normal.png</v>
      </c>
      <c r="G1277" s="63"/>
      <c r="H1277" s="67"/>
      <c r="I1277" s="68"/>
      <c r="J1277" s="68"/>
      <c r="K1277" s="67" t="s">
        <v>9513</v>
      </c>
      <c r="L1277" s="71"/>
      <c r="M1277" s="72"/>
      <c r="N1277" s="72"/>
      <c r="O1277" s="73"/>
      <c r="P1277" s="74"/>
      <c r="Q1277" s="74"/>
      <c r="R1277" s="81"/>
      <c r="S1277" s="81"/>
      <c r="T1277" s="81"/>
      <c r="U1277" s="81"/>
      <c r="V1277" s="48"/>
      <c r="W1277" s="48"/>
      <c r="X1277" s="48"/>
      <c r="Y1277" s="48"/>
      <c r="Z1277" s="47"/>
      <c r="AA1277" s="69"/>
      <c r="AB1277" s="69"/>
      <c r="AC1277" s="70"/>
      <c r="AD1277" t="s">
        <v>5207</v>
      </c>
      <c r="AE1277" s="78" t="s">
        <v>6498</v>
      </c>
      <c r="AF1277">
        <v>0</v>
      </c>
      <c r="AG1277">
        <v>5</v>
      </c>
      <c r="AH1277">
        <v>1340</v>
      </c>
      <c r="AI1277">
        <v>0</v>
      </c>
      <c r="AK1277" t="s">
        <v>7677</v>
      </c>
      <c r="AL1277" t="s">
        <v>8790</v>
      </c>
      <c r="AO1277" s="76">
        <v>41519.409629629627</v>
      </c>
      <c r="AQ1277" t="b">
        <v>1</v>
      </c>
      <c r="AR1277" t="b">
        <v>0</v>
      </c>
      <c r="AS1277" t="b">
        <v>0</v>
      </c>
      <c r="AU1277">
        <v>0</v>
      </c>
      <c r="AV1277" s="79" t="str">
        <f>HYPERLINK("https://abs.twimg.com/images/themes/theme1/bg.png")</f>
        <v>https://abs.twimg.com/images/themes/theme1/bg.png</v>
      </c>
      <c r="AW1277" t="b">
        <v>0</v>
      </c>
      <c r="AX1277" t="s">
        <v>9303</v>
      </c>
      <c r="AY1277" s="79" t="str">
        <f>HYPERLINK("https://twitter.com/faridajibran")</f>
        <v>https://twitter.com/faridajibran</v>
      </c>
      <c r="AZ1277" t="s">
        <v>66</v>
      </c>
      <c r="BA1277" s="2"/>
    </row>
    <row r="1278" spans="1:53" x14ac:dyDescent="0.45">
      <c r="A1278" s="62" t="s">
        <v>354</v>
      </c>
      <c r="B1278" s="63"/>
      <c r="C1278" s="63"/>
      <c r="D1278" s="64"/>
      <c r="E1278" s="66"/>
      <c r="F1278" s="98" t="str">
        <f>HYPERLINK("https://pbs.twimg.com/profile_images/1166149063898816512/qovLFc6W_normal.jpg")</f>
        <v>https://pbs.twimg.com/profile_images/1166149063898816512/qovLFc6W_normal.jpg</v>
      </c>
      <c r="G1278" s="63"/>
      <c r="H1278" s="67"/>
      <c r="I1278" s="68"/>
      <c r="J1278" s="68"/>
      <c r="K1278" s="67" t="s">
        <v>9582</v>
      </c>
      <c r="L1278" s="71"/>
      <c r="M1278" s="72"/>
      <c r="N1278" s="72"/>
      <c r="O1278" s="73"/>
      <c r="P1278" s="74"/>
      <c r="Q1278" s="74"/>
      <c r="R1278" s="81"/>
      <c r="S1278" s="81"/>
      <c r="T1278" s="81"/>
      <c r="U1278" s="81"/>
      <c r="V1278" s="48"/>
      <c r="W1278" s="48"/>
      <c r="X1278" s="48"/>
      <c r="Y1278" s="48"/>
      <c r="Z1278" s="47"/>
      <c r="AA1278" s="69"/>
      <c r="AB1278" s="69"/>
      <c r="AC1278" s="70"/>
      <c r="AD1278" t="s">
        <v>5275</v>
      </c>
      <c r="AE1278" s="78" t="s">
        <v>6553</v>
      </c>
      <c r="AF1278">
        <v>72</v>
      </c>
      <c r="AG1278">
        <v>5</v>
      </c>
      <c r="AH1278">
        <v>92</v>
      </c>
      <c r="AI1278">
        <v>248</v>
      </c>
      <c r="AO1278" s="76">
        <v>43704.029606481483</v>
      </c>
      <c r="AQ1278" t="b">
        <v>1</v>
      </c>
      <c r="AR1278" t="b">
        <v>0</v>
      </c>
      <c r="AS1278" t="b">
        <v>1</v>
      </c>
      <c r="AU1278">
        <v>0</v>
      </c>
      <c r="AW1278" t="b">
        <v>0</v>
      </c>
      <c r="AX1278" t="s">
        <v>9303</v>
      </c>
      <c r="AY1278" s="79" t="str">
        <f>HYPERLINK("https://twitter.com/christopherjmu6")</f>
        <v>https://twitter.com/christopherjmu6</v>
      </c>
      <c r="AZ1278" t="s">
        <v>66</v>
      </c>
      <c r="BA1278" s="2"/>
    </row>
    <row r="1279" spans="1:53" x14ac:dyDescent="0.45">
      <c r="A1279" s="62" t="s">
        <v>359</v>
      </c>
      <c r="B1279" s="63"/>
      <c r="C1279" s="63"/>
      <c r="D1279" s="64"/>
      <c r="E1279" s="66"/>
      <c r="F1279" s="98" t="str">
        <f>HYPERLINK("https://pbs.twimg.com/profile_images/1620307216338124800/C4UaqThu_normal.jpg")</f>
        <v>https://pbs.twimg.com/profile_images/1620307216338124800/C4UaqThu_normal.jpg</v>
      </c>
      <c r="G1279" s="63"/>
      <c r="H1279" s="67"/>
      <c r="I1279" s="68"/>
      <c r="J1279" s="68"/>
      <c r="K1279" s="67" t="s">
        <v>9600</v>
      </c>
      <c r="L1279" s="71"/>
      <c r="M1279" s="72"/>
      <c r="N1279" s="72"/>
      <c r="O1279" s="73"/>
      <c r="P1279" s="74"/>
      <c r="Q1279" s="74"/>
      <c r="R1279" s="81"/>
      <c r="S1279" s="81"/>
      <c r="T1279" s="81"/>
      <c r="U1279" s="81"/>
      <c r="V1279" s="48"/>
      <c r="W1279" s="48"/>
      <c r="X1279" s="48"/>
      <c r="Y1279" s="48"/>
      <c r="Z1279" s="47"/>
      <c r="AA1279" s="69"/>
      <c r="AB1279" s="69"/>
      <c r="AC1279" s="70"/>
      <c r="AD1279" t="s">
        <v>5293</v>
      </c>
      <c r="AE1279" s="78" t="s">
        <v>6571</v>
      </c>
      <c r="AF1279">
        <v>56</v>
      </c>
      <c r="AG1279">
        <v>5</v>
      </c>
      <c r="AH1279">
        <v>81</v>
      </c>
      <c r="AI1279">
        <v>5</v>
      </c>
      <c r="AK1279" t="s">
        <v>7750</v>
      </c>
      <c r="AO1279" s="76">
        <v>44951.0465625</v>
      </c>
      <c r="AP1279" s="79" t="str">
        <f>HYPERLINK("https://pbs.twimg.com/profile_banners/1618052698707836928/1675145759")</f>
        <v>https://pbs.twimg.com/profile_banners/1618052698707836928/1675145759</v>
      </c>
      <c r="AQ1279" t="b">
        <v>1</v>
      </c>
      <c r="AR1279" t="b">
        <v>0</v>
      </c>
      <c r="AS1279" t="b">
        <v>0</v>
      </c>
      <c r="AU1279">
        <v>0</v>
      </c>
      <c r="AW1279" t="b">
        <v>0</v>
      </c>
      <c r="AX1279" t="s">
        <v>9303</v>
      </c>
      <c r="AY1279" s="79" t="str">
        <f>HYPERLINK("https://twitter.com/spreadthatcheek")</f>
        <v>https://twitter.com/spreadthatcheek</v>
      </c>
      <c r="AZ1279" t="s">
        <v>66</v>
      </c>
      <c r="BA1279" s="2"/>
    </row>
    <row r="1280" spans="1:53" x14ac:dyDescent="0.45">
      <c r="A1280" s="62" t="s">
        <v>535</v>
      </c>
      <c r="B1280" s="63"/>
      <c r="C1280" s="63"/>
      <c r="D1280" s="64"/>
      <c r="E1280" s="66"/>
      <c r="F1280" s="98" t="str">
        <f>HYPERLINK("https://abs.twimg.com/sticky/default_profile_images/default_profile_normal.png")</f>
        <v>https://abs.twimg.com/sticky/default_profile_images/default_profile_normal.png</v>
      </c>
      <c r="G1280" s="63"/>
      <c r="H1280" s="67"/>
      <c r="I1280" s="68"/>
      <c r="J1280" s="68"/>
      <c r="K1280" s="67" t="s">
        <v>9828</v>
      </c>
      <c r="L1280" s="71"/>
      <c r="M1280" s="72"/>
      <c r="N1280" s="72"/>
      <c r="O1280" s="73"/>
      <c r="P1280" s="74"/>
      <c r="Q1280" s="74"/>
      <c r="R1280" s="81"/>
      <c r="S1280" s="81"/>
      <c r="T1280" s="81"/>
      <c r="U1280" s="81"/>
      <c r="V1280" s="48"/>
      <c r="W1280" s="48"/>
      <c r="X1280" s="48"/>
      <c r="Y1280" s="48"/>
      <c r="Z1280" s="47"/>
      <c r="AA1280" s="69"/>
      <c r="AB1280" s="69"/>
      <c r="AC1280" s="70"/>
      <c r="AD1280" t="s">
        <v>5519</v>
      </c>
      <c r="AE1280" s="78" t="s">
        <v>6770</v>
      </c>
      <c r="AF1280">
        <v>8</v>
      </c>
      <c r="AG1280">
        <v>5</v>
      </c>
      <c r="AH1280">
        <v>5</v>
      </c>
      <c r="AI1280">
        <v>5</v>
      </c>
      <c r="AO1280" s="76">
        <v>44869.505335648151</v>
      </c>
      <c r="AQ1280" t="b">
        <v>1</v>
      </c>
      <c r="AR1280" t="b">
        <v>1</v>
      </c>
      <c r="AS1280" t="b">
        <v>0</v>
      </c>
      <c r="AU1280">
        <v>0</v>
      </c>
      <c r="AW1280" t="b">
        <v>0</v>
      </c>
      <c r="AX1280" t="s">
        <v>9303</v>
      </c>
      <c r="AY1280" s="79" t="str">
        <f>HYPERLINK("https://twitter.com/bornyhear")</f>
        <v>https://twitter.com/bornyhear</v>
      </c>
      <c r="AZ1280" t="s">
        <v>66</v>
      </c>
      <c r="BA1280" s="2"/>
    </row>
    <row r="1281" spans="1:53" x14ac:dyDescent="0.45">
      <c r="A1281" s="62" t="s">
        <v>638</v>
      </c>
      <c r="B1281" s="63"/>
      <c r="C1281" s="63"/>
      <c r="D1281" s="64"/>
      <c r="E1281" s="66"/>
      <c r="F1281" s="98" t="str">
        <f>HYPERLINK("https://pbs.twimg.com/profile_images/1452417809770745857/rSXrC-rs_normal.jpg")</f>
        <v>https://pbs.twimg.com/profile_images/1452417809770745857/rSXrC-rs_normal.jpg</v>
      </c>
      <c r="G1281" s="63"/>
      <c r="H1281" s="67"/>
      <c r="I1281" s="68"/>
      <c r="J1281" s="68"/>
      <c r="K1281" s="67" t="s">
        <v>9949</v>
      </c>
      <c r="L1281" s="71"/>
      <c r="M1281" s="72"/>
      <c r="N1281" s="72"/>
      <c r="O1281" s="73"/>
      <c r="P1281" s="74"/>
      <c r="Q1281" s="74"/>
      <c r="R1281" s="81"/>
      <c r="S1281" s="81"/>
      <c r="T1281" s="81"/>
      <c r="U1281" s="81"/>
      <c r="V1281" s="48"/>
      <c r="W1281" s="48"/>
      <c r="X1281" s="48"/>
      <c r="Y1281" s="48"/>
      <c r="Z1281" s="47"/>
      <c r="AA1281" s="69"/>
      <c r="AB1281" s="69"/>
      <c r="AC1281" s="70"/>
      <c r="AD1281" t="s">
        <v>5640</v>
      </c>
      <c r="AE1281" s="78" t="s">
        <v>6882</v>
      </c>
      <c r="AF1281">
        <v>132</v>
      </c>
      <c r="AG1281">
        <v>5</v>
      </c>
      <c r="AH1281">
        <v>763</v>
      </c>
      <c r="AI1281">
        <v>6125</v>
      </c>
      <c r="AK1281" t="s">
        <v>8054</v>
      </c>
      <c r="AO1281" s="76">
        <v>44493.946828703702</v>
      </c>
      <c r="AP1281" s="79" t="str">
        <f>HYPERLINK("https://pbs.twimg.com/profile_banners/1452405099817545733/1635117695")</f>
        <v>https://pbs.twimg.com/profile_banners/1452405099817545733/1635117695</v>
      </c>
      <c r="AQ1281" t="b">
        <v>1</v>
      </c>
      <c r="AR1281" t="b">
        <v>0</v>
      </c>
      <c r="AS1281" t="b">
        <v>0</v>
      </c>
      <c r="AU1281">
        <v>0</v>
      </c>
      <c r="AW1281" t="b">
        <v>0</v>
      </c>
      <c r="AX1281" t="s">
        <v>9303</v>
      </c>
      <c r="AY1281" s="79" t="str">
        <f>HYPERLINK("https://twitter.com/its_natalie")</f>
        <v>https://twitter.com/its_natalie</v>
      </c>
      <c r="AZ1281" t="s">
        <v>66</v>
      </c>
      <c r="BA1281" s="2"/>
    </row>
    <row r="1282" spans="1:53" x14ac:dyDescent="0.45">
      <c r="A1282" s="62" t="s">
        <v>1331</v>
      </c>
      <c r="B1282" s="63"/>
      <c r="C1282" s="63"/>
      <c r="D1282" s="64"/>
      <c r="E1282" s="66"/>
      <c r="F1282" s="98" t="str">
        <f>HYPERLINK("https://abs.twimg.com/sticky/default_profile_images/default_profile_normal.png")</f>
        <v>https://abs.twimg.com/sticky/default_profile_images/default_profile_normal.png</v>
      </c>
      <c r="G1282" s="63"/>
      <c r="H1282" s="67"/>
      <c r="I1282" s="68"/>
      <c r="J1282" s="68"/>
      <c r="K1282" s="67" t="s">
        <v>10011</v>
      </c>
      <c r="L1282" s="71"/>
      <c r="M1282" s="72"/>
      <c r="N1282" s="72"/>
      <c r="O1282" s="73"/>
      <c r="P1282" s="74"/>
      <c r="Q1282" s="74"/>
      <c r="R1282" s="81"/>
      <c r="S1282" s="81"/>
      <c r="T1282" s="81"/>
      <c r="U1282" s="81"/>
      <c r="V1282" s="48"/>
      <c r="W1282" s="48"/>
      <c r="X1282" s="48"/>
      <c r="Y1282" s="48"/>
      <c r="Z1282" s="47"/>
      <c r="AA1282" s="69"/>
      <c r="AB1282" s="69"/>
      <c r="AC1282" s="70"/>
      <c r="AD1282" t="s">
        <v>5701</v>
      </c>
      <c r="AE1282" s="78" t="s">
        <v>6942</v>
      </c>
      <c r="AF1282">
        <v>19</v>
      </c>
      <c r="AG1282">
        <v>5</v>
      </c>
      <c r="AH1282">
        <v>0</v>
      </c>
      <c r="AI1282">
        <v>0</v>
      </c>
      <c r="AO1282" s="76">
        <v>39895.659247685187</v>
      </c>
      <c r="AQ1282" t="b">
        <v>1</v>
      </c>
      <c r="AR1282" t="b">
        <v>1</v>
      </c>
      <c r="AS1282" t="b">
        <v>0</v>
      </c>
      <c r="AU1282">
        <v>0</v>
      </c>
      <c r="AV1282" s="79" t="str">
        <f>HYPERLINK("https://abs.twimg.com/images/themes/theme1/bg.png")</f>
        <v>https://abs.twimg.com/images/themes/theme1/bg.png</v>
      </c>
      <c r="AW1282" t="b">
        <v>0</v>
      </c>
      <c r="AX1282" t="s">
        <v>9303</v>
      </c>
      <c r="AY1282" s="79" t="str">
        <f>HYPERLINK("https://twitter.com/ezgo")</f>
        <v>https://twitter.com/ezgo</v>
      </c>
      <c r="AZ1282" t="s">
        <v>65</v>
      </c>
      <c r="BA1282" s="2"/>
    </row>
    <row r="1283" spans="1:53" x14ac:dyDescent="0.45">
      <c r="A1283" s="62" t="s">
        <v>732</v>
      </c>
      <c r="B1283" s="63"/>
      <c r="C1283" s="63"/>
      <c r="D1283" s="64"/>
      <c r="E1283" s="66"/>
      <c r="F1283" s="98" t="str">
        <f>HYPERLINK("https://abs.twimg.com/sticky/default_profile_images/default_profile_normal.png")</f>
        <v>https://abs.twimg.com/sticky/default_profile_images/default_profile_normal.png</v>
      </c>
      <c r="G1283" s="63"/>
      <c r="H1283" s="67"/>
      <c r="I1283" s="68"/>
      <c r="J1283" s="68"/>
      <c r="K1283" s="67" t="s">
        <v>10079</v>
      </c>
      <c r="L1283" s="71"/>
      <c r="M1283" s="72"/>
      <c r="N1283" s="72"/>
      <c r="O1283" s="73"/>
      <c r="P1283" s="74"/>
      <c r="Q1283" s="74"/>
      <c r="R1283" s="81"/>
      <c r="S1283" s="81"/>
      <c r="T1283" s="81"/>
      <c r="U1283" s="81"/>
      <c r="V1283" s="48"/>
      <c r="W1283" s="48"/>
      <c r="X1283" s="48"/>
      <c r="Y1283" s="48"/>
      <c r="Z1283" s="47"/>
      <c r="AA1283" s="69"/>
      <c r="AB1283" s="69"/>
      <c r="AC1283" s="70"/>
      <c r="AD1283" t="s">
        <v>5768</v>
      </c>
      <c r="AE1283" s="78" t="s">
        <v>7001</v>
      </c>
      <c r="AF1283">
        <v>88</v>
      </c>
      <c r="AG1283">
        <v>5</v>
      </c>
      <c r="AH1283">
        <v>720</v>
      </c>
      <c r="AI1283">
        <v>654</v>
      </c>
      <c r="AO1283" s="76">
        <v>40633.686550925922</v>
      </c>
      <c r="AQ1283" t="b">
        <v>0</v>
      </c>
      <c r="AR1283" t="b">
        <v>1</v>
      </c>
      <c r="AS1283" t="b">
        <v>0</v>
      </c>
      <c r="AU1283">
        <v>0</v>
      </c>
      <c r="AV1283" s="79" t="str">
        <f>HYPERLINK("https://abs.twimg.com/images/themes/theme16/bg.gif")</f>
        <v>https://abs.twimg.com/images/themes/theme16/bg.gif</v>
      </c>
      <c r="AW1283" t="b">
        <v>0</v>
      </c>
      <c r="AX1283" t="s">
        <v>9303</v>
      </c>
      <c r="AY1283" s="79" t="str">
        <f>HYPERLINK("https://twitter.com/thomascomputes")</f>
        <v>https://twitter.com/thomascomputes</v>
      </c>
      <c r="AZ1283" t="s">
        <v>66</v>
      </c>
      <c r="BA1283" s="2"/>
    </row>
    <row r="1284" spans="1:53" x14ac:dyDescent="0.45">
      <c r="A1284" s="62" t="s">
        <v>884</v>
      </c>
      <c r="B1284" s="63"/>
      <c r="C1284" s="63"/>
      <c r="D1284" s="64"/>
      <c r="E1284" s="66"/>
      <c r="F1284" s="98" t="str">
        <f>HYPERLINK("https://pbs.twimg.com/profile_images/1068678291920314368/hPO81Jli_normal.jpg")</f>
        <v>https://pbs.twimg.com/profile_images/1068678291920314368/hPO81Jli_normal.jpg</v>
      </c>
      <c r="G1284" s="63"/>
      <c r="H1284" s="67"/>
      <c r="I1284" s="68"/>
      <c r="J1284" s="68"/>
      <c r="K1284" s="67" t="s">
        <v>10296</v>
      </c>
      <c r="L1284" s="71"/>
      <c r="M1284" s="72"/>
      <c r="N1284" s="72"/>
      <c r="O1284" s="73"/>
      <c r="P1284" s="74"/>
      <c r="Q1284" s="74"/>
      <c r="R1284" s="81"/>
      <c r="S1284" s="81"/>
      <c r="T1284" s="81"/>
      <c r="U1284" s="81"/>
      <c r="V1284" s="48"/>
      <c r="W1284" s="48"/>
      <c r="X1284" s="48"/>
      <c r="Y1284" s="48"/>
      <c r="Z1284" s="47"/>
      <c r="AA1284" s="69"/>
      <c r="AB1284" s="69"/>
      <c r="AC1284" s="70"/>
      <c r="AD1284" t="s">
        <v>5979</v>
      </c>
      <c r="AE1284" s="78" t="s">
        <v>7190</v>
      </c>
      <c r="AF1284">
        <v>125</v>
      </c>
      <c r="AG1284">
        <v>5</v>
      </c>
      <c r="AH1284">
        <v>848</v>
      </c>
      <c r="AI1284">
        <v>158</v>
      </c>
      <c r="AK1284" t="s">
        <v>8356</v>
      </c>
      <c r="AL1284" t="s">
        <v>8708</v>
      </c>
      <c r="AO1284" s="76">
        <v>43107.624409722222</v>
      </c>
      <c r="AQ1284" t="b">
        <v>1</v>
      </c>
      <c r="AR1284" t="b">
        <v>0</v>
      </c>
      <c r="AS1284" t="b">
        <v>0</v>
      </c>
      <c r="AU1284">
        <v>0</v>
      </c>
      <c r="AW1284" t="b">
        <v>0</v>
      </c>
      <c r="AX1284" t="s">
        <v>9303</v>
      </c>
      <c r="AY1284" s="79" t="str">
        <f>HYPERLINK("https://twitter.com/cptngusmccrae")</f>
        <v>https://twitter.com/cptngusmccrae</v>
      </c>
      <c r="AZ1284" t="s">
        <v>66</v>
      </c>
      <c r="BA1284" s="2"/>
    </row>
    <row r="1285" spans="1:53" x14ac:dyDescent="0.45">
      <c r="A1285" s="62" t="s">
        <v>952</v>
      </c>
      <c r="B1285" s="63"/>
      <c r="C1285" s="63"/>
      <c r="D1285" s="64"/>
      <c r="E1285" s="66"/>
      <c r="F1285" s="98" t="str">
        <f>HYPERLINK("https://pbs.twimg.com/profile_images/1381143945942458371/KJq2Lo_x_normal.jpg")</f>
        <v>https://pbs.twimg.com/profile_images/1381143945942458371/KJq2Lo_x_normal.jpg</v>
      </c>
      <c r="G1285" s="63"/>
      <c r="H1285" s="67"/>
      <c r="I1285" s="68"/>
      <c r="J1285" s="68"/>
      <c r="K1285" s="67" t="s">
        <v>10404</v>
      </c>
      <c r="L1285" s="71"/>
      <c r="M1285" s="72"/>
      <c r="N1285" s="72"/>
      <c r="O1285" s="73"/>
      <c r="P1285" s="74"/>
      <c r="Q1285" s="74"/>
      <c r="R1285" s="81"/>
      <c r="S1285" s="81"/>
      <c r="T1285" s="81"/>
      <c r="U1285" s="81"/>
      <c r="V1285" s="48"/>
      <c r="W1285" s="48"/>
      <c r="X1285" s="48"/>
      <c r="Y1285" s="48"/>
      <c r="Z1285" s="47"/>
      <c r="AA1285" s="69"/>
      <c r="AB1285" s="69"/>
      <c r="AC1285" s="70"/>
      <c r="AD1285" t="s">
        <v>6086</v>
      </c>
      <c r="AE1285" s="78" t="s">
        <v>4777</v>
      </c>
      <c r="AF1285">
        <v>26</v>
      </c>
      <c r="AG1285">
        <v>5</v>
      </c>
      <c r="AH1285">
        <v>77</v>
      </c>
      <c r="AI1285">
        <v>0</v>
      </c>
      <c r="AK1285" t="s">
        <v>8448</v>
      </c>
      <c r="AL1285" t="s">
        <v>8783</v>
      </c>
      <c r="AO1285" s="76">
        <v>42665.452534722222</v>
      </c>
      <c r="AQ1285" t="b">
        <v>1</v>
      </c>
      <c r="AR1285" t="b">
        <v>0</v>
      </c>
      <c r="AS1285" t="b">
        <v>0</v>
      </c>
      <c r="AU1285">
        <v>0</v>
      </c>
      <c r="AW1285" t="b">
        <v>0</v>
      </c>
      <c r="AX1285" t="s">
        <v>9303</v>
      </c>
      <c r="AY1285" s="79" t="str">
        <f>HYPERLINK("https://twitter.com/sourabhcjain")</f>
        <v>https://twitter.com/sourabhcjain</v>
      </c>
      <c r="AZ1285" t="s">
        <v>66</v>
      </c>
      <c r="BA1285" s="2"/>
    </row>
    <row r="1286" spans="1:53" x14ac:dyDescent="0.45">
      <c r="A1286" s="62" t="s">
        <v>1558</v>
      </c>
      <c r="B1286" s="63"/>
      <c r="C1286" s="63"/>
      <c r="D1286" s="64"/>
      <c r="E1286" s="66"/>
      <c r="F1286" s="98" t="str">
        <f>HYPERLINK("https://pbs.twimg.com/profile_images/1199420393674723328/xX73BPng_normal.jpg")</f>
        <v>https://pbs.twimg.com/profile_images/1199420393674723328/xX73BPng_normal.jpg</v>
      </c>
      <c r="G1286" s="63"/>
      <c r="H1286" s="67"/>
      <c r="I1286" s="68"/>
      <c r="J1286" s="68"/>
      <c r="K1286" s="67" t="s">
        <v>10623</v>
      </c>
      <c r="L1286" s="71"/>
      <c r="M1286" s="72"/>
      <c r="N1286" s="72"/>
      <c r="O1286" s="73"/>
      <c r="P1286" s="74"/>
      <c r="Q1286" s="74"/>
      <c r="R1286" s="81"/>
      <c r="S1286" s="81"/>
      <c r="T1286" s="81"/>
      <c r="U1286" s="81"/>
      <c r="V1286" s="48"/>
      <c r="W1286" s="48"/>
      <c r="X1286" s="48"/>
      <c r="Y1286" s="48"/>
      <c r="Z1286" s="47"/>
      <c r="AA1286" s="69"/>
      <c r="AB1286" s="69"/>
      <c r="AC1286" s="70"/>
      <c r="AD1286" t="s">
        <v>6299</v>
      </c>
      <c r="AE1286" s="78" t="s">
        <v>7464</v>
      </c>
      <c r="AF1286">
        <v>3</v>
      </c>
      <c r="AG1286">
        <v>5</v>
      </c>
      <c r="AH1286">
        <v>9</v>
      </c>
      <c r="AI1286">
        <v>6</v>
      </c>
      <c r="AK1286" t="s">
        <v>8644</v>
      </c>
      <c r="AL1286" t="s">
        <v>9292</v>
      </c>
      <c r="AM1286" s="79" t="str">
        <f>HYPERLINK("https://t.co/l1psSSRfH8")</f>
        <v>https://t.co/l1psSSRfH8</v>
      </c>
      <c r="AO1286" s="76">
        <v>43795.832835648151</v>
      </c>
      <c r="AP1286" s="79" t="str">
        <f>HYPERLINK("https://pbs.twimg.com/profile_banners/1199417317056294914/1574799082")</f>
        <v>https://pbs.twimg.com/profile_banners/1199417317056294914/1574799082</v>
      </c>
      <c r="AQ1286" t="b">
        <v>1</v>
      </c>
      <c r="AR1286" t="b">
        <v>0</v>
      </c>
      <c r="AS1286" t="b">
        <v>0</v>
      </c>
      <c r="AU1286">
        <v>0</v>
      </c>
      <c r="AW1286" t="b">
        <v>0</v>
      </c>
      <c r="AX1286" t="s">
        <v>9303</v>
      </c>
      <c r="AY1286" s="79" t="str">
        <f>HYPERLINK("https://twitter.com/pbrosjohnstown")</f>
        <v>https://twitter.com/pbrosjohnstown</v>
      </c>
      <c r="AZ1286" t="s">
        <v>65</v>
      </c>
      <c r="BA1286" s="2"/>
    </row>
    <row r="1287" spans="1:53" x14ac:dyDescent="0.45">
      <c r="A1287" s="62" t="s">
        <v>930</v>
      </c>
      <c r="B1287" s="63"/>
      <c r="C1287" s="63"/>
      <c r="D1287" s="64"/>
      <c r="E1287" s="66"/>
      <c r="F1287" s="98" t="str">
        <f>HYPERLINK("https://pbs.twimg.com/profile_images/1610356128898252801/vWNMlJSF_normal.jpg")</f>
        <v>https://pbs.twimg.com/profile_images/1610356128898252801/vWNMlJSF_normal.jpg</v>
      </c>
      <c r="G1287" s="63"/>
      <c r="H1287" s="67"/>
      <c r="I1287" s="68"/>
      <c r="J1287" s="68"/>
      <c r="K1287" s="67" t="s">
        <v>10363</v>
      </c>
      <c r="L1287" s="71"/>
      <c r="M1287" s="72"/>
      <c r="N1287" s="72"/>
      <c r="O1287" s="73"/>
      <c r="P1287" s="74"/>
      <c r="Q1287" s="74"/>
      <c r="R1287" s="81"/>
      <c r="S1287" s="81"/>
      <c r="T1287" s="81"/>
      <c r="U1287" s="81"/>
      <c r="V1287" s="48"/>
      <c r="W1287" s="48"/>
      <c r="X1287" s="48"/>
      <c r="Y1287" s="48"/>
      <c r="Z1287" s="47"/>
      <c r="AA1287" s="69"/>
      <c r="AB1287" s="69"/>
      <c r="AC1287" s="70"/>
      <c r="AD1287" t="s">
        <v>6046</v>
      </c>
      <c r="AE1287" s="78" t="s">
        <v>7251</v>
      </c>
      <c r="AF1287">
        <v>26</v>
      </c>
      <c r="AG1287">
        <v>4</v>
      </c>
      <c r="AH1287">
        <v>32</v>
      </c>
      <c r="AI1287">
        <v>34</v>
      </c>
      <c r="AO1287" s="76">
        <v>44862.653310185182</v>
      </c>
      <c r="AQ1287" t="b">
        <v>1</v>
      </c>
      <c r="AR1287" t="b">
        <v>0</v>
      </c>
      <c r="AS1287" t="b">
        <v>0</v>
      </c>
      <c r="AU1287">
        <v>1</v>
      </c>
      <c r="AW1287" t="b">
        <v>0</v>
      </c>
      <c r="AX1287" t="s">
        <v>9303</v>
      </c>
      <c r="AY1287" s="79" t="str">
        <f>HYPERLINK("https://twitter.com/that1tman")</f>
        <v>https://twitter.com/that1tman</v>
      </c>
      <c r="AZ1287" t="s">
        <v>66</v>
      </c>
      <c r="BA1287" s="2"/>
    </row>
    <row r="1288" spans="1:53" x14ac:dyDescent="0.45">
      <c r="A1288" s="62" t="s">
        <v>348</v>
      </c>
      <c r="B1288" s="63"/>
      <c r="C1288" s="63"/>
      <c r="D1288" s="64"/>
      <c r="E1288" s="66"/>
      <c r="F1288" s="98" t="str">
        <f>HYPERLINK("https://abs.twimg.com/sticky/default_profile_images/default_profile_normal.png")</f>
        <v>https://abs.twimg.com/sticky/default_profile_images/default_profile_normal.png</v>
      </c>
      <c r="G1288" s="63"/>
      <c r="H1288" s="67"/>
      <c r="I1288" s="68"/>
      <c r="J1288" s="68"/>
      <c r="K1288" s="67" t="s">
        <v>9572</v>
      </c>
      <c r="L1288" s="71"/>
      <c r="M1288" s="72"/>
      <c r="N1288" s="72"/>
      <c r="O1288" s="73"/>
      <c r="P1288" s="74"/>
      <c r="Q1288" s="74"/>
      <c r="R1288" s="81"/>
      <c r="S1288" s="81"/>
      <c r="T1288" s="81"/>
      <c r="U1288" s="81"/>
      <c r="V1288" s="48"/>
      <c r="W1288" s="48"/>
      <c r="X1288" s="48"/>
      <c r="Y1288" s="48"/>
      <c r="Z1288" s="47"/>
      <c r="AA1288" s="69"/>
      <c r="AB1288" s="69"/>
      <c r="AC1288" s="70"/>
      <c r="AD1288" t="s">
        <v>5265</v>
      </c>
      <c r="AE1288" s="78" t="s">
        <v>6543</v>
      </c>
      <c r="AF1288">
        <v>38</v>
      </c>
      <c r="AG1288">
        <v>4</v>
      </c>
      <c r="AH1288">
        <v>33</v>
      </c>
      <c r="AI1288">
        <v>34</v>
      </c>
      <c r="AO1288" s="76">
        <v>44145.366620370369</v>
      </c>
      <c r="AQ1288" t="b">
        <v>1</v>
      </c>
      <c r="AR1288" t="b">
        <v>1</v>
      </c>
      <c r="AS1288" t="b">
        <v>0</v>
      </c>
      <c r="AU1288">
        <v>0</v>
      </c>
      <c r="AW1288" t="b">
        <v>0</v>
      </c>
      <c r="AX1288" t="s">
        <v>9303</v>
      </c>
      <c r="AY1288" s="79" t="str">
        <f>HYPERLINK("https://twitter.com/khriswitta")</f>
        <v>https://twitter.com/khriswitta</v>
      </c>
      <c r="AZ1288" t="s">
        <v>66</v>
      </c>
      <c r="BA1288" s="2"/>
    </row>
    <row r="1289" spans="1:53" x14ac:dyDescent="0.45">
      <c r="A1289" s="62" t="s">
        <v>484</v>
      </c>
      <c r="B1289" s="63"/>
      <c r="C1289" s="63"/>
      <c r="D1289" s="64"/>
      <c r="E1289" s="66"/>
      <c r="F1289" s="98" t="str">
        <f>HYPERLINK("https://pbs.twimg.com/profile_images/1262136081694195712/ng3iTQd6_normal.jpg")</f>
        <v>https://pbs.twimg.com/profile_images/1262136081694195712/ng3iTQd6_normal.jpg</v>
      </c>
      <c r="G1289" s="63"/>
      <c r="H1289" s="67"/>
      <c r="I1289" s="68"/>
      <c r="J1289" s="68"/>
      <c r="K1289" s="67" t="s">
        <v>9757</v>
      </c>
      <c r="L1289" s="71"/>
      <c r="M1289" s="72"/>
      <c r="N1289" s="72"/>
      <c r="O1289" s="73"/>
      <c r="P1289" s="74"/>
      <c r="Q1289" s="74"/>
      <c r="R1289" s="81"/>
      <c r="S1289" s="81"/>
      <c r="T1289" s="81"/>
      <c r="U1289" s="81"/>
      <c r="V1289" s="48"/>
      <c r="W1289" s="48"/>
      <c r="X1289" s="48"/>
      <c r="Y1289" s="48"/>
      <c r="Z1289" s="47"/>
      <c r="AA1289" s="69"/>
      <c r="AB1289" s="69"/>
      <c r="AC1289" s="70"/>
      <c r="AD1289" t="s">
        <v>5449</v>
      </c>
      <c r="AE1289" s="78" t="s">
        <v>6713</v>
      </c>
      <c r="AF1289">
        <v>275</v>
      </c>
      <c r="AG1289">
        <v>4</v>
      </c>
      <c r="AH1289">
        <v>1707</v>
      </c>
      <c r="AI1289">
        <v>1263</v>
      </c>
      <c r="AO1289" s="76">
        <v>41706.174953703703</v>
      </c>
      <c r="AQ1289" t="b">
        <v>1</v>
      </c>
      <c r="AR1289" t="b">
        <v>0</v>
      </c>
      <c r="AS1289" t="b">
        <v>0</v>
      </c>
      <c r="AU1289">
        <v>0</v>
      </c>
      <c r="AV1289" s="79" t="str">
        <f>HYPERLINK("https://abs.twimg.com/images/themes/theme1/bg.png")</f>
        <v>https://abs.twimg.com/images/themes/theme1/bg.png</v>
      </c>
      <c r="AW1289" t="b">
        <v>0</v>
      </c>
      <c r="AX1289" t="s">
        <v>9303</v>
      </c>
      <c r="AY1289" s="79" t="str">
        <f>HYPERLINK("https://twitter.com/budolliff")</f>
        <v>https://twitter.com/budolliff</v>
      </c>
      <c r="AZ1289" t="s">
        <v>66</v>
      </c>
      <c r="BA1289" s="2"/>
    </row>
    <row r="1290" spans="1:53" x14ac:dyDescent="0.45">
      <c r="A1290" s="62" t="s">
        <v>735</v>
      </c>
      <c r="B1290" s="63"/>
      <c r="C1290" s="63"/>
      <c r="D1290" s="64"/>
      <c r="E1290" s="66"/>
      <c r="F1290" s="98" t="str">
        <f>HYPERLINK("https://pbs.twimg.com/profile_images/1616584401835655168/YwXLpgdb_normal.jpg")</f>
        <v>https://pbs.twimg.com/profile_images/1616584401835655168/YwXLpgdb_normal.jpg</v>
      </c>
      <c r="G1290" s="63"/>
      <c r="H1290" s="67"/>
      <c r="I1290" s="68"/>
      <c r="J1290" s="68"/>
      <c r="K1290" s="67" t="s">
        <v>10083</v>
      </c>
      <c r="L1290" s="71"/>
      <c r="M1290" s="72"/>
      <c r="N1290" s="72"/>
      <c r="O1290" s="73"/>
      <c r="P1290" s="74"/>
      <c r="Q1290" s="74"/>
      <c r="R1290" s="81"/>
      <c r="S1290" s="81"/>
      <c r="T1290" s="81"/>
      <c r="U1290" s="81"/>
      <c r="V1290" s="48"/>
      <c r="W1290" s="48"/>
      <c r="X1290" s="48"/>
      <c r="Y1290" s="48"/>
      <c r="Z1290" s="47"/>
      <c r="AA1290" s="69"/>
      <c r="AB1290" s="69"/>
      <c r="AC1290" s="70"/>
      <c r="AD1290" t="s">
        <v>5772</v>
      </c>
      <c r="AE1290" s="78" t="s">
        <v>7005</v>
      </c>
      <c r="AF1290">
        <v>40</v>
      </c>
      <c r="AG1290">
        <v>4</v>
      </c>
      <c r="AH1290">
        <v>29</v>
      </c>
      <c r="AI1290">
        <v>18</v>
      </c>
      <c r="AK1290" t="s">
        <v>8166</v>
      </c>
      <c r="AM1290" s="79" t="str">
        <f>HYPERLINK("https://t.co/WA4PEf62aC")</f>
        <v>https://t.co/WA4PEf62aC</v>
      </c>
      <c r="AO1290" s="76">
        <v>44939.748437499999</v>
      </c>
      <c r="AQ1290" t="b">
        <v>1</v>
      </c>
      <c r="AR1290" t="b">
        <v>0</v>
      </c>
      <c r="AS1290" t="b">
        <v>0</v>
      </c>
      <c r="AU1290">
        <v>0</v>
      </c>
      <c r="AW1290" t="b">
        <v>0</v>
      </c>
      <c r="AX1290" t="s">
        <v>9303</v>
      </c>
      <c r="AY1290" s="79" t="str">
        <f>HYPERLINK("https://twitter.com/gisellebaumet")</f>
        <v>https://twitter.com/gisellebaumet</v>
      </c>
      <c r="AZ1290" t="s">
        <v>66</v>
      </c>
      <c r="BA1290" s="2"/>
    </row>
    <row r="1291" spans="1:53" x14ac:dyDescent="0.45">
      <c r="A1291" s="62" t="s">
        <v>755</v>
      </c>
      <c r="B1291" s="63"/>
      <c r="C1291" s="63"/>
      <c r="D1291" s="64"/>
      <c r="E1291" s="66"/>
      <c r="F1291" s="98" t="str">
        <f>HYPERLINK("https://pbs.twimg.com/profile_images/1184861146127290368/M3XvNCA9_normal.jpg")</f>
        <v>https://pbs.twimg.com/profile_images/1184861146127290368/M3XvNCA9_normal.jpg</v>
      </c>
      <c r="G1291" s="63"/>
      <c r="H1291" s="67"/>
      <c r="I1291" s="68"/>
      <c r="J1291" s="68"/>
      <c r="K1291" s="67" t="s">
        <v>10106</v>
      </c>
      <c r="L1291" s="71"/>
      <c r="M1291" s="72"/>
      <c r="N1291" s="72"/>
      <c r="O1291" s="73"/>
      <c r="P1291" s="74"/>
      <c r="Q1291" s="74"/>
      <c r="R1291" s="81"/>
      <c r="S1291" s="81"/>
      <c r="T1291" s="81"/>
      <c r="U1291" s="81"/>
      <c r="V1291" s="48"/>
      <c r="W1291" s="48"/>
      <c r="X1291" s="48"/>
      <c r="Y1291" s="48"/>
      <c r="Z1291" s="47"/>
      <c r="AA1291" s="69"/>
      <c r="AB1291" s="69"/>
      <c r="AC1291" s="70"/>
      <c r="AD1291" t="s">
        <v>5794</v>
      </c>
      <c r="AE1291" s="78" t="s">
        <v>7026</v>
      </c>
      <c r="AF1291">
        <v>211</v>
      </c>
      <c r="AG1291">
        <v>4</v>
      </c>
      <c r="AH1291">
        <v>644</v>
      </c>
      <c r="AI1291">
        <v>17</v>
      </c>
      <c r="AK1291" t="s">
        <v>8189</v>
      </c>
      <c r="AO1291" s="76">
        <v>43744.187430555554</v>
      </c>
      <c r="AQ1291" t="b">
        <v>1</v>
      </c>
      <c r="AR1291" t="b">
        <v>0</v>
      </c>
      <c r="AS1291" t="b">
        <v>1</v>
      </c>
      <c r="AU1291">
        <v>0</v>
      </c>
      <c r="AW1291" t="b">
        <v>0</v>
      </c>
      <c r="AX1291" t="s">
        <v>9303</v>
      </c>
      <c r="AY1291" s="79" t="str">
        <f>HYPERLINK("https://twitter.com/the_movie_guy_")</f>
        <v>https://twitter.com/the_movie_guy_</v>
      </c>
      <c r="AZ1291" t="s">
        <v>66</v>
      </c>
      <c r="BA1291" s="2"/>
    </row>
    <row r="1292" spans="1:53" x14ac:dyDescent="0.45">
      <c r="A1292" s="62" t="s">
        <v>1036</v>
      </c>
      <c r="B1292" s="63"/>
      <c r="C1292" s="63"/>
      <c r="D1292" s="64"/>
      <c r="E1292" s="66"/>
      <c r="F1292" s="98" t="str">
        <f>HYPERLINK("https://pbs.twimg.com/profile_images/1527958401896038402/nvBBn2TM_normal.jpg")</f>
        <v>https://pbs.twimg.com/profile_images/1527958401896038402/nvBBn2TM_normal.jpg</v>
      </c>
      <c r="G1292" s="63"/>
      <c r="H1292" s="67"/>
      <c r="I1292" s="68"/>
      <c r="J1292" s="68"/>
      <c r="K1292" s="67" t="s">
        <v>10537</v>
      </c>
      <c r="L1292" s="71"/>
      <c r="M1292" s="72"/>
      <c r="N1292" s="72"/>
      <c r="O1292" s="73"/>
      <c r="P1292" s="74"/>
      <c r="Q1292" s="74"/>
      <c r="R1292" s="81"/>
      <c r="S1292" s="81"/>
      <c r="T1292" s="81"/>
      <c r="U1292" s="81"/>
      <c r="V1292" s="48"/>
      <c r="W1292" s="48"/>
      <c r="X1292" s="48"/>
      <c r="Y1292" s="48"/>
      <c r="Z1292" s="47"/>
      <c r="AA1292" s="69"/>
      <c r="AB1292" s="69"/>
      <c r="AC1292" s="70"/>
      <c r="AD1292" t="s">
        <v>6215</v>
      </c>
      <c r="AE1292" s="78" t="s">
        <v>7395</v>
      </c>
      <c r="AF1292">
        <v>52</v>
      </c>
      <c r="AG1292">
        <v>4</v>
      </c>
      <c r="AH1292">
        <v>7</v>
      </c>
      <c r="AI1292">
        <v>111</v>
      </c>
      <c r="AK1292" t="s">
        <v>8565</v>
      </c>
      <c r="AO1292" s="76">
        <v>44272.613888888889</v>
      </c>
      <c r="AP1292" s="79" t="str">
        <f>HYPERLINK("https://pbs.twimg.com/profile_banners/1372196963001716737/1615994267")</f>
        <v>https://pbs.twimg.com/profile_banners/1372196963001716737/1615994267</v>
      </c>
      <c r="AQ1292" t="b">
        <v>1</v>
      </c>
      <c r="AR1292" t="b">
        <v>0</v>
      </c>
      <c r="AS1292" t="b">
        <v>0</v>
      </c>
      <c r="AU1292">
        <v>0</v>
      </c>
      <c r="AW1292" t="b">
        <v>0</v>
      </c>
      <c r="AX1292" t="s">
        <v>9303</v>
      </c>
      <c r="AY1292" s="79" t="str">
        <f>HYPERLINK("https://twitter.com/indica_star1")</f>
        <v>https://twitter.com/indica_star1</v>
      </c>
      <c r="AZ1292" t="s">
        <v>66</v>
      </c>
      <c r="BA1292" s="2"/>
    </row>
    <row r="1293" spans="1:53" x14ac:dyDescent="0.45">
      <c r="A1293" s="62" t="s">
        <v>1041</v>
      </c>
      <c r="B1293" s="63"/>
      <c r="C1293" s="63"/>
      <c r="D1293" s="64"/>
      <c r="E1293" s="66"/>
      <c r="F1293" s="98" t="str">
        <f>HYPERLINK("https://pbs.twimg.com/profile_images/1598428306185003009/icxN1CnT_normal.jpg")</f>
        <v>https://pbs.twimg.com/profile_images/1598428306185003009/icxN1CnT_normal.jpg</v>
      </c>
      <c r="G1293" s="63"/>
      <c r="H1293" s="67"/>
      <c r="I1293" s="68"/>
      <c r="J1293" s="68"/>
      <c r="K1293" s="67" t="s">
        <v>10545</v>
      </c>
      <c r="L1293" s="71"/>
      <c r="M1293" s="72"/>
      <c r="N1293" s="72"/>
      <c r="O1293" s="73"/>
      <c r="P1293" s="74"/>
      <c r="Q1293" s="74"/>
      <c r="R1293" s="81"/>
      <c r="S1293" s="81"/>
      <c r="T1293" s="81"/>
      <c r="U1293" s="81"/>
      <c r="V1293" s="48"/>
      <c r="W1293" s="48"/>
      <c r="X1293" s="48"/>
      <c r="Y1293" s="48"/>
      <c r="Z1293" s="47"/>
      <c r="AA1293" s="69"/>
      <c r="AB1293" s="69"/>
      <c r="AC1293" s="70"/>
      <c r="AD1293" t="s">
        <v>6223</v>
      </c>
      <c r="AE1293" s="78" t="s">
        <v>7400</v>
      </c>
      <c r="AF1293">
        <v>73</v>
      </c>
      <c r="AG1293">
        <v>4</v>
      </c>
      <c r="AH1293">
        <v>585</v>
      </c>
      <c r="AI1293">
        <v>274</v>
      </c>
      <c r="AK1293" t="s">
        <v>8572</v>
      </c>
      <c r="AO1293" s="76">
        <v>44894.879907407405</v>
      </c>
      <c r="AP1293" s="79" t="str">
        <f>HYPERLINK("https://pbs.twimg.com/profile_banners/1597698623550234624/1669930005")</f>
        <v>https://pbs.twimg.com/profile_banners/1597698623550234624/1669930005</v>
      </c>
      <c r="AQ1293" t="b">
        <v>1</v>
      </c>
      <c r="AR1293" t="b">
        <v>0</v>
      </c>
      <c r="AS1293" t="b">
        <v>0</v>
      </c>
      <c r="AU1293">
        <v>0</v>
      </c>
      <c r="AW1293" t="b">
        <v>0</v>
      </c>
      <c r="AX1293" t="s">
        <v>9303</v>
      </c>
      <c r="AY1293" s="79" t="str">
        <f>HYPERLINK("https://twitter.com/kicinski_md1")</f>
        <v>https://twitter.com/kicinski_md1</v>
      </c>
      <c r="AZ1293" t="s">
        <v>66</v>
      </c>
      <c r="BA1293" s="2"/>
    </row>
    <row r="1294" spans="1:53" x14ac:dyDescent="0.45">
      <c r="A1294" s="62" t="s">
        <v>1043</v>
      </c>
      <c r="B1294" s="63"/>
      <c r="C1294" s="63"/>
      <c r="D1294" s="64"/>
      <c r="E1294" s="66"/>
      <c r="F1294" s="98" t="str">
        <f>HYPERLINK("https://pbs.twimg.com/profile_images/1496700357833281537/26uJj2Yb_normal.jpg")</f>
        <v>https://pbs.twimg.com/profile_images/1496700357833281537/26uJj2Yb_normal.jpg</v>
      </c>
      <c r="G1294" s="63"/>
      <c r="H1294" s="67"/>
      <c r="I1294" s="68"/>
      <c r="J1294" s="68"/>
      <c r="K1294" s="67" t="s">
        <v>10548</v>
      </c>
      <c r="L1294" s="71"/>
      <c r="M1294" s="72"/>
      <c r="N1294" s="72"/>
      <c r="O1294" s="73"/>
      <c r="P1294" s="74"/>
      <c r="Q1294" s="74"/>
      <c r="R1294" s="81"/>
      <c r="S1294" s="81"/>
      <c r="T1294" s="81"/>
      <c r="U1294" s="81"/>
      <c r="V1294" s="48"/>
      <c r="W1294" s="48"/>
      <c r="X1294" s="48"/>
      <c r="Y1294" s="48"/>
      <c r="Z1294" s="47"/>
      <c r="AA1294" s="69"/>
      <c r="AB1294" s="69"/>
      <c r="AC1294" s="70"/>
      <c r="AD1294" t="s">
        <v>6226</v>
      </c>
      <c r="AE1294" s="78" t="s">
        <v>7402</v>
      </c>
      <c r="AF1294">
        <v>21</v>
      </c>
      <c r="AG1294">
        <v>4</v>
      </c>
      <c r="AH1294">
        <v>89</v>
      </c>
      <c r="AI1294">
        <v>0</v>
      </c>
      <c r="AK1294">
        <v>25</v>
      </c>
      <c r="AO1294" s="76">
        <v>44616.177627314813</v>
      </c>
      <c r="AQ1294" t="b">
        <v>1</v>
      </c>
      <c r="AR1294" t="b">
        <v>0</v>
      </c>
      <c r="AS1294" t="b">
        <v>0</v>
      </c>
      <c r="AU1294">
        <v>0</v>
      </c>
      <c r="AW1294" t="b">
        <v>0</v>
      </c>
      <c r="AX1294" t="s">
        <v>9303</v>
      </c>
      <c r="AY1294" s="79" t="str">
        <f>HYPERLINK("https://twitter.com/yehtutsoe20")</f>
        <v>https://twitter.com/yehtutsoe20</v>
      </c>
      <c r="AZ1294" t="s">
        <v>66</v>
      </c>
      <c r="BA1294" s="2"/>
    </row>
    <row r="1295" spans="1:53" x14ac:dyDescent="0.45">
      <c r="A1295" s="62" t="s">
        <v>263</v>
      </c>
      <c r="B1295" s="63"/>
      <c r="C1295" s="63"/>
      <c r="D1295" s="64"/>
      <c r="E1295" s="66"/>
      <c r="F1295" s="98" t="str">
        <f>HYPERLINK("https://pbs.twimg.com/profile_images/1602711489248231424/2QxlsvlY_normal.jpg")</f>
        <v>https://pbs.twimg.com/profile_images/1602711489248231424/2QxlsvlY_normal.jpg</v>
      </c>
      <c r="G1295" s="63"/>
      <c r="H1295" s="67"/>
      <c r="I1295" s="68"/>
      <c r="J1295" s="68"/>
      <c r="K1295" s="67" t="s">
        <v>9407</v>
      </c>
      <c r="L1295" s="71"/>
      <c r="M1295" s="72"/>
      <c r="N1295" s="72"/>
      <c r="O1295" s="73"/>
      <c r="P1295" s="74"/>
      <c r="Q1295" s="74"/>
      <c r="R1295" s="81"/>
      <c r="S1295" s="81"/>
      <c r="T1295" s="81"/>
      <c r="U1295" s="81"/>
      <c r="V1295" s="48"/>
      <c r="W1295" s="48"/>
      <c r="X1295" s="48"/>
      <c r="Y1295" s="48"/>
      <c r="Z1295" s="47"/>
      <c r="AA1295" s="69"/>
      <c r="AB1295" s="69"/>
      <c r="AC1295" s="70"/>
      <c r="AD1295" t="s">
        <v>5102</v>
      </c>
      <c r="AE1295" s="78" t="s">
        <v>6411</v>
      </c>
      <c r="AF1295">
        <v>27</v>
      </c>
      <c r="AG1295">
        <v>3</v>
      </c>
      <c r="AH1295">
        <v>88</v>
      </c>
      <c r="AI1295">
        <v>31</v>
      </c>
      <c r="AK1295" t="s">
        <v>7585</v>
      </c>
      <c r="AL1295" t="s">
        <v>8737</v>
      </c>
      <c r="AM1295" s="79" t="str">
        <f>HYPERLINK("https://t.co/VNQtbnd9SA")</f>
        <v>https://t.co/VNQtbnd9SA</v>
      </c>
      <c r="AO1295" s="76">
        <v>44833.767800925925</v>
      </c>
      <c r="AP1295" s="79" t="str">
        <f>HYPERLINK("https://pbs.twimg.com/profile_banners/1575552233739288576/1670951172")</f>
        <v>https://pbs.twimg.com/profile_banners/1575552233739288576/1670951172</v>
      </c>
      <c r="AQ1295" t="b">
        <v>1</v>
      </c>
      <c r="AR1295" t="b">
        <v>0</v>
      </c>
      <c r="AS1295" t="b">
        <v>0</v>
      </c>
      <c r="AU1295">
        <v>0</v>
      </c>
      <c r="AW1295" t="b">
        <v>0</v>
      </c>
      <c r="AX1295" t="s">
        <v>9303</v>
      </c>
      <c r="AY1295" s="79" t="str">
        <f>HYPERLINK("https://twitter.com/mariamu18729133")</f>
        <v>https://twitter.com/mariamu18729133</v>
      </c>
      <c r="AZ1295" t="s">
        <v>66</v>
      </c>
      <c r="BA1295" s="2"/>
    </row>
    <row r="1296" spans="1:53" x14ac:dyDescent="0.45">
      <c r="A1296" s="62" t="s">
        <v>651</v>
      </c>
      <c r="B1296" s="63"/>
      <c r="C1296" s="63"/>
      <c r="D1296" s="64"/>
      <c r="E1296" s="66"/>
      <c r="F1296" s="98" t="str">
        <f>HYPERLINK("https://pbs.twimg.com/profile_images/858740631748976640/dN2ABq5h_normal.jpg")</f>
        <v>https://pbs.twimg.com/profile_images/858740631748976640/dN2ABq5h_normal.jpg</v>
      </c>
      <c r="G1296" s="63"/>
      <c r="H1296" s="67"/>
      <c r="I1296" s="68"/>
      <c r="J1296" s="68"/>
      <c r="K1296" s="67" t="s">
        <v>9962</v>
      </c>
      <c r="L1296" s="71"/>
      <c r="M1296" s="72"/>
      <c r="N1296" s="72"/>
      <c r="O1296" s="73"/>
      <c r="P1296" s="74"/>
      <c r="Q1296" s="74"/>
      <c r="R1296" s="81"/>
      <c r="S1296" s="81"/>
      <c r="T1296" s="81"/>
      <c r="U1296" s="81"/>
      <c r="V1296" s="48"/>
      <c r="W1296" s="48"/>
      <c r="X1296" s="48"/>
      <c r="Y1296" s="48"/>
      <c r="Z1296" s="47"/>
      <c r="AA1296" s="69"/>
      <c r="AB1296" s="69"/>
      <c r="AC1296" s="70"/>
      <c r="AD1296" t="s">
        <v>5653</v>
      </c>
      <c r="AE1296" s="78" t="s">
        <v>6895</v>
      </c>
      <c r="AF1296">
        <v>26</v>
      </c>
      <c r="AG1296">
        <v>3</v>
      </c>
      <c r="AH1296">
        <v>167</v>
      </c>
      <c r="AI1296">
        <v>160</v>
      </c>
      <c r="AO1296" s="76">
        <v>42851.699247685188</v>
      </c>
      <c r="AP1296" s="79" t="str">
        <f>HYPERLINK("https://pbs.twimg.com/profile_banners/857274805615300608/1493574747")</f>
        <v>https://pbs.twimg.com/profile_banners/857274805615300608/1493574747</v>
      </c>
      <c r="AQ1296" t="b">
        <v>1</v>
      </c>
      <c r="AR1296" t="b">
        <v>0</v>
      </c>
      <c r="AS1296" t="b">
        <v>0</v>
      </c>
      <c r="AU1296">
        <v>0</v>
      </c>
      <c r="AW1296" t="b">
        <v>0</v>
      </c>
      <c r="AX1296" t="s">
        <v>9303</v>
      </c>
      <c r="AY1296" s="79" t="str">
        <f>HYPERLINK("https://twitter.com/justinproctor20")</f>
        <v>https://twitter.com/justinproctor20</v>
      </c>
      <c r="AZ1296" t="s">
        <v>66</v>
      </c>
      <c r="BA1296" s="2"/>
    </row>
    <row r="1297" spans="1:53" x14ac:dyDescent="0.45">
      <c r="A1297" s="62" t="s">
        <v>661</v>
      </c>
      <c r="B1297" s="63"/>
      <c r="C1297" s="63"/>
      <c r="D1297" s="64"/>
      <c r="E1297" s="66"/>
      <c r="F1297" s="98" t="str">
        <f>HYPERLINK("https://pbs.twimg.com/profile_images/1607919229256273921/q0q9DNBM_normal.jpg")</f>
        <v>https://pbs.twimg.com/profile_images/1607919229256273921/q0q9DNBM_normal.jpg</v>
      </c>
      <c r="G1297" s="63"/>
      <c r="H1297" s="67"/>
      <c r="I1297" s="68"/>
      <c r="J1297" s="68"/>
      <c r="K1297" s="67" t="s">
        <v>9981</v>
      </c>
      <c r="L1297" s="71"/>
      <c r="M1297" s="72"/>
      <c r="N1297" s="72"/>
      <c r="O1297" s="73"/>
      <c r="P1297" s="74"/>
      <c r="Q1297" s="74"/>
      <c r="R1297" s="81"/>
      <c r="S1297" s="81"/>
      <c r="T1297" s="81"/>
      <c r="U1297" s="81"/>
      <c r="V1297" s="48"/>
      <c r="W1297" s="48"/>
      <c r="X1297" s="48"/>
      <c r="Y1297" s="48"/>
      <c r="Z1297" s="47"/>
      <c r="AA1297" s="69"/>
      <c r="AB1297" s="69"/>
      <c r="AC1297" s="70"/>
      <c r="AD1297" t="s">
        <v>5672</v>
      </c>
      <c r="AE1297" s="78" t="s">
        <v>6914</v>
      </c>
      <c r="AF1297">
        <v>2</v>
      </c>
      <c r="AG1297">
        <v>3</v>
      </c>
      <c r="AH1297">
        <v>29</v>
      </c>
      <c r="AI1297">
        <v>3</v>
      </c>
      <c r="AK1297" t="s">
        <v>8081</v>
      </c>
      <c r="AL1297" t="s">
        <v>9024</v>
      </c>
      <c r="AO1297" s="76">
        <v>44923.078229166669</v>
      </c>
      <c r="AQ1297" t="b">
        <v>1</v>
      </c>
      <c r="AR1297" t="b">
        <v>0</v>
      </c>
      <c r="AS1297" t="b">
        <v>0</v>
      </c>
      <c r="AU1297">
        <v>0</v>
      </c>
      <c r="AW1297" t="b">
        <v>0</v>
      </c>
      <c r="AX1297" t="s">
        <v>9303</v>
      </c>
      <c r="AY1297" s="79" t="str">
        <f>HYPERLINK("https://twitter.com/birdseyefood")</f>
        <v>https://twitter.com/birdseyefood</v>
      </c>
      <c r="AZ1297" t="s">
        <v>66</v>
      </c>
      <c r="BA1297" s="2"/>
    </row>
    <row r="1298" spans="1:53" x14ac:dyDescent="0.45">
      <c r="A1298" s="62" t="s">
        <v>671</v>
      </c>
      <c r="B1298" s="63"/>
      <c r="C1298" s="63"/>
      <c r="D1298" s="64"/>
      <c r="E1298" s="66"/>
      <c r="F1298" s="98" t="str">
        <f>HYPERLINK("https://abs.twimg.com/sticky/default_profile_images/default_profile_normal.png")</f>
        <v>https://abs.twimg.com/sticky/default_profile_images/default_profile_normal.png</v>
      </c>
      <c r="G1298" s="63"/>
      <c r="H1298" s="67"/>
      <c r="I1298" s="68"/>
      <c r="J1298" s="68"/>
      <c r="K1298" s="67" t="s">
        <v>9992</v>
      </c>
      <c r="L1298" s="71"/>
      <c r="M1298" s="72"/>
      <c r="N1298" s="72"/>
      <c r="O1298" s="73"/>
      <c r="P1298" s="74"/>
      <c r="Q1298" s="74"/>
      <c r="R1298" s="81"/>
      <c r="S1298" s="81"/>
      <c r="T1298" s="81"/>
      <c r="U1298" s="81"/>
      <c r="V1298" s="48"/>
      <c r="W1298" s="48"/>
      <c r="X1298" s="48"/>
      <c r="Y1298" s="48"/>
      <c r="Z1298" s="47"/>
      <c r="AA1298" s="69"/>
      <c r="AB1298" s="69"/>
      <c r="AC1298" s="70"/>
      <c r="AD1298" t="s">
        <v>5682</v>
      </c>
      <c r="AE1298" s="78" t="s">
        <v>6925</v>
      </c>
      <c r="AF1298">
        <v>2</v>
      </c>
      <c r="AG1298">
        <v>3</v>
      </c>
      <c r="AH1298">
        <v>486</v>
      </c>
      <c r="AI1298">
        <v>1115</v>
      </c>
      <c r="AO1298" s="76">
        <v>44916.86141203704</v>
      </c>
      <c r="AQ1298" t="b">
        <v>1</v>
      </c>
      <c r="AR1298" t="b">
        <v>1</v>
      </c>
      <c r="AS1298" t="b">
        <v>0</v>
      </c>
      <c r="AU1298">
        <v>0</v>
      </c>
      <c r="AW1298" t="b">
        <v>0</v>
      </c>
      <c r="AX1298" t="s">
        <v>9303</v>
      </c>
      <c r="AY1298" s="79" t="str">
        <f>HYPERLINK("https://twitter.com/king____ricky")</f>
        <v>https://twitter.com/king____ricky</v>
      </c>
      <c r="AZ1298" t="s">
        <v>66</v>
      </c>
      <c r="BA1298" s="2"/>
    </row>
    <row r="1299" spans="1:53" x14ac:dyDescent="0.45">
      <c r="A1299" s="62" t="s">
        <v>714</v>
      </c>
      <c r="B1299" s="63"/>
      <c r="C1299" s="63"/>
      <c r="D1299" s="64"/>
      <c r="E1299" s="66"/>
      <c r="F1299" s="98" t="str">
        <f>HYPERLINK("https://pbs.twimg.com/profile_images/1481809945343537161/CZ-rrhXc_normal.jpg")</f>
        <v>https://pbs.twimg.com/profile_images/1481809945343537161/CZ-rrhXc_normal.jpg</v>
      </c>
      <c r="G1299" s="63"/>
      <c r="H1299" s="67"/>
      <c r="I1299" s="68"/>
      <c r="J1299" s="68"/>
      <c r="K1299" s="67" t="s">
        <v>10054</v>
      </c>
      <c r="L1299" s="71"/>
      <c r="M1299" s="72"/>
      <c r="N1299" s="72"/>
      <c r="O1299" s="73"/>
      <c r="P1299" s="74"/>
      <c r="Q1299" s="74"/>
      <c r="R1299" s="81"/>
      <c r="S1299" s="81"/>
      <c r="T1299" s="81"/>
      <c r="U1299" s="81"/>
      <c r="V1299" s="48"/>
      <c r="W1299" s="48"/>
      <c r="X1299" s="48"/>
      <c r="Y1299" s="48"/>
      <c r="Z1299" s="47"/>
      <c r="AA1299" s="69"/>
      <c r="AB1299" s="69"/>
      <c r="AC1299" s="70"/>
      <c r="AD1299" t="s">
        <v>5743</v>
      </c>
      <c r="AE1299" s="78" t="s">
        <v>6979</v>
      </c>
      <c r="AF1299">
        <v>114</v>
      </c>
      <c r="AG1299">
        <v>3</v>
      </c>
      <c r="AH1299">
        <v>100</v>
      </c>
      <c r="AI1299">
        <v>5</v>
      </c>
      <c r="AK1299" t="s">
        <v>8141</v>
      </c>
      <c r="AL1299" t="s">
        <v>9058</v>
      </c>
      <c r="AO1299" s="76">
        <v>42207.710636574076</v>
      </c>
      <c r="AP1299" s="79" t="str">
        <f>HYPERLINK("https://pbs.twimg.com/profile_banners/3287772392/1642126127")</f>
        <v>https://pbs.twimg.com/profile_banners/3287772392/1642126127</v>
      </c>
      <c r="AQ1299" t="b">
        <v>1</v>
      </c>
      <c r="AR1299" t="b">
        <v>0</v>
      </c>
      <c r="AS1299" t="b">
        <v>0</v>
      </c>
      <c r="AU1299">
        <v>0</v>
      </c>
      <c r="AV1299" s="79" t="str">
        <f>HYPERLINK("https://abs.twimg.com/images/themes/theme1/bg.png")</f>
        <v>https://abs.twimg.com/images/themes/theme1/bg.png</v>
      </c>
      <c r="AW1299" t="b">
        <v>0</v>
      </c>
      <c r="AX1299" t="s">
        <v>9303</v>
      </c>
      <c r="AY1299" s="79" t="str">
        <f>HYPERLINK("https://twitter.com/mikebob115")</f>
        <v>https://twitter.com/mikebob115</v>
      </c>
      <c r="AZ1299" t="s">
        <v>66</v>
      </c>
      <c r="BA1299" s="2"/>
    </row>
    <row r="1300" spans="1:53" x14ac:dyDescent="0.45">
      <c r="A1300" s="62" t="s">
        <v>1030</v>
      </c>
      <c r="B1300" s="63"/>
      <c r="C1300" s="63"/>
      <c r="D1300" s="64"/>
      <c r="E1300" s="66"/>
      <c r="F1300" s="98" t="str">
        <f>HYPERLINK("https://pbs.twimg.com/profile_images/1276249913244839937/NAGZkgfQ_normal.jpg")</f>
        <v>https://pbs.twimg.com/profile_images/1276249913244839937/NAGZkgfQ_normal.jpg</v>
      </c>
      <c r="G1300" s="63"/>
      <c r="H1300" s="67"/>
      <c r="I1300" s="68"/>
      <c r="J1300" s="68"/>
      <c r="K1300" s="67" t="s">
        <v>10519</v>
      </c>
      <c r="L1300" s="71"/>
      <c r="M1300" s="72"/>
      <c r="N1300" s="72"/>
      <c r="O1300" s="73"/>
      <c r="P1300" s="74"/>
      <c r="Q1300" s="74"/>
      <c r="R1300" s="81"/>
      <c r="S1300" s="81"/>
      <c r="T1300" s="81"/>
      <c r="U1300" s="81"/>
      <c r="V1300" s="48"/>
      <c r="W1300" s="48"/>
      <c r="X1300" s="48"/>
      <c r="Y1300" s="48"/>
      <c r="Z1300" s="47"/>
      <c r="AA1300" s="69"/>
      <c r="AB1300" s="69"/>
      <c r="AC1300" s="70"/>
      <c r="AD1300" t="s">
        <v>6197</v>
      </c>
      <c r="AE1300" s="78" t="s">
        <v>4801</v>
      </c>
      <c r="AF1300">
        <v>90</v>
      </c>
      <c r="AG1300">
        <v>3</v>
      </c>
      <c r="AH1300">
        <v>157</v>
      </c>
      <c r="AI1300">
        <v>20</v>
      </c>
      <c r="AK1300" t="s">
        <v>8550</v>
      </c>
      <c r="AL1300" t="s">
        <v>8783</v>
      </c>
      <c r="AO1300" s="76">
        <v>41327.258217592593</v>
      </c>
      <c r="AP1300" s="79" t="str">
        <f>HYPERLINK("https://pbs.twimg.com/profile_banners/1206981696/1593116792")</f>
        <v>https://pbs.twimg.com/profile_banners/1206981696/1593116792</v>
      </c>
      <c r="AQ1300" t="b">
        <v>1</v>
      </c>
      <c r="AR1300" t="b">
        <v>0</v>
      </c>
      <c r="AS1300" t="b">
        <v>0</v>
      </c>
      <c r="AU1300">
        <v>0</v>
      </c>
      <c r="AV1300" s="79" t="str">
        <f>HYPERLINK("https://abs.twimg.com/images/themes/theme1/bg.png")</f>
        <v>https://abs.twimg.com/images/themes/theme1/bg.png</v>
      </c>
      <c r="AW1300" t="b">
        <v>0</v>
      </c>
      <c r="AX1300" t="s">
        <v>9303</v>
      </c>
      <c r="AY1300" s="79" t="str">
        <f>HYPERLINK("https://twitter.com/mohammed_saif70")</f>
        <v>https://twitter.com/mohammed_saif70</v>
      </c>
      <c r="AZ1300" t="s">
        <v>66</v>
      </c>
      <c r="BA1300" s="2"/>
    </row>
    <row r="1301" spans="1:53" x14ac:dyDescent="0.45">
      <c r="A1301" s="62" t="s">
        <v>1516</v>
      </c>
      <c r="B1301" s="63"/>
      <c r="C1301" s="63"/>
      <c r="D1301" s="64"/>
      <c r="E1301" s="66"/>
      <c r="F1301" s="98" t="str">
        <f>HYPERLINK("https://pbs.twimg.com/profile_images/1620894841495486465/6gxaBnZ-_normal.jpg")</f>
        <v>https://pbs.twimg.com/profile_images/1620894841495486465/6gxaBnZ-_normal.jpg</v>
      </c>
      <c r="G1301" s="63"/>
      <c r="H1301" s="67"/>
      <c r="I1301" s="68"/>
      <c r="J1301" s="68"/>
      <c r="K1301" s="67" t="s">
        <v>10539</v>
      </c>
      <c r="L1301" s="71"/>
      <c r="M1301" s="72"/>
      <c r="N1301" s="72"/>
      <c r="O1301" s="73"/>
      <c r="P1301" s="74"/>
      <c r="Q1301" s="74"/>
      <c r="R1301" s="81"/>
      <c r="S1301" s="81"/>
      <c r="T1301" s="81"/>
      <c r="U1301" s="81"/>
      <c r="V1301" s="48"/>
      <c r="W1301" s="48"/>
      <c r="X1301" s="48"/>
      <c r="Y1301" s="48"/>
      <c r="Z1301" s="47"/>
      <c r="AA1301" s="69"/>
      <c r="AB1301" s="69"/>
      <c r="AC1301" s="70"/>
      <c r="AD1301" t="s">
        <v>6217</v>
      </c>
      <c r="AE1301" s="78" t="s">
        <v>4804</v>
      </c>
      <c r="AF1301">
        <v>0</v>
      </c>
      <c r="AG1301">
        <v>3</v>
      </c>
      <c r="AH1301">
        <v>5</v>
      </c>
      <c r="AI1301">
        <v>5</v>
      </c>
      <c r="AO1301" s="76">
        <v>44958.889108796298</v>
      </c>
      <c r="AQ1301" t="b">
        <v>1</v>
      </c>
      <c r="AR1301" t="b">
        <v>0</v>
      </c>
      <c r="AS1301" t="b">
        <v>0</v>
      </c>
      <c r="AU1301">
        <v>0</v>
      </c>
      <c r="AW1301" t="b">
        <v>0</v>
      </c>
      <c r="AX1301" t="s">
        <v>9303</v>
      </c>
      <c r="AY1301" s="79" t="str">
        <f>HYPERLINK("https://twitter.com/sonukumar_21")</f>
        <v>https://twitter.com/sonukumar_21</v>
      </c>
      <c r="AZ1301" t="s">
        <v>65</v>
      </c>
      <c r="BA1301" s="2"/>
    </row>
    <row r="1302" spans="1:53" x14ac:dyDescent="0.45">
      <c r="A1302" s="62" t="s">
        <v>217</v>
      </c>
      <c r="B1302" s="63"/>
      <c r="C1302" s="63"/>
      <c r="D1302" s="64"/>
      <c r="E1302" s="66"/>
      <c r="F1302" s="98" t="str">
        <f>HYPERLINK("https://pbs.twimg.com/profile_images/1619972449977655297/Uls49rtq_normal.jpg")</f>
        <v>https://pbs.twimg.com/profile_images/1619972449977655297/Uls49rtq_normal.jpg</v>
      </c>
      <c r="G1302" s="63"/>
      <c r="H1302" s="67"/>
      <c r="I1302" s="68"/>
      <c r="J1302" s="68"/>
      <c r="K1302" s="67" t="s">
        <v>10653</v>
      </c>
      <c r="L1302" s="71"/>
      <c r="M1302" s="72"/>
      <c r="N1302" s="72"/>
      <c r="O1302" s="73"/>
      <c r="P1302" s="74"/>
      <c r="Q1302" s="74"/>
      <c r="R1302" s="46"/>
      <c r="S1302" s="46"/>
      <c r="T1302" s="46"/>
      <c r="U1302" s="46"/>
      <c r="V1302" s="47"/>
      <c r="W1302" s="47"/>
      <c r="X1302" s="48"/>
      <c r="Y1302" s="47"/>
      <c r="Z1302" s="47"/>
      <c r="AA1302" s="69"/>
      <c r="AB1302" s="69"/>
      <c r="AC1302" s="70"/>
      <c r="AD1302" t="s">
        <v>6328</v>
      </c>
      <c r="AE1302" s="78" t="s">
        <v>7489</v>
      </c>
      <c r="AF1302">
        <v>11</v>
      </c>
      <c r="AG1302">
        <v>2</v>
      </c>
      <c r="AH1302">
        <v>588</v>
      </c>
      <c r="AI1302">
        <v>152</v>
      </c>
      <c r="AK1302" t="s">
        <v>8671</v>
      </c>
      <c r="AL1302" t="s">
        <v>9302</v>
      </c>
      <c r="AO1302" s="76">
        <v>44590.132361111115</v>
      </c>
      <c r="AP1302" s="79" t="str">
        <f>HYPERLINK("https://pbs.twimg.com/profile_banners/1487261847401209858/1661713494")</f>
        <v>https://pbs.twimg.com/profile_banners/1487261847401209858/1661713494</v>
      </c>
      <c r="AQ1302" t="b">
        <v>1</v>
      </c>
      <c r="AR1302" t="b">
        <v>0</v>
      </c>
      <c r="AS1302" t="b">
        <v>0</v>
      </c>
      <c r="AU1302">
        <v>0</v>
      </c>
      <c r="AW1302" t="b">
        <v>0</v>
      </c>
      <c r="AX1302" t="s">
        <v>9303</v>
      </c>
      <c r="AY1302" s="79" t="str">
        <f>HYPERLINK("https://twitter.com/sber2dth")</f>
        <v>https://twitter.com/sber2dth</v>
      </c>
      <c r="AZ1302" t="s">
        <v>66</v>
      </c>
      <c r="BA1302" s="2"/>
    </row>
    <row r="1303" spans="1:53" x14ac:dyDescent="0.45">
      <c r="A1303" s="62" t="s">
        <v>245</v>
      </c>
      <c r="B1303" s="63"/>
      <c r="C1303" s="63"/>
      <c r="D1303" s="64"/>
      <c r="E1303" s="66"/>
      <c r="F1303" s="98" t="str">
        <f>HYPERLINK("https://abs.twimg.com/sticky/default_profile_images/default_profile_normal.png")</f>
        <v>https://abs.twimg.com/sticky/default_profile_images/default_profile_normal.png</v>
      </c>
      <c r="G1303" s="63"/>
      <c r="H1303" s="67"/>
      <c r="I1303" s="68"/>
      <c r="J1303" s="68"/>
      <c r="K1303" s="67" t="s">
        <v>9383</v>
      </c>
      <c r="L1303" s="71"/>
      <c r="M1303" s="72"/>
      <c r="N1303" s="72"/>
      <c r="O1303" s="73"/>
      <c r="P1303" s="74"/>
      <c r="Q1303" s="74"/>
      <c r="R1303" s="81"/>
      <c r="S1303" s="81"/>
      <c r="T1303" s="81"/>
      <c r="U1303" s="81"/>
      <c r="V1303" s="48"/>
      <c r="W1303" s="48"/>
      <c r="X1303" s="48"/>
      <c r="Y1303" s="48"/>
      <c r="Z1303" s="47"/>
      <c r="AA1303" s="69"/>
      <c r="AB1303" s="69"/>
      <c r="AC1303" s="70"/>
      <c r="AD1303" t="s">
        <v>5079</v>
      </c>
      <c r="AE1303" s="78" t="s">
        <v>6390</v>
      </c>
      <c r="AF1303">
        <v>20</v>
      </c>
      <c r="AG1303">
        <v>2</v>
      </c>
      <c r="AH1303">
        <v>214</v>
      </c>
      <c r="AI1303">
        <v>12</v>
      </c>
      <c r="AO1303" s="76">
        <v>40933.030451388891</v>
      </c>
      <c r="AQ1303" t="b">
        <v>1</v>
      </c>
      <c r="AR1303" t="b">
        <v>1</v>
      </c>
      <c r="AS1303" t="b">
        <v>0</v>
      </c>
      <c r="AU1303">
        <v>0</v>
      </c>
      <c r="AV1303" s="79" t="str">
        <f>HYPERLINK("https://abs.twimg.com/images/themes/theme1/bg.png")</f>
        <v>https://abs.twimg.com/images/themes/theme1/bg.png</v>
      </c>
      <c r="AW1303" t="b">
        <v>0</v>
      </c>
      <c r="AX1303" t="s">
        <v>9303</v>
      </c>
      <c r="AY1303" s="79" t="str">
        <f>HYPERLINK("https://twitter.com/debbyquashen")</f>
        <v>https://twitter.com/debbyquashen</v>
      </c>
      <c r="AZ1303" t="s">
        <v>66</v>
      </c>
      <c r="BA1303" s="2"/>
    </row>
    <row r="1304" spans="1:53" x14ac:dyDescent="0.45">
      <c r="A1304" s="62" t="s">
        <v>249</v>
      </c>
      <c r="B1304" s="63"/>
      <c r="C1304" s="63"/>
      <c r="D1304" s="64"/>
      <c r="E1304" s="66"/>
      <c r="F1304" s="98" t="str">
        <f>HYPERLINK("https://pbs.twimg.com/profile_images/1620726554627022848/mGQyI9XZ_normal.png")</f>
        <v>https://pbs.twimg.com/profile_images/1620726554627022848/mGQyI9XZ_normal.png</v>
      </c>
      <c r="G1304" s="63"/>
      <c r="H1304" s="67"/>
      <c r="I1304" s="68"/>
      <c r="J1304" s="68"/>
      <c r="K1304" s="67" t="s">
        <v>9388</v>
      </c>
      <c r="L1304" s="71"/>
      <c r="M1304" s="72"/>
      <c r="N1304" s="72"/>
      <c r="O1304" s="73"/>
      <c r="P1304" s="74"/>
      <c r="Q1304" s="74"/>
      <c r="R1304" s="81"/>
      <c r="S1304" s="81"/>
      <c r="T1304" s="81"/>
      <c r="U1304" s="81"/>
      <c r="V1304" s="48"/>
      <c r="W1304" s="48"/>
      <c r="X1304" s="48"/>
      <c r="Y1304" s="48"/>
      <c r="Z1304" s="47"/>
      <c r="AA1304" s="69"/>
      <c r="AB1304" s="69"/>
      <c r="AC1304" s="70"/>
      <c r="AD1304" t="s">
        <v>5083</v>
      </c>
      <c r="AE1304" s="78" t="s">
        <v>6395</v>
      </c>
      <c r="AF1304">
        <v>6</v>
      </c>
      <c r="AG1304">
        <v>2</v>
      </c>
      <c r="AH1304">
        <v>822</v>
      </c>
      <c r="AI1304">
        <v>0</v>
      </c>
      <c r="AK1304" t="s">
        <v>7567</v>
      </c>
      <c r="AO1304" s="76">
        <v>41873.713182870371</v>
      </c>
      <c r="AP1304" s="79" t="str">
        <f>HYPERLINK("https://pbs.twimg.com/profile_banners/2755648668/1675246300")</f>
        <v>https://pbs.twimg.com/profile_banners/2755648668/1675246300</v>
      </c>
      <c r="AQ1304" t="b">
        <v>1</v>
      </c>
      <c r="AR1304" t="b">
        <v>0</v>
      </c>
      <c r="AS1304" t="b">
        <v>0</v>
      </c>
      <c r="AU1304">
        <v>0</v>
      </c>
      <c r="AV1304" s="79" t="str">
        <f>HYPERLINK("https://abs.twimg.com/images/themes/theme1/bg.png")</f>
        <v>https://abs.twimg.com/images/themes/theme1/bg.png</v>
      </c>
      <c r="AW1304" t="b">
        <v>0</v>
      </c>
      <c r="AX1304" t="s">
        <v>9303</v>
      </c>
      <c r="AY1304" s="79" t="str">
        <f>HYPERLINK("https://twitter.com/mamnga2")</f>
        <v>https://twitter.com/mamnga2</v>
      </c>
      <c r="AZ1304" t="s">
        <v>66</v>
      </c>
      <c r="BA1304" s="2"/>
    </row>
    <row r="1305" spans="1:53" x14ac:dyDescent="0.45">
      <c r="A1305" s="62" t="s">
        <v>256</v>
      </c>
      <c r="B1305" s="63"/>
      <c r="C1305" s="63"/>
      <c r="D1305" s="64"/>
      <c r="E1305" s="66"/>
      <c r="F1305" s="98" t="str">
        <f>HYPERLINK("https://pbs.twimg.com/profile_images/1620737509394157568/l6tgOGXn_normal.png")</f>
        <v>https://pbs.twimg.com/profile_images/1620737509394157568/l6tgOGXn_normal.png</v>
      </c>
      <c r="G1305" s="63"/>
      <c r="H1305" s="67"/>
      <c r="I1305" s="68"/>
      <c r="J1305" s="68"/>
      <c r="K1305" s="67" t="s">
        <v>9398</v>
      </c>
      <c r="L1305" s="71"/>
      <c r="M1305" s="72"/>
      <c r="N1305" s="72"/>
      <c r="O1305" s="73"/>
      <c r="P1305" s="74"/>
      <c r="Q1305" s="74"/>
      <c r="R1305" s="81"/>
      <c r="S1305" s="81"/>
      <c r="T1305" s="81"/>
      <c r="U1305" s="81"/>
      <c r="V1305" s="48"/>
      <c r="W1305" s="48"/>
      <c r="X1305" s="48"/>
      <c r="Y1305" s="48"/>
      <c r="Z1305" s="47"/>
      <c r="AA1305" s="69"/>
      <c r="AB1305" s="69"/>
      <c r="AC1305" s="70"/>
      <c r="AD1305" t="s">
        <v>5093</v>
      </c>
      <c r="AE1305" s="78" t="s">
        <v>6403</v>
      </c>
      <c r="AF1305">
        <v>14</v>
      </c>
      <c r="AG1305">
        <v>2</v>
      </c>
      <c r="AH1305">
        <v>39</v>
      </c>
      <c r="AI1305">
        <v>8</v>
      </c>
      <c r="AK1305" t="s">
        <v>7577</v>
      </c>
      <c r="AO1305" s="76">
        <v>41682.723958333336</v>
      </c>
      <c r="AP1305" s="79" t="str">
        <f>HYPERLINK("https://pbs.twimg.com/profile_banners/2339670904/1675248917")</f>
        <v>https://pbs.twimg.com/profile_banners/2339670904/1675248917</v>
      </c>
      <c r="AQ1305" t="b">
        <v>1</v>
      </c>
      <c r="AR1305" t="b">
        <v>0</v>
      </c>
      <c r="AS1305" t="b">
        <v>0</v>
      </c>
      <c r="AU1305">
        <v>0</v>
      </c>
      <c r="AV1305" s="79" t="str">
        <f>HYPERLINK("https://abs.twimg.com/images/themes/theme1/bg.png")</f>
        <v>https://abs.twimg.com/images/themes/theme1/bg.png</v>
      </c>
      <c r="AW1305" t="b">
        <v>0</v>
      </c>
      <c r="AX1305" t="s">
        <v>9303</v>
      </c>
      <c r="AY1305" s="79" t="str">
        <f>HYPERLINK("https://twitter.com/1900_dilara")</f>
        <v>https://twitter.com/1900_dilara</v>
      </c>
      <c r="AZ1305" t="s">
        <v>66</v>
      </c>
      <c r="BA1305" s="2"/>
    </row>
    <row r="1306" spans="1:53" x14ac:dyDescent="0.45">
      <c r="A1306" s="62" t="s">
        <v>497</v>
      </c>
      <c r="B1306" s="63"/>
      <c r="C1306" s="63"/>
      <c r="D1306" s="64"/>
      <c r="E1306" s="66"/>
      <c r="F1306" s="98" t="str">
        <f>HYPERLINK("https://pbs.twimg.com/profile_images/1620845142327296015/OK5cexsw_normal.png")</f>
        <v>https://pbs.twimg.com/profile_images/1620845142327296015/OK5cexsw_normal.png</v>
      </c>
      <c r="G1306" s="63"/>
      <c r="H1306" s="67"/>
      <c r="I1306" s="68"/>
      <c r="J1306" s="68"/>
      <c r="K1306" s="67" t="s">
        <v>9773</v>
      </c>
      <c r="L1306" s="71"/>
      <c r="M1306" s="72"/>
      <c r="N1306" s="72"/>
      <c r="O1306" s="73"/>
      <c r="P1306" s="74"/>
      <c r="Q1306" s="74"/>
      <c r="R1306" s="81"/>
      <c r="S1306" s="81"/>
      <c r="T1306" s="81"/>
      <c r="U1306" s="81"/>
      <c r="V1306" s="48"/>
      <c r="W1306" s="48"/>
      <c r="X1306" s="48"/>
      <c r="Y1306" s="48"/>
      <c r="Z1306" s="47"/>
      <c r="AA1306" s="69"/>
      <c r="AB1306" s="69"/>
      <c r="AC1306" s="70"/>
      <c r="AD1306" t="s">
        <v>5465</v>
      </c>
      <c r="AE1306" s="78" t="s">
        <v>6724</v>
      </c>
      <c r="AF1306">
        <v>7</v>
      </c>
      <c r="AG1306">
        <v>2</v>
      </c>
      <c r="AH1306">
        <v>31</v>
      </c>
      <c r="AI1306">
        <v>0</v>
      </c>
      <c r="AK1306" t="s">
        <v>7897</v>
      </c>
      <c r="AO1306" s="76">
        <v>42251.545868055553</v>
      </c>
      <c r="AP1306" s="79" t="str">
        <f>HYPERLINK("https://pbs.twimg.com/profile_banners/3448231098/1675274572")</f>
        <v>https://pbs.twimg.com/profile_banners/3448231098/1675274572</v>
      </c>
      <c r="AQ1306" t="b">
        <v>1</v>
      </c>
      <c r="AR1306" t="b">
        <v>0</v>
      </c>
      <c r="AS1306" t="b">
        <v>0</v>
      </c>
      <c r="AU1306">
        <v>0</v>
      </c>
      <c r="AV1306" s="79" t="str">
        <f>HYPERLINK("https://abs.twimg.com/images/themes/theme1/bg.png")</f>
        <v>https://abs.twimg.com/images/themes/theme1/bg.png</v>
      </c>
      <c r="AW1306" t="b">
        <v>0</v>
      </c>
      <c r="AX1306" t="s">
        <v>9303</v>
      </c>
      <c r="AY1306" s="79" t="str">
        <f>HYPERLINK("https://twitter.com/mariia_deleon")</f>
        <v>https://twitter.com/mariia_deleon</v>
      </c>
      <c r="AZ1306" t="s">
        <v>66</v>
      </c>
      <c r="BA1306" s="2"/>
    </row>
    <row r="1307" spans="1:53" x14ac:dyDescent="0.45">
      <c r="A1307" s="62" t="s">
        <v>908</v>
      </c>
      <c r="B1307" s="63"/>
      <c r="C1307" s="63"/>
      <c r="D1307" s="64"/>
      <c r="E1307" s="66"/>
      <c r="F1307" s="98" t="str">
        <f>HYPERLINK("https://pbs.twimg.com/profile_images/1597131814451101696/2ioK-0vF_normal.jpg")</f>
        <v>https://pbs.twimg.com/profile_images/1597131814451101696/2ioK-0vF_normal.jpg</v>
      </c>
      <c r="G1307" s="63"/>
      <c r="H1307" s="67"/>
      <c r="I1307" s="68"/>
      <c r="J1307" s="68"/>
      <c r="K1307" s="67" t="s">
        <v>10329</v>
      </c>
      <c r="L1307" s="71"/>
      <c r="M1307" s="72"/>
      <c r="N1307" s="72"/>
      <c r="O1307" s="73"/>
      <c r="P1307" s="74"/>
      <c r="Q1307" s="74"/>
      <c r="R1307" s="81"/>
      <c r="S1307" s="81"/>
      <c r="T1307" s="81"/>
      <c r="U1307" s="81"/>
      <c r="V1307" s="48"/>
      <c r="W1307" s="48"/>
      <c r="X1307" s="48"/>
      <c r="Y1307" s="48"/>
      <c r="Z1307" s="47"/>
      <c r="AA1307" s="69"/>
      <c r="AB1307" s="69"/>
      <c r="AC1307" s="70"/>
      <c r="AD1307" t="s">
        <v>6012</v>
      </c>
      <c r="AE1307" s="78" t="s">
        <v>7220</v>
      </c>
      <c r="AF1307">
        <v>37</v>
      </c>
      <c r="AG1307">
        <v>2</v>
      </c>
      <c r="AH1307">
        <v>25</v>
      </c>
      <c r="AI1307">
        <v>54</v>
      </c>
      <c r="AO1307" s="76">
        <v>44886.684363425928</v>
      </c>
      <c r="AP1307" s="79" t="str">
        <f>HYPERLINK("https://pbs.twimg.com/profile_banners/1594728665627009031/1669533607")</f>
        <v>https://pbs.twimg.com/profile_banners/1594728665627009031/1669533607</v>
      </c>
      <c r="AQ1307" t="b">
        <v>1</v>
      </c>
      <c r="AR1307" t="b">
        <v>0</v>
      </c>
      <c r="AS1307" t="b">
        <v>0</v>
      </c>
      <c r="AU1307">
        <v>0</v>
      </c>
      <c r="AW1307" t="b">
        <v>0</v>
      </c>
      <c r="AX1307" t="s">
        <v>9303</v>
      </c>
      <c r="AY1307" s="79" t="str">
        <f>HYPERLINK("https://twitter.com/fanyuksze35355")</f>
        <v>https://twitter.com/fanyuksze35355</v>
      </c>
      <c r="AZ1307" t="s">
        <v>66</v>
      </c>
      <c r="BA1307" s="2"/>
    </row>
    <row r="1308" spans="1:53" x14ac:dyDescent="0.45">
      <c r="A1308" s="62" t="s">
        <v>977</v>
      </c>
      <c r="B1308" s="63"/>
      <c r="C1308" s="63"/>
      <c r="D1308" s="64"/>
      <c r="E1308" s="66"/>
      <c r="F1308" s="98" t="str">
        <f>HYPERLINK("https://pbs.twimg.com/profile_images/1493262081688231939/4iszteGL_normal.jpg")</f>
        <v>https://pbs.twimg.com/profile_images/1493262081688231939/4iszteGL_normal.jpg</v>
      </c>
      <c r="G1308" s="63"/>
      <c r="H1308" s="67"/>
      <c r="I1308" s="68"/>
      <c r="J1308" s="68"/>
      <c r="K1308" s="67" t="s">
        <v>10440</v>
      </c>
      <c r="L1308" s="71"/>
      <c r="M1308" s="72"/>
      <c r="N1308" s="72"/>
      <c r="O1308" s="73"/>
      <c r="P1308" s="74"/>
      <c r="Q1308" s="74"/>
      <c r="R1308" s="81"/>
      <c r="S1308" s="81"/>
      <c r="T1308" s="81"/>
      <c r="U1308" s="81"/>
      <c r="V1308" s="48"/>
      <c r="W1308" s="48"/>
      <c r="X1308" s="48"/>
      <c r="Y1308" s="48"/>
      <c r="Z1308" s="47"/>
      <c r="AA1308" s="69"/>
      <c r="AB1308" s="69"/>
      <c r="AC1308" s="70"/>
      <c r="AD1308" t="s">
        <v>6121</v>
      </c>
      <c r="AE1308" s="78" t="s">
        <v>7315</v>
      </c>
      <c r="AF1308">
        <v>75</v>
      </c>
      <c r="AG1308">
        <v>2</v>
      </c>
      <c r="AH1308">
        <v>13</v>
      </c>
      <c r="AI1308">
        <v>49</v>
      </c>
      <c r="AO1308" s="76">
        <v>44592.964618055557</v>
      </c>
      <c r="AP1308" s="79" t="str">
        <f>HYPERLINK("https://pbs.twimg.com/profile_banners/1488288218625753089/1670598933")</f>
        <v>https://pbs.twimg.com/profile_banners/1488288218625753089/1670598933</v>
      </c>
      <c r="AQ1308" t="b">
        <v>1</v>
      </c>
      <c r="AR1308" t="b">
        <v>0</v>
      </c>
      <c r="AS1308" t="b">
        <v>0</v>
      </c>
      <c r="AU1308">
        <v>0</v>
      </c>
      <c r="AW1308" t="b">
        <v>0</v>
      </c>
      <c r="AX1308" t="s">
        <v>9303</v>
      </c>
      <c r="AY1308" s="79" t="str">
        <f>HYPERLINK("https://twitter.com/qam__yasharahla")</f>
        <v>https://twitter.com/qam__yasharahla</v>
      </c>
      <c r="AZ1308" t="s">
        <v>66</v>
      </c>
      <c r="BA1308" s="2"/>
    </row>
    <row r="1309" spans="1:53" x14ac:dyDescent="0.45">
      <c r="A1309" s="62" t="s">
        <v>1559</v>
      </c>
      <c r="B1309" s="63"/>
      <c r="C1309" s="63"/>
      <c r="D1309" s="64"/>
      <c r="E1309" s="66"/>
      <c r="F1309" s="98" t="str">
        <f>HYPERLINK("https://pbs.twimg.com/profile_images/1386804700276736000/kzEFgRnQ_normal.jpg")</f>
        <v>https://pbs.twimg.com/profile_images/1386804700276736000/kzEFgRnQ_normal.jpg</v>
      </c>
      <c r="G1309" s="63"/>
      <c r="H1309" s="67"/>
      <c r="I1309" s="68"/>
      <c r="J1309" s="68"/>
      <c r="K1309" s="67" t="s">
        <v>10624</v>
      </c>
      <c r="L1309" s="71"/>
      <c r="M1309" s="72"/>
      <c r="N1309" s="72"/>
      <c r="O1309" s="73"/>
      <c r="P1309" s="74"/>
      <c r="Q1309" s="74"/>
      <c r="R1309" s="81"/>
      <c r="S1309" s="81"/>
      <c r="T1309" s="81"/>
      <c r="U1309" s="81"/>
      <c r="V1309" s="48"/>
      <c r="W1309" s="48"/>
      <c r="X1309" s="48"/>
      <c r="Y1309" s="48"/>
      <c r="Z1309" s="47"/>
      <c r="AA1309" s="69"/>
      <c r="AB1309" s="69"/>
      <c r="AC1309" s="70"/>
      <c r="AD1309" t="s">
        <v>6300</v>
      </c>
      <c r="AE1309" s="78" t="s">
        <v>7465</v>
      </c>
      <c r="AF1309">
        <v>0</v>
      </c>
      <c r="AG1309">
        <v>2</v>
      </c>
      <c r="AH1309">
        <v>0</v>
      </c>
      <c r="AI1309">
        <v>0</v>
      </c>
      <c r="AK1309" t="s">
        <v>8645</v>
      </c>
      <c r="AO1309" s="76">
        <v>44312.923078703701</v>
      </c>
      <c r="AQ1309" t="b">
        <v>1</v>
      </c>
      <c r="AR1309" t="b">
        <v>0</v>
      </c>
      <c r="AS1309" t="b">
        <v>0</v>
      </c>
      <c r="AU1309">
        <v>0</v>
      </c>
      <c r="AW1309" t="b">
        <v>0</v>
      </c>
      <c r="AX1309" t="s">
        <v>9303</v>
      </c>
      <c r="AY1309" s="79" t="str">
        <f>HYPERLINK("https://twitter.com/814games")</f>
        <v>https://twitter.com/814games</v>
      </c>
      <c r="AZ1309" t="s">
        <v>65</v>
      </c>
      <c r="BA1309" s="2"/>
    </row>
    <row r="1310" spans="1:53" x14ac:dyDescent="0.45">
      <c r="A1310" s="62" t="s">
        <v>1566</v>
      </c>
      <c r="B1310" s="63"/>
      <c r="C1310" s="63"/>
      <c r="D1310" s="64"/>
      <c r="E1310" s="66"/>
      <c r="F1310" s="98" t="str">
        <f>HYPERLINK("https://pbs.twimg.com/profile_images/1584392084735377409/DflVcnwv_normal.jpg")</f>
        <v>https://pbs.twimg.com/profile_images/1584392084735377409/DflVcnwv_normal.jpg</v>
      </c>
      <c r="G1310" s="63"/>
      <c r="H1310" s="67"/>
      <c r="I1310" s="68"/>
      <c r="J1310" s="68"/>
      <c r="K1310" s="67" t="s">
        <v>9304</v>
      </c>
      <c r="L1310" s="71"/>
      <c r="M1310" s="72"/>
      <c r="N1310" s="72"/>
      <c r="O1310" s="73"/>
      <c r="P1310" s="74"/>
      <c r="Q1310" s="74"/>
      <c r="R1310" s="81"/>
      <c r="S1310" s="81"/>
      <c r="T1310" s="81"/>
      <c r="U1310" s="81"/>
      <c r="V1310" s="48"/>
      <c r="W1310" s="48"/>
      <c r="X1310" s="48"/>
      <c r="Y1310" s="48"/>
      <c r="Z1310" s="47"/>
      <c r="AA1310" s="69"/>
      <c r="AB1310" s="69"/>
      <c r="AC1310" s="70"/>
      <c r="AD1310" t="s">
        <v>5000</v>
      </c>
      <c r="AE1310" s="78" t="s">
        <v>6329</v>
      </c>
      <c r="AF1310">
        <v>1</v>
      </c>
      <c r="AG1310">
        <v>1</v>
      </c>
      <c r="AH1310">
        <v>300</v>
      </c>
      <c r="AI1310">
        <v>16</v>
      </c>
      <c r="AK1310" t="s">
        <v>7490</v>
      </c>
      <c r="AL1310" t="s">
        <v>8672</v>
      </c>
      <c r="AO1310" s="76">
        <v>44763.114363425928</v>
      </c>
      <c r="AP1310" s="79" t="str">
        <f>HYPERLINK("https://pbs.twimg.com/profile_banners/1549948414191964161/1658371705")</f>
        <v>https://pbs.twimg.com/profile_banners/1549948414191964161/1658371705</v>
      </c>
      <c r="AQ1310" t="b">
        <v>1</v>
      </c>
      <c r="AR1310" t="b">
        <v>0</v>
      </c>
      <c r="AS1310" t="b">
        <v>0</v>
      </c>
      <c r="AU1310">
        <v>0</v>
      </c>
      <c r="AW1310" t="b">
        <v>0</v>
      </c>
      <c r="AX1310" t="s">
        <v>9303</v>
      </c>
      <c r="AY1310" s="79" t="str">
        <f>HYPERLINK("https://twitter.com/touchtonegay")</f>
        <v>https://twitter.com/touchtonegay</v>
      </c>
      <c r="AZ1310" t="s">
        <v>65</v>
      </c>
      <c r="BA1310" s="2"/>
    </row>
    <row r="1311" spans="1:53" x14ac:dyDescent="0.45">
      <c r="A1311" s="62" t="s">
        <v>222</v>
      </c>
      <c r="B1311" s="63"/>
      <c r="C1311" s="63"/>
      <c r="D1311" s="64"/>
      <c r="E1311" s="66"/>
      <c r="F1311" s="98" t="str">
        <f>HYPERLINK("https://pbs.twimg.com/profile_images/1602970362588942343/68abIY8s_normal.png")</f>
        <v>https://pbs.twimg.com/profile_images/1602970362588942343/68abIY8s_normal.png</v>
      </c>
      <c r="G1311" s="63"/>
      <c r="H1311" s="67"/>
      <c r="I1311" s="68"/>
      <c r="J1311" s="68"/>
      <c r="K1311" s="67" t="s">
        <v>9316</v>
      </c>
      <c r="L1311" s="71"/>
      <c r="M1311" s="72"/>
      <c r="N1311" s="72"/>
      <c r="O1311" s="73"/>
      <c r="P1311" s="74"/>
      <c r="Q1311" s="74"/>
      <c r="R1311" s="81"/>
      <c r="S1311" s="81"/>
      <c r="T1311" s="81"/>
      <c r="U1311" s="81"/>
      <c r="V1311" s="48"/>
      <c r="W1311" s="48"/>
      <c r="X1311" s="48"/>
      <c r="Y1311" s="48"/>
      <c r="Z1311" s="47"/>
      <c r="AA1311" s="69"/>
      <c r="AB1311" s="69"/>
      <c r="AC1311" s="70"/>
      <c r="AD1311" t="s">
        <v>5012</v>
      </c>
      <c r="AE1311" s="78" t="s">
        <v>6337</v>
      </c>
      <c r="AF1311">
        <v>17</v>
      </c>
      <c r="AG1311">
        <v>1</v>
      </c>
      <c r="AH1311">
        <v>19</v>
      </c>
      <c r="AI1311">
        <v>0</v>
      </c>
      <c r="AO1311" s="76">
        <v>44909.42696759259</v>
      </c>
      <c r="AQ1311" t="b">
        <v>1</v>
      </c>
      <c r="AR1311" t="b">
        <v>0</v>
      </c>
      <c r="AS1311" t="b">
        <v>0</v>
      </c>
      <c r="AU1311">
        <v>0</v>
      </c>
      <c r="AW1311" t="b">
        <v>0</v>
      </c>
      <c r="AX1311" t="s">
        <v>9303</v>
      </c>
      <c r="AY1311" s="79" t="str">
        <f>HYPERLINK("https://twitter.com/ivicam10")</f>
        <v>https://twitter.com/ivicam10</v>
      </c>
      <c r="AZ1311" t="s">
        <v>66</v>
      </c>
      <c r="BA1311" s="2"/>
    </row>
    <row r="1312" spans="1:53" x14ac:dyDescent="0.45">
      <c r="A1312" s="62" t="s">
        <v>239</v>
      </c>
      <c r="B1312" s="63"/>
      <c r="C1312" s="63"/>
      <c r="D1312" s="64"/>
      <c r="E1312" s="66"/>
      <c r="F1312" s="98" t="str">
        <f>HYPERLINK("https://pbs.twimg.com/profile_images/1620700175525191686/bB7qQlqV_normal.png")</f>
        <v>https://pbs.twimg.com/profile_images/1620700175525191686/bB7qQlqV_normal.png</v>
      </c>
      <c r="G1312" s="63"/>
      <c r="H1312" s="67"/>
      <c r="I1312" s="68"/>
      <c r="J1312" s="68"/>
      <c r="K1312" s="67" t="s">
        <v>9372</v>
      </c>
      <c r="L1312" s="71"/>
      <c r="M1312" s="72"/>
      <c r="N1312" s="72"/>
      <c r="O1312" s="73"/>
      <c r="P1312" s="74"/>
      <c r="Q1312" s="74"/>
      <c r="R1312" s="81"/>
      <c r="S1312" s="81"/>
      <c r="T1312" s="81"/>
      <c r="U1312" s="81"/>
      <c r="V1312" s="48"/>
      <c r="W1312" s="48"/>
      <c r="X1312" s="48"/>
      <c r="Y1312" s="48"/>
      <c r="Z1312" s="47"/>
      <c r="AA1312" s="69"/>
      <c r="AB1312" s="69"/>
      <c r="AC1312" s="70"/>
      <c r="AD1312" t="s">
        <v>5068</v>
      </c>
      <c r="AE1312" s="78" t="s">
        <v>6382</v>
      </c>
      <c r="AF1312">
        <v>46</v>
      </c>
      <c r="AG1312">
        <v>1</v>
      </c>
      <c r="AH1312">
        <v>36</v>
      </c>
      <c r="AI1312">
        <v>1</v>
      </c>
      <c r="AK1312" t="s">
        <v>7554</v>
      </c>
      <c r="AO1312" s="76">
        <v>41989.537303240744</v>
      </c>
      <c r="AP1312" s="79" t="str">
        <f>HYPERLINK("https://pbs.twimg.com/profile_banners/2932191840/1675240015")</f>
        <v>https://pbs.twimg.com/profile_banners/2932191840/1675240015</v>
      </c>
      <c r="AQ1312" t="b">
        <v>1</v>
      </c>
      <c r="AR1312" t="b">
        <v>0</v>
      </c>
      <c r="AS1312" t="b">
        <v>0</v>
      </c>
      <c r="AU1312">
        <v>0</v>
      </c>
      <c r="AV1312" s="79" t="str">
        <f>HYPERLINK("https://abs.twimg.com/images/themes/theme1/bg.png")</f>
        <v>https://abs.twimg.com/images/themes/theme1/bg.png</v>
      </c>
      <c r="AW1312" t="b">
        <v>0</v>
      </c>
      <c r="AX1312" t="s">
        <v>9303</v>
      </c>
      <c r="AY1312" s="79" t="str">
        <f>HYPERLINK("https://twitter.com/ranareno20")</f>
        <v>https://twitter.com/ranareno20</v>
      </c>
      <c r="AZ1312" t="s">
        <v>66</v>
      </c>
      <c r="BA1312" s="2"/>
    </row>
    <row r="1313" spans="1:53" x14ac:dyDescent="0.45">
      <c r="A1313" s="62" t="s">
        <v>1207</v>
      </c>
      <c r="B1313" s="63"/>
      <c r="C1313" s="63"/>
      <c r="D1313" s="64"/>
      <c r="E1313" s="66"/>
      <c r="F1313" s="98" t="str">
        <f>HYPERLINK("https://pbs.twimg.com/profile_images/1620405182583406594/w_5o6etP_normal.png")</f>
        <v>https://pbs.twimg.com/profile_images/1620405182583406594/w_5o6etP_normal.png</v>
      </c>
      <c r="G1313" s="63"/>
      <c r="H1313" s="67"/>
      <c r="I1313" s="68"/>
      <c r="J1313" s="68"/>
      <c r="K1313" s="67" t="s">
        <v>9514</v>
      </c>
      <c r="L1313" s="71"/>
      <c r="M1313" s="72"/>
      <c r="N1313" s="72"/>
      <c r="O1313" s="73"/>
      <c r="P1313" s="74"/>
      <c r="Q1313" s="74"/>
      <c r="R1313" s="81"/>
      <c r="S1313" s="81"/>
      <c r="T1313" s="81"/>
      <c r="U1313" s="81"/>
      <c r="V1313" s="48"/>
      <c r="W1313" s="48"/>
      <c r="X1313" s="48"/>
      <c r="Y1313" s="48"/>
      <c r="Z1313" s="47"/>
      <c r="AA1313" s="69"/>
      <c r="AB1313" s="69"/>
      <c r="AC1313" s="70"/>
      <c r="AD1313" t="s">
        <v>5208</v>
      </c>
      <c r="AE1313" s="78" t="s">
        <v>6499</v>
      </c>
      <c r="AF1313">
        <v>12</v>
      </c>
      <c r="AG1313">
        <v>1</v>
      </c>
      <c r="AH1313">
        <v>1344</v>
      </c>
      <c r="AI1313">
        <v>0</v>
      </c>
      <c r="AK1313" t="s">
        <v>7678</v>
      </c>
      <c r="AL1313" t="s">
        <v>8791</v>
      </c>
      <c r="AO1313" s="76">
        <v>41387.201469907406</v>
      </c>
      <c r="AQ1313" t="b">
        <v>1</v>
      </c>
      <c r="AR1313" t="b">
        <v>0</v>
      </c>
      <c r="AS1313" t="b">
        <v>0</v>
      </c>
      <c r="AU1313">
        <v>0</v>
      </c>
      <c r="AV1313" s="79" t="str">
        <f>HYPERLINK("https://abs.twimg.com/images/themes/theme1/bg.png")</f>
        <v>https://abs.twimg.com/images/themes/theme1/bg.png</v>
      </c>
      <c r="AW1313" t="b">
        <v>0</v>
      </c>
      <c r="AX1313" t="s">
        <v>9303</v>
      </c>
      <c r="AY1313" s="79" t="str">
        <f>HYPERLINK("https://twitter.com/ra_witya")</f>
        <v>https://twitter.com/ra_witya</v>
      </c>
      <c r="AZ1313" t="s">
        <v>65</v>
      </c>
      <c r="BA1313" s="2"/>
    </row>
    <row r="1314" spans="1:53" x14ac:dyDescent="0.45">
      <c r="A1314" s="62" t="s">
        <v>332</v>
      </c>
      <c r="B1314" s="63"/>
      <c r="C1314" s="63"/>
      <c r="D1314" s="64"/>
      <c r="E1314" s="66"/>
      <c r="F1314" s="98" t="str">
        <f>HYPERLINK("https://pbs.twimg.com/profile_images/1599166705078620162/z2Z-RVUq_normal.jpg")</f>
        <v>https://pbs.twimg.com/profile_images/1599166705078620162/z2Z-RVUq_normal.jpg</v>
      </c>
      <c r="G1314" s="63"/>
      <c r="H1314" s="67"/>
      <c r="I1314" s="68"/>
      <c r="J1314" s="68"/>
      <c r="K1314" s="67" t="s">
        <v>9544</v>
      </c>
      <c r="L1314" s="71"/>
      <c r="M1314" s="72"/>
      <c r="N1314" s="72"/>
      <c r="O1314" s="73"/>
      <c r="P1314" s="74"/>
      <c r="Q1314" s="74"/>
      <c r="R1314" s="81"/>
      <c r="S1314" s="81"/>
      <c r="T1314" s="81"/>
      <c r="U1314" s="81"/>
      <c r="V1314" s="48"/>
      <c r="W1314" s="48"/>
      <c r="X1314" s="48"/>
      <c r="Y1314" s="48"/>
      <c r="Z1314" s="47"/>
      <c r="AA1314" s="69"/>
      <c r="AB1314" s="69"/>
      <c r="AC1314" s="70"/>
      <c r="AD1314" t="s">
        <v>5237</v>
      </c>
      <c r="AE1314" s="78" t="s">
        <v>6521</v>
      </c>
      <c r="AF1314">
        <v>2</v>
      </c>
      <c r="AG1314">
        <v>1</v>
      </c>
      <c r="AH1314">
        <v>51</v>
      </c>
      <c r="AI1314">
        <v>1</v>
      </c>
      <c r="AK1314" t="s">
        <v>7705</v>
      </c>
      <c r="AL1314" t="s">
        <v>8806</v>
      </c>
      <c r="AO1314" s="76">
        <v>44879.984224537038</v>
      </c>
      <c r="AP1314" s="79" t="str">
        <f>HYPERLINK("https://pbs.twimg.com/profile_banners/1592300611252506626/1668469577")</f>
        <v>https://pbs.twimg.com/profile_banners/1592300611252506626/1668469577</v>
      </c>
      <c r="AQ1314" t="b">
        <v>1</v>
      </c>
      <c r="AR1314" t="b">
        <v>0</v>
      </c>
      <c r="AS1314" t="b">
        <v>0</v>
      </c>
      <c r="AU1314">
        <v>0</v>
      </c>
      <c r="AW1314" t="b">
        <v>0</v>
      </c>
      <c r="AX1314" t="s">
        <v>9303</v>
      </c>
      <c r="AY1314" s="79" t="str">
        <f>HYPERLINK("https://twitter.com/rafiki_tikigod")</f>
        <v>https://twitter.com/rafiki_tikigod</v>
      </c>
      <c r="AZ1314" t="s">
        <v>66</v>
      </c>
      <c r="BA1314" s="2"/>
    </row>
    <row r="1315" spans="1:53" x14ac:dyDescent="0.45">
      <c r="A1315" s="62" t="s">
        <v>388</v>
      </c>
      <c r="B1315" s="63"/>
      <c r="C1315" s="63"/>
      <c r="D1315" s="64"/>
      <c r="E1315" s="66"/>
      <c r="F1315" s="98" t="str">
        <f>HYPERLINK("https://pbs.twimg.com/profile_images/1403323166034776067/EL5O1AK1_normal.jpg")</f>
        <v>https://pbs.twimg.com/profile_images/1403323166034776067/EL5O1AK1_normal.jpg</v>
      </c>
      <c r="G1315" s="63"/>
      <c r="H1315" s="67"/>
      <c r="I1315" s="68"/>
      <c r="J1315" s="68"/>
      <c r="K1315" s="67" t="s">
        <v>9636</v>
      </c>
      <c r="L1315" s="71"/>
      <c r="M1315" s="72"/>
      <c r="N1315" s="72"/>
      <c r="O1315" s="73"/>
      <c r="P1315" s="74"/>
      <c r="Q1315" s="74"/>
      <c r="R1315" s="81"/>
      <c r="S1315" s="81"/>
      <c r="T1315" s="81"/>
      <c r="U1315" s="81"/>
      <c r="V1315" s="48"/>
      <c r="W1315" s="48"/>
      <c r="X1315" s="48"/>
      <c r="Y1315" s="48"/>
      <c r="Z1315" s="47"/>
      <c r="AA1315" s="69"/>
      <c r="AB1315" s="69"/>
      <c r="AC1315" s="70"/>
      <c r="AD1315" t="s">
        <v>5329</v>
      </c>
      <c r="AE1315" s="78" t="s">
        <v>6604</v>
      </c>
      <c r="AF1315">
        <v>2</v>
      </c>
      <c r="AG1315">
        <v>1</v>
      </c>
      <c r="AH1315">
        <v>11</v>
      </c>
      <c r="AI1315">
        <v>4</v>
      </c>
      <c r="AO1315" s="76">
        <v>44103.240243055552</v>
      </c>
      <c r="AQ1315" t="b">
        <v>1</v>
      </c>
      <c r="AR1315" t="b">
        <v>0</v>
      </c>
      <c r="AS1315" t="b">
        <v>0</v>
      </c>
      <c r="AU1315">
        <v>0</v>
      </c>
      <c r="AW1315" t="b">
        <v>0</v>
      </c>
      <c r="AX1315" t="s">
        <v>9303</v>
      </c>
      <c r="AY1315" s="79" t="str">
        <f>HYPERLINK("https://twitter.com/tanugup18204323")</f>
        <v>https://twitter.com/tanugup18204323</v>
      </c>
      <c r="AZ1315" t="s">
        <v>66</v>
      </c>
      <c r="BA1315" s="2"/>
    </row>
    <row r="1316" spans="1:53" x14ac:dyDescent="0.45">
      <c r="A1316" s="62" t="s">
        <v>389</v>
      </c>
      <c r="B1316" s="63"/>
      <c r="C1316" s="63"/>
      <c r="D1316" s="64"/>
      <c r="E1316" s="66"/>
      <c r="F1316" s="98" t="str">
        <f>HYPERLINK("https://pbs.twimg.com/profile_images/1461718173200359430/7DYCOtZ7_normal.jpg")</f>
        <v>https://pbs.twimg.com/profile_images/1461718173200359430/7DYCOtZ7_normal.jpg</v>
      </c>
      <c r="G1316" s="63"/>
      <c r="H1316" s="67"/>
      <c r="I1316" s="68"/>
      <c r="J1316" s="68"/>
      <c r="K1316" s="67" t="s">
        <v>9637</v>
      </c>
      <c r="L1316" s="71"/>
      <c r="M1316" s="72"/>
      <c r="N1316" s="72"/>
      <c r="O1316" s="73"/>
      <c r="P1316" s="74"/>
      <c r="Q1316" s="74"/>
      <c r="R1316" s="81"/>
      <c r="S1316" s="81"/>
      <c r="T1316" s="81"/>
      <c r="U1316" s="81"/>
      <c r="V1316" s="48"/>
      <c r="W1316" s="48"/>
      <c r="X1316" s="48"/>
      <c r="Y1316" s="48"/>
      <c r="Z1316" s="47"/>
      <c r="AA1316" s="69"/>
      <c r="AB1316" s="69"/>
      <c r="AC1316" s="70"/>
      <c r="AD1316" t="s">
        <v>5330</v>
      </c>
      <c r="AE1316" s="78" t="s">
        <v>6605</v>
      </c>
      <c r="AF1316">
        <v>58</v>
      </c>
      <c r="AG1316">
        <v>1</v>
      </c>
      <c r="AH1316">
        <v>219</v>
      </c>
      <c r="AI1316">
        <v>19</v>
      </c>
      <c r="AK1316" t="s">
        <v>7782</v>
      </c>
      <c r="AO1316" s="76">
        <v>44496.738842592589</v>
      </c>
      <c r="AP1316" s="79" t="str">
        <f>HYPERLINK("https://pbs.twimg.com/profile_banners/1453417165852401665/1637335834")</f>
        <v>https://pbs.twimg.com/profile_banners/1453417165852401665/1637335834</v>
      </c>
      <c r="AQ1316" t="b">
        <v>1</v>
      </c>
      <c r="AR1316" t="b">
        <v>0</v>
      </c>
      <c r="AS1316" t="b">
        <v>0</v>
      </c>
      <c r="AU1316">
        <v>0</v>
      </c>
      <c r="AW1316" t="b">
        <v>0</v>
      </c>
      <c r="AX1316" t="s">
        <v>9303</v>
      </c>
      <c r="AY1316" s="79" t="str">
        <f>HYPERLINK("https://twitter.com/sjc26138")</f>
        <v>https://twitter.com/sjc26138</v>
      </c>
      <c r="AZ1316" t="s">
        <v>66</v>
      </c>
      <c r="BA1316" s="2"/>
    </row>
    <row r="1317" spans="1:53" x14ac:dyDescent="0.45">
      <c r="A1317" s="62" t="s">
        <v>491</v>
      </c>
      <c r="B1317" s="63"/>
      <c r="C1317" s="63"/>
      <c r="D1317" s="64"/>
      <c r="E1317" s="66"/>
      <c r="F1317" s="98" t="str">
        <f>HYPERLINK("https://pbs.twimg.com/profile_images/1593690689895809025/jVPYEDFd_normal.jpg")</f>
        <v>https://pbs.twimg.com/profile_images/1593690689895809025/jVPYEDFd_normal.jpg</v>
      </c>
      <c r="G1317" s="63"/>
      <c r="H1317" s="67"/>
      <c r="I1317" s="68"/>
      <c r="J1317" s="68"/>
      <c r="K1317" s="67" t="s">
        <v>9764</v>
      </c>
      <c r="L1317" s="71"/>
      <c r="M1317" s="72"/>
      <c r="N1317" s="72"/>
      <c r="O1317" s="73"/>
      <c r="P1317" s="74"/>
      <c r="Q1317" s="74"/>
      <c r="R1317" s="81"/>
      <c r="S1317" s="81"/>
      <c r="T1317" s="81"/>
      <c r="U1317" s="81"/>
      <c r="V1317" s="48"/>
      <c r="W1317" s="48"/>
      <c r="X1317" s="48"/>
      <c r="Y1317" s="48"/>
      <c r="Z1317" s="47"/>
      <c r="AA1317" s="69"/>
      <c r="AB1317" s="69"/>
      <c r="AC1317" s="70"/>
      <c r="AD1317" t="s">
        <v>5456</v>
      </c>
      <c r="AE1317" s="78" t="s">
        <v>4702</v>
      </c>
      <c r="AF1317">
        <v>4</v>
      </c>
      <c r="AG1317">
        <v>1</v>
      </c>
      <c r="AH1317">
        <v>14</v>
      </c>
      <c r="AI1317">
        <v>43</v>
      </c>
      <c r="AO1317" s="76">
        <v>44842.105000000003</v>
      </c>
      <c r="AQ1317" t="b">
        <v>1</v>
      </c>
      <c r="AR1317" t="b">
        <v>0</v>
      </c>
      <c r="AS1317" t="b">
        <v>0</v>
      </c>
      <c r="AU1317">
        <v>0</v>
      </c>
      <c r="AW1317" t="b">
        <v>0</v>
      </c>
      <c r="AX1317" t="s">
        <v>9303</v>
      </c>
      <c r="AY1317" s="79" t="str">
        <f>HYPERLINK("https://twitter.com/vampire_witchb")</f>
        <v>https://twitter.com/vampire_witchb</v>
      </c>
      <c r="AZ1317" t="s">
        <v>66</v>
      </c>
      <c r="BA1317" s="2"/>
    </row>
    <row r="1318" spans="1:53" x14ac:dyDescent="0.45">
      <c r="A1318" s="62" t="s">
        <v>545</v>
      </c>
      <c r="B1318" s="63"/>
      <c r="C1318" s="63"/>
      <c r="D1318" s="64"/>
      <c r="E1318" s="66"/>
      <c r="F1318" s="98" t="str">
        <f>HYPERLINK("https://pbs.twimg.com/profile_images/955526920401141760/uQbbfO25_normal.jpg")</f>
        <v>https://pbs.twimg.com/profile_images/955526920401141760/uQbbfO25_normal.jpg</v>
      </c>
      <c r="G1318" s="63"/>
      <c r="H1318" s="67"/>
      <c r="I1318" s="68"/>
      <c r="J1318" s="68"/>
      <c r="K1318" s="67" t="s">
        <v>9838</v>
      </c>
      <c r="L1318" s="71"/>
      <c r="M1318" s="72"/>
      <c r="N1318" s="72"/>
      <c r="O1318" s="73"/>
      <c r="P1318" s="74"/>
      <c r="Q1318" s="74"/>
      <c r="R1318" s="81"/>
      <c r="S1318" s="81"/>
      <c r="T1318" s="81"/>
      <c r="U1318" s="81"/>
      <c r="V1318" s="48"/>
      <c r="W1318" s="48"/>
      <c r="X1318" s="48"/>
      <c r="Y1318" s="48"/>
      <c r="Z1318" s="47"/>
      <c r="AA1318" s="69"/>
      <c r="AB1318" s="69"/>
      <c r="AC1318" s="70"/>
      <c r="AD1318" t="s">
        <v>5529</v>
      </c>
      <c r="AE1318" s="78" t="s">
        <v>6779</v>
      </c>
      <c r="AF1318">
        <v>74</v>
      </c>
      <c r="AG1318">
        <v>1</v>
      </c>
      <c r="AH1318">
        <v>797</v>
      </c>
      <c r="AI1318">
        <v>362</v>
      </c>
      <c r="AK1318" t="s">
        <v>7953</v>
      </c>
      <c r="AO1318" s="76">
        <v>40614.194201388891</v>
      </c>
      <c r="AQ1318" t="b">
        <v>0</v>
      </c>
      <c r="AR1318" t="b">
        <v>0</v>
      </c>
      <c r="AS1318" t="b">
        <v>0</v>
      </c>
      <c r="AU1318">
        <v>0</v>
      </c>
      <c r="AV1318" s="79" t="str">
        <f>HYPERLINK("https://abs.twimg.com/images/themes/theme5/bg.gif")</f>
        <v>https://abs.twimg.com/images/themes/theme5/bg.gif</v>
      </c>
      <c r="AW1318" t="b">
        <v>0</v>
      </c>
      <c r="AX1318" t="s">
        <v>9303</v>
      </c>
      <c r="AY1318" s="79" t="str">
        <f>HYPERLINK("https://twitter.com/lmlj2012")</f>
        <v>https://twitter.com/lmlj2012</v>
      </c>
      <c r="AZ1318" t="s">
        <v>66</v>
      </c>
      <c r="BA1318" s="2"/>
    </row>
    <row r="1319" spans="1:53" x14ac:dyDescent="0.45">
      <c r="A1319" s="62" t="s">
        <v>709</v>
      </c>
      <c r="B1319" s="63"/>
      <c r="C1319" s="63"/>
      <c r="D1319" s="64"/>
      <c r="E1319" s="66"/>
      <c r="F1319" s="98" t="str">
        <f>HYPERLINK("https://abs.twimg.com/sticky/default_profile_images/default_profile_normal.png")</f>
        <v>https://abs.twimg.com/sticky/default_profile_images/default_profile_normal.png</v>
      </c>
      <c r="G1319" s="63"/>
      <c r="H1319" s="67"/>
      <c r="I1319" s="68"/>
      <c r="J1319" s="68"/>
      <c r="K1319" s="67" t="s">
        <v>10046</v>
      </c>
      <c r="L1319" s="71"/>
      <c r="M1319" s="72"/>
      <c r="N1319" s="72"/>
      <c r="O1319" s="73"/>
      <c r="P1319" s="74"/>
      <c r="Q1319" s="74"/>
      <c r="R1319" s="81"/>
      <c r="S1319" s="81"/>
      <c r="T1319" s="81"/>
      <c r="U1319" s="81"/>
      <c r="V1319" s="48"/>
      <c r="W1319" s="48"/>
      <c r="X1319" s="48"/>
      <c r="Y1319" s="48"/>
      <c r="Z1319" s="47"/>
      <c r="AA1319" s="69"/>
      <c r="AB1319" s="69"/>
      <c r="AC1319" s="70"/>
      <c r="AD1319" t="s">
        <v>5507</v>
      </c>
      <c r="AE1319" s="78" t="s">
        <v>4731</v>
      </c>
      <c r="AF1319">
        <v>23</v>
      </c>
      <c r="AG1319">
        <v>1</v>
      </c>
      <c r="AH1319">
        <v>119</v>
      </c>
      <c r="AI1319">
        <v>41</v>
      </c>
      <c r="AO1319" s="76">
        <v>44350.681481481479</v>
      </c>
      <c r="AQ1319" t="b">
        <v>1</v>
      </c>
      <c r="AR1319" t="b">
        <v>1</v>
      </c>
      <c r="AS1319" t="b">
        <v>0</v>
      </c>
      <c r="AU1319">
        <v>0</v>
      </c>
      <c r="AW1319" t="b">
        <v>0</v>
      </c>
      <c r="AX1319" t="s">
        <v>9303</v>
      </c>
      <c r="AY1319" s="79" t="str">
        <f>HYPERLINK("https://twitter.com/chris27678863")</f>
        <v>https://twitter.com/chris27678863</v>
      </c>
      <c r="AZ1319" t="s">
        <v>66</v>
      </c>
      <c r="BA1319" s="2"/>
    </row>
    <row r="1320" spans="1:53" x14ac:dyDescent="0.45">
      <c r="A1320" s="62" t="s">
        <v>831</v>
      </c>
      <c r="B1320" s="63"/>
      <c r="C1320" s="63"/>
      <c r="D1320" s="64"/>
      <c r="E1320" s="66"/>
      <c r="F1320" s="98" t="str">
        <f>HYPERLINK("https://pbs.twimg.com/profile_images/1614044814449721344/MWA106MP_normal.jpg")</f>
        <v>https://pbs.twimg.com/profile_images/1614044814449721344/MWA106MP_normal.jpg</v>
      </c>
      <c r="G1320" s="63"/>
      <c r="H1320" s="67"/>
      <c r="I1320" s="68"/>
      <c r="J1320" s="68"/>
      <c r="K1320" s="67" t="s">
        <v>10224</v>
      </c>
      <c r="L1320" s="71"/>
      <c r="M1320" s="72"/>
      <c r="N1320" s="72"/>
      <c r="O1320" s="73"/>
      <c r="P1320" s="74"/>
      <c r="Q1320" s="74"/>
      <c r="R1320" s="81"/>
      <c r="S1320" s="81"/>
      <c r="T1320" s="81"/>
      <c r="U1320" s="81"/>
      <c r="V1320" s="48"/>
      <c r="W1320" s="48"/>
      <c r="X1320" s="48"/>
      <c r="Y1320" s="48"/>
      <c r="Z1320" s="47"/>
      <c r="AA1320" s="69"/>
      <c r="AB1320" s="69"/>
      <c r="AC1320" s="70"/>
      <c r="AD1320" t="s">
        <v>5908</v>
      </c>
      <c r="AE1320" s="78" t="s">
        <v>7125</v>
      </c>
      <c r="AF1320">
        <v>12</v>
      </c>
      <c r="AG1320">
        <v>1</v>
      </c>
      <c r="AH1320">
        <v>3</v>
      </c>
      <c r="AI1320">
        <v>6</v>
      </c>
      <c r="AK1320" t="s">
        <v>8291</v>
      </c>
      <c r="AO1320" s="76">
        <v>44939.978275462963</v>
      </c>
      <c r="AP1320" s="79" t="str">
        <f>HYPERLINK("https://pbs.twimg.com/profile_banners/1614041734228443138/1673653247")</f>
        <v>https://pbs.twimg.com/profile_banners/1614041734228443138/1673653247</v>
      </c>
      <c r="AQ1320" t="b">
        <v>1</v>
      </c>
      <c r="AR1320" t="b">
        <v>0</v>
      </c>
      <c r="AS1320" t="b">
        <v>0</v>
      </c>
      <c r="AU1320">
        <v>0</v>
      </c>
      <c r="AW1320" t="b">
        <v>0</v>
      </c>
      <c r="AX1320" t="s">
        <v>9303</v>
      </c>
      <c r="AY1320" s="79" t="str">
        <f>HYPERLINK("https://twitter.com/trwoodauthor")</f>
        <v>https://twitter.com/trwoodauthor</v>
      </c>
      <c r="AZ1320" t="s">
        <v>66</v>
      </c>
      <c r="BA1320" s="2"/>
    </row>
    <row r="1321" spans="1:53" x14ac:dyDescent="0.45">
      <c r="A1321" s="62" t="s">
        <v>910</v>
      </c>
      <c r="B1321" s="63"/>
      <c r="C1321" s="63"/>
      <c r="D1321" s="64"/>
      <c r="E1321" s="66"/>
      <c r="F1321" s="98" t="str">
        <f>HYPERLINK("https://pbs.twimg.com/profile_images/1578917223279874048/yGvB1EO7_normal.jpg")</f>
        <v>https://pbs.twimg.com/profile_images/1578917223279874048/yGvB1EO7_normal.jpg</v>
      </c>
      <c r="G1321" s="63"/>
      <c r="H1321" s="67"/>
      <c r="I1321" s="68"/>
      <c r="J1321" s="68"/>
      <c r="K1321" s="67" t="s">
        <v>10331</v>
      </c>
      <c r="L1321" s="71"/>
      <c r="M1321" s="72"/>
      <c r="N1321" s="72"/>
      <c r="O1321" s="73"/>
      <c r="P1321" s="74"/>
      <c r="Q1321" s="74"/>
      <c r="R1321" s="81"/>
      <c r="S1321" s="81"/>
      <c r="T1321" s="81"/>
      <c r="U1321" s="81"/>
      <c r="V1321" s="48"/>
      <c r="W1321" s="48"/>
      <c r="X1321" s="48"/>
      <c r="Y1321" s="48"/>
      <c r="Z1321" s="47"/>
      <c r="AA1321" s="69"/>
      <c r="AB1321" s="69"/>
      <c r="AC1321" s="70"/>
      <c r="AD1321" t="s">
        <v>6014</v>
      </c>
      <c r="AE1321" s="78" t="s">
        <v>7222</v>
      </c>
      <c r="AF1321">
        <v>49</v>
      </c>
      <c r="AG1321">
        <v>1</v>
      </c>
      <c r="AH1321">
        <v>80</v>
      </c>
      <c r="AI1321">
        <v>263</v>
      </c>
      <c r="AK1321" t="s">
        <v>8385</v>
      </c>
      <c r="AL1321" t="s">
        <v>9178</v>
      </c>
      <c r="AO1321" s="76">
        <v>44843.051168981481</v>
      </c>
      <c r="AP1321" s="79" t="str">
        <f>HYPERLINK("https://pbs.twimg.com/profile_banners/1578916523695013895/1665278578")</f>
        <v>https://pbs.twimg.com/profile_banners/1578916523695013895/1665278578</v>
      </c>
      <c r="AQ1321" t="b">
        <v>1</v>
      </c>
      <c r="AR1321" t="b">
        <v>0</v>
      </c>
      <c r="AS1321" t="b">
        <v>0</v>
      </c>
      <c r="AU1321">
        <v>0</v>
      </c>
      <c r="AW1321" t="b">
        <v>0</v>
      </c>
      <c r="AX1321" t="s">
        <v>9303</v>
      </c>
      <c r="AY1321" s="79" t="str">
        <f>HYPERLINK("https://twitter.com/haideriam5")</f>
        <v>https://twitter.com/haideriam5</v>
      </c>
      <c r="AZ1321" t="s">
        <v>66</v>
      </c>
      <c r="BA1321" s="2"/>
    </row>
    <row r="1322" spans="1:53" x14ac:dyDescent="0.45">
      <c r="A1322" s="62" t="s">
        <v>949</v>
      </c>
      <c r="B1322" s="63"/>
      <c r="C1322" s="63"/>
      <c r="D1322" s="64"/>
      <c r="E1322" s="66"/>
      <c r="F1322" s="98" t="str">
        <f>HYPERLINK("https://pbs.twimg.com/profile_images/1456714089103769612/v7Fput3W_normal.jpg")</f>
        <v>https://pbs.twimg.com/profile_images/1456714089103769612/v7Fput3W_normal.jpg</v>
      </c>
      <c r="G1322" s="63"/>
      <c r="H1322" s="67"/>
      <c r="I1322" s="68"/>
      <c r="J1322" s="68"/>
      <c r="K1322" s="67" t="s">
        <v>10395</v>
      </c>
      <c r="L1322" s="71"/>
      <c r="M1322" s="72"/>
      <c r="N1322" s="72"/>
      <c r="O1322" s="73"/>
      <c r="P1322" s="74"/>
      <c r="Q1322" s="74"/>
      <c r="R1322" s="81"/>
      <c r="S1322" s="81"/>
      <c r="T1322" s="81"/>
      <c r="U1322" s="81"/>
      <c r="V1322" s="48"/>
      <c r="W1322" s="48"/>
      <c r="X1322" s="48"/>
      <c r="Y1322" s="48"/>
      <c r="Z1322" s="47"/>
      <c r="AA1322" s="69"/>
      <c r="AB1322" s="69"/>
      <c r="AC1322" s="70"/>
      <c r="AD1322" t="s">
        <v>6077</v>
      </c>
      <c r="AE1322" s="78" t="s">
        <v>7278</v>
      </c>
      <c r="AF1322">
        <v>13</v>
      </c>
      <c r="AG1322">
        <v>1</v>
      </c>
      <c r="AH1322">
        <v>12</v>
      </c>
      <c r="AI1322">
        <v>66</v>
      </c>
      <c r="AO1322" s="76">
        <v>44505.836261574077</v>
      </c>
      <c r="AQ1322" t="b">
        <v>1</v>
      </c>
      <c r="AR1322" t="b">
        <v>0</v>
      </c>
      <c r="AS1322" t="b">
        <v>0</v>
      </c>
      <c r="AU1322">
        <v>0</v>
      </c>
      <c r="AW1322" t="b">
        <v>0</v>
      </c>
      <c r="AX1322" t="s">
        <v>9303</v>
      </c>
      <c r="AY1322" s="79" t="str">
        <f>HYPERLINK("https://twitter.com/justanother_ofc")</f>
        <v>https://twitter.com/justanother_ofc</v>
      </c>
      <c r="AZ1322" t="s">
        <v>66</v>
      </c>
      <c r="BA1322" s="2"/>
    </row>
    <row r="1323" spans="1:53" x14ac:dyDescent="0.45">
      <c r="A1323" s="62" t="s">
        <v>980</v>
      </c>
      <c r="B1323" s="63"/>
      <c r="C1323" s="63"/>
      <c r="D1323" s="64"/>
      <c r="E1323" s="66"/>
      <c r="F1323" s="98" t="str">
        <f>HYPERLINK("https://pbs.twimg.com/profile_images/1607599097548005378/HCWt7EZY_normal.jpg")</f>
        <v>https://pbs.twimg.com/profile_images/1607599097548005378/HCWt7EZY_normal.jpg</v>
      </c>
      <c r="G1323" s="63"/>
      <c r="H1323" s="67"/>
      <c r="I1323" s="68"/>
      <c r="J1323" s="68"/>
      <c r="K1323" s="67" t="s">
        <v>10443</v>
      </c>
      <c r="L1323" s="71"/>
      <c r="M1323" s="72"/>
      <c r="N1323" s="72"/>
      <c r="O1323" s="73"/>
      <c r="P1323" s="74"/>
      <c r="Q1323" s="74"/>
      <c r="R1323" s="81"/>
      <c r="S1323" s="81"/>
      <c r="T1323" s="81"/>
      <c r="U1323" s="81"/>
      <c r="V1323" s="48"/>
      <c r="W1323" s="48"/>
      <c r="X1323" s="48"/>
      <c r="Y1323" s="48"/>
      <c r="Z1323" s="47"/>
      <c r="AA1323" s="69"/>
      <c r="AB1323" s="69"/>
      <c r="AC1323" s="70"/>
      <c r="AD1323" t="s">
        <v>6124</v>
      </c>
      <c r="AE1323" s="78" t="s">
        <v>7318</v>
      </c>
      <c r="AF1323">
        <v>9</v>
      </c>
      <c r="AG1323">
        <v>1</v>
      </c>
      <c r="AH1323">
        <v>51</v>
      </c>
      <c r="AI1323">
        <v>0</v>
      </c>
      <c r="AO1323" s="76">
        <v>44922.199837962966</v>
      </c>
      <c r="AP1323" s="79" t="str">
        <f>HYPERLINK("https://pbs.twimg.com/profile_banners/1607598971505049602/1675318402")</f>
        <v>https://pbs.twimg.com/profile_banners/1607598971505049602/1675318402</v>
      </c>
      <c r="AQ1323" t="b">
        <v>1</v>
      </c>
      <c r="AR1323" t="b">
        <v>0</v>
      </c>
      <c r="AS1323" t="b">
        <v>0</v>
      </c>
      <c r="AU1323">
        <v>0</v>
      </c>
      <c r="AW1323" t="b">
        <v>0</v>
      </c>
      <c r="AX1323" t="s">
        <v>9303</v>
      </c>
      <c r="AY1323" s="79" t="str">
        <f>HYPERLINK("https://twitter.com/mikebarnica11")</f>
        <v>https://twitter.com/mikebarnica11</v>
      </c>
      <c r="AZ1323" t="s">
        <v>66</v>
      </c>
      <c r="BA1323" s="2"/>
    </row>
    <row r="1324" spans="1:53" x14ac:dyDescent="0.45">
      <c r="A1324" s="62" t="s">
        <v>1035</v>
      </c>
      <c r="B1324" s="63"/>
      <c r="C1324" s="63"/>
      <c r="D1324" s="64"/>
      <c r="E1324" s="66"/>
      <c r="F1324" s="98" t="str">
        <f>HYPERLINK("https://pbs.twimg.com/profile_images/1509076041763102722/ug_xALYc_normal.jpg")</f>
        <v>https://pbs.twimg.com/profile_images/1509076041763102722/ug_xALYc_normal.jpg</v>
      </c>
      <c r="G1324" s="63"/>
      <c r="H1324" s="67"/>
      <c r="I1324" s="68"/>
      <c r="J1324" s="68"/>
      <c r="K1324" s="67" t="s">
        <v>10536</v>
      </c>
      <c r="L1324" s="71"/>
      <c r="M1324" s="72"/>
      <c r="N1324" s="72"/>
      <c r="O1324" s="73"/>
      <c r="P1324" s="74"/>
      <c r="Q1324" s="74"/>
      <c r="R1324" s="81"/>
      <c r="S1324" s="81"/>
      <c r="T1324" s="81"/>
      <c r="U1324" s="81"/>
      <c r="V1324" s="48"/>
      <c r="W1324" s="48"/>
      <c r="X1324" s="48"/>
      <c r="Y1324" s="48"/>
      <c r="Z1324" s="47"/>
      <c r="AA1324" s="69"/>
      <c r="AB1324" s="69"/>
      <c r="AC1324" s="70"/>
      <c r="AD1324" t="s">
        <v>6214</v>
      </c>
      <c r="AE1324" s="78" t="s">
        <v>7394</v>
      </c>
      <c r="AF1324">
        <v>211</v>
      </c>
      <c r="AG1324">
        <v>1</v>
      </c>
      <c r="AH1324">
        <v>18</v>
      </c>
      <c r="AI1324">
        <v>1096</v>
      </c>
      <c r="AK1324" t="s">
        <v>6214</v>
      </c>
      <c r="AO1324" s="76">
        <v>44650.327002314814</v>
      </c>
      <c r="AQ1324" t="b">
        <v>1</v>
      </c>
      <c r="AR1324" t="b">
        <v>0</v>
      </c>
      <c r="AS1324" t="b">
        <v>0</v>
      </c>
      <c r="AU1324">
        <v>0</v>
      </c>
      <c r="AW1324" t="b">
        <v>0</v>
      </c>
      <c r="AX1324" t="s">
        <v>9303</v>
      </c>
      <c r="AY1324" s="79" t="str">
        <f>HYPERLINK("https://twitter.com/ihateyou677")</f>
        <v>https://twitter.com/ihateyou677</v>
      </c>
      <c r="AZ1324" t="s">
        <v>66</v>
      </c>
      <c r="BA1324" s="2"/>
    </row>
    <row r="1325" spans="1:53" x14ac:dyDescent="0.45">
      <c r="A1325" s="62" t="s">
        <v>1103</v>
      </c>
      <c r="B1325" s="63"/>
      <c r="C1325" s="63"/>
      <c r="D1325" s="64"/>
      <c r="E1325" s="66"/>
      <c r="F1325" s="98" t="str">
        <f>HYPERLINK("https://abs.twimg.com/sticky/default_profile_images/default_profile_normal.png")</f>
        <v>https://abs.twimg.com/sticky/default_profile_images/default_profile_normal.png</v>
      </c>
      <c r="G1325" s="63"/>
      <c r="H1325" s="67"/>
      <c r="I1325" s="68"/>
      <c r="J1325" s="68"/>
      <c r="K1325" s="67" t="s">
        <v>10651</v>
      </c>
      <c r="L1325" s="71"/>
      <c r="M1325" s="72"/>
      <c r="N1325" s="72"/>
      <c r="O1325" s="73"/>
      <c r="P1325" s="74"/>
      <c r="Q1325" s="74"/>
      <c r="R1325" s="81"/>
      <c r="S1325" s="81"/>
      <c r="T1325" s="81"/>
      <c r="U1325" s="81"/>
      <c r="V1325" s="48"/>
      <c r="W1325" s="48"/>
      <c r="X1325" s="48"/>
      <c r="Y1325" s="48"/>
      <c r="Z1325" s="47"/>
      <c r="AA1325" s="69"/>
      <c r="AB1325" s="69"/>
      <c r="AC1325" s="70"/>
      <c r="AD1325" t="s">
        <v>6326</v>
      </c>
      <c r="AE1325" s="78" t="s">
        <v>7487</v>
      </c>
      <c r="AF1325">
        <v>9</v>
      </c>
      <c r="AG1325">
        <v>1</v>
      </c>
      <c r="AH1325">
        <v>507</v>
      </c>
      <c r="AI1325">
        <v>410</v>
      </c>
      <c r="AO1325" s="76">
        <v>44866.457361111112</v>
      </c>
      <c r="AQ1325" t="b">
        <v>1</v>
      </c>
      <c r="AR1325" t="b">
        <v>1</v>
      </c>
      <c r="AS1325" t="b">
        <v>1</v>
      </c>
      <c r="AU1325">
        <v>0</v>
      </c>
      <c r="AW1325" t="b">
        <v>0</v>
      </c>
      <c r="AX1325" t="s">
        <v>9303</v>
      </c>
      <c r="AY1325" s="79" t="str">
        <f>HYPERLINK("https://twitter.com/nancykirkbride3")</f>
        <v>https://twitter.com/nancykirkbride3</v>
      </c>
      <c r="AZ1325" t="s">
        <v>66</v>
      </c>
      <c r="BA1325" s="2"/>
    </row>
    <row r="1326" spans="1:53" x14ac:dyDescent="0.45">
      <c r="A1326" s="62" t="s">
        <v>241</v>
      </c>
      <c r="B1326" s="63"/>
      <c r="C1326" s="63"/>
      <c r="D1326" s="64"/>
      <c r="E1326" s="66"/>
      <c r="F1326" s="98" t="str">
        <f>HYPERLINK("https://pbs.twimg.com/profile_images/1620708953964351488/6B5Lt9FO_normal.png")</f>
        <v>https://pbs.twimg.com/profile_images/1620708953964351488/6B5Lt9FO_normal.png</v>
      </c>
      <c r="G1326" s="63"/>
      <c r="H1326" s="67"/>
      <c r="I1326" s="68"/>
      <c r="J1326" s="68"/>
      <c r="K1326" s="67" t="s">
        <v>9378</v>
      </c>
      <c r="L1326" s="71"/>
      <c r="M1326" s="72"/>
      <c r="N1326" s="72"/>
      <c r="O1326" s="73"/>
      <c r="P1326" s="74"/>
      <c r="Q1326" s="74"/>
      <c r="R1326" s="81"/>
      <c r="S1326" s="81"/>
      <c r="T1326" s="81"/>
      <c r="U1326" s="81"/>
      <c r="V1326" s="48"/>
      <c r="W1326" s="48"/>
      <c r="X1326" s="48"/>
      <c r="Y1326" s="48"/>
      <c r="Z1326" s="47"/>
      <c r="AA1326" s="69"/>
      <c r="AB1326" s="69"/>
      <c r="AC1326" s="70"/>
      <c r="AD1326" t="s">
        <v>5074</v>
      </c>
      <c r="AE1326" s="78" t="s">
        <v>6387</v>
      </c>
      <c r="AF1326">
        <v>1</v>
      </c>
      <c r="AG1326">
        <v>0</v>
      </c>
      <c r="AH1326">
        <v>31</v>
      </c>
      <c r="AI1326">
        <v>0</v>
      </c>
      <c r="AK1326" t="s">
        <v>7560</v>
      </c>
      <c r="AO1326" s="76">
        <v>41857.800925925927</v>
      </c>
      <c r="AP1326" s="79" t="str">
        <f>HYPERLINK("https://pbs.twimg.com/profile_banners/2712760040/1675242104")</f>
        <v>https://pbs.twimg.com/profile_banners/2712760040/1675242104</v>
      </c>
      <c r="AQ1326" t="b">
        <v>1</v>
      </c>
      <c r="AR1326" t="b">
        <v>0</v>
      </c>
      <c r="AS1326" t="b">
        <v>0</v>
      </c>
      <c r="AU1326">
        <v>0</v>
      </c>
      <c r="AV1326" s="79" t="str">
        <f>HYPERLINK("https://abs.twimg.com/images/themes/theme1/bg.png")</f>
        <v>https://abs.twimg.com/images/themes/theme1/bg.png</v>
      </c>
      <c r="AW1326" t="b">
        <v>0</v>
      </c>
      <c r="AX1326" t="s">
        <v>9303</v>
      </c>
      <c r="AY1326" s="79" t="str">
        <f>HYPERLINK("https://twitter.com/bobbik8")</f>
        <v>https://twitter.com/bobbik8</v>
      </c>
      <c r="AZ1326" t="s">
        <v>66</v>
      </c>
      <c r="BA1326" s="2"/>
    </row>
    <row r="1327" spans="1:53" x14ac:dyDescent="0.45">
      <c r="A1327" s="62" t="s">
        <v>251</v>
      </c>
      <c r="B1327" s="63"/>
      <c r="C1327" s="63"/>
      <c r="D1327" s="64"/>
      <c r="E1327" s="66"/>
      <c r="F1327" s="98" t="str">
        <f>HYPERLINK("https://pbs.twimg.com/profile_images/1301428097858764801/SpW8rbvw_normal.jpg")</f>
        <v>https://pbs.twimg.com/profile_images/1301428097858764801/SpW8rbvw_normal.jpg</v>
      </c>
      <c r="G1327" s="63"/>
      <c r="H1327" s="67"/>
      <c r="I1327" s="68"/>
      <c r="J1327" s="68"/>
      <c r="K1327" s="67" t="s">
        <v>9391</v>
      </c>
      <c r="L1327" s="71"/>
      <c r="M1327" s="72"/>
      <c r="N1327" s="72"/>
      <c r="O1327" s="73"/>
      <c r="P1327" s="74"/>
      <c r="Q1327" s="74"/>
      <c r="R1327" s="81"/>
      <c r="S1327" s="81"/>
      <c r="T1327" s="81"/>
      <c r="U1327" s="81"/>
      <c r="V1327" s="48"/>
      <c r="W1327" s="48"/>
      <c r="X1327" s="48"/>
      <c r="Y1327" s="48"/>
      <c r="Z1327" s="47"/>
      <c r="AA1327" s="69"/>
      <c r="AB1327" s="69"/>
      <c r="AC1327" s="70"/>
      <c r="AD1327" t="s">
        <v>5086</v>
      </c>
      <c r="AE1327" s="78" t="s">
        <v>6397</v>
      </c>
      <c r="AF1327">
        <v>0</v>
      </c>
      <c r="AG1327">
        <v>0</v>
      </c>
      <c r="AH1327">
        <v>6</v>
      </c>
      <c r="AI1327">
        <v>2</v>
      </c>
      <c r="AK1327" t="s">
        <v>7570</v>
      </c>
      <c r="AO1327" s="76">
        <v>44077.326041666667</v>
      </c>
      <c r="AQ1327" t="b">
        <v>1</v>
      </c>
      <c r="AR1327" t="b">
        <v>0</v>
      </c>
      <c r="AS1327" t="b">
        <v>1</v>
      </c>
      <c r="AU1327">
        <v>0</v>
      </c>
      <c r="AW1327" t="b">
        <v>0</v>
      </c>
      <c r="AX1327" t="s">
        <v>9303</v>
      </c>
      <c r="AY1327" s="79" t="str">
        <f>HYPERLINK("https://twitter.com/sourabh78722891")</f>
        <v>https://twitter.com/sourabh78722891</v>
      </c>
      <c r="AZ1327" t="s">
        <v>66</v>
      </c>
      <c r="BA1327" s="2"/>
    </row>
    <row r="1328" spans="1:53" x14ac:dyDescent="0.45">
      <c r="A1328" s="62" t="s">
        <v>269</v>
      </c>
      <c r="B1328" s="63"/>
      <c r="C1328" s="63"/>
      <c r="D1328" s="64"/>
      <c r="E1328" s="66"/>
      <c r="F1328" s="98" t="str">
        <f>HYPERLINK("https://pbs.twimg.com/profile_images/1562988775176900608/0PQucb2x_normal.jpg")</f>
        <v>https://pbs.twimg.com/profile_images/1562988775176900608/0PQucb2x_normal.jpg</v>
      </c>
      <c r="G1328" s="63"/>
      <c r="H1328" s="67"/>
      <c r="I1328" s="68"/>
      <c r="J1328" s="68"/>
      <c r="K1328" s="67" t="s">
        <v>9413</v>
      </c>
      <c r="L1328" s="71"/>
      <c r="M1328" s="72"/>
      <c r="N1328" s="72"/>
      <c r="O1328" s="73"/>
      <c r="P1328" s="74"/>
      <c r="Q1328" s="74"/>
      <c r="R1328" s="81"/>
      <c r="S1328" s="81"/>
      <c r="T1328" s="81"/>
      <c r="U1328" s="81"/>
      <c r="V1328" s="48"/>
      <c r="W1328" s="48"/>
      <c r="X1328" s="48"/>
      <c r="Y1328" s="48"/>
      <c r="Z1328" s="47"/>
      <c r="AA1328" s="69"/>
      <c r="AB1328" s="69"/>
      <c r="AC1328" s="70"/>
      <c r="AD1328" t="s">
        <v>5107</v>
      </c>
      <c r="AE1328" s="78" t="s">
        <v>6416</v>
      </c>
      <c r="AF1328">
        <v>14</v>
      </c>
      <c r="AG1328">
        <v>0</v>
      </c>
      <c r="AH1328">
        <v>7</v>
      </c>
      <c r="AI1328">
        <v>5</v>
      </c>
      <c r="AO1328" s="76">
        <v>44058.556562500002</v>
      </c>
      <c r="AQ1328" t="b">
        <v>1</v>
      </c>
      <c r="AR1328" t="b">
        <v>0</v>
      </c>
      <c r="AS1328" t="b">
        <v>0</v>
      </c>
      <c r="AU1328">
        <v>0</v>
      </c>
      <c r="AW1328" t="b">
        <v>0</v>
      </c>
      <c r="AX1328" t="s">
        <v>9303</v>
      </c>
      <c r="AY1328" s="79" t="str">
        <f>HYPERLINK("https://twitter.com/andy_bowling_")</f>
        <v>https://twitter.com/andy_bowling_</v>
      </c>
      <c r="AZ1328" t="s">
        <v>66</v>
      </c>
      <c r="BA1328" s="2"/>
    </row>
    <row r="1329" spans="1:53" x14ac:dyDescent="0.45">
      <c r="A1329" s="62" t="s">
        <v>281</v>
      </c>
      <c r="B1329" s="63"/>
      <c r="C1329" s="63"/>
      <c r="D1329" s="64"/>
      <c r="E1329" s="66"/>
      <c r="F1329" s="98" t="str">
        <f>HYPERLINK("https://abs.twimg.com/sticky/default_profile_images/default_profile_normal.png")</f>
        <v>https://abs.twimg.com/sticky/default_profile_images/default_profile_normal.png</v>
      </c>
      <c r="G1329" s="63"/>
      <c r="H1329" s="67"/>
      <c r="I1329" s="68"/>
      <c r="J1329" s="68"/>
      <c r="K1329" s="67" t="s">
        <v>9436</v>
      </c>
      <c r="L1329" s="71"/>
      <c r="M1329" s="72"/>
      <c r="N1329" s="72"/>
      <c r="O1329" s="73"/>
      <c r="P1329" s="74"/>
      <c r="Q1329" s="74"/>
      <c r="R1329" s="81"/>
      <c r="S1329" s="81"/>
      <c r="T1329" s="81"/>
      <c r="U1329" s="81"/>
      <c r="V1329" s="48"/>
      <c r="W1329" s="48"/>
      <c r="X1329" s="48"/>
      <c r="Y1329" s="48"/>
      <c r="Z1329" s="47"/>
      <c r="AA1329" s="69"/>
      <c r="AB1329" s="69"/>
      <c r="AC1329" s="70"/>
      <c r="AD1329" t="s">
        <v>5130</v>
      </c>
      <c r="AE1329" s="78" t="s">
        <v>6436</v>
      </c>
      <c r="AF1329">
        <v>165</v>
      </c>
      <c r="AG1329">
        <v>0</v>
      </c>
      <c r="AH1329">
        <v>52</v>
      </c>
      <c r="AI1329">
        <v>6</v>
      </c>
      <c r="AO1329" s="76">
        <v>44946.111145833333</v>
      </c>
      <c r="AQ1329" t="b">
        <v>1</v>
      </c>
      <c r="AR1329" t="b">
        <v>1</v>
      </c>
      <c r="AS1329" t="b">
        <v>1</v>
      </c>
      <c r="AU1329">
        <v>0</v>
      </c>
      <c r="AW1329" t="b">
        <v>0</v>
      </c>
      <c r="AX1329" t="s">
        <v>9303</v>
      </c>
      <c r="AY1329" s="79" t="str">
        <f>HYPERLINK("https://twitter.com/ritchie92174681")</f>
        <v>https://twitter.com/ritchie92174681</v>
      </c>
      <c r="AZ1329" t="s">
        <v>66</v>
      </c>
      <c r="BA1329" s="2"/>
    </row>
    <row r="1330" spans="1:53" x14ac:dyDescent="0.45">
      <c r="A1330" s="62" t="s">
        <v>306</v>
      </c>
      <c r="B1330" s="63"/>
      <c r="C1330" s="63"/>
      <c r="D1330" s="64"/>
      <c r="E1330" s="66"/>
      <c r="F1330" s="98" t="str">
        <f>HYPERLINK("https://abs.twimg.com/sticky/default_profile_images/default_profile_normal.png")</f>
        <v>https://abs.twimg.com/sticky/default_profile_images/default_profile_normal.png</v>
      </c>
      <c r="G1330" s="63"/>
      <c r="H1330" s="67"/>
      <c r="I1330" s="68"/>
      <c r="J1330" s="68"/>
      <c r="K1330" s="67" t="s">
        <v>9497</v>
      </c>
      <c r="L1330" s="71"/>
      <c r="M1330" s="72"/>
      <c r="N1330" s="72"/>
      <c r="O1330" s="73"/>
      <c r="P1330" s="74"/>
      <c r="Q1330" s="74"/>
      <c r="R1330" s="81"/>
      <c r="S1330" s="81"/>
      <c r="T1330" s="81"/>
      <c r="U1330" s="81"/>
      <c r="V1330" s="48"/>
      <c r="W1330" s="48"/>
      <c r="X1330" s="48"/>
      <c r="Y1330" s="48"/>
      <c r="Z1330" s="47"/>
      <c r="AA1330" s="69"/>
      <c r="AB1330" s="69"/>
      <c r="AC1330" s="70"/>
      <c r="AD1330" t="s">
        <v>5191</v>
      </c>
      <c r="AE1330" s="78" t="s">
        <v>6485</v>
      </c>
      <c r="AF1330">
        <v>0</v>
      </c>
      <c r="AG1330">
        <v>0</v>
      </c>
      <c r="AH1330">
        <v>13</v>
      </c>
      <c r="AI1330">
        <v>3</v>
      </c>
      <c r="AO1330" s="76">
        <v>44948.183645833335</v>
      </c>
      <c r="AQ1330" t="b">
        <v>1</v>
      </c>
      <c r="AR1330" t="b">
        <v>1</v>
      </c>
      <c r="AS1330" t="b">
        <v>1</v>
      </c>
      <c r="AU1330">
        <v>0</v>
      </c>
      <c r="AW1330" t="b">
        <v>0</v>
      </c>
      <c r="AX1330" t="s">
        <v>9303</v>
      </c>
      <c r="AY1330" s="79" t="str">
        <f>HYPERLINK("https://twitter.com/abdulwa09722526")</f>
        <v>https://twitter.com/abdulwa09722526</v>
      </c>
      <c r="AZ1330" t="s">
        <v>66</v>
      </c>
      <c r="BA1330" s="2"/>
    </row>
    <row r="1331" spans="1:53" x14ac:dyDescent="0.45">
      <c r="A1331" s="62" t="s">
        <v>314</v>
      </c>
      <c r="B1331" s="63"/>
      <c r="C1331" s="63"/>
      <c r="D1331" s="64"/>
      <c r="E1331" s="66"/>
      <c r="F1331" s="98" t="str">
        <f>HYPERLINK("https://pbs.twimg.com/profile_images/1620794172952174592/LbQqNruE_normal.png")</f>
        <v>https://pbs.twimg.com/profile_images/1620794172952174592/LbQqNruE_normal.png</v>
      </c>
      <c r="G1331" s="63"/>
      <c r="H1331" s="67"/>
      <c r="I1331" s="68"/>
      <c r="J1331" s="68"/>
      <c r="K1331" s="67" t="s">
        <v>9511</v>
      </c>
      <c r="L1331" s="71"/>
      <c r="M1331" s="72"/>
      <c r="N1331" s="72"/>
      <c r="O1331" s="73"/>
      <c r="P1331" s="74"/>
      <c r="Q1331" s="74"/>
      <c r="R1331" s="81"/>
      <c r="S1331" s="81"/>
      <c r="T1331" s="81"/>
      <c r="U1331" s="81"/>
      <c r="V1331" s="48"/>
      <c r="W1331" s="48"/>
      <c r="X1331" s="48"/>
      <c r="Y1331" s="48"/>
      <c r="Z1331" s="47"/>
      <c r="AA1331" s="69"/>
      <c r="AB1331" s="69"/>
      <c r="AC1331" s="70"/>
      <c r="AD1331" t="s">
        <v>5205</v>
      </c>
      <c r="AE1331" s="78" t="s">
        <v>6496</v>
      </c>
      <c r="AF1331">
        <v>0</v>
      </c>
      <c r="AG1331">
        <v>0</v>
      </c>
      <c r="AH1331">
        <v>31</v>
      </c>
      <c r="AI1331">
        <v>0</v>
      </c>
      <c r="AK1331" t="s">
        <v>7675</v>
      </c>
      <c r="AO1331" s="76">
        <v>41712.773425925923</v>
      </c>
      <c r="AP1331" s="79" t="str">
        <f>HYPERLINK("https://pbs.twimg.com/profile_banners/2389632276/1675262423")</f>
        <v>https://pbs.twimg.com/profile_banners/2389632276/1675262423</v>
      </c>
      <c r="AQ1331" t="b">
        <v>1</v>
      </c>
      <c r="AR1331" t="b">
        <v>0</v>
      </c>
      <c r="AS1331" t="b">
        <v>0</v>
      </c>
      <c r="AU1331">
        <v>0</v>
      </c>
      <c r="AV1331" s="79" t="str">
        <f t="shared" ref="AV1331:AV1336" si="11">HYPERLINK("https://abs.twimg.com/images/themes/theme1/bg.png")</f>
        <v>https://abs.twimg.com/images/themes/theme1/bg.png</v>
      </c>
      <c r="AW1331" t="b">
        <v>0</v>
      </c>
      <c r="AX1331" t="s">
        <v>9303</v>
      </c>
      <c r="AY1331" s="79" t="str">
        <f>HYPERLINK("https://twitter.com/beastie904")</f>
        <v>https://twitter.com/beastie904</v>
      </c>
      <c r="AZ1331" t="s">
        <v>66</v>
      </c>
      <c r="BA1331" s="2"/>
    </row>
    <row r="1332" spans="1:53" x14ac:dyDescent="0.45">
      <c r="A1332" s="62" t="s">
        <v>341</v>
      </c>
      <c r="B1332" s="63"/>
      <c r="C1332" s="63"/>
      <c r="D1332" s="64"/>
      <c r="E1332" s="66"/>
      <c r="F1332" s="98" t="str">
        <f>HYPERLINK("https://pbs.twimg.com/profile_images/1620810348960907265/Q6HM5P6c_normal.png")</f>
        <v>https://pbs.twimg.com/profile_images/1620810348960907265/Q6HM5P6c_normal.png</v>
      </c>
      <c r="G1332" s="63"/>
      <c r="H1332" s="67"/>
      <c r="I1332" s="68"/>
      <c r="J1332" s="68"/>
      <c r="K1332" s="67" t="s">
        <v>9563</v>
      </c>
      <c r="L1332" s="71"/>
      <c r="M1332" s="72"/>
      <c r="N1332" s="72"/>
      <c r="O1332" s="73"/>
      <c r="P1332" s="74"/>
      <c r="Q1332" s="74"/>
      <c r="R1332" s="81"/>
      <c r="S1332" s="81"/>
      <c r="T1332" s="81"/>
      <c r="U1332" s="81"/>
      <c r="V1332" s="48"/>
      <c r="W1332" s="48"/>
      <c r="X1332" s="48"/>
      <c r="Y1332" s="48"/>
      <c r="Z1332" s="47"/>
      <c r="AA1332" s="69"/>
      <c r="AB1332" s="69"/>
      <c r="AC1332" s="70"/>
      <c r="AD1332" t="s">
        <v>5256</v>
      </c>
      <c r="AE1332" s="78" t="s">
        <v>6536</v>
      </c>
      <c r="AF1332">
        <v>2</v>
      </c>
      <c r="AG1332">
        <v>0</v>
      </c>
      <c r="AH1332">
        <v>31</v>
      </c>
      <c r="AI1332">
        <v>6</v>
      </c>
      <c r="AK1332" t="s">
        <v>7720</v>
      </c>
      <c r="AO1332" s="76">
        <v>41714.566469907404</v>
      </c>
      <c r="AP1332" s="79" t="str">
        <f>HYPERLINK("https://pbs.twimg.com/profile_banners/2392726458/1675266283")</f>
        <v>https://pbs.twimg.com/profile_banners/2392726458/1675266283</v>
      </c>
      <c r="AQ1332" t="b">
        <v>1</v>
      </c>
      <c r="AR1332" t="b">
        <v>0</v>
      </c>
      <c r="AS1332" t="b">
        <v>0</v>
      </c>
      <c r="AU1332">
        <v>0</v>
      </c>
      <c r="AV1332" s="79" t="str">
        <f t="shared" si="11"/>
        <v>https://abs.twimg.com/images/themes/theme1/bg.png</v>
      </c>
      <c r="AW1332" t="b">
        <v>0</v>
      </c>
      <c r="AX1332" t="s">
        <v>9303</v>
      </c>
      <c r="AY1332" s="79" t="str">
        <f>HYPERLINK("https://twitter.com/sayupy1003")</f>
        <v>https://twitter.com/sayupy1003</v>
      </c>
      <c r="AZ1332" t="s">
        <v>66</v>
      </c>
      <c r="BA1332" s="2"/>
    </row>
    <row r="1333" spans="1:53" x14ac:dyDescent="0.45">
      <c r="A1333" s="62" t="s">
        <v>391</v>
      </c>
      <c r="B1333" s="63"/>
      <c r="C1333" s="63"/>
      <c r="D1333" s="64"/>
      <c r="E1333" s="66"/>
      <c r="F1333" s="98" t="str">
        <f>HYPERLINK("https://pbs.twimg.com/profile_images/1620825841885216769/-4VVKkv-_normal.png")</f>
        <v>https://pbs.twimg.com/profile_images/1620825841885216769/-4VVKkv-_normal.png</v>
      </c>
      <c r="G1333" s="63"/>
      <c r="H1333" s="67"/>
      <c r="I1333" s="68"/>
      <c r="J1333" s="68"/>
      <c r="K1333" s="67" t="s">
        <v>9639</v>
      </c>
      <c r="L1333" s="71"/>
      <c r="M1333" s="72"/>
      <c r="N1333" s="72"/>
      <c r="O1333" s="73"/>
      <c r="P1333" s="74"/>
      <c r="Q1333" s="74"/>
      <c r="R1333" s="81"/>
      <c r="S1333" s="81"/>
      <c r="T1333" s="81"/>
      <c r="U1333" s="81"/>
      <c r="V1333" s="48"/>
      <c r="W1333" s="48"/>
      <c r="X1333" s="48"/>
      <c r="Y1333" s="48"/>
      <c r="Z1333" s="47"/>
      <c r="AA1333" s="69"/>
      <c r="AB1333" s="69"/>
      <c r="AC1333" s="70"/>
      <c r="AD1333" t="s">
        <v>5332</v>
      </c>
      <c r="AE1333" s="78" t="s">
        <v>6607</v>
      </c>
      <c r="AF1333">
        <v>2</v>
      </c>
      <c r="AG1333">
        <v>0</v>
      </c>
      <c r="AH1333">
        <v>30</v>
      </c>
      <c r="AI1333">
        <v>0</v>
      </c>
      <c r="AK1333" t="s">
        <v>7784</v>
      </c>
      <c r="AO1333" s="76">
        <v>42110.389490740738</v>
      </c>
      <c r="AP1333" s="79" t="str">
        <f>HYPERLINK("https://pbs.twimg.com/profile_banners/3159409495/1675269973")</f>
        <v>https://pbs.twimg.com/profile_banners/3159409495/1675269973</v>
      </c>
      <c r="AQ1333" t="b">
        <v>1</v>
      </c>
      <c r="AR1333" t="b">
        <v>0</v>
      </c>
      <c r="AS1333" t="b">
        <v>0</v>
      </c>
      <c r="AU1333">
        <v>0</v>
      </c>
      <c r="AV1333" s="79" t="str">
        <f t="shared" si="11"/>
        <v>https://abs.twimg.com/images/themes/theme1/bg.png</v>
      </c>
      <c r="AW1333" t="b">
        <v>0</v>
      </c>
      <c r="AX1333" t="s">
        <v>9303</v>
      </c>
      <c r="AY1333" s="79" t="str">
        <f>HYPERLINK("https://twitter.com/azapretty9")</f>
        <v>https://twitter.com/azapretty9</v>
      </c>
      <c r="AZ1333" t="s">
        <v>66</v>
      </c>
      <c r="BA1333" s="2"/>
    </row>
    <row r="1334" spans="1:53" x14ac:dyDescent="0.45">
      <c r="A1334" s="62" t="s">
        <v>449</v>
      </c>
      <c r="B1334" s="63"/>
      <c r="C1334" s="63"/>
      <c r="D1334" s="64"/>
      <c r="E1334" s="66"/>
      <c r="F1334" s="98" t="str">
        <f>HYPERLINK("https://pbs.twimg.com/profile_images/1381275385346859009/2evBGgHK_normal.jpg")</f>
        <v>https://pbs.twimg.com/profile_images/1381275385346859009/2evBGgHK_normal.jpg</v>
      </c>
      <c r="G1334" s="63"/>
      <c r="H1334" s="67"/>
      <c r="I1334" s="68"/>
      <c r="J1334" s="68"/>
      <c r="K1334" s="67" t="s">
        <v>9715</v>
      </c>
      <c r="L1334" s="71"/>
      <c r="M1334" s="72"/>
      <c r="N1334" s="72"/>
      <c r="O1334" s="73"/>
      <c r="P1334" s="74"/>
      <c r="Q1334" s="74"/>
      <c r="R1334" s="81"/>
      <c r="S1334" s="81"/>
      <c r="T1334" s="81"/>
      <c r="U1334" s="81"/>
      <c r="V1334" s="48"/>
      <c r="W1334" s="48"/>
      <c r="X1334" s="48"/>
      <c r="Y1334" s="48"/>
      <c r="Z1334" s="47"/>
      <c r="AA1334" s="69"/>
      <c r="AB1334" s="69"/>
      <c r="AC1334" s="70"/>
      <c r="AD1334" t="s">
        <v>5407</v>
      </c>
      <c r="AE1334" s="78" t="s">
        <v>6679</v>
      </c>
      <c r="AF1334">
        <v>143</v>
      </c>
      <c r="AG1334">
        <v>0</v>
      </c>
      <c r="AH1334">
        <v>1288</v>
      </c>
      <c r="AI1334">
        <v>3938</v>
      </c>
      <c r="AK1334" t="s">
        <v>7847</v>
      </c>
      <c r="AO1334" s="76">
        <v>41432.210960648146</v>
      </c>
      <c r="AP1334" s="79" t="str">
        <f>HYPERLINK("https://pbs.twimg.com/profile_banners/1489546598/1588177796")</f>
        <v>https://pbs.twimg.com/profile_banners/1489546598/1588177796</v>
      </c>
      <c r="AQ1334" t="b">
        <v>1</v>
      </c>
      <c r="AR1334" t="b">
        <v>0</v>
      </c>
      <c r="AS1334" t="b">
        <v>0</v>
      </c>
      <c r="AU1334">
        <v>0</v>
      </c>
      <c r="AV1334" s="79" t="str">
        <f t="shared" si="11"/>
        <v>https://abs.twimg.com/images/themes/theme1/bg.png</v>
      </c>
      <c r="AW1334" t="b">
        <v>0</v>
      </c>
      <c r="AX1334" t="s">
        <v>9303</v>
      </c>
      <c r="AY1334" s="79" t="str">
        <f>HYPERLINK("https://twitter.com/queenilamay")</f>
        <v>https://twitter.com/queenilamay</v>
      </c>
      <c r="AZ1334" t="s">
        <v>66</v>
      </c>
      <c r="BA1334" s="2"/>
    </row>
    <row r="1335" spans="1:53" x14ac:dyDescent="0.45">
      <c r="A1335" s="62" t="s">
        <v>452</v>
      </c>
      <c r="B1335" s="63"/>
      <c r="C1335" s="63"/>
      <c r="D1335" s="64"/>
      <c r="E1335" s="66"/>
      <c r="F1335" s="98" t="str">
        <f>HYPERLINK("https://pbs.twimg.com/profile_images/1620835931820527616/T3BV-FMP_normal.png")</f>
        <v>https://pbs.twimg.com/profile_images/1620835931820527616/T3BV-FMP_normal.png</v>
      </c>
      <c r="G1335" s="63"/>
      <c r="H1335" s="67"/>
      <c r="I1335" s="68"/>
      <c r="J1335" s="68"/>
      <c r="K1335" s="67" t="s">
        <v>9718</v>
      </c>
      <c r="L1335" s="71"/>
      <c r="M1335" s="72"/>
      <c r="N1335" s="72"/>
      <c r="O1335" s="73"/>
      <c r="P1335" s="74"/>
      <c r="Q1335" s="74"/>
      <c r="R1335" s="81"/>
      <c r="S1335" s="81"/>
      <c r="T1335" s="81"/>
      <c r="U1335" s="81"/>
      <c r="V1335" s="48"/>
      <c r="W1335" s="48"/>
      <c r="X1335" s="48"/>
      <c r="Y1335" s="48"/>
      <c r="Z1335" s="47"/>
      <c r="AA1335" s="69"/>
      <c r="AB1335" s="69"/>
      <c r="AC1335" s="70"/>
      <c r="AD1335" t="s">
        <v>5410</v>
      </c>
      <c r="AE1335" s="78" t="s">
        <v>6682</v>
      </c>
      <c r="AF1335">
        <v>2</v>
      </c>
      <c r="AG1335">
        <v>0</v>
      </c>
      <c r="AH1335">
        <v>31</v>
      </c>
      <c r="AI1335">
        <v>0</v>
      </c>
      <c r="AK1335" t="s">
        <v>7850</v>
      </c>
      <c r="AO1335" s="76">
        <v>42258.288240740738</v>
      </c>
      <c r="AP1335" s="79" t="str">
        <f>HYPERLINK("https://pbs.twimg.com/profile_banners/3524057239/1675272387")</f>
        <v>https://pbs.twimg.com/profile_banners/3524057239/1675272387</v>
      </c>
      <c r="AQ1335" t="b">
        <v>1</v>
      </c>
      <c r="AR1335" t="b">
        <v>0</v>
      </c>
      <c r="AS1335" t="b">
        <v>0</v>
      </c>
      <c r="AU1335">
        <v>0</v>
      </c>
      <c r="AV1335" s="79" t="str">
        <f t="shared" si="11"/>
        <v>https://abs.twimg.com/images/themes/theme1/bg.png</v>
      </c>
      <c r="AW1335" t="b">
        <v>0</v>
      </c>
      <c r="AX1335" t="s">
        <v>9303</v>
      </c>
      <c r="AY1335" s="79" t="str">
        <f>HYPERLINK("https://twitter.com/azril_nabila4")</f>
        <v>https://twitter.com/azril_nabila4</v>
      </c>
      <c r="AZ1335" t="s">
        <v>66</v>
      </c>
      <c r="BA1335" s="2"/>
    </row>
    <row r="1336" spans="1:53" x14ac:dyDescent="0.45">
      <c r="A1336" s="62" t="s">
        <v>536</v>
      </c>
      <c r="B1336" s="63"/>
      <c r="C1336" s="63"/>
      <c r="D1336" s="64"/>
      <c r="E1336" s="66"/>
      <c r="F1336" s="98" t="str">
        <f>HYPERLINK("https://pbs.twimg.com/profile_images/1620858594978562051/nV7vEsnh_normal.png")</f>
        <v>https://pbs.twimg.com/profile_images/1620858594978562051/nV7vEsnh_normal.png</v>
      </c>
      <c r="G1336" s="63"/>
      <c r="H1336" s="67"/>
      <c r="I1336" s="68"/>
      <c r="J1336" s="68"/>
      <c r="K1336" s="67" t="s">
        <v>9829</v>
      </c>
      <c r="L1336" s="71"/>
      <c r="M1336" s="72"/>
      <c r="N1336" s="72"/>
      <c r="O1336" s="73"/>
      <c r="P1336" s="74"/>
      <c r="Q1336" s="74"/>
      <c r="R1336" s="81"/>
      <c r="S1336" s="81"/>
      <c r="T1336" s="81"/>
      <c r="U1336" s="81"/>
      <c r="V1336" s="48"/>
      <c r="W1336" s="48"/>
      <c r="X1336" s="48"/>
      <c r="Y1336" s="48"/>
      <c r="Z1336" s="47"/>
      <c r="AA1336" s="69"/>
      <c r="AB1336" s="69"/>
      <c r="AC1336" s="70"/>
      <c r="AD1336" t="s">
        <v>5520</v>
      </c>
      <c r="AE1336" s="78" t="s">
        <v>6771</v>
      </c>
      <c r="AF1336">
        <v>0</v>
      </c>
      <c r="AG1336">
        <v>0</v>
      </c>
      <c r="AH1336">
        <v>114</v>
      </c>
      <c r="AI1336">
        <v>22</v>
      </c>
      <c r="AK1336" t="s">
        <v>7945</v>
      </c>
      <c r="AO1336" s="76">
        <v>42131.548009259262</v>
      </c>
      <c r="AP1336" s="79" t="str">
        <f>HYPERLINK("https://pbs.twimg.com/profile_banners/3187741549/1675277785")</f>
        <v>https://pbs.twimg.com/profile_banners/3187741549/1675277785</v>
      </c>
      <c r="AQ1336" t="b">
        <v>1</v>
      </c>
      <c r="AR1336" t="b">
        <v>0</v>
      </c>
      <c r="AS1336" t="b">
        <v>0</v>
      </c>
      <c r="AU1336">
        <v>0</v>
      </c>
      <c r="AV1336" s="79" t="str">
        <f t="shared" si="11"/>
        <v>https://abs.twimg.com/images/themes/theme1/bg.png</v>
      </c>
      <c r="AW1336" t="b">
        <v>0</v>
      </c>
      <c r="AX1336" t="s">
        <v>9303</v>
      </c>
      <c r="AY1336" s="79" t="str">
        <f>HYPERLINK("https://twitter.com/skraaa_h")</f>
        <v>https://twitter.com/skraaa_h</v>
      </c>
      <c r="AZ1336" t="s">
        <v>66</v>
      </c>
      <c r="BA1336" s="2"/>
    </row>
    <row r="1337" spans="1:53" x14ac:dyDescent="0.45">
      <c r="A1337" s="62" t="s">
        <v>613</v>
      </c>
      <c r="B1337" s="63"/>
      <c r="C1337" s="63"/>
      <c r="D1337" s="64"/>
      <c r="E1337" s="66"/>
      <c r="F1337" s="98" t="str">
        <f>HYPERLINK("https://pbs.twimg.com/profile_images/1620869691974582272/bC3KPj_d_normal.jpg")</f>
        <v>https://pbs.twimg.com/profile_images/1620869691974582272/bC3KPj_d_normal.jpg</v>
      </c>
      <c r="G1337" s="63"/>
      <c r="H1337" s="67"/>
      <c r="I1337" s="68"/>
      <c r="J1337" s="68"/>
      <c r="K1337" s="67" t="s">
        <v>9913</v>
      </c>
      <c r="L1337" s="71"/>
      <c r="M1337" s="72"/>
      <c r="N1337" s="72"/>
      <c r="O1337" s="73"/>
      <c r="P1337" s="74"/>
      <c r="Q1337" s="74"/>
      <c r="R1337" s="81"/>
      <c r="S1337" s="81"/>
      <c r="T1337" s="81"/>
      <c r="U1337" s="81"/>
      <c r="V1337" s="48"/>
      <c r="W1337" s="48"/>
      <c r="X1337" s="48"/>
      <c r="Y1337" s="48"/>
      <c r="Z1337" s="47"/>
      <c r="AA1337" s="69"/>
      <c r="AB1337" s="69"/>
      <c r="AC1337" s="70"/>
      <c r="AD1337" t="s">
        <v>5604</v>
      </c>
      <c r="AE1337" s="78" t="s">
        <v>6849</v>
      </c>
      <c r="AF1337">
        <v>0</v>
      </c>
      <c r="AG1337">
        <v>0</v>
      </c>
      <c r="AH1337">
        <v>1</v>
      </c>
      <c r="AI1337">
        <v>0</v>
      </c>
      <c r="AL1337" t="s">
        <v>8769</v>
      </c>
      <c r="AO1337" s="76">
        <v>44655.439803240741</v>
      </c>
      <c r="AQ1337" t="b">
        <v>1</v>
      </c>
      <c r="AR1337" t="b">
        <v>0</v>
      </c>
      <c r="AS1337" t="b">
        <v>0</v>
      </c>
      <c r="AU1337">
        <v>0</v>
      </c>
      <c r="AW1337" t="b">
        <v>0</v>
      </c>
      <c r="AX1337" t="s">
        <v>9303</v>
      </c>
      <c r="AY1337" s="79" t="str">
        <f>HYPERLINK("https://twitter.com/jaydengross7")</f>
        <v>https://twitter.com/jaydengross7</v>
      </c>
      <c r="AZ1337" t="s">
        <v>66</v>
      </c>
      <c r="BA1337" s="2"/>
    </row>
    <row r="1338" spans="1:53" x14ac:dyDescent="0.45">
      <c r="A1338" s="62" t="s">
        <v>617</v>
      </c>
      <c r="B1338" s="63"/>
      <c r="C1338" s="63"/>
      <c r="D1338" s="64"/>
      <c r="E1338" s="66"/>
      <c r="F1338" s="98" t="str">
        <f>HYPERLINK("https://pbs.twimg.com/profile_images/1620865689073471492/-wABczGj_normal.png")</f>
        <v>https://pbs.twimg.com/profile_images/1620865689073471492/-wABczGj_normal.png</v>
      </c>
      <c r="G1338" s="63"/>
      <c r="H1338" s="67"/>
      <c r="I1338" s="68"/>
      <c r="J1338" s="68"/>
      <c r="K1338" s="67" t="s">
        <v>9917</v>
      </c>
      <c r="L1338" s="71"/>
      <c r="M1338" s="72"/>
      <c r="N1338" s="72"/>
      <c r="O1338" s="73"/>
      <c r="P1338" s="74"/>
      <c r="Q1338" s="74"/>
      <c r="R1338" s="81"/>
      <c r="S1338" s="81"/>
      <c r="T1338" s="81"/>
      <c r="U1338" s="81"/>
      <c r="V1338" s="48"/>
      <c r="W1338" s="48"/>
      <c r="X1338" s="48"/>
      <c r="Y1338" s="48"/>
      <c r="Z1338" s="47"/>
      <c r="AA1338" s="69"/>
      <c r="AB1338" s="69"/>
      <c r="AC1338" s="70"/>
      <c r="AD1338" t="s">
        <v>5608</v>
      </c>
      <c r="AE1338" s="78" t="s">
        <v>6853</v>
      </c>
      <c r="AF1338">
        <v>1</v>
      </c>
      <c r="AG1338">
        <v>0</v>
      </c>
      <c r="AH1338">
        <v>1</v>
      </c>
      <c r="AI1338">
        <v>0</v>
      </c>
      <c r="AK1338" t="s">
        <v>8029</v>
      </c>
      <c r="AO1338" s="76">
        <v>44958.808657407404</v>
      </c>
      <c r="AQ1338" t="b">
        <v>1</v>
      </c>
      <c r="AR1338" t="b">
        <v>0</v>
      </c>
      <c r="AS1338" t="b">
        <v>0</v>
      </c>
      <c r="AU1338">
        <v>0</v>
      </c>
      <c r="AW1338" t="b">
        <v>0</v>
      </c>
      <c r="AX1338" t="s">
        <v>9303</v>
      </c>
      <c r="AY1338" s="79" t="str">
        <f>HYPERLINK("https://twitter.com/katrochaacosta1")</f>
        <v>https://twitter.com/katrochaacosta1</v>
      </c>
      <c r="AZ1338" t="s">
        <v>66</v>
      </c>
      <c r="BA1338" s="2"/>
    </row>
    <row r="1339" spans="1:53" x14ac:dyDescent="0.45">
      <c r="A1339" s="62" t="s">
        <v>636</v>
      </c>
      <c r="B1339" s="63"/>
      <c r="C1339" s="63"/>
      <c r="D1339" s="64"/>
      <c r="E1339" s="66"/>
      <c r="F1339" s="98" t="str">
        <f>HYPERLINK("https://pbs.twimg.com/profile_images/1618036224630964227/SzfEW9nE_normal.jpg")</f>
        <v>https://pbs.twimg.com/profile_images/1618036224630964227/SzfEW9nE_normal.jpg</v>
      </c>
      <c r="G1339" s="63"/>
      <c r="H1339" s="67"/>
      <c r="I1339" s="68"/>
      <c r="J1339" s="68"/>
      <c r="K1339" s="67" t="s">
        <v>9945</v>
      </c>
      <c r="L1339" s="71"/>
      <c r="M1339" s="72"/>
      <c r="N1339" s="72"/>
      <c r="O1339" s="73"/>
      <c r="P1339" s="74"/>
      <c r="Q1339" s="74"/>
      <c r="R1339" s="81"/>
      <c r="S1339" s="81"/>
      <c r="T1339" s="81"/>
      <c r="U1339" s="81"/>
      <c r="V1339" s="48"/>
      <c r="W1339" s="48"/>
      <c r="X1339" s="48"/>
      <c r="Y1339" s="48"/>
      <c r="Z1339" s="47"/>
      <c r="AA1339" s="69"/>
      <c r="AB1339" s="69"/>
      <c r="AC1339" s="70"/>
      <c r="AD1339" t="s">
        <v>5636</v>
      </c>
      <c r="AE1339" s="78" t="s">
        <v>6879</v>
      </c>
      <c r="AF1339">
        <v>103</v>
      </c>
      <c r="AG1339">
        <v>0</v>
      </c>
      <c r="AH1339">
        <v>43</v>
      </c>
      <c r="AI1339">
        <v>9</v>
      </c>
      <c r="AO1339" s="76">
        <v>44949.530300925922</v>
      </c>
      <c r="AQ1339" t="b">
        <v>1</v>
      </c>
      <c r="AR1339" t="b">
        <v>0</v>
      </c>
      <c r="AS1339" t="b">
        <v>0</v>
      </c>
      <c r="AU1339">
        <v>0</v>
      </c>
      <c r="AW1339" t="b">
        <v>0</v>
      </c>
      <c r="AX1339" t="s">
        <v>9303</v>
      </c>
      <c r="AY1339" s="79" t="str">
        <f>HYPERLINK("https://twitter.com/thefrontnc")</f>
        <v>https://twitter.com/thefrontnc</v>
      </c>
      <c r="AZ1339" t="s">
        <v>66</v>
      </c>
      <c r="BA1339" s="2"/>
    </row>
    <row r="1340" spans="1:53" x14ac:dyDescent="0.45">
      <c r="A1340" s="62" t="s">
        <v>642</v>
      </c>
      <c r="B1340" s="63"/>
      <c r="C1340" s="63"/>
      <c r="D1340" s="64"/>
      <c r="E1340" s="66"/>
      <c r="F1340" s="98" t="str">
        <f>HYPERLINK("https://abs.twimg.com/sticky/default_profile_images/default_profile_normal.png")</f>
        <v>https://abs.twimg.com/sticky/default_profile_images/default_profile_normal.png</v>
      </c>
      <c r="G1340" s="63"/>
      <c r="H1340" s="67"/>
      <c r="I1340" s="68"/>
      <c r="J1340" s="68"/>
      <c r="K1340" s="67" t="s">
        <v>9952</v>
      </c>
      <c r="L1340" s="71"/>
      <c r="M1340" s="72"/>
      <c r="N1340" s="72"/>
      <c r="O1340" s="73"/>
      <c r="P1340" s="74"/>
      <c r="Q1340" s="74"/>
      <c r="R1340" s="81"/>
      <c r="S1340" s="81"/>
      <c r="T1340" s="81"/>
      <c r="U1340" s="81"/>
      <c r="V1340" s="48"/>
      <c r="W1340" s="48"/>
      <c r="X1340" s="48"/>
      <c r="Y1340" s="48"/>
      <c r="Z1340" s="47"/>
      <c r="AA1340" s="69"/>
      <c r="AB1340" s="69"/>
      <c r="AC1340" s="70"/>
      <c r="AD1340" t="s">
        <v>5643</v>
      </c>
      <c r="AE1340" s="78" t="s">
        <v>6885</v>
      </c>
      <c r="AF1340">
        <v>38</v>
      </c>
      <c r="AG1340">
        <v>0</v>
      </c>
      <c r="AH1340">
        <v>47</v>
      </c>
      <c r="AI1340">
        <v>12</v>
      </c>
      <c r="AO1340" s="76">
        <v>44713.625810185185</v>
      </c>
      <c r="AQ1340" t="b">
        <v>1</v>
      </c>
      <c r="AR1340" t="b">
        <v>1</v>
      </c>
      <c r="AS1340" t="b">
        <v>0</v>
      </c>
      <c r="AU1340">
        <v>0</v>
      </c>
      <c r="AW1340" t="b">
        <v>0</v>
      </c>
      <c r="AX1340" t="s">
        <v>9303</v>
      </c>
      <c r="AY1340" s="79" t="str">
        <f>HYPERLINK("https://twitter.com/jbrames10")</f>
        <v>https://twitter.com/jbrames10</v>
      </c>
      <c r="AZ1340" t="s">
        <v>66</v>
      </c>
      <c r="BA1340" s="2"/>
    </row>
    <row r="1341" spans="1:53" x14ac:dyDescent="0.45">
      <c r="A1341" s="62" t="s">
        <v>689</v>
      </c>
      <c r="B1341" s="63"/>
      <c r="C1341" s="63"/>
      <c r="D1341" s="64"/>
      <c r="E1341" s="66"/>
      <c r="F1341" s="98" t="str">
        <f>HYPERLINK("https://pbs.twimg.com/profile_images/1620893919419539458/TFg59zns_normal.png")</f>
        <v>https://pbs.twimg.com/profile_images/1620893919419539458/TFg59zns_normal.png</v>
      </c>
      <c r="G1341" s="63"/>
      <c r="H1341" s="67"/>
      <c r="I1341" s="68"/>
      <c r="J1341" s="68"/>
      <c r="K1341" s="67" t="s">
        <v>10020</v>
      </c>
      <c r="L1341" s="71"/>
      <c r="M1341" s="72"/>
      <c r="N1341" s="72"/>
      <c r="O1341" s="73"/>
      <c r="P1341" s="74"/>
      <c r="Q1341" s="74"/>
      <c r="R1341" s="81"/>
      <c r="S1341" s="81"/>
      <c r="T1341" s="81"/>
      <c r="U1341" s="81"/>
      <c r="V1341" s="48"/>
      <c r="W1341" s="48"/>
      <c r="X1341" s="48"/>
      <c r="Y1341" s="48"/>
      <c r="Z1341" s="47"/>
      <c r="AA1341" s="69"/>
      <c r="AB1341" s="69"/>
      <c r="AC1341" s="70"/>
      <c r="AD1341" t="s">
        <v>5710</v>
      </c>
      <c r="AE1341" s="78" t="s">
        <v>6949</v>
      </c>
      <c r="AF1341">
        <v>0</v>
      </c>
      <c r="AG1341">
        <v>0</v>
      </c>
      <c r="AH1341">
        <v>33</v>
      </c>
      <c r="AI1341">
        <v>0</v>
      </c>
      <c r="AK1341" t="s">
        <v>8113</v>
      </c>
      <c r="AO1341" s="76">
        <v>42088.338379629633</v>
      </c>
      <c r="AP1341" s="79" t="str">
        <f>HYPERLINK("https://pbs.twimg.com/profile_banners/3113803973/1675286201")</f>
        <v>https://pbs.twimg.com/profile_banners/3113803973/1675286201</v>
      </c>
      <c r="AQ1341" t="b">
        <v>1</v>
      </c>
      <c r="AR1341" t="b">
        <v>0</v>
      </c>
      <c r="AS1341" t="b">
        <v>0</v>
      </c>
      <c r="AU1341">
        <v>0</v>
      </c>
      <c r="AV1341" s="79" t="str">
        <f>HYPERLINK("https://abs.twimg.com/images/themes/theme1/bg.png")</f>
        <v>https://abs.twimg.com/images/themes/theme1/bg.png</v>
      </c>
      <c r="AW1341" t="b">
        <v>0</v>
      </c>
      <c r="AX1341" t="s">
        <v>9303</v>
      </c>
      <c r="AY1341" s="79" t="str">
        <f>HYPERLINK("https://twitter.com/_above__average")</f>
        <v>https://twitter.com/_above__average</v>
      </c>
      <c r="AZ1341" t="s">
        <v>66</v>
      </c>
      <c r="BA1341" s="2"/>
    </row>
    <row r="1342" spans="1:53" x14ac:dyDescent="0.45">
      <c r="A1342" s="62" t="s">
        <v>741</v>
      </c>
      <c r="B1342" s="63"/>
      <c r="C1342" s="63"/>
      <c r="D1342" s="64"/>
      <c r="E1342" s="66"/>
      <c r="F1342" s="98" t="str">
        <f>HYPERLINK("https://pbs.twimg.com/profile_images/1620912466296279040/ljUPX0Bq_normal.png")</f>
        <v>https://pbs.twimg.com/profile_images/1620912466296279040/ljUPX0Bq_normal.png</v>
      </c>
      <c r="G1342" s="63"/>
      <c r="H1342" s="67"/>
      <c r="I1342" s="68"/>
      <c r="J1342" s="68"/>
      <c r="K1342" s="67" t="s">
        <v>10090</v>
      </c>
      <c r="L1342" s="71"/>
      <c r="M1342" s="72"/>
      <c r="N1342" s="72"/>
      <c r="O1342" s="73"/>
      <c r="P1342" s="74"/>
      <c r="Q1342" s="74"/>
      <c r="R1342" s="81"/>
      <c r="S1342" s="81"/>
      <c r="T1342" s="81"/>
      <c r="U1342" s="81"/>
      <c r="V1342" s="48"/>
      <c r="W1342" s="48"/>
      <c r="X1342" s="48"/>
      <c r="Y1342" s="48"/>
      <c r="Z1342" s="47"/>
      <c r="AA1342" s="69"/>
      <c r="AB1342" s="69"/>
      <c r="AC1342" s="70"/>
      <c r="AD1342" t="s">
        <v>5779</v>
      </c>
      <c r="AE1342" s="78" t="s">
        <v>7011</v>
      </c>
      <c r="AF1342">
        <v>8</v>
      </c>
      <c r="AG1342">
        <v>0</v>
      </c>
      <c r="AH1342">
        <v>31</v>
      </c>
      <c r="AI1342">
        <v>1</v>
      </c>
      <c r="AK1342" t="s">
        <v>8173</v>
      </c>
      <c r="AO1342" s="76">
        <v>42304.496180555558</v>
      </c>
      <c r="AP1342" s="79" t="str">
        <f>HYPERLINK("https://pbs.twimg.com/profile_banners/4035047112/1675290624")</f>
        <v>https://pbs.twimg.com/profile_banners/4035047112/1675290624</v>
      </c>
      <c r="AQ1342" t="b">
        <v>1</v>
      </c>
      <c r="AR1342" t="b">
        <v>0</v>
      </c>
      <c r="AS1342" t="b">
        <v>0</v>
      </c>
      <c r="AU1342">
        <v>0</v>
      </c>
      <c r="AV1342" s="79" t="str">
        <f>HYPERLINK("https://abs.twimg.com/images/themes/theme1/bg.png")</f>
        <v>https://abs.twimg.com/images/themes/theme1/bg.png</v>
      </c>
      <c r="AW1342" t="b">
        <v>0</v>
      </c>
      <c r="AX1342" t="s">
        <v>9303</v>
      </c>
      <c r="AY1342" s="79" t="str">
        <f>HYPERLINK("https://twitter.com/kahoiwai3")</f>
        <v>https://twitter.com/kahoiwai3</v>
      </c>
      <c r="AZ1342" t="s">
        <v>66</v>
      </c>
      <c r="BA1342" s="2"/>
    </row>
    <row r="1343" spans="1:53" x14ac:dyDescent="0.45">
      <c r="A1343" s="62" t="s">
        <v>766</v>
      </c>
      <c r="B1343" s="63"/>
      <c r="C1343" s="63"/>
      <c r="D1343" s="64"/>
      <c r="E1343" s="66"/>
      <c r="F1343" s="98" t="str">
        <f>HYPERLINK("https://pbs.twimg.com/profile_images/1620917634190434306/cbEMZ2TT_normal.png")</f>
        <v>https://pbs.twimg.com/profile_images/1620917634190434306/cbEMZ2TT_normal.png</v>
      </c>
      <c r="G1343" s="63"/>
      <c r="H1343" s="67"/>
      <c r="I1343" s="68"/>
      <c r="J1343" s="68"/>
      <c r="K1343" s="67" t="s">
        <v>10122</v>
      </c>
      <c r="L1343" s="71"/>
      <c r="M1343" s="72"/>
      <c r="N1343" s="72"/>
      <c r="O1343" s="73"/>
      <c r="P1343" s="74"/>
      <c r="Q1343" s="74"/>
      <c r="R1343" s="81"/>
      <c r="S1343" s="81"/>
      <c r="T1343" s="81"/>
      <c r="U1343" s="81"/>
      <c r="V1343" s="48"/>
      <c r="W1343" s="48"/>
      <c r="X1343" s="48"/>
      <c r="Y1343" s="48"/>
      <c r="Z1343" s="47"/>
      <c r="AA1343" s="69"/>
      <c r="AB1343" s="69"/>
      <c r="AC1343" s="70"/>
      <c r="AD1343" t="s">
        <v>5810</v>
      </c>
      <c r="AE1343" s="78" t="s">
        <v>7039</v>
      </c>
      <c r="AF1343">
        <v>1</v>
      </c>
      <c r="AG1343">
        <v>0</v>
      </c>
      <c r="AH1343">
        <v>31</v>
      </c>
      <c r="AI1343">
        <v>0</v>
      </c>
      <c r="AK1343" t="s">
        <v>8205</v>
      </c>
      <c r="AO1343" s="76">
        <v>42085.435289351852</v>
      </c>
      <c r="AP1343" s="79" t="str">
        <f>HYPERLINK("https://pbs.twimg.com/profile_banners/3103091047/1675291860")</f>
        <v>https://pbs.twimg.com/profile_banners/3103091047/1675291860</v>
      </c>
      <c r="AQ1343" t="b">
        <v>1</v>
      </c>
      <c r="AR1343" t="b">
        <v>0</v>
      </c>
      <c r="AS1343" t="b">
        <v>0</v>
      </c>
      <c r="AU1343">
        <v>0</v>
      </c>
      <c r="AV1343" s="79" t="str">
        <f>HYPERLINK("https://abs.twimg.com/images/themes/theme1/bg.png")</f>
        <v>https://abs.twimg.com/images/themes/theme1/bg.png</v>
      </c>
      <c r="AW1343" t="b">
        <v>0</v>
      </c>
      <c r="AX1343" t="s">
        <v>9303</v>
      </c>
      <c r="AY1343" s="79" t="str">
        <f>HYPERLINK("https://twitter.com/writter48")</f>
        <v>https://twitter.com/writter48</v>
      </c>
      <c r="AZ1343" t="s">
        <v>66</v>
      </c>
      <c r="BA1343" s="2"/>
    </row>
    <row r="1344" spans="1:53" x14ac:dyDescent="0.45">
      <c r="A1344" s="62" t="s">
        <v>767</v>
      </c>
      <c r="B1344" s="63"/>
      <c r="C1344" s="63"/>
      <c r="D1344" s="64"/>
      <c r="E1344" s="66"/>
      <c r="F1344" s="98" t="str">
        <f>HYPERLINK("https://pbs.twimg.com/profile_images/1615872331913609216/KJqLEYG-_normal.jpg")</f>
        <v>https://pbs.twimg.com/profile_images/1615872331913609216/KJqLEYG-_normal.jpg</v>
      </c>
      <c r="G1344" s="63"/>
      <c r="H1344" s="67"/>
      <c r="I1344" s="68"/>
      <c r="J1344" s="68"/>
      <c r="K1344" s="67" t="s">
        <v>10123</v>
      </c>
      <c r="L1344" s="71"/>
      <c r="M1344" s="72"/>
      <c r="N1344" s="72"/>
      <c r="O1344" s="73"/>
      <c r="P1344" s="74"/>
      <c r="Q1344" s="74"/>
      <c r="R1344" s="81"/>
      <c r="S1344" s="81"/>
      <c r="T1344" s="81"/>
      <c r="U1344" s="81"/>
      <c r="V1344" s="48"/>
      <c r="W1344" s="48"/>
      <c r="X1344" s="48"/>
      <c r="Y1344" s="48"/>
      <c r="Z1344" s="47"/>
      <c r="AA1344" s="69"/>
      <c r="AB1344" s="69"/>
      <c r="AC1344" s="70"/>
      <c r="AD1344" t="s">
        <v>5811</v>
      </c>
      <c r="AE1344" s="78" t="s">
        <v>7040</v>
      </c>
      <c r="AF1344">
        <v>0</v>
      </c>
      <c r="AG1344">
        <v>0</v>
      </c>
      <c r="AH1344">
        <v>1</v>
      </c>
      <c r="AI1344">
        <v>1</v>
      </c>
      <c r="AO1344" s="76">
        <v>44945.029618055552</v>
      </c>
      <c r="AQ1344" t="b">
        <v>1</v>
      </c>
      <c r="AR1344" t="b">
        <v>0</v>
      </c>
      <c r="AS1344" t="b">
        <v>0</v>
      </c>
      <c r="AU1344">
        <v>0</v>
      </c>
      <c r="AW1344" t="b">
        <v>0</v>
      </c>
      <c r="AX1344" t="s">
        <v>9303</v>
      </c>
      <c r="AY1344" s="79" t="str">
        <f>HYPERLINK("https://twitter.com/haydenj05329340")</f>
        <v>https://twitter.com/haydenj05329340</v>
      </c>
      <c r="AZ1344" t="s">
        <v>66</v>
      </c>
      <c r="BA1344" s="2"/>
    </row>
    <row r="1345" spans="1:53" x14ac:dyDescent="0.45">
      <c r="A1345" s="62" t="s">
        <v>786</v>
      </c>
      <c r="B1345" s="63"/>
      <c r="C1345" s="63"/>
      <c r="D1345" s="64"/>
      <c r="E1345" s="66"/>
      <c r="F1345" s="98" t="str">
        <f>HYPERLINK("https://pbs.twimg.com/profile_images/1565474434437324801/eW_R5NJW_normal.jpg")</f>
        <v>https://pbs.twimg.com/profile_images/1565474434437324801/eW_R5NJW_normal.jpg</v>
      </c>
      <c r="G1345" s="63"/>
      <c r="H1345" s="67"/>
      <c r="I1345" s="68"/>
      <c r="J1345" s="68"/>
      <c r="K1345" s="67" t="s">
        <v>10147</v>
      </c>
      <c r="L1345" s="71"/>
      <c r="M1345" s="72"/>
      <c r="N1345" s="72"/>
      <c r="O1345" s="73"/>
      <c r="P1345" s="74"/>
      <c r="Q1345" s="74"/>
      <c r="R1345" s="81"/>
      <c r="S1345" s="81"/>
      <c r="T1345" s="81"/>
      <c r="U1345" s="81"/>
      <c r="V1345" s="48"/>
      <c r="W1345" s="48"/>
      <c r="X1345" s="48"/>
      <c r="Y1345" s="48"/>
      <c r="Z1345" s="47"/>
      <c r="AA1345" s="69"/>
      <c r="AB1345" s="69"/>
      <c r="AC1345" s="70"/>
      <c r="AD1345" t="s">
        <v>5833</v>
      </c>
      <c r="AE1345" s="78" t="s">
        <v>7059</v>
      </c>
      <c r="AF1345">
        <v>124</v>
      </c>
      <c r="AG1345">
        <v>0</v>
      </c>
      <c r="AH1345">
        <v>107</v>
      </c>
      <c r="AI1345">
        <v>73</v>
      </c>
      <c r="AL1345" t="s">
        <v>8723</v>
      </c>
      <c r="AO1345" s="76">
        <v>41531.779062499998</v>
      </c>
      <c r="AQ1345" t="b">
        <v>1</v>
      </c>
      <c r="AR1345" t="b">
        <v>0</v>
      </c>
      <c r="AS1345" t="b">
        <v>0</v>
      </c>
      <c r="AU1345">
        <v>0</v>
      </c>
      <c r="AV1345" s="79" t="str">
        <f>HYPERLINK("https://abs.twimg.com/images/themes/theme1/bg.png")</f>
        <v>https://abs.twimg.com/images/themes/theme1/bg.png</v>
      </c>
      <c r="AW1345" t="b">
        <v>0</v>
      </c>
      <c r="AX1345" t="s">
        <v>9303</v>
      </c>
      <c r="AY1345" s="79" t="str">
        <f>HYPERLINK("https://twitter.com/pdsmith1969")</f>
        <v>https://twitter.com/pdsmith1969</v>
      </c>
      <c r="AZ1345" t="s">
        <v>66</v>
      </c>
      <c r="BA1345" s="2"/>
    </row>
    <row r="1346" spans="1:53" x14ac:dyDescent="0.45">
      <c r="A1346" s="62" t="s">
        <v>887</v>
      </c>
      <c r="B1346" s="63"/>
      <c r="C1346" s="63"/>
      <c r="D1346" s="64"/>
      <c r="E1346" s="66"/>
      <c r="F1346" s="98" t="str">
        <f>HYPERLINK("https://pbs.twimg.com/profile_images/1554053881264496645/VTbmdQdo_normal.png")</f>
        <v>https://pbs.twimg.com/profile_images/1554053881264496645/VTbmdQdo_normal.png</v>
      </c>
      <c r="G1346" s="63"/>
      <c r="H1346" s="67"/>
      <c r="I1346" s="68"/>
      <c r="J1346" s="68"/>
      <c r="K1346" s="67" t="s">
        <v>10300</v>
      </c>
      <c r="L1346" s="71"/>
      <c r="M1346" s="72"/>
      <c r="N1346" s="72"/>
      <c r="O1346" s="73"/>
      <c r="P1346" s="74"/>
      <c r="Q1346" s="74"/>
      <c r="R1346" s="81"/>
      <c r="S1346" s="81"/>
      <c r="T1346" s="81"/>
      <c r="U1346" s="81"/>
      <c r="V1346" s="48"/>
      <c r="W1346" s="48"/>
      <c r="X1346" s="48"/>
      <c r="Y1346" s="48"/>
      <c r="Z1346" s="47"/>
      <c r="AA1346" s="69"/>
      <c r="AB1346" s="69"/>
      <c r="AC1346" s="70"/>
      <c r="AD1346" t="s">
        <v>5983</v>
      </c>
      <c r="AE1346" s="78" t="s">
        <v>7193</v>
      </c>
      <c r="AF1346">
        <v>37</v>
      </c>
      <c r="AG1346">
        <v>0</v>
      </c>
      <c r="AH1346">
        <v>1</v>
      </c>
      <c r="AI1346">
        <v>2</v>
      </c>
      <c r="AO1346" s="76">
        <v>44774.443194444444</v>
      </c>
      <c r="AQ1346" t="b">
        <v>1</v>
      </c>
      <c r="AR1346" t="b">
        <v>0</v>
      </c>
      <c r="AS1346" t="b">
        <v>0</v>
      </c>
      <c r="AU1346">
        <v>0</v>
      </c>
      <c r="AW1346" t="b">
        <v>0</v>
      </c>
      <c r="AX1346" t="s">
        <v>9303</v>
      </c>
      <c r="AY1346" s="79" t="str">
        <f>HYPERLINK("https://twitter.com/smtd0")</f>
        <v>https://twitter.com/smtd0</v>
      </c>
      <c r="AZ1346" t="s">
        <v>66</v>
      </c>
      <c r="BA1346" s="2"/>
    </row>
    <row r="1347" spans="1:53" x14ac:dyDescent="0.45">
      <c r="A1347" s="62" t="s">
        <v>915</v>
      </c>
      <c r="B1347" s="63"/>
      <c r="C1347" s="63"/>
      <c r="D1347" s="64"/>
      <c r="E1347" s="66"/>
      <c r="F1347" s="98" t="str">
        <f>HYPERLINK("https://abs.twimg.com/sticky/default_profile_images/default_profile_normal.png")</f>
        <v>https://abs.twimg.com/sticky/default_profile_images/default_profile_normal.png</v>
      </c>
      <c r="G1347" s="63"/>
      <c r="H1347" s="67"/>
      <c r="I1347" s="68"/>
      <c r="J1347" s="68"/>
      <c r="K1347" s="67" t="s">
        <v>10346</v>
      </c>
      <c r="L1347" s="71"/>
      <c r="M1347" s="72"/>
      <c r="N1347" s="72"/>
      <c r="O1347" s="73"/>
      <c r="P1347" s="74"/>
      <c r="Q1347" s="74"/>
      <c r="R1347" s="81"/>
      <c r="S1347" s="81"/>
      <c r="T1347" s="81"/>
      <c r="U1347" s="81"/>
      <c r="V1347" s="48"/>
      <c r="W1347" s="48"/>
      <c r="X1347" s="48"/>
      <c r="Y1347" s="48"/>
      <c r="Z1347" s="47"/>
      <c r="AA1347" s="69"/>
      <c r="AB1347" s="69"/>
      <c r="AC1347" s="70"/>
      <c r="AD1347" t="s">
        <v>6029</v>
      </c>
      <c r="AE1347" s="78" t="s">
        <v>7236</v>
      </c>
      <c r="AF1347">
        <v>41</v>
      </c>
      <c r="AG1347">
        <v>0</v>
      </c>
      <c r="AH1347">
        <v>174</v>
      </c>
      <c r="AI1347">
        <v>88</v>
      </c>
      <c r="AO1347" s="76">
        <v>44742.722997685189</v>
      </c>
      <c r="AQ1347" t="b">
        <v>1</v>
      </c>
      <c r="AR1347" t="b">
        <v>1</v>
      </c>
      <c r="AS1347" t="b">
        <v>0</v>
      </c>
      <c r="AU1347">
        <v>0</v>
      </c>
      <c r="AW1347" t="b">
        <v>0</v>
      </c>
      <c r="AX1347" t="s">
        <v>9303</v>
      </c>
      <c r="AY1347" s="79" t="str">
        <f>HYPERLINK("https://twitter.com/susej916777")</f>
        <v>https://twitter.com/susej916777</v>
      </c>
      <c r="AZ1347" t="s">
        <v>66</v>
      </c>
      <c r="BA1347" s="2"/>
    </row>
    <row r="1348" spans="1:53" x14ac:dyDescent="0.45">
      <c r="A1348" s="62" t="s">
        <v>922</v>
      </c>
      <c r="B1348" s="63"/>
      <c r="C1348" s="63"/>
      <c r="D1348" s="64"/>
      <c r="E1348" s="66"/>
      <c r="F1348" s="98" t="str">
        <f>HYPERLINK("https://pbs.twimg.com/profile_images/1620975024181055489/EKjrCEk__normal.png")</f>
        <v>https://pbs.twimg.com/profile_images/1620975024181055489/EKjrCEk__normal.png</v>
      </c>
      <c r="G1348" s="63"/>
      <c r="H1348" s="67"/>
      <c r="I1348" s="68"/>
      <c r="J1348" s="68"/>
      <c r="K1348" s="67" t="s">
        <v>10355</v>
      </c>
      <c r="L1348" s="71"/>
      <c r="M1348" s="72"/>
      <c r="N1348" s="72"/>
      <c r="O1348" s="73"/>
      <c r="P1348" s="74"/>
      <c r="Q1348" s="74"/>
      <c r="R1348" s="81"/>
      <c r="S1348" s="81"/>
      <c r="T1348" s="81"/>
      <c r="U1348" s="81"/>
      <c r="V1348" s="48"/>
      <c r="W1348" s="48"/>
      <c r="X1348" s="48"/>
      <c r="Y1348" s="48"/>
      <c r="Z1348" s="47"/>
      <c r="AA1348" s="69"/>
      <c r="AB1348" s="69"/>
      <c r="AC1348" s="70"/>
      <c r="AD1348" t="s">
        <v>6038</v>
      </c>
      <c r="AE1348" s="78" t="s">
        <v>7243</v>
      </c>
      <c r="AF1348">
        <v>1</v>
      </c>
      <c r="AG1348">
        <v>0</v>
      </c>
      <c r="AH1348">
        <v>2</v>
      </c>
      <c r="AI1348">
        <v>0</v>
      </c>
      <c r="AO1348" s="76">
        <v>44959.11037037037</v>
      </c>
      <c r="AQ1348" t="b">
        <v>1</v>
      </c>
      <c r="AR1348" t="b">
        <v>0</v>
      </c>
      <c r="AS1348" t="b">
        <v>0</v>
      </c>
      <c r="AU1348">
        <v>0</v>
      </c>
      <c r="AW1348" t="b">
        <v>0</v>
      </c>
      <c r="AX1348" t="s">
        <v>9303</v>
      </c>
      <c r="AY1348" s="79" t="str">
        <f>HYPERLINK("https://twitter.com/ballengee_herb")</f>
        <v>https://twitter.com/ballengee_herb</v>
      </c>
      <c r="AZ1348" t="s">
        <v>66</v>
      </c>
      <c r="BA1348" s="2"/>
    </row>
    <row r="1349" spans="1:53" x14ac:dyDescent="0.45">
      <c r="A1349" s="62" t="s">
        <v>961</v>
      </c>
      <c r="B1349" s="63"/>
      <c r="C1349" s="63"/>
      <c r="D1349" s="64"/>
      <c r="E1349" s="66"/>
      <c r="F1349" s="98" t="str">
        <f>HYPERLINK("https://pbs.twimg.com/profile_images/1620455513266831361/9_DHZ0ey_normal.jpg")</f>
        <v>https://pbs.twimg.com/profile_images/1620455513266831361/9_DHZ0ey_normal.jpg</v>
      </c>
      <c r="G1349" s="63"/>
      <c r="H1349" s="67"/>
      <c r="I1349" s="68"/>
      <c r="J1349" s="68"/>
      <c r="K1349" s="67" t="s">
        <v>10418</v>
      </c>
      <c r="L1349" s="71"/>
      <c r="M1349" s="72"/>
      <c r="N1349" s="72"/>
      <c r="O1349" s="73"/>
      <c r="P1349" s="74"/>
      <c r="Q1349" s="74"/>
      <c r="R1349" s="81"/>
      <c r="S1349" s="81"/>
      <c r="T1349" s="81"/>
      <c r="U1349" s="81"/>
      <c r="V1349" s="48"/>
      <c r="W1349" s="48"/>
      <c r="X1349" s="48"/>
      <c r="Y1349" s="48"/>
      <c r="Z1349" s="47"/>
      <c r="AA1349" s="69"/>
      <c r="AB1349" s="69"/>
      <c r="AC1349" s="70"/>
      <c r="AD1349" t="s">
        <v>6100</v>
      </c>
      <c r="AE1349" s="78" t="s">
        <v>7298</v>
      </c>
      <c r="AF1349">
        <v>1</v>
      </c>
      <c r="AG1349">
        <v>0</v>
      </c>
      <c r="AH1349">
        <v>329</v>
      </c>
      <c r="AI1349">
        <v>180</v>
      </c>
      <c r="AO1349" s="76">
        <v>44883.813368055555</v>
      </c>
      <c r="AQ1349" t="b">
        <v>1</v>
      </c>
      <c r="AR1349" t="b">
        <v>0</v>
      </c>
      <c r="AS1349" t="b">
        <v>0</v>
      </c>
      <c r="AU1349">
        <v>0</v>
      </c>
      <c r="AW1349" t="b">
        <v>0</v>
      </c>
      <c r="AX1349" t="s">
        <v>9303</v>
      </c>
      <c r="AY1349" s="79" t="str">
        <f>HYPERLINK("https://twitter.com/piramgoole")</f>
        <v>https://twitter.com/piramgoole</v>
      </c>
      <c r="AZ1349" t="s">
        <v>66</v>
      </c>
      <c r="BA1349" s="2"/>
    </row>
    <row r="1350" spans="1:53" x14ac:dyDescent="0.45">
      <c r="A1350" s="62" t="s">
        <v>1005</v>
      </c>
      <c r="B1350" s="63"/>
      <c r="C1350" s="63"/>
      <c r="D1350" s="64"/>
      <c r="E1350" s="66"/>
      <c r="F1350" s="98" t="str">
        <f>HYPERLINK("https://pbs.twimg.com/profile_images/1592821749942743040/RTtlCVIR_normal.jpg")</f>
        <v>https://pbs.twimg.com/profile_images/1592821749942743040/RTtlCVIR_normal.jpg</v>
      </c>
      <c r="G1350" s="63"/>
      <c r="H1350" s="67"/>
      <c r="I1350" s="68"/>
      <c r="J1350" s="68"/>
      <c r="K1350" s="67" t="s">
        <v>10480</v>
      </c>
      <c r="L1350" s="71"/>
      <c r="M1350" s="72"/>
      <c r="N1350" s="72"/>
      <c r="O1350" s="73"/>
      <c r="P1350" s="74"/>
      <c r="Q1350" s="74"/>
      <c r="R1350" s="81"/>
      <c r="S1350" s="81"/>
      <c r="T1350" s="81"/>
      <c r="U1350" s="81"/>
      <c r="V1350" s="48"/>
      <c r="W1350" s="48"/>
      <c r="X1350" s="48"/>
      <c r="Y1350" s="48"/>
      <c r="Z1350" s="47"/>
      <c r="AA1350" s="69"/>
      <c r="AB1350" s="69"/>
      <c r="AC1350" s="70"/>
      <c r="AD1350" t="s">
        <v>6159</v>
      </c>
      <c r="AE1350" s="78" t="s">
        <v>7346</v>
      </c>
      <c r="AF1350">
        <v>0</v>
      </c>
      <c r="AG1350">
        <v>0</v>
      </c>
      <c r="AH1350">
        <v>64</v>
      </c>
      <c r="AI1350">
        <v>0</v>
      </c>
      <c r="AO1350" s="76">
        <v>44816.523761574077</v>
      </c>
      <c r="AQ1350" t="b">
        <v>1</v>
      </c>
      <c r="AR1350" t="b">
        <v>0</v>
      </c>
      <c r="AS1350" t="b">
        <v>0</v>
      </c>
      <c r="AU1350">
        <v>0</v>
      </c>
      <c r="AW1350" t="b">
        <v>0</v>
      </c>
      <c r="AX1350" t="s">
        <v>9303</v>
      </c>
      <c r="AY1350" s="79" t="str">
        <f>HYPERLINK("https://twitter.com/souravishwas96")</f>
        <v>https://twitter.com/souravishwas96</v>
      </c>
      <c r="AZ1350" t="s">
        <v>66</v>
      </c>
      <c r="BA1350" s="2"/>
    </row>
    <row r="1351" spans="1:53" x14ac:dyDescent="0.45">
      <c r="A1351" s="62" t="s">
        <v>1015</v>
      </c>
      <c r="B1351" s="63"/>
      <c r="C1351" s="63"/>
      <c r="D1351" s="64"/>
      <c r="E1351" s="66"/>
      <c r="F1351" s="98" t="str">
        <f>HYPERLINK("https://pbs.twimg.com/profile_images/1512122240984354820/Ic3Pc5nv_normal.jpg")</f>
        <v>https://pbs.twimg.com/profile_images/1512122240984354820/Ic3Pc5nv_normal.jpg</v>
      </c>
      <c r="G1351" s="63"/>
      <c r="H1351" s="67"/>
      <c r="I1351" s="68"/>
      <c r="J1351" s="68"/>
      <c r="K1351" s="67" t="s">
        <v>10498</v>
      </c>
      <c r="L1351" s="71"/>
      <c r="M1351" s="72"/>
      <c r="N1351" s="72"/>
      <c r="O1351" s="73"/>
      <c r="P1351" s="74"/>
      <c r="Q1351" s="74"/>
      <c r="R1351" s="81"/>
      <c r="S1351" s="81"/>
      <c r="T1351" s="81"/>
      <c r="U1351" s="81"/>
      <c r="V1351" s="48"/>
      <c r="W1351" s="48"/>
      <c r="X1351" s="48"/>
      <c r="Y1351" s="48"/>
      <c r="Z1351" s="47"/>
      <c r="AA1351" s="69"/>
      <c r="AB1351" s="69"/>
      <c r="AC1351" s="70"/>
      <c r="AD1351" t="s">
        <v>6176</v>
      </c>
      <c r="AE1351" s="78" t="s">
        <v>7361</v>
      </c>
      <c r="AF1351">
        <v>7</v>
      </c>
      <c r="AG1351">
        <v>0</v>
      </c>
      <c r="AH1351">
        <v>15</v>
      </c>
      <c r="AI1351">
        <v>21</v>
      </c>
      <c r="AO1351" s="76">
        <v>44658.733912037038</v>
      </c>
      <c r="AQ1351" t="b">
        <v>1</v>
      </c>
      <c r="AR1351" t="b">
        <v>0</v>
      </c>
      <c r="AS1351" t="b">
        <v>0</v>
      </c>
      <c r="AU1351">
        <v>0</v>
      </c>
      <c r="AW1351" t="b">
        <v>0</v>
      </c>
      <c r="AX1351" t="s">
        <v>9303</v>
      </c>
      <c r="AY1351" s="79" t="str">
        <f>HYPERLINK("https://twitter.com/grimgamingtech")</f>
        <v>https://twitter.com/grimgamingtech</v>
      </c>
      <c r="AZ1351" t="s">
        <v>66</v>
      </c>
      <c r="BA1351" s="2"/>
    </row>
    <row r="1352" spans="1:53" x14ac:dyDescent="0.45">
      <c r="A1352" s="62" t="s">
        <v>1037</v>
      </c>
      <c r="B1352" s="83"/>
      <c r="C1352" s="83"/>
      <c r="D1352" s="84"/>
      <c r="E1352" s="85"/>
      <c r="F1352" s="99" t="str">
        <f>HYPERLINK("https://pbs.twimg.com/profile_images/1392683727650660352/yYyJW3Ru_normal.jpg")</f>
        <v>https://pbs.twimg.com/profile_images/1392683727650660352/yYyJW3Ru_normal.jpg</v>
      </c>
      <c r="G1352" s="83"/>
      <c r="H1352" s="86"/>
      <c r="I1352" s="87"/>
      <c r="J1352" s="87"/>
      <c r="K1352" s="86" t="s">
        <v>10538</v>
      </c>
      <c r="L1352" s="88"/>
      <c r="M1352" s="89"/>
      <c r="N1352" s="89"/>
      <c r="O1352" s="90"/>
      <c r="P1352" s="91"/>
      <c r="Q1352" s="91"/>
      <c r="R1352" s="92"/>
      <c r="S1352" s="92"/>
      <c r="T1352" s="92"/>
      <c r="U1352" s="92"/>
      <c r="V1352" s="93"/>
      <c r="W1352" s="93"/>
      <c r="X1352" s="93"/>
      <c r="Y1352" s="93"/>
      <c r="Z1352" s="94"/>
      <c r="AA1352" s="95"/>
      <c r="AB1352" s="95"/>
      <c r="AC1352" s="70"/>
      <c r="AD1352" t="s">
        <v>6216</v>
      </c>
      <c r="AE1352" s="78" t="s">
        <v>7396</v>
      </c>
      <c r="AF1352">
        <v>3</v>
      </c>
      <c r="AG1352">
        <v>0</v>
      </c>
      <c r="AH1352">
        <v>24</v>
      </c>
      <c r="AI1352">
        <v>5</v>
      </c>
      <c r="AK1352" t="s">
        <v>8566</v>
      </c>
      <c r="AO1352" s="76">
        <v>44329.143923611111</v>
      </c>
      <c r="AQ1352" t="b">
        <v>1</v>
      </c>
      <c r="AR1352" t="b">
        <v>0</v>
      </c>
      <c r="AS1352" t="b">
        <v>0</v>
      </c>
      <c r="AU1352">
        <v>0</v>
      </c>
      <c r="AW1352" t="b">
        <v>0</v>
      </c>
      <c r="AX1352" t="s">
        <v>9303</v>
      </c>
      <c r="AY1352" s="79" t="str">
        <f>HYPERLINK("https://twitter.com/sunny33183498")</f>
        <v>https://twitter.com/sunny33183498</v>
      </c>
      <c r="AZ1352" t="s">
        <v>66</v>
      </c>
      <c r="BA1352"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352" xr:uid="{00000000-0002-0000-0100-000000000000}"/>
    <dataValidation allowBlank="1" errorTitle="Invalid Vertex Visibility" error="You have entered an unrecognized vertex visibility.  Try selecting from the drop-down list instead." sqref="BA3" xr:uid="{00000000-0002-0000-0100-000001000000}"/>
    <dataValidation allowBlank="1" showErrorMessage="1" sqref="BA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352"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352"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352"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352"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352" xr:uid="{00000000-0002-0000-0100-000007000000}"/>
    <dataValidation allowBlank="1" showInputMessage="1" errorTitle="Invalid Vertex Image Key" promptTitle="Vertex Tooltip" prompt="Enter optional text that will pop up when the mouse is hovered over the vertex." sqref="K3:K1352"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352"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352"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352" xr:uid="{00000000-0002-0000-0100-00000B000000}"/>
    <dataValidation allowBlank="1" showInputMessage="1" promptTitle="Vertex Label Fill Color" prompt="To select an optional fill color for the Label shape, right-click and select Select Color on the right-click menu." sqref="I3:I1352" xr:uid="{00000000-0002-0000-0100-00000C000000}"/>
    <dataValidation allowBlank="1" showInputMessage="1" errorTitle="Invalid Vertex Image Key" promptTitle="Vertex Image File" prompt="Enter the path to an image file.  Hover over the column header for examples." sqref="F3:F1352" xr:uid="{00000000-0002-0000-0100-00000D000000}"/>
    <dataValidation allowBlank="1" showInputMessage="1" promptTitle="Vertex Color" prompt="To select an optional vertex color, right-click and select Select Color on the right-click menu." sqref="B3:B1352"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352"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352"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352"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352" xr:uid="{00000000-0002-0000-0100-000012000000}">
      <formula1>ValidVertexLabelPositions</formula1>
    </dataValidation>
    <dataValidation allowBlank="1" showInputMessage="1" showErrorMessage="1" promptTitle="Vertex Name" prompt="Enter the name of the vertex." sqref="A3:A1352"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25" x14ac:dyDescent="0.45"/>
  <cols>
    <col min="1" max="1" width="10.86328125" bestFit="1" customWidth="1"/>
    <col min="2" max="2" width="16.86328125" bestFit="1" customWidth="1"/>
    <col min="4" max="5" width="9.1328125" customWidth="1"/>
  </cols>
  <sheetData>
    <row r="1" spans="1:1" x14ac:dyDescent="0.45">
      <c r="A1" t="s">
        <v>49</v>
      </c>
    </row>
    <row r="2" spans="1:1" ht="15" customHeight="1" x14ac:dyDescent="0.45"/>
    <row r="3" spans="1:1" ht="15" customHeight="1" x14ac:dyDescent="0.45">
      <c r="A3" s="29" t="s">
        <v>50</v>
      </c>
    </row>
    <row r="21" spans="4:4" x14ac:dyDescent="0.4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4.25" x14ac:dyDescent="0.45"/>
  <cols>
    <col min="1" max="1" width="9.46484375" style="1" bestFit="1" customWidth="1"/>
    <col min="2" max="2" width="14.33203125" bestFit="1" customWidth="1"/>
    <col min="3" max="3" width="15" bestFit="1" customWidth="1"/>
    <col min="4" max="4" width="11.1328125" bestFit="1" customWidth="1"/>
    <col min="5" max="5" width="13" bestFit="1" customWidth="1"/>
    <col min="6" max="6" width="8" bestFit="1" customWidth="1"/>
    <col min="7" max="8" width="13.53125" hidden="1" customWidth="1"/>
    <col min="9" max="9" width="11" hidden="1" customWidth="1"/>
    <col min="10" max="10" width="12.53125" hidden="1" customWidth="1"/>
    <col min="11" max="11" width="11" hidden="1" customWidth="1"/>
    <col min="12" max="12" width="9.6640625" hidden="1" customWidth="1"/>
    <col min="13" max="13" width="13.1328125" hidden="1" customWidth="1"/>
    <col min="14" max="15" width="8.46484375" hidden="1" customWidth="1"/>
    <col min="16" max="16" width="18.33203125" hidden="1" customWidth="1"/>
    <col min="17" max="17" width="14.86328125" hidden="1" customWidth="1"/>
    <col min="18" max="18" width="14.53125" hidden="1" customWidth="1"/>
    <col min="19" max="21" width="24.1328125" hidden="1" customWidth="1"/>
    <col min="22" max="22" width="21.33203125" hidden="1" customWidth="1"/>
    <col min="23" max="23" width="19.33203125" hidden="1" customWidth="1"/>
    <col min="24" max="24" width="10" hidden="1" customWidth="1"/>
    <col min="25" max="25" width="13" customWidth="1"/>
  </cols>
  <sheetData>
    <row r="1" spans="1:24" x14ac:dyDescent="0.4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4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4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4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4.25" x14ac:dyDescent="0.45"/>
  <cols>
    <col min="1" max="1" width="9.46484375" style="1" bestFit="1" customWidth="1"/>
    <col min="2" max="2" width="9.1328125" style="1"/>
    <col min="3" max="3" width="11.53125" bestFit="1" customWidth="1"/>
    <col min="4" max="4" width="9.1328125" customWidth="1"/>
  </cols>
  <sheetData>
    <row r="1" spans="1:3" x14ac:dyDescent="0.4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workbookViewId="0">
      <selection activeCell="A56" sqref="A56:XFD56"/>
    </sheetView>
  </sheetViews>
  <sheetFormatPr defaultRowHeight="14.25" x14ac:dyDescent="0.45"/>
  <cols>
    <col min="1" max="1" width="43.1328125" customWidth="1"/>
    <col min="2" max="2" width="13.86328125" customWidth="1"/>
    <col min="3" max="3" width="9.1328125" customWidth="1"/>
    <col min="4" max="4" width="12.86328125" hidden="1" customWidth="1"/>
    <col min="5" max="5" width="19.6640625" hidden="1" customWidth="1"/>
    <col min="6" max="6" width="15.53125" hidden="1" customWidth="1"/>
    <col min="7" max="7" width="22.1328125" hidden="1" customWidth="1"/>
    <col min="8" max="8" width="17.1328125" hidden="1" customWidth="1"/>
    <col min="9" max="9" width="23.86328125" hidden="1" customWidth="1"/>
    <col min="10" max="10" width="28.33203125" hidden="1" customWidth="1"/>
    <col min="11" max="11" width="34.86328125" hidden="1" customWidth="1"/>
    <col min="12" max="12" width="25" hidden="1" customWidth="1"/>
    <col min="13" max="13" width="31.53125" hidden="1" customWidth="1"/>
    <col min="14" max="14" width="26.53125" hidden="1" customWidth="1"/>
    <col min="15" max="17" width="33.33203125" hidden="1" customWidth="1"/>
    <col min="18" max="18" width="26.53125" hidden="1" customWidth="1"/>
    <col min="19" max="19" width="33" hidden="1" customWidth="1"/>
    <col min="20" max="20" width="19.53125" hidden="1" customWidth="1"/>
    <col min="21" max="21" width="26.1328125" hidden="1" customWidth="1"/>
    <col min="22" max="22" width="9.1328125" hidden="1" customWidth="1"/>
    <col min="23" max="23" width="34.1328125" hidden="1" customWidth="1"/>
    <col min="24" max="24" width="25.1328125" hidden="1" customWidth="1"/>
  </cols>
  <sheetData>
    <row r="1" spans="1:24" ht="15" customHeight="1" thickBot="1" x14ac:dyDescent="0.5">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4.65" thickTop="1" x14ac:dyDescent="0.45">
      <c r="A2" s="32"/>
      <c r="B2" s="32"/>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45">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45">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45">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45">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45">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45">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45">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45">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45">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45">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45">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45">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45">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45">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4:21" x14ac:dyDescent="0.45">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4:21" x14ac:dyDescent="0.45">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4:21" x14ac:dyDescent="0.45">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4:21" x14ac:dyDescent="0.45">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4:21" x14ac:dyDescent="0.45">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4:21" x14ac:dyDescent="0.45">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4:21" x14ac:dyDescent="0.45">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4:21" x14ac:dyDescent="0.45">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4:21" x14ac:dyDescent="0.45">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4:21" x14ac:dyDescent="0.45">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4:21" x14ac:dyDescent="0.45">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4:21" x14ac:dyDescent="0.45">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4:21" x14ac:dyDescent="0.45">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4:21" x14ac:dyDescent="0.45">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4:21" x14ac:dyDescent="0.45">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4:21" x14ac:dyDescent="0.45">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4:21" x14ac:dyDescent="0.45">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4:21" x14ac:dyDescent="0.45">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4:21" x14ac:dyDescent="0.45">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4:21" x14ac:dyDescent="0.45">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60" spans="1:2" x14ac:dyDescent="0.45">
      <c r="A60" t="s">
        <v>163</v>
      </c>
      <c r="B60" t="s">
        <v>17</v>
      </c>
    </row>
    <row r="61" spans="1:2" x14ac:dyDescent="0.45">
      <c r="A61" s="31"/>
      <c r="B61" s="31"/>
    </row>
    <row r="74" spans="1:2" x14ac:dyDescent="0.45">
      <c r="A74" s="31" t="s">
        <v>81</v>
      </c>
      <c r="B74" s="44" t="str">
        <f>IF(COUNT(Vertices[Degree])&gt;0, D2, NoMetricMessage)</f>
        <v>Not Available</v>
      </c>
    </row>
    <row r="75" spans="1:2" x14ac:dyDescent="0.45">
      <c r="A75" s="31" t="s">
        <v>82</v>
      </c>
      <c r="B75" s="44" t="str">
        <f>IF(COUNT(Vertices[Degree])&gt;0, D36, NoMetricMessage)</f>
        <v>Not Available</v>
      </c>
    </row>
    <row r="76" spans="1:2" x14ac:dyDescent="0.45">
      <c r="A76" s="31" t="s">
        <v>83</v>
      </c>
      <c r="B76" s="45" t="str">
        <f>IFERROR(AVERAGE(Vertices[Degree]),NoMetricMessage)</f>
        <v>Not Available</v>
      </c>
    </row>
    <row r="77" spans="1:2" x14ac:dyDescent="0.45">
      <c r="A77" s="31" t="s">
        <v>84</v>
      </c>
      <c r="B77" s="45" t="str">
        <f>IFERROR(MEDIAN(Vertices[Degree]),NoMetricMessage)</f>
        <v>Not Available</v>
      </c>
    </row>
    <row r="88" spans="1:2" x14ac:dyDescent="0.45">
      <c r="A88" s="31" t="s">
        <v>88</v>
      </c>
      <c r="B88" s="44" t="str">
        <f>IF(COUNT(Vertices[In-Degree])&gt;0, F2, NoMetricMessage)</f>
        <v>Not Available</v>
      </c>
    </row>
    <row r="89" spans="1:2" x14ac:dyDescent="0.45">
      <c r="A89" s="31" t="s">
        <v>89</v>
      </c>
      <c r="B89" s="44" t="str">
        <f>IF(COUNT(Vertices[In-Degree])&gt;0, F36, NoMetricMessage)</f>
        <v>Not Available</v>
      </c>
    </row>
    <row r="90" spans="1:2" x14ac:dyDescent="0.45">
      <c r="A90" s="31" t="s">
        <v>90</v>
      </c>
      <c r="B90" s="45" t="str">
        <f>IFERROR(AVERAGE(Vertices[In-Degree]),NoMetricMessage)</f>
        <v>Not Available</v>
      </c>
    </row>
    <row r="91" spans="1:2" x14ac:dyDescent="0.45">
      <c r="A91" s="31" t="s">
        <v>91</v>
      </c>
      <c r="B91" s="45" t="str">
        <f>IFERROR(MEDIAN(Vertices[In-Degree]),NoMetricMessage)</f>
        <v>Not Available</v>
      </c>
    </row>
    <row r="102" spans="1:2" x14ac:dyDescent="0.45">
      <c r="A102" s="31" t="s">
        <v>94</v>
      </c>
      <c r="B102" s="44" t="str">
        <f>IF(COUNT(Vertices[Out-Degree])&gt;0, H2, NoMetricMessage)</f>
        <v>Not Available</v>
      </c>
    </row>
    <row r="103" spans="1:2" x14ac:dyDescent="0.45">
      <c r="A103" s="31" t="s">
        <v>95</v>
      </c>
      <c r="B103" s="44" t="str">
        <f>IF(COUNT(Vertices[Out-Degree])&gt;0, H36, NoMetricMessage)</f>
        <v>Not Available</v>
      </c>
    </row>
    <row r="104" spans="1:2" x14ac:dyDescent="0.45">
      <c r="A104" s="31" t="s">
        <v>96</v>
      </c>
      <c r="B104" s="45" t="str">
        <f>IFERROR(AVERAGE(Vertices[Out-Degree]),NoMetricMessage)</f>
        <v>Not Available</v>
      </c>
    </row>
    <row r="105" spans="1:2" x14ac:dyDescent="0.45">
      <c r="A105" s="31" t="s">
        <v>97</v>
      </c>
      <c r="B105" s="45" t="str">
        <f>IFERROR(MEDIAN(Vertices[Out-Degree]),NoMetricMessage)</f>
        <v>Not Available</v>
      </c>
    </row>
    <row r="116" spans="1:2" x14ac:dyDescent="0.45">
      <c r="A116" s="31" t="s">
        <v>100</v>
      </c>
      <c r="B116" s="45" t="str">
        <f>IF(COUNT(Vertices[Betweenness Centrality])&gt;0, J2, NoMetricMessage)</f>
        <v>Not Available</v>
      </c>
    </row>
    <row r="117" spans="1:2" x14ac:dyDescent="0.45">
      <c r="A117" s="31" t="s">
        <v>101</v>
      </c>
      <c r="B117" s="45" t="str">
        <f>IF(COUNT(Vertices[Betweenness Centrality])&gt;0, J36, NoMetricMessage)</f>
        <v>Not Available</v>
      </c>
    </row>
    <row r="118" spans="1:2" x14ac:dyDescent="0.45">
      <c r="A118" s="31" t="s">
        <v>102</v>
      </c>
      <c r="B118" s="45" t="str">
        <f>IFERROR(AVERAGE(Vertices[Betweenness Centrality]),NoMetricMessage)</f>
        <v>Not Available</v>
      </c>
    </row>
    <row r="119" spans="1:2" x14ac:dyDescent="0.45">
      <c r="A119" s="31" t="s">
        <v>103</v>
      </c>
      <c r="B119" s="45" t="str">
        <f>IFERROR(MEDIAN(Vertices[Betweenness Centrality]),NoMetricMessage)</f>
        <v>Not Available</v>
      </c>
    </row>
    <row r="130" spans="1:2" x14ac:dyDescent="0.45">
      <c r="A130" s="31" t="s">
        <v>106</v>
      </c>
      <c r="B130" s="45" t="str">
        <f>IF(COUNT(Vertices[Closeness Centrality])&gt;0, L2, NoMetricMessage)</f>
        <v>Not Available</v>
      </c>
    </row>
    <row r="131" spans="1:2" x14ac:dyDescent="0.45">
      <c r="A131" s="31" t="s">
        <v>107</v>
      </c>
      <c r="B131" s="45" t="str">
        <f>IF(COUNT(Vertices[Closeness Centrality])&gt;0, L36, NoMetricMessage)</f>
        <v>Not Available</v>
      </c>
    </row>
    <row r="132" spans="1:2" x14ac:dyDescent="0.45">
      <c r="A132" s="31" t="s">
        <v>108</v>
      </c>
      <c r="B132" s="45" t="str">
        <f>IFERROR(AVERAGE(Vertices[Closeness Centrality]),NoMetricMessage)</f>
        <v>Not Available</v>
      </c>
    </row>
    <row r="133" spans="1:2" x14ac:dyDescent="0.45">
      <c r="A133" s="31" t="s">
        <v>109</v>
      </c>
      <c r="B133" s="45" t="str">
        <f>IFERROR(MEDIAN(Vertices[Closeness Centrality]),NoMetricMessage)</f>
        <v>Not Available</v>
      </c>
    </row>
    <row r="144" spans="1:2" x14ac:dyDescent="0.45">
      <c r="A144" s="31" t="s">
        <v>112</v>
      </c>
      <c r="B144" s="45" t="str">
        <f>IF(COUNT(Vertices[Eigenvector Centrality])&gt;0, N2, NoMetricMessage)</f>
        <v>Not Available</v>
      </c>
    </row>
    <row r="145" spans="1:2" x14ac:dyDescent="0.45">
      <c r="A145" s="31" t="s">
        <v>113</v>
      </c>
      <c r="B145" s="45" t="str">
        <f>IF(COUNT(Vertices[Eigenvector Centrality])&gt;0, N36, NoMetricMessage)</f>
        <v>Not Available</v>
      </c>
    </row>
    <row r="146" spans="1:2" x14ac:dyDescent="0.45">
      <c r="A146" s="31" t="s">
        <v>114</v>
      </c>
      <c r="B146" s="45" t="str">
        <f>IFERROR(AVERAGE(Vertices[Eigenvector Centrality]),NoMetricMessage)</f>
        <v>Not Available</v>
      </c>
    </row>
    <row r="147" spans="1:2" x14ac:dyDescent="0.45">
      <c r="A147" s="31" t="s">
        <v>115</v>
      </c>
      <c r="B147" s="45" t="str">
        <f>IFERROR(MEDIAN(Vertices[Eigenvector Centrality]),NoMetricMessage)</f>
        <v>Not Available</v>
      </c>
    </row>
    <row r="158" spans="1:2" x14ac:dyDescent="0.45">
      <c r="A158" s="31" t="s">
        <v>140</v>
      </c>
      <c r="B158" s="45" t="str">
        <f>IF(COUNT(Vertices[PageRank])&gt;0, P2, NoMetricMessage)</f>
        <v>Not Available</v>
      </c>
    </row>
    <row r="159" spans="1:2" x14ac:dyDescent="0.45">
      <c r="A159" s="31" t="s">
        <v>141</v>
      </c>
      <c r="B159" s="45" t="str">
        <f>IF(COUNT(Vertices[PageRank])&gt;0, P36, NoMetricMessage)</f>
        <v>Not Available</v>
      </c>
    </row>
    <row r="160" spans="1:2" x14ac:dyDescent="0.45">
      <c r="A160" s="31" t="s">
        <v>142</v>
      </c>
      <c r="B160" s="45" t="str">
        <f>IFERROR(AVERAGE(Vertices[PageRank]),NoMetricMessage)</f>
        <v>Not Available</v>
      </c>
    </row>
    <row r="161" spans="1:2" x14ac:dyDescent="0.45">
      <c r="A161" s="31" t="s">
        <v>143</v>
      </c>
      <c r="B161" s="45" t="str">
        <f>IFERROR(MEDIAN(Vertices[PageRank]),NoMetricMessage)</f>
        <v>Not Available</v>
      </c>
    </row>
    <row r="172" spans="1:2" x14ac:dyDescent="0.45">
      <c r="A172" s="31" t="s">
        <v>118</v>
      </c>
      <c r="B172" s="45" t="str">
        <f>IF(COUNT(Vertices[Clustering Coefficient])&gt;0, R2, NoMetricMessage)</f>
        <v>Not Available</v>
      </c>
    </row>
    <row r="173" spans="1:2" x14ac:dyDescent="0.45">
      <c r="A173" s="31" t="s">
        <v>119</v>
      </c>
      <c r="B173" s="45" t="str">
        <f>IF(COUNT(Vertices[Clustering Coefficient])&gt;0, R36, NoMetricMessage)</f>
        <v>Not Available</v>
      </c>
    </row>
    <row r="174" spans="1:2" x14ac:dyDescent="0.45">
      <c r="A174" s="31" t="s">
        <v>120</v>
      </c>
      <c r="B174" s="45" t="str">
        <f>IFERROR(AVERAGE(Vertices[Clustering Coefficient]),NoMetricMessage)</f>
        <v>Not Available</v>
      </c>
    </row>
    <row r="175" spans="1:2" x14ac:dyDescent="0.4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8ADF9-C8F2-48C1-83D1-49F9733F5CF3}">
  <dimension ref="A1"/>
  <sheetViews>
    <sheetView workbookViewId="0">
      <selection activeCell="F22" sqref="F22"/>
    </sheetView>
  </sheetViews>
  <sheetFormatPr defaultRowHeight="14.25" x14ac:dyDescent="0.4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25" x14ac:dyDescent="0.45"/>
  <cols>
    <col min="1" max="1" width="10.46484375" style="1" bestFit="1" customWidth="1"/>
    <col min="2" max="2" width="12.46484375" style="1" bestFit="1" customWidth="1"/>
    <col min="3" max="3" width="22.86328125" bestFit="1" customWidth="1"/>
    <col min="4" max="4" width="16.86328125" bestFit="1" customWidth="1"/>
    <col min="5" max="6" width="16.86328125" customWidth="1"/>
    <col min="7" max="7" width="14.33203125" bestFit="1" customWidth="1"/>
    <col min="8" max="8" width="14.33203125" customWidth="1"/>
    <col min="10" max="10" width="39.1328125" bestFit="1" customWidth="1"/>
    <col min="11" max="11" width="10.86328125" bestFit="1" customWidth="1"/>
    <col min="13" max="13" width="8.46484375" bestFit="1" customWidth="1"/>
    <col min="14" max="14" width="10" bestFit="1" customWidth="1"/>
    <col min="15" max="15" width="11.86328125" bestFit="1" customWidth="1"/>
    <col min="16" max="16" width="12.1328125" bestFit="1" customWidth="1"/>
  </cols>
  <sheetData>
    <row r="1" spans="1:18" s="3" customFormat="1" ht="36" customHeight="1" x14ac:dyDescent="0.4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45">
      <c r="A2" s="1" t="s">
        <v>51</v>
      </c>
      <c r="B2" s="1" t="s">
        <v>132</v>
      </c>
      <c r="C2" t="s">
        <v>54</v>
      </c>
      <c r="D2" t="s">
        <v>55</v>
      </c>
      <c r="E2" t="s">
        <v>55</v>
      </c>
      <c r="F2" s="1" t="s">
        <v>51</v>
      </c>
      <c r="G2" t="s">
        <v>65</v>
      </c>
      <c r="H2" t="s">
        <v>159</v>
      </c>
      <c r="J2" t="s">
        <v>19</v>
      </c>
      <c r="K2">
        <v>108</v>
      </c>
    </row>
    <row r="3" spans="1:18" x14ac:dyDescent="0.45">
      <c r="A3" s="1" t="s">
        <v>52</v>
      </c>
      <c r="B3" s="1" t="s">
        <v>133</v>
      </c>
      <c r="C3" t="s">
        <v>52</v>
      </c>
      <c r="D3" t="s">
        <v>56</v>
      </c>
      <c r="E3" t="s">
        <v>56</v>
      </c>
      <c r="F3" s="1" t="s">
        <v>52</v>
      </c>
      <c r="G3" t="s">
        <v>66</v>
      </c>
      <c r="H3" t="s">
        <v>68</v>
      </c>
      <c r="J3" t="s">
        <v>30</v>
      </c>
      <c r="K3" t="s">
        <v>10655</v>
      </c>
    </row>
    <row r="4" spans="1:18" x14ac:dyDescent="0.45">
      <c r="A4" s="1" t="s">
        <v>53</v>
      </c>
      <c r="B4" s="1" t="s">
        <v>134</v>
      </c>
      <c r="C4" t="s">
        <v>53</v>
      </c>
      <c r="D4" t="s">
        <v>57</v>
      </c>
      <c r="E4" t="s">
        <v>57</v>
      </c>
      <c r="F4" s="1" t="s">
        <v>53</v>
      </c>
      <c r="G4">
        <v>0</v>
      </c>
      <c r="H4" t="s">
        <v>69</v>
      </c>
      <c r="J4" t="s">
        <v>78</v>
      </c>
    </row>
    <row r="5" spans="1:18" ht="409.5" x14ac:dyDescent="0.45">
      <c r="A5">
        <v>1</v>
      </c>
      <c r="B5" s="1" t="s">
        <v>135</v>
      </c>
      <c r="C5" t="s">
        <v>51</v>
      </c>
      <c r="D5" t="s">
        <v>58</v>
      </c>
      <c r="E5" t="s">
        <v>58</v>
      </c>
      <c r="F5">
        <v>1</v>
      </c>
      <c r="G5">
        <v>1</v>
      </c>
      <c r="H5" t="s">
        <v>70</v>
      </c>
      <c r="J5" t="s">
        <v>172</v>
      </c>
      <c r="K5" s="7" t="s">
        <v>10656</v>
      </c>
    </row>
    <row r="6" spans="1:18" x14ac:dyDescent="0.45">
      <c r="A6">
        <v>0</v>
      </c>
      <c r="B6" s="1" t="s">
        <v>136</v>
      </c>
      <c r="C6">
        <v>1</v>
      </c>
      <c r="D6" t="s">
        <v>59</v>
      </c>
      <c r="E6" t="s">
        <v>59</v>
      </c>
      <c r="F6">
        <v>0</v>
      </c>
      <c r="H6" t="s">
        <v>71</v>
      </c>
      <c r="J6" t="s">
        <v>173</v>
      </c>
      <c r="K6">
        <v>1</v>
      </c>
      <c r="R6" t="s">
        <v>129</v>
      </c>
    </row>
    <row r="7" spans="1:18" x14ac:dyDescent="0.45">
      <c r="A7">
        <v>2</v>
      </c>
      <c r="B7">
        <v>1</v>
      </c>
      <c r="C7">
        <v>0</v>
      </c>
      <c r="D7" t="s">
        <v>60</v>
      </c>
      <c r="E7" t="s">
        <v>60</v>
      </c>
      <c r="F7">
        <v>2</v>
      </c>
      <c r="H7" t="s">
        <v>72</v>
      </c>
      <c r="J7" t="s">
        <v>174</v>
      </c>
      <c r="K7" t="s">
        <v>175</v>
      </c>
    </row>
    <row r="8" spans="1:18" ht="409.5" x14ac:dyDescent="0.45">
      <c r="A8"/>
      <c r="B8">
        <v>2</v>
      </c>
      <c r="C8">
        <v>2</v>
      </c>
      <c r="D8" t="s">
        <v>61</v>
      </c>
      <c r="E8" t="s">
        <v>61</v>
      </c>
      <c r="H8" t="s">
        <v>73</v>
      </c>
      <c r="J8" t="s">
        <v>176</v>
      </c>
      <c r="K8" s="7" t="s">
        <v>10654</v>
      </c>
    </row>
    <row r="9" spans="1:18" x14ac:dyDescent="0.45">
      <c r="A9"/>
      <c r="B9">
        <v>3</v>
      </c>
      <c r="C9">
        <v>4</v>
      </c>
      <c r="D9" t="s">
        <v>62</v>
      </c>
      <c r="E9" t="s">
        <v>62</v>
      </c>
      <c r="H9" t="s">
        <v>74</v>
      </c>
    </row>
    <row r="10" spans="1:18" x14ac:dyDescent="0.45">
      <c r="A10"/>
      <c r="B10">
        <v>4</v>
      </c>
      <c r="D10" t="s">
        <v>63</v>
      </c>
      <c r="E10" t="s">
        <v>63</v>
      </c>
      <c r="H10" t="s">
        <v>75</v>
      </c>
    </row>
    <row r="11" spans="1:18" x14ac:dyDescent="0.45">
      <c r="A11"/>
      <c r="B11">
        <v>5</v>
      </c>
      <c r="D11" t="s">
        <v>46</v>
      </c>
      <c r="E11">
        <v>1</v>
      </c>
      <c r="H11" t="s">
        <v>76</v>
      </c>
    </row>
    <row r="12" spans="1:18" x14ac:dyDescent="0.45">
      <c r="A12"/>
      <c r="B12"/>
      <c r="D12" t="s">
        <v>64</v>
      </c>
      <c r="E12">
        <v>2</v>
      </c>
      <c r="H12">
        <v>0</v>
      </c>
    </row>
    <row r="13" spans="1:18" x14ac:dyDescent="0.45">
      <c r="A13"/>
      <c r="B13"/>
      <c r="D13">
        <v>1</v>
      </c>
      <c r="E13">
        <v>3</v>
      </c>
      <c r="H13">
        <v>1</v>
      </c>
    </row>
    <row r="14" spans="1:18" x14ac:dyDescent="0.45">
      <c r="D14">
        <v>2</v>
      </c>
      <c r="E14">
        <v>4</v>
      </c>
      <c r="H14">
        <v>2</v>
      </c>
    </row>
    <row r="15" spans="1:18" x14ac:dyDescent="0.45">
      <c r="D15">
        <v>3</v>
      </c>
      <c r="E15">
        <v>5</v>
      </c>
      <c r="H15">
        <v>3</v>
      </c>
    </row>
    <row r="16" spans="1:18" x14ac:dyDescent="0.45">
      <c r="D16">
        <v>4</v>
      </c>
      <c r="E16">
        <v>6</v>
      </c>
      <c r="H16">
        <v>4</v>
      </c>
    </row>
    <row r="17" spans="4:8" x14ac:dyDescent="0.45">
      <c r="D17">
        <v>5</v>
      </c>
      <c r="E17">
        <v>7</v>
      </c>
      <c r="H17">
        <v>5</v>
      </c>
    </row>
    <row r="18" spans="4:8" x14ac:dyDescent="0.45">
      <c r="D18">
        <v>6</v>
      </c>
      <c r="E18">
        <v>8</v>
      </c>
      <c r="H18">
        <v>6</v>
      </c>
    </row>
    <row r="19" spans="4:8" x14ac:dyDescent="0.45">
      <c r="D19">
        <v>7</v>
      </c>
      <c r="E19">
        <v>9</v>
      </c>
      <c r="H19">
        <v>7</v>
      </c>
    </row>
    <row r="20" spans="4:8" x14ac:dyDescent="0.45">
      <c r="D20">
        <v>8</v>
      </c>
      <c r="H20">
        <v>8</v>
      </c>
    </row>
    <row r="21" spans="4:8" x14ac:dyDescent="0.45">
      <c r="D21">
        <v>9</v>
      </c>
      <c r="H21">
        <v>9</v>
      </c>
    </row>
    <row r="22" spans="4:8" x14ac:dyDescent="0.45">
      <c r="D22">
        <v>10</v>
      </c>
    </row>
    <row r="23" spans="4:8" x14ac:dyDescent="0.4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334AF588-753A-474C-8C2D-FE0454D001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13</vt:i4>
      </vt:variant>
    </vt:vector>
  </HeadingPairs>
  <TitlesOfParts>
    <vt:vector size="21" baseType="lpstr">
      <vt:lpstr>Edges</vt:lpstr>
      <vt:lpstr>Vertices</vt:lpstr>
      <vt:lpstr>Do Not Delete</vt:lpstr>
      <vt:lpstr>Groups</vt:lpstr>
      <vt:lpstr>Group Vertices</vt:lpstr>
      <vt:lpstr>Overall Metrics</vt:lpstr>
      <vt:lpstr>Data Description</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 Bassi</cp:lastModifiedBy>
  <dcterms:created xsi:type="dcterms:W3CDTF">2008-01-30T00:41:58Z</dcterms:created>
  <dcterms:modified xsi:type="dcterms:W3CDTF">2023-04-04T02:20:14Z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